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Ken/Desktop/"/>
    </mc:Choice>
  </mc:AlternateContent>
  <xr:revisionPtr revIDLastSave="0" documentId="13_ncr:1_{9C3BAA9F-731E-BE4F-B3F0-4CBB7B1A76CD}" xr6:coauthVersionLast="36" xr6:coauthVersionMax="36" xr10:uidLastSave="{00000000-0000-0000-0000-000000000000}"/>
  <bookViews>
    <workbookView xWindow="0" yWindow="580" windowWidth="24180" windowHeight="14540" xr2:uid="{00000000-000D-0000-FFFF-FFFF00000000}"/>
  </bookViews>
  <sheets>
    <sheet name="Mentions" sheetId="1" r:id="rId1"/>
  </sheets>
  <calcPr calcId="181029"/>
</workbook>
</file>

<file path=xl/calcChain.xml><?xml version="1.0" encoding="utf-8"?>
<calcChain xmlns="http://schemas.openxmlformats.org/spreadsheetml/2006/main">
  <c r="J5000" i="1" l="1"/>
  <c r="G5000" i="1"/>
  <c r="J4999" i="1"/>
  <c r="G4999" i="1"/>
  <c r="AL4998" i="1"/>
  <c r="J4998" i="1"/>
  <c r="G4998" i="1"/>
  <c r="AL4997" i="1"/>
  <c r="J4997" i="1"/>
  <c r="G4997" i="1"/>
  <c r="AL4996" i="1"/>
  <c r="P4996" i="1"/>
  <c r="J4996" i="1"/>
  <c r="G4996" i="1"/>
  <c r="AL4995" i="1"/>
  <c r="J4995" i="1"/>
  <c r="G4995" i="1"/>
  <c r="AL4994" i="1"/>
  <c r="J4994" i="1"/>
  <c r="G4994" i="1"/>
  <c r="AL4993" i="1"/>
  <c r="J4993" i="1"/>
  <c r="G4993" i="1"/>
  <c r="AL4992" i="1"/>
  <c r="J4992" i="1"/>
  <c r="G4992" i="1"/>
  <c r="J4991" i="1"/>
  <c r="G4991" i="1"/>
  <c r="J4990" i="1"/>
  <c r="G4990" i="1"/>
  <c r="AL4989" i="1"/>
  <c r="J4989" i="1"/>
  <c r="G4989" i="1"/>
  <c r="AL4988" i="1"/>
  <c r="P4988" i="1"/>
  <c r="J4988" i="1"/>
  <c r="G4988" i="1"/>
  <c r="AL4987" i="1"/>
  <c r="P4987" i="1"/>
  <c r="J4987" i="1"/>
  <c r="G4987" i="1"/>
  <c r="AL4986" i="1"/>
  <c r="P4986" i="1"/>
  <c r="J4986" i="1"/>
  <c r="G4986" i="1"/>
  <c r="AL4985" i="1"/>
  <c r="J4985" i="1"/>
  <c r="G4985" i="1"/>
  <c r="AL4984" i="1"/>
  <c r="P4984" i="1"/>
  <c r="J4984" i="1"/>
  <c r="G4984" i="1"/>
  <c r="AL4983" i="1"/>
  <c r="P4983" i="1"/>
  <c r="J4983" i="1"/>
  <c r="G4983" i="1"/>
  <c r="AL4982" i="1"/>
  <c r="P4982" i="1"/>
  <c r="J4982" i="1"/>
  <c r="G4982" i="1"/>
  <c r="AL4981" i="1"/>
  <c r="P4981" i="1"/>
  <c r="J4981" i="1"/>
  <c r="G4981" i="1"/>
  <c r="AL4980" i="1"/>
  <c r="J4980" i="1"/>
  <c r="G4980" i="1"/>
  <c r="J4979" i="1"/>
  <c r="G4979" i="1"/>
  <c r="AL4978" i="1"/>
  <c r="J4978" i="1"/>
  <c r="G4978" i="1"/>
  <c r="AL4977" i="1"/>
  <c r="J4977" i="1"/>
  <c r="G4977" i="1"/>
  <c r="AL4976" i="1"/>
  <c r="P4976" i="1"/>
  <c r="J4976" i="1"/>
  <c r="G4976" i="1"/>
  <c r="AL4975" i="1"/>
  <c r="P4975" i="1"/>
  <c r="J4975" i="1"/>
  <c r="G4975" i="1"/>
  <c r="J4974" i="1"/>
  <c r="G4974" i="1"/>
  <c r="AL4973" i="1"/>
  <c r="P4973" i="1"/>
  <c r="J4973" i="1"/>
  <c r="G4973" i="1"/>
  <c r="AL4972" i="1"/>
  <c r="J4972" i="1"/>
  <c r="G4972" i="1"/>
  <c r="AL4971" i="1"/>
  <c r="J4971" i="1"/>
  <c r="G4971" i="1"/>
  <c r="AL4970" i="1"/>
  <c r="P4970" i="1"/>
  <c r="J4970" i="1"/>
  <c r="G4970" i="1"/>
  <c r="AL4969" i="1"/>
  <c r="P4969" i="1"/>
  <c r="J4969" i="1"/>
  <c r="G4969" i="1"/>
  <c r="J4968" i="1"/>
  <c r="G4968" i="1"/>
  <c r="J4967" i="1"/>
  <c r="G4967" i="1"/>
  <c r="AL4966" i="1"/>
  <c r="J4966" i="1"/>
  <c r="G4966" i="1"/>
  <c r="AL4965" i="1"/>
  <c r="P4965" i="1"/>
  <c r="J4965" i="1"/>
  <c r="G4965" i="1"/>
  <c r="AL4964" i="1"/>
  <c r="J4964" i="1"/>
  <c r="G4964" i="1"/>
  <c r="AL4963" i="1"/>
  <c r="J4963" i="1"/>
  <c r="G4963" i="1"/>
  <c r="J4962" i="1"/>
  <c r="G4962" i="1"/>
  <c r="AL4961" i="1"/>
  <c r="J4961" i="1"/>
  <c r="G4961" i="1"/>
  <c r="J4960" i="1"/>
  <c r="G4960" i="1"/>
  <c r="J4959" i="1"/>
  <c r="G4959" i="1"/>
  <c r="AL4958" i="1"/>
  <c r="P4958" i="1"/>
  <c r="J4958" i="1"/>
  <c r="G4958" i="1"/>
  <c r="AL4957" i="1"/>
  <c r="P4957" i="1"/>
  <c r="J4957" i="1"/>
  <c r="G4957" i="1"/>
  <c r="P4956" i="1"/>
  <c r="J4956" i="1"/>
  <c r="G4956" i="1"/>
  <c r="AL4955" i="1"/>
  <c r="J4955" i="1"/>
  <c r="G4955" i="1"/>
  <c r="J4954" i="1"/>
  <c r="G4954" i="1"/>
  <c r="J4953" i="1"/>
  <c r="G4953" i="1"/>
  <c r="AL4952" i="1"/>
  <c r="P4952" i="1"/>
  <c r="J4952" i="1"/>
  <c r="G4952" i="1"/>
  <c r="P4951" i="1"/>
  <c r="J4951" i="1"/>
  <c r="G4951" i="1"/>
  <c r="AL4950" i="1"/>
  <c r="P4950" i="1"/>
  <c r="J4950" i="1"/>
  <c r="G4950" i="1"/>
  <c r="AL4949" i="1"/>
  <c r="J4949" i="1"/>
  <c r="G4949" i="1"/>
  <c r="J4948" i="1"/>
  <c r="G4948" i="1"/>
  <c r="AL4947" i="1"/>
  <c r="P4947" i="1"/>
  <c r="J4947" i="1"/>
  <c r="G4947" i="1"/>
  <c r="AL4946" i="1"/>
  <c r="J4946" i="1"/>
  <c r="G4946" i="1"/>
  <c r="AL4945" i="1"/>
  <c r="J4945" i="1"/>
  <c r="G4945" i="1"/>
  <c r="J4944" i="1"/>
  <c r="G4944" i="1"/>
  <c r="P4943" i="1"/>
  <c r="J4943" i="1"/>
  <c r="G4943" i="1"/>
  <c r="J4942" i="1"/>
  <c r="G4942" i="1"/>
  <c r="AL4941" i="1"/>
  <c r="P4941" i="1"/>
  <c r="J4941" i="1"/>
  <c r="G4941" i="1"/>
  <c r="AL4940" i="1"/>
  <c r="J4940" i="1"/>
  <c r="G4940" i="1"/>
  <c r="AL4939" i="1"/>
  <c r="P4939" i="1"/>
  <c r="J4939" i="1"/>
  <c r="G4939" i="1"/>
  <c r="AL4938" i="1"/>
  <c r="P4938" i="1"/>
  <c r="J4938" i="1"/>
  <c r="G4938" i="1"/>
  <c r="J4937" i="1"/>
  <c r="G4937" i="1"/>
  <c r="AL4936" i="1"/>
  <c r="P4936" i="1"/>
  <c r="J4936" i="1"/>
  <c r="G4936" i="1"/>
  <c r="J4935" i="1"/>
  <c r="G4935" i="1"/>
  <c r="J4934" i="1"/>
  <c r="G4934" i="1"/>
  <c r="AL4933" i="1"/>
  <c r="J4933" i="1"/>
  <c r="G4933" i="1"/>
  <c r="AL4932" i="1"/>
  <c r="P4932" i="1"/>
  <c r="J4932" i="1"/>
  <c r="G4932" i="1"/>
  <c r="AL4931" i="1"/>
  <c r="P4931" i="1"/>
  <c r="J4931" i="1"/>
  <c r="G4931" i="1"/>
  <c r="J4930" i="1"/>
  <c r="G4930" i="1"/>
  <c r="AL4929" i="1"/>
  <c r="J4929" i="1"/>
  <c r="G4929" i="1"/>
  <c r="J4928" i="1"/>
  <c r="G4928" i="1"/>
  <c r="J4927" i="1"/>
  <c r="G4927" i="1"/>
  <c r="J4926" i="1"/>
  <c r="G4926" i="1"/>
  <c r="P4925" i="1"/>
  <c r="J4925" i="1"/>
  <c r="G4925" i="1"/>
  <c r="J4924" i="1"/>
  <c r="G4924" i="1"/>
  <c r="J4923" i="1"/>
  <c r="G4923" i="1"/>
  <c r="J4922" i="1"/>
  <c r="G4922" i="1"/>
  <c r="AL4921" i="1"/>
  <c r="J4921" i="1"/>
  <c r="G4921" i="1"/>
  <c r="AL4920" i="1"/>
  <c r="J4920" i="1"/>
  <c r="G4920" i="1"/>
  <c r="AL4919" i="1"/>
  <c r="J4919" i="1"/>
  <c r="G4919" i="1"/>
  <c r="J4918" i="1"/>
  <c r="G4918" i="1"/>
  <c r="J4917" i="1"/>
  <c r="G4917" i="1"/>
  <c r="AL4916" i="1"/>
  <c r="J4916" i="1"/>
  <c r="G4916" i="1"/>
  <c r="AL4915" i="1"/>
  <c r="P4915" i="1"/>
  <c r="J4915" i="1"/>
  <c r="G4915" i="1"/>
  <c r="AL4914" i="1"/>
  <c r="J4914" i="1"/>
  <c r="G4914" i="1"/>
  <c r="AL4913" i="1"/>
  <c r="P4913" i="1"/>
  <c r="J4913" i="1"/>
  <c r="G4913" i="1"/>
  <c r="AL4912" i="1"/>
  <c r="J4912" i="1"/>
  <c r="G4912" i="1"/>
  <c r="AL4911" i="1"/>
  <c r="J4911" i="1"/>
  <c r="G4911" i="1"/>
  <c r="AL4910" i="1"/>
  <c r="P4910" i="1"/>
  <c r="J4910" i="1"/>
  <c r="G4910" i="1"/>
  <c r="J4909" i="1"/>
  <c r="G4909" i="1"/>
  <c r="J4908" i="1"/>
  <c r="G4908" i="1"/>
  <c r="J4907" i="1"/>
  <c r="G4907" i="1"/>
  <c r="AL4906" i="1"/>
  <c r="J4906" i="1"/>
  <c r="G4906" i="1"/>
  <c r="AL4905" i="1"/>
  <c r="P4905" i="1"/>
  <c r="J4905" i="1"/>
  <c r="G4905" i="1"/>
  <c r="J4904" i="1"/>
  <c r="G4904" i="1"/>
  <c r="AL4903" i="1"/>
  <c r="J4903" i="1"/>
  <c r="G4903" i="1"/>
  <c r="J4902" i="1"/>
  <c r="G4902" i="1"/>
  <c r="J4901" i="1"/>
  <c r="G4901" i="1"/>
  <c r="J4900" i="1"/>
  <c r="G4900" i="1"/>
  <c r="J4899" i="1"/>
  <c r="G4899" i="1"/>
  <c r="AL4898" i="1"/>
  <c r="P4898" i="1"/>
  <c r="J4898" i="1"/>
  <c r="G4898" i="1"/>
  <c r="J4897" i="1"/>
  <c r="G4897" i="1"/>
  <c r="J4896" i="1"/>
  <c r="G4896" i="1"/>
  <c r="J4895" i="1"/>
  <c r="G4895" i="1"/>
  <c r="P4894" i="1"/>
  <c r="J4894" i="1"/>
  <c r="G4894" i="1"/>
  <c r="J4893" i="1"/>
  <c r="G4893" i="1"/>
  <c r="AL4892" i="1"/>
  <c r="P4892" i="1"/>
  <c r="J4892" i="1"/>
  <c r="G4892" i="1"/>
  <c r="AL4891" i="1"/>
  <c r="P4891" i="1"/>
  <c r="J4891" i="1"/>
  <c r="G4891" i="1"/>
  <c r="AL4890" i="1"/>
  <c r="P4890" i="1"/>
  <c r="J4890" i="1"/>
  <c r="G4890" i="1"/>
  <c r="AL4889" i="1"/>
  <c r="P4889" i="1"/>
  <c r="J4889" i="1"/>
  <c r="G4889" i="1"/>
  <c r="AL4888" i="1"/>
  <c r="P4888" i="1"/>
  <c r="J4888" i="1"/>
  <c r="G4888" i="1"/>
  <c r="J4887" i="1"/>
  <c r="G4887" i="1"/>
  <c r="AL4886" i="1"/>
  <c r="P4886" i="1"/>
  <c r="J4886" i="1"/>
  <c r="G4886" i="1"/>
  <c r="G4885" i="1"/>
  <c r="G4884" i="1"/>
  <c r="AL4883" i="1"/>
  <c r="P4883" i="1"/>
  <c r="J4883" i="1"/>
  <c r="G4883" i="1"/>
  <c r="J4882" i="1"/>
  <c r="G4882" i="1"/>
  <c r="AL4881" i="1"/>
  <c r="J4881" i="1"/>
  <c r="G4881" i="1"/>
  <c r="J4880" i="1"/>
  <c r="G4880" i="1"/>
  <c r="AL4879" i="1"/>
  <c r="J4879" i="1"/>
  <c r="G4879" i="1"/>
  <c r="AL4878" i="1"/>
  <c r="P4878" i="1"/>
  <c r="J4878" i="1"/>
  <c r="G4878" i="1"/>
  <c r="J4877" i="1"/>
  <c r="G4877" i="1"/>
  <c r="AL4876" i="1"/>
  <c r="P4876" i="1"/>
  <c r="J4876" i="1"/>
  <c r="G4876" i="1"/>
  <c r="AL4875" i="1"/>
  <c r="J4875" i="1"/>
  <c r="G4875" i="1"/>
  <c r="J4874" i="1"/>
  <c r="G4874" i="1"/>
  <c r="AL4873" i="1"/>
  <c r="P4873" i="1"/>
  <c r="J4873" i="1"/>
  <c r="G4873" i="1"/>
  <c r="P4872" i="1"/>
  <c r="J4872" i="1"/>
  <c r="G4872" i="1"/>
  <c r="J4871" i="1"/>
  <c r="G4871" i="1"/>
  <c r="AL4870" i="1"/>
  <c r="J4870" i="1"/>
  <c r="G4870" i="1"/>
  <c r="P4869" i="1"/>
  <c r="J4869" i="1"/>
  <c r="G4869" i="1"/>
  <c r="P4868" i="1"/>
  <c r="J4868" i="1"/>
  <c r="G4868" i="1"/>
  <c r="P4867" i="1"/>
  <c r="J4867" i="1"/>
  <c r="G4867" i="1"/>
  <c r="J4866" i="1"/>
  <c r="G4866" i="1"/>
  <c r="P4865" i="1"/>
  <c r="J4865" i="1"/>
  <c r="G4865" i="1"/>
  <c r="J4864" i="1"/>
  <c r="G4864" i="1"/>
  <c r="J4863" i="1"/>
  <c r="G4863" i="1"/>
  <c r="P4862" i="1"/>
  <c r="J4862" i="1"/>
  <c r="G4862" i="1"/>
  <c r="J4861" i="1"/>
  <c r="G4861" i="1"/>
  <c r="AL4860" i="1"/>
  <c r="P4860" i="1"/>
  <c r="J4860" i="1"/>
  <c r="G4860" i="1"/>
  <c r="P4859" i="1"/>
  <c r="J4859" i="1"/>
  <c r="G4859" i="1"/>
  <c r="P4858" i="1"/>
  <c r="J4858" i="1"/>
  <c r="G4858" i="1"/>
  <c r="J4857" i="1"/>
  <c r="G4857" i="1"/>
  <c r="AL4856" i="1"/>
  <c r="J4856" i="1"/>
  <c r="G4856" i="1"/>
  <c r="AL4855" i="1"/>
  <c r="P4855" i="1"/>
  <c r="J4855" i="1"/>
  <c r="G4855" i="1"/>
  <c r="J4854" i="1"/>
  <c r="G4854" i="1"/>
  <c r="J4853" i="1"/>
  <c r="G4853" i="1"/>
  <c r="J4852" i="1"/>
  <c r="G4852" i="1"/>
  <c r="AL4851" i="1"/>
  <c r="J4851" i="1"/>
  <c r="G4851" i="1"/>
  <c r="AL4850" i="1"/>
  <c r="J4850" i="1"/>
  <c r="G4850" i="1"/>
  <c r="AL4849" i="1"/>
  <c r="J4849" i="1"/>
  <c r="G4849" i="1"/>
  <c r="AL4848" i="1"/>
  <c r="J4848" i="1"/>
  <c r="G4848" i="1"/>
  <c r="AL4847" i="1"/>
  <c r="P4847" i="1"/>
  <c r="J4847" i="1"/>
  <c r="G4847" i="1"/>
  <c r="AL4846" i="1"/>
  <c r="J4846" i="1"/>
  <c r="G4846" i="1"/>
  <c r="J4845" i="1"/>
  <c r="G4845" i="1"/>
  <c r="AL4844" i="1"/>
  <c r="P4844" i="1"/>
  <c r="J4844" i="1"/>
  <c r="G4844" i="1"/>
  <c r="J4843" i="1"/>
  <c r="G4843" i="1"/>
  <c r="P4842" i="1"/>
  <c r="J4842" i="1"/>
  <c r="G4842" i="1"/>
  <c r="J4841" i="1"/>
  <c r="G4841" i="1"/>
  <c r="AL4840" i="1"/>
  <c r="P4840" i="1"/>
  <c r="J4840" i="1"/>
  <c r="G4840" i="1"/>
  <c r="AL4839" i="1"/>
  <c r="J4839" i="1"/>
  <c r="G4839" i="1"/>
  <c r="J4838" i="1"/>
  <c r="G4838" i="1"/>
  <c r="AL4837" i="1"/>
  <c r="J4837" i="1"/>
  <c r="G4837" i="1"/>
  <c r="G4836" i="1"/>
  <c r="AL4835" i="1"/>
  <c r="P4835" i="1"/>
  <c r="J4835" i="1"/>
  <c r="G4835" i="1"/>
  <c r="AL4834" i="1"/>
  <c r="P4834" i="1"/>
  <c r="J4834" i="1"/>
  <c r="G4834" i="1"/>
  <c r="AL4833" i="1"/>
  <c r="P4833" i="1"/>
  <c r="J4833" i="1"/>
  <c r="G4833" i="1"/>
  <c r="AL4832" i="1"/>
  <c r="J4832" i="1"/>
  <c r="G4832" i="1"/>
  <c r="AL4831" i="1"/>
  <c r="J4831" i="1"/>
  <c r="G4831" i="1"/>
  <c r="AL4830" i="1"/>
  <c r="J4830" i="1"/>
  <c r="G4830" i="1"/>
  <c r="P4829" i="1"/>
  <c r="J4829" i="1"/>
  <c r="G4829" i="1"/>
  <c r="AL4828" i="1"/>
  <c r="P4828" i="1"/>
  <c r="J4828" i="1"/>
  <c r="G4828" i="1"/>
  <c r="AL4827" i="1"/>
  <c r="P4827" i="1"/>
  <c r="J4827" i="1"/>
  <c r="G4827" i="1"/>
  <c r="J4826" i="1"/>
  <c r="G4826" i="1"/>
  <c r="AL4825" i="1"/>
  <c r="P4825" i="1"/>
  <c r="J4825" i="1"/>
  <c r="G4825" i="1"/>
  <c r="J4824" i="1"/>
  <c r="G4824" i="1"/>
  <c r="AL4823" i="1"/>
  <c r="P4823" i="1"/>
  <c r="J4823" i="1"/>
  <c r="G4823" i="1"/>
  <c r="AL4822" i="1"/>
  <c r="P4822" i="1"/>
  <c r="J4822" i="1"/>
  <c r="G4822" i="1"/>
  <c r="J4821" i="1"/>
  <c r="G4821" i="1"/>
  <c r="AL4820" i="1"/>
  <c r="J4820" i="1"/>
  <c r="G4820" i="1"/>
  <c r="AL4819" i="1"/>
  <c r="J4819" i="1"/>
  <c r="G4819" i="1"/>
  <c r="AL4818" i="1"/>
  <c r="J4818" i="1"/>
  <c r="G4818" i="1"/>
  <c r="AL4817" i="1"/>
  <c r="J4817" i="1"/>
  <c r="G4817" i="1"/>
  <c r="P4816" i="1"/>
  <c r="J4816" i="1"/>
  <c r="G4816" i="1"/>
  <c r="AL4815" i="1"/>
  <c r="P4815" i="1"/>
  <c r="J4815" i="1"/>
  <c r="G4815" i="1"/>
  <c r="J4814" i="1"/>
  <c r="G4814" i="1"/>
  <c r="J4813" i="1"/>
  <c r="G4813" i="1"/>
  <c r="J4812" i="1"/>
  <c r="G4812" i="1"/>
  <c r="J4811" i="1"/>
  <c r="G4811" i="1"/>
  <c r="AL4810" i="1"/>
  <c r="J4810" i="1"/>
  <c r="G4810" i="1"/>
  <c r="J4809" i="1"/>
  <c r="G4809" i="1"/>
  <c r="AL4808" i="1"/>
  <c r="J4808" i="1"/>
  <c r="G4808" i="1"/>
  <c r="AL4807" i="1"/>
  <c r="J4807" i="1"/>
  <c r="G4807" i="1"/>
  <c r="J4806" i="1"/>
  <c r="G4806" i="1"/>
  <c r="J4805" i="1"/>
  <c r="G4805" i="1"/>
  <c r="J4804" i="1"/>
  <c r="G4804" i="1"/>
  <c r="AL4803" i="1"/>
  <c r="J4803" i="1"/>
  <c r="G4803" i="1"/>
  <c r="AL4802" i="1"/>
  <c r="J4802" i="1"/>
  <c r="G4802" i="1"/>
  <c r="AL4801" i="1"/>
  <c r="J4801" i="1"/>
  <c r="G4801" i="1"/>
  <c r="P4800" i="1"/>
  <c r="J4800" i="1"/>
  <c r="G4800" i="1"/>
  <c r="AL4799" i="1"/>
  <c r="P4799" i="1"/>
  <c r="J4799" i="1"/>
  <c r="G4799" i="1"/>
  <c r="AL4798" i="1"/>
  <c r="J4798" i="1"/>
  <c r="G4798" i="1"/>
  <c r="AL4797" i="1"/>
  <c r="P4797" i="1"/>
  <c r="J4797" i="1"/>
  <c r="G4797" i="1"/>
  <c r="AL4796" i="1"/>
  <c r="P4796" i="1"/>
  <c r="J4796" i="1"/>
  <c r="G4796" i="1"/>
  <c r="AL4795" i="1"/>
  <c r="P4795" i="1"/>
  <c r="J4795" i="1"/>
  <c r="G4795" i="1"/>
  <c r="AL4794" i="1"/>
  <c r="P4794" i="1"/>
  <c r="J4794" i="1"/>
  <c r="G4794" i="1"/>
  <c r="AL4793" i="1"/>
  <c r="P4793" i="1"/>
  <c r="J4793" i="1"/>
  <c r="G4793" i="1"/>
  <c r="AL4792" i="1"/>
  <c r="P4792" i="1"/>
  <c r="J4792" i="1"/>
  <c r="G4792" i="1"/>
  <c r="AL4791" i="1"/>
  <c r="J4791" i="1"/>
  <c r="G4791" i="1"/>
  <c r="AL4790" i="1"/>
  <c r="P4790" i="1"/>
  <c r="J4790" i="1"/>
  <c r="G4790" i="1"/>
  <c r="J4789" i="1"/>
  <c r="G4789" i="1"/>
  <c r="AL4788" i="1"/>
  <c r="P4788" i="1"/>
  <c r="J4788" i="1"/>
  <c r="G4788" i="1"/>
  <c r="AL4787" i="1"/>
  <c r="J4787" i="1"/>
  <c r="G4787" i="1"/>
  <c r="AL4786" i="1"/>
  <c r="P4786" i="1"/>
  <c r="J4786" i="1"/>
  <c r="G4786" i="1"/>
  <c r="AL4785" i="1"/>
  <c r="J4785" i="1"/>
  <c r="G4785" i="1"/>
  <c r="AL4784" i="1"/>
  <c r="J4784" i="1"/>
  <c r="G4784" i="1"/>
  <c r="J4783" i="1"/>
  <c r="G4783" i="1"/>
  <c r="P4782" i="1"/>
  <c r="J4782" i="1"/>
  <c r="G4782" i="1"/>
  <c r="J4781" i="1"/>
  <c r="G4781" i="1"/>
  <c r="J4780" i="1"/>
  <c r="G4780" i="1"/>
  <c r="AL4779" i="1"/>
  <c r="J4779" i="1"/>
  <c r="G4779" i="1"/>
  <c r="J4778" i="1"/>
  <c r="G4778" i="1"/>
  <c r="J4777" i="1"/>
  <c r="G4777" i="1"/>
  <c r="J4776" i="1"/>
  <c r="G4776" i="1"/>
  <c r="AL4775" i="1"/>
  <c r="P4775" i="1"/>
  <c r="J4775" i="1"/>
  <c r="G4775" i="1"/>
  <c r="AL4774" i="1"/>
  <c r="J4774" i="1"/>
  <c r="G4774" i="1"/>
  <c r="AL4773" i="1"/>
  <c r="P4773" i="1"/>
  <c r="J4773" i="1"/>
  <c r="G4773" i="1"/>
  <c r="AL4772" i="1"/>
  <c r="J4772" i="1"/>
  <c r="G4772" i="1"/>
  <c r="AL4771" i="1"/>
  <c r="P4771" i="1"/>
  <c r="J4771" i="1"/>
  <c r="G4771" i="1"/>
  <c r="AL4770" i="1"/>
  <c r="P4770" i="1"/>
  <c r="J4770" i="1"/>
  <c r="G4770" i="1"/>
  <c r="AL4769" i="1"/>
  <c r="P4769" i="1"/>
  <c r="J4769" i="1"/>
  <c r="G4769" i="1"/>
  <c r="P4768" i="1"/>
  <c r="J4768" i="1"/>
  <c r="G4768" i="1"/>
  <c r="P4767" i="1"/>
  <c r="J4767" i="1"/>
  <c r="G4767" i="1"/>
  <c r="AL4766" i="1"/>
  <c r="P4766" i="1"/>
  <c r="J4766" i="1"/>
  <c r="G4766" i="1"/>
  <c r="P4765" i="1"/>
  <c r="J4765" i="1"/>
  <c r="G4765" i="1"/>
  <c r="J4764" i="1"/>
  <c r="G4764" i="1"/>
  <c r="J4763" i="1"/>
  <c r="G4763" i="1"/>
  <c r="J4762" i="1"/>
  <c r="G4762" i="1"/>
  <c r="AL4761" i="1"/>
  <c r="J4761" i="1"/>
  <c r="G4761" i="1"/>
  <c r="J4760" i="1"/>
  <c r="G4760" i="1"/>
  <c r="AL4759" i="1"/>
  <c r="J4759" i="1"/>
  <c r="G4759" i="1"/>
  <c r="AL4758" i="1"/>
  <c r="P4758" i="1"/>
  <c r="J4758" i="1"/>
  <c r="G4758" i="1"/>
  <c r="AL4757" i="1"/>
  <c r="J4757" i="1"/>
  <c r="G4757" i="1"/>
  <c r="J4756" i="1"/>
  <c r="G4756" i="1"/>
  <c r="J4755" i="1"/>
  <c r="G4755" i="1"/>
  <c r="AL4754" i="1"/>
  <c r="J4754" i="1"/>
  <c r="G4754" i="1"/>
  <c r="J4753" i="1"/>
  <c r="G4753" i="1"/>
  <c r="AL4752" i="1"/>
  <c r="J4752" i="1"/>
  <c r="G4752" i="1"/>
  <c r="J4751" i="1"/>
  <c r="G4751" i="1"/>
  <c r="AL4750" i="1"/>
  <c r="J4750" i="1"/>
  <c r="G4750" i="1"/>
  <c r="AL4749" i="1"/>
  <c r="P4749" i="1"/>
  <c r="J4749" i="1"/>
  <c r="G4749" i="1"/>
  <c r="J4748" i="1"/>
  <c r="G4748" i="1"/>
  <c r="AL4747" i="1"/>
  <c r="P4747" i="1"/>
  <c r="J4747" i="1"/>
  <c r="G4747" i="1"/>
  <c r="J4746" i="1"/>
  <c r="G4746" i="1"/>
  <c r="P4745" i="1"/>
  <c r="J4745" i="1"/>
  <c r="G4745" i="1"/>
  <c r="AL4744" i="1"/>
  <c r="P4744" i="1"/>
  <c r="J4744" i="1"/>
  <c r="G4744" i="1"/>
  <c r="AL4743" i="1"/>
  <c r="J4743" i="1"/>
  <c r="G4743" i="1"/>
  <c r="AL4742" i="1"/>
  <c r="J4742" i="1"/>
  <c r="G4742" i="1"/>
  <c r="AL4741" i="1"/>
  <c r="P4741" i="1"/>
  <c r="J4741" i="1"/>
  <c r="G4741" i="1"/>
  <c r="AL4740" i="1"/>
  <c r="P4740" i="1"/>
  <c r="J4740" i="1"/>
  <c r="G4740" i="1"/>
  <c r="J4739" i="1"/>
  <c r="G4739" i="1"/>
  <c r="J4738" i="1"/>
  <c r="G4738" i="1"/>
  <c r="AL4737" i="1"/>
  <c r="J4737" i="1"/>
  <c r="G4737" i="1"/>
  <c r="J4736" i="1"/>
  <c r="G4736" i="1"/>
  <c r="J4735" i="1"/>
  <c r="G4735" i="1"/>
  <c r="P4734" i="1"/>
  <c r="G4734" i="1"/>
  <c r="AL4733" i="1"/>
  <c r="P4733" i="1"/>
  <c r="J4733" i="1"/>
  <c r="G4733" i="1"/>
  <c r="J4732" i="1"/>
  <c r="G4732" i="1"/>
  <c r="J4731" i="1"/>
  <c r="G4731" i="1"/>
  <c r="AL4730" i="1"/>
  <c r="J4730" i="1"/>
  <c r="G4730" i="1"/>
  <c r="J4729" i="1"/>
  <c r="G4729" i="1"/>
  <c r="AL4728" i="1"/>
  <c r="P4728" i="1"/>
  <c r="J4728" i="1"/>
  <c r="G4728" i="1"/>
  <c r="AL4727" i="1"/>
  <c r="P4727" i="1"/>
  <c r="J4727" i="1"/>
  <c r="G4727" i="1"/>
  <c r="AL4726" i="1"/>
  <c r="P4726" i="1"/>
  <c r="J4726" i="1"/>
  <c r="G4726" i="1"/>
  <c r="AL4725" i="1"/>
  <c r="J4725" i="1"/>
  <c r="G4725" i="1"/>
  <c r="AL4724" i="1"/>
  <c r="P4724" i="1"/>
  <c r="J4724" i="1"/>
  <c r="G4724" i="1"/>
  <c r="AL4723" i="1"/>
  <c r="J4723" i="1"/>
  <c r="G4723" i="1"/>
  <c r="AL4722" i="1"/>
  <c r="P4722" i="1"/>
  <c r="J4722" i="1"/>
  <c r="G4722" i="1"/>
  <c r="AL4721" i="1"/>
  <c r="P4721" i="1"/>
  <c r="J4721" i="1"/>
  <c r="G4721" i="1"/>
  <c r="AL4720" i="1"/>
  <c r="P4720" i="1"/>
  <c r="J4720" i="1"/>
  <c r="G4720" i="1"/>
  <c r="AL4719" i="1"/>
  <c r="P4719" i="1"/>
  <c r="J4719" i="1"/>
  <c r="G4719" i="1"/>
  <c r="AL4718" i="1"/>
  <c r="J4718" i="1"/>
  <c r="G4718" i="1"/>
  <c r="J4717" i="1"/>
  <c r="G4717" i="1"/>
  <c r="AL4716" i="1"/>
  <c r="P4716" i="1"/>
  <c r="J4716" i="1"/>
  <c r="G4716" i="1"/>
  <c r="AL4715" i="1"/>
  <c r="J4715" i="1"/>
  <c r="G4715" i="1"/>
  <c r="AL4714" i="1"/>
  <c r="P4714" i="1"/>
  <c r="J4714" i="1"/>
  <c r="G4714" i="1"/>
  <c r="J4713" i="1"/>
  <c r="G4713" i="1"/>
  <c r="J4712" i="1"/>
  <c r="G4712" i="1"/>
  <c r="AL4711" i="1"/>
  <c r="J4711" i="1"/>
  <c r="G4711" i="1"/>
  <c r="J4710" i="1"/>
  <c r="G4710" i="1"/>
  <c r="J4709" i="1"/>
  <c r="G4709" i="1"/>
  <c r="AL4708" i="1"/>
  <c r="J4708" i="1"/>
  <c r="G4708" i="1"/>
  <c r="P4707" i="1"/>
  <c r="J4707" i="1"/>
  <c r="G4707" i="1"/>
  <c r="J4706" i="1"/>
  <c r="G4706" i="1"/>
  <c r="J4705" i="1"/>
  <c r="G4705" i="1"/>
  <c r="AL4704" i="1"/>
  <c r="P4704" i="1"/>
  <c r="J4704" i="1"/>
  <c r="G4704" i="1"/>
  <c r="AL4703" i="1"/>
  <c r="J4703" i="1"/>
  <c r="G4703" i="1"/>
  <c r="J4702" i="1"/>
  <c r="G4702" i="1"/>
  <c r="AL4701" i="1"/>
  <c r="J4701" i="1"/>
  <c r="G4701" i="1"/>
  <c r="AL4700" i="1"/>
  <c r="J4700" i="1"/>
  <c r="G4700" i="1"/>
  <c r="AL4699" i="1"/>
  <c r="P4699" i="1"/>
  <c r="J4699" i="1"/>
  <c r="G4699" i="1"/>
  <c r="AL4698" i="1"/>
  <c r="P4698" i="1"/>
  <c r="J4698" i="1"/>
  <c r="G4698" i="1"/>
  <c r="J4697" i="1"/>
  <c r="G4697" i="1"/>
  <c r="AL4696" i="1"/>
  <c r="J4696" i="1"/>
  <c r="G4696" i="1"/>
  <c r="AL4695" i="1"/>
  <c r="P4695" i="1"/>
  <c r="J4695" i="1"/>
  <c r="G4695" i="1"/>
  <c r="J4694" i="1"/>
  <c r="G4694" i="1"/>
  <c r="AL4693" i="1"/>
  <c r="J4693" i="1"/>
  <c r="G4693" i="1"/>
  <c r="AL4692" i="1"/>
  <c r="J4692" i="1"/>
  <c r="G4692" i="1"/>
  <c r="J4691" i="1"/>
  <c r="G4691" i="1"/>
  <c r="AL4690" i="1"/>
  <c r="J4690" i="1"/>
  <c r="G4690" i="1"/>
  <c r="J4689" i="1"/>
  <c r="G4689" i="1"/>
  <c r="AL4688" i="1"/>
  <c r="J4688" i="1"/>
  <c r="G4688" i="1"/>
  <c r="J4687" i="1"/>
  <c r="G4687" i="1"/>
  <c r="AL4686" i="1"/>
  <c r="P4686" i="1"/>
  <c r="J4686" i="1"/>
  <c r="G4686" i="1"/>
  <c r="AL4685" i="1"/>
  <c r="J4685" i="1"/>
  <c r="G4685" i="1"/>
  <c r="J4684" i="1"/>
  <c r="G4684" i="1"/>
  <c r="AL4683" i="1"/>
  <c r="P4683" i="1"/>
  <c r="J4683" i="1"/>
  <c r="G4683" i="1"/>
  <c r="J4682" i="1"/>
  <c r="G4682" i="1"/>
  <c r="AL4681" i="1"/>
  <c r="P4681" i="1"/>
  <c r="J4681" i="1"/>
  <c r="G4681" i="1"/>
  <c r="AL4680" i="1"/>
  <c r="J4680" i="1"/>
  <c r="G4680" i="1"/>
  <c r="AL4679" i="1"/>
  <c r="J4679" i="1"/>
  <c r="G4679" i="1"/>
  <c r="J4678" i="1"/>
  <c r="G4678" i="1"/>
  <c r="AL4677" i="1"/>
  <c r="P4677" i="1"/>
  <c r="J4677" i="1"/>
  <c r="G4677" i="1"/>
  <c r="AL4676" i="1"/>
  <c r="J4676" i="1"/>
  <c r="G4676" i="1"/>
  <c r="AL4675" i="1"/>
  <c r="J4675" i="1"/>
  <c r="G4675" i="1"/>
  <c r="AL4674" i="1"/>
  <c r="J4674" i="1"/>
  <c r="G4674" i="1"/>
  <c r="AL4673" i="1"/>
  <c r="J4673" i="1"/>
  <c r="G4673" i="1"/>
  <c r="AL4672" i="1"/>
  <c r="P4672" i="1"/>
  <c r="J4672" i="1"/>
  <c r="G4672" i="1"/>
  <c r="J4671" i="1"/>
  <c r="G4671" i="1"/>
  <c r="J4670" i="1"/>
  <c r="G4670" i="1"/>
  <c r="J4669" i="1"/>
  <c r="G4669" i="1"/>
  <c r="AL4668" i="1"/>
  <c r="J4668" i="1"/>
  <c r="G4668" i="1"/>
  <c r="AL4667" i="1"/>
  <c r="J4667" i="1"/>
  <c r="G4667" i="1"/>
  <c r="AL4666" i="1"/>
  <c r="J4666" i="1"/>
  <c r="G4666" i="1"/>
  <c r="AL4665" i="1"/>
  <c r="J4665" i="1"/>
  <c r="G4665" i="1"/>
  <c r="J4664" i="1"/>
  <c r="G4664" i="1"/>
  <c r="J4663" i="1"/>
  <c r="G4663" i="1"/>
  <c r="P4662" i="1"/>
  <c r="J4662" i="1"/>
  <c r="G4662" i="1"/>
  <c r="AL4661" i="1"/>
  <c r="P4661" i="1"/>
  <c r="J4661" i="1"/>
  <c r="G4661" i="1"/>
  <c r="J4660" i="1"/>
  <c r="G4660" i="1"/>
  <c r="AL4659" i="1"/>
  <c r="P4659" i="1"/>
  <c r="J4659" i="1"/>
  <c r="G4659" i="1"/>
  <c r="AL4658" i="1"/>
  <c r="J4658" i="1"/>
  <c r="G4658" i="1"/>
  <c r="AL4657" i="1"/>
  <c r="P4657" i="1"/>
  <c r="J4657" i="1"/>
  <c r="G4657" i="1"/>
  <c r="AL4656" i="1"/>
  <c r="J4656" i="1"/>
  <c r="G4656" i="1"/>
  <c r="J4655" i="1"/>
  <c r="G4655" i="1"/>
  <c r="J4654" i="1"/>
  <c r="G4654" i="1"/>
  <c r="J4653" i="1"/>
  <c r="G4653" i="1"/>
  <c r="J4652" i="1"/>
  <c r="G4652" i="1"/>
  <c r="J4651" i="1"/>
  <c r="G4651" i="1"/>
  <c r="J4650" i="1"/>
  <c r="G4650" i="1"/>
  <c r="AL4649" i="1"/>
  <c r="J4649" i="1"/>
  <c r="G4649" i="1"/>
  <c r="AL4648" i="1"/>
  <c r="P4648" i="1"/>
  <c r="J4648" i="1"/>
  <c r="G4648" i="1"/>
  <c r="P4647" i="1"/>
  <c r="J4647" i="1"/>
  <c r="G4647" i="1"/>
  <c r="G4646" i="1"/>
  <c r="G4645" i="1"/>
  <c r="G4644" i="1"/>
  <c r="AL4643" i="1"/>
  <c r="P4643" i="1"/>
  <c r="J4643" i="1"/>
  <c r="G4643" i="1"/>
  <c r="J4642" i="1"/>
  <c r="G4642" i="1"/>
  <c r="J4641" i="1"/>
  <c r="G4641" i="1"/>
  <c r="P4640" i="1"/>
  <c r="J4640" i="1"/>
  <c r="G4640" i="1"/>
  <c r="AL4639" i="1"/>
  <c r="J4639" i="1"/>
  <c r="G4639" i="1"/>
  <c r="J4638" i="1"/>
  <c r="G4638" i="1"/>
  <c r="AL4637" i="1"/>
  <c r="P4637" i="1"/>
  <c r="J4637" i="1"/>
  <c r="G4637" i="1"/>
  <c r="AL4636" i="1"/>
  <c r="P4636" i="1"/>
  <c r="J4636" i="1"/>
  <c r="G4636" i="1"/>
  <c r="J4635" i="1"/>
  <c r="G4635" i="1"/>
  <c r="AL4634" i="1"/>
  <c r="J4634" i="1"/>
  <c r="G4634" i="1"/>
  <c r="AL4633" i="1"/>
  <c r="J4633" i="1"/>
  <c r="G4633" i="1"/>
  <c r="J4632" i="1"/>
  <c r="G4632" i="1"/>
  <c r="J4631" i="1"/>
  <c r="G4631" i="1"/>
  <c r="J4630" i="1"/>
  <c r="G4630" i="1"/>
  <c r="AL4629" i="1"/>
  <c r="J4629" i="1"/>
  <c r="G4629" i="1"/>
  <c r="J4628" i="1"/>
  <c r="G4628" i="1"/>
  <c r="AL4627" i="1"/>
  <c r="P4627" i="1"/>
  <c r="J4627" i="1"/>
  <c r="G4627" i="1"/>
  <c r="AL4626" i="1"/>
  <c r="P4626" i="1"/>
  <c r="J4626" i="1"/>
  <c r="G4626" i="1"/>
  <c r="J4625" i="1"/>
  <c r="G4625" i="1"/>
  <c r="AL4624" i="1"/>
  <c r="J4624" i="1"/>
  <c r="G4624" i="1"/>
  <c r="AL4623" i="1"/>
  <c r="P4623" i="1"/>
  <c r="J4623" i="1"/>
  <c r="G4623" i="1"/>
  <c r="J4622" i="1"/>
  <c r="G4622" i="1"/>
  <c r="J4621" i="1"/>
  <c r="G4621" i="1"/>
  <c r="AL4620" i="1"/>
  <c r="P4620" i="1"/>
  <c r="J4620" i="1"/>
  <c r="G4620" i="1"/>
  <c r="AL4619" i="1"/>
  <c r="P4619" i="1"/>
  <c r="J4619" i="1"/>
  <c r="G4619" i="1"/>
  <c r="AL4618" i="1"/>
  <c r="J4618" i="1"/>
  <c r="G4618" i="1"/>
  <c r="AL4617" i="1"/>
  <c r="J4617" i="1"/>
  <c r="G4617" i="1"/>
  <c r="AL4616" i="1"/>
  <c r="J4616" i="1"/>
  <c r="G4616" i="1"/>
  <c r="AL4615" i="1"/>
  <c r="J4615" i="1"/>
  <c r="G4615" i="1"/>
  <c r="AL4614" i="1"/>
  <c r="J4614" i="1"/>
  <c r="G4614" i="1"/>
  <c r="J4613" i="1"/>
  <c r="G4613" i="1"/>
  <c r="J4612" i="1"/>
  <c r="G4612" i="1"/>
  <c r="G4611" i="1"/>
  <c r="AL4610" i="1"/>
  <c r="J4610" i="1"/>
  <c r="G4610" i="1"/>
  <c r="J4609" i="1"/>
  <c r="G4609" i="1"/>
  <c r="J4608" i="1"/>
  <c r="G4608" i="1"/>
  <c r="AL4607" i="1"/>
  <c r="P4607" i="1"/>
  <c r="J4607" i="1"/>
  <c r="G4607" i="1"/>
  <c r="AL4606" i="1"/>
  <c r="J4606" i="1"/>
  <c r="G4606" i="1"/>
  <c r="J4605" i="1"/>
  <c r="G4605" i="1"/>
  <c r="J4604" i="1"/>
  <c r="G4604" i="1"/>
  <c r="AL4603" i="1"/>
  <c r="P4603" i="1"/>
  <c r="J4603" i="1"/>
  <c r="G4603" i="1"/>
  <c r="AL4602" i="1"/>
  <c r="P4602" i="1"/>
  <c r="J4602" i="1"/>
  <c r="G4602" i="1"/>
  <c r="J4601" i="1"/>
  <c r="G4601" i="1"/>
  <c r="AL4600" i="1"/>
  <c r="J4600" i="1"/>
  <c r="G4600" i="1"/>
  <c r="AL4599" i="1"/>
  <c r="J4599" i="1"/>
  <c r="G4599" i="1"/>
  <c r="J4598" i="1"/>
  <c r="G4598" i="1"/>
  <c r="AL4597" i="1"/>
  <c r="J4597" i="1"/>
  <c r="G4597" i="1"/>
  <c r="AL4596" i="1"/>
  <c r="P4596" i="1"/>
  <c r="J4596" i="1"/>
  <c r="G4596" i="1"/>
  <c r="AL4595" i="1"/>
  <c r="P4595" i="1"/>
  <c r="J4595" i="1"/>
  <c r="G4595" i="1"/>
  <c r="J4594" i="1"/>
  <c r="G4594" i="1"/>
  <c r="AL4593" i="1"/>
  <c r="J4593" i="1"/>
  <c r="G4593" i="1"/>
  <c r="J4592" i="1"/>
  <c r="G4592" i="1"/>
  <c r="AL4591" i="1"/>
  <c r="P4591" i="1"/>
  <c r="J4591" i="1"/>
  <c r="G4591" i="1"/>
  <c r="AL4590" i="1"/>
  <c r="P4590" i="1"/>
  <c r="J4590" i="1"/>
  <c r="G4590" i="1"/>
  <c r="J4589" i="1"/>
  <c r="G4589" i="1"/>
  <c r="AL4588" i="1"/>
  <c r="J4588" i="1"/>
  <c r="G4588" i="1"/>
  <c r="J4587" i="1"/>
  <c r="G4587" i="1"/>
  <c r="J4586" i="1"/>
  <c r="G4586" i="1"/>
  <c r="J4585" i="1"/>
  <c r="G4585" i="1"/>
  <c r="J4584" i="1"/>
  <c r="G4584" i="1"/>
  <c r="J4583" i="1"/>
  <c r="G4583" i="1"/>
  <c r="AL4582" i="1"/>
  <c r="J4582" i="1"/>
  <c r="G4582" i="1"/>
  <c r="G4581" i="1"/>
  <c r="P4580" i="1"/>
  <c r="G4580" i="1"/>
  <c r="AL4579" i="1"/>
  <c r="P4579" i="1"/>
  <c r="J4579" i="1"/>
  <c r="G4579" i="1"/>
  <c r="J4578" i="1"/>
  <c r="G4578" i="1"/>
  <c r="AL4577" i="1"/>
  <c r="P4577" i="1"/>
  <c r="J4577" i="1"/>
  <c r="G4577" i="1"/>
  <c r="J4576" i="1"/>
  <c r="G4576" i="1"/>
  <c r="AL4575" i="1"/>
  <c r="P4575" i="1"/>
  <c r="J4575" i="1"/>
  <c r="G4575" i="1"/>
  <c r="AL4574" i="1"/>
  <c r="P4574" i="1"/>
  <c r="J4574" i="1"/>
  <c r="G4574" i="1"/>
  <c r="J4573" i="1"/>
  <c r="G4573" i="1"/>
  <c r="AL4572" i="1"/>
  <c r="J4572" i="1"/>
  <c r="G4572" i="1"/>
  <c r="AL4571" i="1"/>
  <c r="P4571" i="1"/>
  <c r="J4571" i="1"/>
  <c r="G4571" i="1"/>
  <c r="AL4570" i="1"/>
  <c r="P4570" i="1"/>
  <c r="J4570" i="1"/>
  <c r="G4570" i="1"/>
  <c r="AL4569" i="1"/>
  <c r="P4569" i="1"/>
  <c r="J4569" i="1"/>
  <c r="G4569" i="1"/>
  <c r="J4568" i="1"/>
  <c r="G4568" i="1"/>
  <c r="J4567" i="1"/>
  <c r="G4567" i="1"/>
  <c r="AL4566" i="1"/>
  <c r="J4566" i="1"/>
  <c r="G4566" i="1"/>
  <c r="J4565" i="1"/>
  <c r="G4565" i="1"/>
  <c r="J4564" i="1"/>
  <c r="G4564" i="1"/>
  <c r="J4563" i="1"/>
  <c r="G4563" i="1"/>
  <c r="J4562" i="1"/>
  <c r="G4562" i="1"/>
  <c r="J4561" i="1"/>
  <c r="G4561" i="1"/>
  <c r="J4560" i="1"/>
  <c r="G4560" i="1"/>
  <c r="AL4559" i="1"/>
  <c r="J4559" i="1"/>
  <c r="G4559" i="1"/>
  <c r="J4558" i="1"/>
  <c r="G4558" i="1"/>
  <c r="J4557" i="1"/>
  <c r="G4557" i="1"/>
  <c r="J4556" i="1"/>
  <c r="G4556" i="1"/>
  <c r="J4555" i="1"/>
  <c r="G4555" i="1"/>
  <c r="J4554" i="1"/>
  <c r="G4554" i="1"/>
  <c r="J4553" i="1"/>
  <c r="G4553" i="1"/>
  <c r="J4552" i="1"/>
  <c r="G4552" i="1"/>
  <c r="J4551" i="1"/>
  <c r="G4551" i="1"/>
  <c r="AL4550" i="1"/>
  <c r="P4550" i="1"/>
  <c r="J4550" i="1"/>
  <c r="G4550" i="1"/>
  <c r="AL4549" i="1"/>
  <c r="J4549" i="1"/>
  <c r="G4549" i="1"/>
  <c r="J4548" i="1"/>
  <c r="G4548" i="1"/>
  <c r="J4547" i="1"/>
  <c r="G4547" i="1"/>
  <c r="J4546" i="1"/>
  <c r="G4546" i="1"/>
  <c r="AL4545" i="1"/>
  <c r="J4545" i="1"/>
  <c r="G4545" i="1"/>
  <c r="AL4544" i="1"/>
  <c r="P4544" i="1"/>
  <c r="J4544" i="1"/>
  <c r="G4544" i="1"/>
  <c r="J4543" i="1"/>
  <c r="G4543" i="1"/>
  <c r="AL4542" i="1"/>
  <c r="J4542" i="1"/>
  <c r="G4542" i="1"/>
  <c r="J4541" i="1"/>
  <c r="G4541" i="1"/>
  <c r="P4540" i="1"/>
  <c r="J4540" i="1"/>
  <c r="G4540" i="1"/>
  <c r="J4539" i="1"/>
  <c r="G4539" i="1"/>
  <c r="J4538" i="1"/>
  <c r="G4538" i="1"/>
  <c r="J4537" i="1"/>
  <c r="G4537" i="1"/>
  <c r="J4536" i="1"/>
  <c r="G4536" i="1"/>
  <c r="J4535" i="1"/>
  <c r="G4535" i="1"/>
  <c r="G4534" i="1"/>
  <c r="J4533" i="1"/>
  <c r="G4533" i="1"/>
  <c r="AL4532" i="1"/>
  <c r="P4532" i="1"/>
  <c r="J4532" i="1"/>
  <c r="G4532" i="1"/>
  <c r="AL4531" i="1"/>
  <c r="P4531" i="1"/>
  <c r="J4531" i="1"/>
  <c r="G4531" i="1"/>
  <c r="J4530" i="1"/>
  <c r="G4530" i="1"/>
  <c r="J4529" i="1"/>
  <c r="G4529" i="1"/>
  <c r="AL4528" i="1"/>
  <c r="P4528" i="1"/>
  <c r="J4528" i="1"/>
  <c r="G4528" i="1"/>
  <c r="AL4527" i="1"/>
  <c r="P4527" i="1"/>
  <c r="J4527" i="1"/>
  <c r="G4527" i="1"/>
  <c r="AL4526" i="1"/>
  <c r="P4526" i="1"/>
  <c r="J4526" i="1"/>
  <c r="G4526" i="1"/>
  <c r="J4525" i="1"/>
  <c r="G4525" i="1"/>
  <c r="J4524" i="1"/>
  <c r="G4524" i="1"/>
  <c r="AL4523" i="1"/>
  <c r="J4523" i="1"/>
  <c r="G4523" i="1"/>
  <c r="AL4522" i="1"/>
  <c r="P4522" i="1"/>
  <c r="J4522" i="1"/>
  <c r="G4522" i="1"/>
  <c r="AL4521" i="1"/>
  <c r="P4521" i="1"/>
  <c r="J4521" i="1"/>
  <c r="G4521" i="1"/>
  <c r="AL4520" i="1"/>
  <c r="P4520" i="1"/>
  <c r="J4520" i="1"/>
  <c r="G4520" i="1"/>
  <c r="J4519" i="1"/>
  <c r="G4519" i="1"/>
  <c r="J4518" i="1"/>
  <c r="G4518" i="1"/>
  <c r="AL4517" i="1"/>
  <c r="P4517" i="1"/>
  <c r="J4517" i="1"/>
  <c r="G4517" i="1"/>
  <c r="AL4516" i="1"/>
  <c r="J4516" i="1"/>
  <c r="G4516" i="1"/>
  <c r="J4515" i="1"/>
  <c r="G4515" i="1"/>
  <c r="AL4514" i="1"/>
  <c r="J4514" i="1"/>
  <c r="G4514" i="1"/>
  <c r="AL4513" i="1"/>
  <c r="J4513" i="1"/>
  <c r="G4513" i="1"/>
  <c r="AL4512" i="1"/>
  <c r="P4512" i="1"/>
  <c r="J4512" i="1"/>
  <c r="G4512" i="1"/>
  <c r="AL4511" i="1"/>
  <c r="J4511" i="1"/>
  <c r="G4511" i="1"/>
  <c r="P4510" i="1"/>
  <c r="J4510" i="1"/>
  <c r="G4510" i="1"/>
  <c r="AL4509" i="1"/>
  <c r="P4509" i="1"/>
  <c r="J4509" i="1"/>
  <c r="G4509" i="1"/>
  <c r="AL4508" i="1"/>
  <c r="J4508" i="1"/>
  <c r="G4508" i="1"/>
  <c r="AL4507" i="1"/>
  <c r="P4507" i="1"/>
  <c r="J4507" i="1"/>
  <c r="G4507" i="1"/>
  <c r="AL4506" i="1"/>
  <c r="J4506" i="1"/>
  <c r="G4506" i="1"/>
  <c r="AL4505" i="1"/>
  <c r="J4505" i="1"/>
  <c r="G4505" i="1"/>
  <c r="J4504" i="1"/>
  <c r="G4504" i="1"/>
  <c r="AL4503" i="1"/>
  <c r="P4503" i="1"/>
  <c r="J4503" i="1"/>
  <c r="G4503" i="1"/>
  <c r="J4502" i="1"/>
  <c r="G4502" i="1"/>
  <c r="AL4501" i="1"/>
  <c r="P4501" i="1"/>
  <c r="J4501" i="1"/>
  <c r="G4501" i="1"/>
  <c r="AL4500" i="1"/>
  <c r="J4500" i="1"/>
  <c r="G4500" i="1"/>
  <c r="G4499" i="1"/>
  <c r="AL4498" i="1"/>
  <c r="P4498" i="1"/>
  <c r="J4498" i="1"/>
  <c r="G4498" i="1"/>
  <c r="AL4497" i="1"/>
  <c r="J4497" i="1"/>
  <c r="G4497" i="1"/>
  <c r="J4496" i="1"/>
  <c r="G4496" i="1"/>
  <c r="J4495" i="1"/>
  <c r="G4495" i="1"/>
  <c r="AL4494" i="1"/>
  <c r="J4494" i="1"/>
  <c r="G4494" i="1"/>
  <c r="J4493" i="1"/>
  <c r="G4493" i="1"/>
  <c r="AL4492" i="1"/>
  <c r="J4492" i="1"/>
  <c r="G4492" i="1"/>
  <c r="J4491" i="1"/>
  <c r="G4491" i="1"/>
  <c r="J4490" i="1"/>
  <c r="G4490" i="1"/>
  <c r="J4489" i="1"/>
  <c r="G4489" i="1"/>
  <c r="AL4488" i="1"/>
  <c r="J4488" i="1"/>
  <c r="G4488" i="1"/>
  <c r="AL4487" i="1"/>
  <c r="P4487" i="1"/>
  <c r="J4487" i="1"/>
  <c r="G4487" i="1"/>
  <c r="J4486" i="1"/>
  <c r="G4486" i="1"/>
  <c r="J4485" i="1"/>
  <c r="G4485" i="1"/>
  <c r="AL4484" i="1"/>
  <c r="P4484" i="1"/>
  <c r="J4484" i="1"/>
  <c r="G4484" i="1"/>
  <c r="J4483" i="1"/>
  <c r="G4483" i="1"/>
  <c r="AL4482" i="1"/>
  <c r="P4482" i="1"/>
  <c r="J4482" i="1"/>
  <c r="G4482" i="1"/>
  <c r="J4481" i="1"/>
  <c r="G4481" i="1"/>
  <c r="J4480" i="1"/>
  <c r="G4480" i="1"/>
  <c r="J4479" i="1"/>
  <c r="G4479" i="1"/>
  <c r="J4478" i="1"/>
  <c r="G4478" i="1"/>
  <c r="J4477" i="1"/>
  <c r="G4477" i="1"/>
  <c r="AL4476" i="1"/>
  <c r="P4476" i="1"/>
  <c r="J4476" i="1"/>
  <c r="G4476" i="1"/>
  <c r="J4475" i="1"/>
  <c r="G4475" i="1"/>
  <c r="AL4474" i="1"/>
  <c r="J4474" i="1"/>
  <c r="G4474" i="1"/>
  <c r="AL4473" i="1"/>
  <c r="P4473" i="1"/>
  <c r="J4473" i="1"/>
  <c r="G4473" i="1"/>
  <c r="AL4472" i="1"/>
  <c r="P4472" i="1"/>
  <c r="J4472" i="1"/>
  <c r="G4472" i="1"/>
  <c r="J4471" i="1"/>
  <c r="G4471" i="1"/>
  <c r="J4470" i="1"/>
  <c r="G4470" i="1"/>
  <c r="P4469" i="1"/>
  <c r="J4469" i="1"/>
  <c r="G4469" i="1"/>
  <c r="J4468" i="1"/>
  <c r="G4468" i="1"/>
  <c r="J4467" i="1"/>
  <c r="G4467" i="1"/>
  <c r="AL4466" i="1"/>
  <c r="J4466" i="1"/>
  <c r="G4466" i="1"/>
  <c r="J4465" i="1"/>
  <c r="G4465" i="1"/>
  <c r="AL4464" i="1"/>
  <c r="J4464" i="1"/>
  <c r="G4464" i="1"/>
  <c r="AL4463" i="1"/>
  <c r="P4463" i="1"/>
  <c r="J4463" i="1"/>
  <c r="G4463" i="1"/>
  <c r="J4462" i="1"/>
  <c r="G4462" i="1"/>
  <c r="AL4461" i="1"/>
  <c r="P4461" i="1"/>
  <c r="J4461" i="1"/>
  <c r="G4461" i="1"/>
  <c r="AL4460" i="1"/>
  <c r="P4460" i="1"/>
  <c r="J4460" i="1"/>
  <c r="G4460" i="1"/>
  <c r="AL4459" i="1"/>
  <c r="P4459" i="1"/>
  <c r="J4459" i="1"/>
  <c r="G4459" i="1"/>
  <c r="J4458" i="1"/>
  <c r="G4458" i="1"/>
  <c r="J4457" i="1"/>
  <c r="G4457" i="1"/>
  <c r="AL4456" i="1"/>
  <c r="P4456" i="1"/>
  <c r="J4456" i="1"/>
  <c r="G4456" i="1"/>
  <c r="J4455" i="1"/>
  <c r="G4455" i="1"/>
  <c r="AL4454" i="1"/>
  <c r="J4454" i="1"/>
  <c r="G4454" i="1"/>
  <c r="AL4453" i="1"/>
  <c r="J4453" i="1"/>
  <c r="G4453" i="1"/>
  <c r="J4452" i="1"/>
  <c r="G4452" i="1"/>
  <c r="G4451" i="1"/>
  <c r="J4450" i="1"/>
  <c r="G4450" i="1"/>
  <c r="J4449" i="1"/>
  <c r="G4449" i="1"/>
  <c r="AL4448" i="1"/>
  <c r="P4448" i="1"/>
  <c r="J4448" i="1"/>
  <c r="G4448" i="1"/>
  <c r="AL4447" i="1"/>
  <c r="J4447" i="1"/>
  <c r="G4447" i="1"/>
  <c r="J4446" i="1"/>
  <c r="G4446" i="1"/>
  <c r="AL4445" i="1"/>
  <c r="P4445" i="1"/>
  <c r="J4445" i="1"/>
  <c r="G4445" i="1"/>
  <c r="AL4444" i="1"/>
  <c r="J4444" i="1"/>
  <c r="G4444" i="1"/>
  <c r="J4443" i="1"/>
  <c r="G4443" i="1"/>
  <c r="G4442" i="1"/>
  <c r="G4441" i="1"/>
  <c r="G4440" i="1"/>
  <c r="AL4439" i="1"/>
  <c r="J4439" i="1"/>
  <c r="G4439" i="1"/>
  <c r="AL4438" i="1"/>
  <c r="J4438" i="1"/>
  <c r="G4438" i="1"/>
  <c r="AL4437" i="1"/>
  <c r="J4437" i="1"/>
  <c r="G4437" i="1"/>
  <c r="AL4436" i="1"/>
  <c r="P4436" i="1"/>
  <c r="J4436" i="1"/>
  <c r="G4436" i="1"/>
  <c r="AL4435" i="1"/>
  <c r="J4435" i="1"/>
  <c r="G4435" i="1"/>
  <c r="P4434" i="1"/>
  <c r="J4434" i="1"/>
  <c r="G4434" i="1"/>
  <c r="P4433" i="1"/>
  <c r="J4433" i="1"/>
  <c r="G4433" i="1"/>
  <c r="P4432" i="1"/>
  <c r="J4432" i="1"/>
  <c r="G4432" i="1"/>
  <c r="P4431" i="1"/>
  <c r="J4431" i="1"/>
  <c r="G4431" i="1"/>
  <c r="P4430" i="1"/>
  <c r="J4430" i="1"/>
  <c r="G4430" i="1"/>
  <c r="P4429" i="1"/>
  <c r="J4429" i="1"/>
  <c r="G4429" i="1"/>
  <c r="P4428" i="1"/>
  <c r="J4428" i="1"/>
  <c r="G4428" i="1"/>
  <c r="P4427" i="1"/>
  <c r="J4427" i="1"/>
  <c r="G4427" i="1"/>
  <c r="P4426" i="1"/>
  <c r="J4426" i="1"/>
  <c r="G4426" i="1"/>
  <c r="J4425" i="1"/>
  <c r="G4425" i="1"/>
  <c r="P4424" i="1"/>
  <c r="J4424" i="1"/>
  <c r="G4424" i="1"/>
  <c r="AL4423" i="1"/>
  <c r="J4423" i="1"/>
  <c r="G4423" i="1"/>
  <c r="P4422" i="1"/>
  <c r="J4422" i="1"/>
  <c r="G4422" i="1"/>
  <c r="P4421" i="1"/>
  <c r="J4421" i="1"/>
  <c r="G4421" i="1"/>
  <c r="P4420" i="1"/>
  <c r="J4420" i="1"/>
  <c r="G4420" i="1"/>
  <c r="AL4419" i="1"/>
  <c r="J4419" i="1"/>
  <c r="G4419" i="1"/>
  <c r="AL4418" i="1"/>
  <c r="P4418" i="1"/>
  <c r="J4418" i="1"/>
  <c r="G4418" i="1"/>
  <c r="J4417" i="1"/>
  <c r="G4417" i="1"/>
  <c r="AL4416" i="1"/>
  <c r="P4416" i="1"/>
  <c r="J4416" i="1"/>
  <c r="G4416" i="1"/>
  <c r="AL4415" i="1"/>
  <c r="P4415" i="1"/>
  <c r="J4415" i="1"/>
  <c r="G4415" i="1"/>
  <c r="P4414" i="1"/>
  <c r="J4414" i="1"/>
  <c r="G4414" i="1"/>
  <c r="J4413" i="1"/>
  <c r="G4413" i="1"/>
  <c r="P4412" i="1"/>
  <c r="J4412" i="1"/>
  <c r="G4412" i="1"/>
  <c r="AL4411" i="1"/>
  <c r="J4411" i="1"/>
  <c r="G4411" i="1"/>
  <c r="AL4410" i="1"/>
  <c r="J4410" i="1"/>
  <c r="G4410" i="1"/>
  <c r="AL4409" i="1"/>
  <c r="P4409" i="1"/>
  <c r="J4409" i="1"/>
  <c r="G4409" i="1"/>
  <c r="P4408" i="1"/>
  <c r="J4408" i="1"/>
  <c r="G4408" i="1"/>
  <c r="P4407" i="1"/>
  <c r="J4407" i="1"/>
  <c r="G4407" i="1"/>
  <c r="P4406" i="1"/>
  <c r="J4406" i="1"/>
  <c r="G4406" i="1"/>
  <c r="P4405" i="1"/>
  <c r="J4405" i="1"/>
  <c r="G4405" i="1"/>
  <c r="P4404" i="1"/>
  <c r="J4404" i="1"/>
  <c r="G4404" i="1"/>
  <c r="AL4403" i="1"/>
  <c r="P4403" i="1"/>
  <c r="J4403" i="1"/>
  <c r="G4403" i="1"/>
  <c r="AL4402" i="1"/>
  <c r="J4402" i="1"/>
  <c r="G4402" i="1"/>
  <c r="J4401" i="1"/>
  <c r="G4401" i="1"/>
  <c r="J4400" i="1"/>
  <c r="G4400" i="1"/>
  <c r="AL4399" i="1"/>
  <c r="P4399" i="1"/>
  <c r="J4399" i="1"/>
  <c r="G4399" i="1"/>
  <c r="AL4398" i="1"/>
  <c r="P4398" i="1"/>
  <c r="J4398" i="1"/>
  <c r="G4398" i="1"/>
  <c r="AL4397" i="1"/>
  <c r="J4397" i="1"/>
  <c r="G4397" i="1"/>
  <c r="AL4396" i="1"/>
  <c r="P4396" i="1"/>
  <c r="J4396" i="1"/>
  <c r="G4396" i="1"/>
  <c r="P4395" i="1"/>
  <c r="J4395" i="1"/>
  <c r="G4395" i="1"/>
  <c r="P4394" i="1"/>
  <c r="J4394" i="1"/>
  <c r="G4394" i="1"/>
  <c r="J4393" i="1"/>
  <c r="G4393" i="1"/>
  <c r="P4392" i="1"/>
  <c r="J4392" i="1"/>
  <c r="G4392" i="1"/>
  <c r="J4391" i="1"/>
  <c r="G4391" i="1"/>
  <c r="J4390" i="1"/>
  <c r="G4390" i="1"/>
  <c r="P4389" i="1"/>
  <c r="J4389" i="1"/>
  <c r="G4389" i="1"/>
  <c r="P4388" i="1"/>
  <c r="J4388" i="1"/>
  <c r="G4388" i="1"/>
  <c r="P4387" i="1"/>
  <c r="J4387" i="1"/>
  <c r="G4387" i="1"/>
  <c r="P4386" i="1"/>
  <c r="J4386" i="1"/>
  <c r="G4386" i="1"/>
  <c r="J4385" i="1"/>
  <c r="G4385" i="1"/>
  <c r="P4384" i="1"/>
  <c r="J4384" i="1"/>
  <c r="G4384" i="1"/>
  <c r="P4383" i="1"/>
  <c r="J4383" i="1"/>
  <c r="G4383" i="1"/>
  <c r="AL4382" i="1"/>
  <c r="P4382" i="1"/>
  <c r="J4382" i="1"/>
  <c r="G4382" i="1"/>
  <c r="J4381" i="1"/>
  <c r="G4381" i="1"/>
  <c r="P4380" i="1"/>
  <c r="J4380" i="1"/>
  <c r="G4380" i="1"/>
  <c r="J4379" i="1"/>
  <c r="G4379" i="1"/>
  <c r="P4378" i="1"/>
  <c r="J4378" i="1"/>
  <c r="G4378" i="1"/>
  <c r="AL4377" i="1"/>
  <c r="J4377" i="1"/>
  <c r="G4377" i="1"/>
  <c r="AL4376" i="1"/>
  <c r="P4376" i="1"/>
  <c r="J4376" i="1"/>
  <c r="G4376" i="1"/>
  <c r="J4375" i="1"/>
  <c r="G4375" i="1"/>
  <c r="J4374" i="1"/>
  <c r="G4374" i="1"/>
  <c r="G4373" i="1"/>
  <c r="AL4372" i="1"/>
  <c r="P4372" i="1"/>
  <c r="J4372" i="1"/>
  <c r="G4372" i="1"/>
  <c r="P4371" i="1"/>
  <c r="J4371" i="1"/>
  <c r="G4371" i="1"/>
  <c r="P4370" i="1"/>
  <c r="J4370" i="1"/>
  <c r="G4370" i="1"/>
  <c r="J4369" i="1"/>
  <c r="G4369" i="1"/>
  <c r="P4368" i="1"/>
  <c r="J4368" i="1"/>
  <c r="G4368" i="1"/>
  <c r="J4367" i="1"/>
  <c r="G4367" i="1"/>
  <c r="AL4366" i="1"/>
  <c r="P4366" i="1"/>
  <c r="J4366" i="1"/>
  <c r="G4366" i="1"/>
  <c r="AL4365" i="1"/>
  <c r="P4365" i="1"/>
  <c r="J4365" i="1"/>
  <c r="G4365" i="1"/>
  <c r="J4364" i="1"/>
  <c r="G4364" i="1"/>
  <c r="J4363" i="1"/>
  <c r="G4363" i="1"/>
  <c r="AL4362" i="1"/>
  <c r="J4362" i="1"/>
  <c r="G4362" i="1"/>
  <c r="AL4361" i="1"/>
  <c r="P4361" i="1"/>
  <c r="J4361" i="1"/>
  <c r="G4361" i="1"/>
  <c r="AL4360" i="1"/>
  <c r="J4360" i="1"/>
  <c r="G4360" i="1"/>
  <c r="J4359" i="1"/>
  <c r="G4359" i="1"/>
  <c r="AL4358" i="1"/>
  <c r="P4358" i="1"/>
  <c r="J4358" i="1"/>
  <c r="G4358" i="1"/>
  <c r="P4357" i="1"/>
  <c r="J4357" i="1"/>
  <c r="G4357" i="1"/>
  <c r="AL4356" i="1"/>
  <c r="P4356" i="1"/>
  <c r="J4356" i="1"/>
  <c r="G4356" i="1"/>
  <c r="J4355" i="1"/>
  <c r="G4355" i="1"/>
  <c r="P4354" i="1"/>
  <c r="J4354" i="1"/>
  <c r="G4354" i="1"/>
  <c r="P4353" i="1"/>
  <c r="J4353" i="1"/>
  <c r="G4353" i="1"/>
  <c r="AL4352" i="1"/>
  <c r="P4352" i="1"/>
  <c r="J4352" i="1"/>
  <c r="G4352" i="1"/>
  <c r="AL4351" i="1"/>
  <c r="J4351" i="1"/>
  <c r="G4351" i="1"/>
  <c r="J4350" i="1"/>
  <c r="G4350" i="1"/>
  <c r="J4349" i="1"/>
  <c r="G4349" i="1"/>
  <c r="AL4348" i="1"/>
  <c r="J4348" i="1"/>
  <c r="G4348" i="1"/>
  <c r="AL4347" i="1"/>
  <c r="J4347" i="1"/>
  <c r="G4347" i="1"/>
  <c r="J4346" i="1"/>
  <c r="G4346" i="1"/>
  <c r="J4345" i="1"/>
  <c r="G4345" i="1"/>
  <c r="P4344" i="1"/>
  <c r="J4344" i="1"/>
  <c r="G4344" i="1"/>
  <c r="AL4343" i="1"/>
  <c r="P4343" i="1"/>
  <c r="J4343" i="1"/>
  <c r="G4343" i="1"/>
  <c r="AL4342" i="1"/>
  <c r="P4342" i="1"/>
  <c r="J4342" i="1"/>
  <c r="G4342" i="1"/>
  <c r="J4341" i="1"/>
  <c r="G4341" i="1"/>
  <c r="AL4340" i="1"/>
  <c r="P4340" i="1"/>
  <c r="J4340" i="1"/>
  <c r="G4340" i="1"/>
  <c r="J4339" i="1"/>
  <c r="G4339" i="1"/>
  <c r="J4338" i="1"/>
  <c r="G4338" i="1"/>
  <c r="J4337" i="1"/>
  <c r="G4337" i="1"/>
  <c r="P4336" i="1"/>
  <c r="J4336" i="1"/>
  <c r="G4336" i="1"/>
  <c r="J4335" i="1"/>
  <c r="G4335" i="1"/>
  <c r="J4334" i="1"/>
  <c r="G4334" i="1"/>
  <c r="AL4333" i="1"/>
  <c r="P4333" i="1"/>
  <c r="J4333" i="1"/>
  <c r="G4333" i="1"/>
  <c r="J4332" i="1"/>
  <c r="G4332" i="1"/>
  <c r="J4331" i="1"/>
  <c r="G4331" i="1"/>
  <c r="AL4330" i="1"/>
  <c r="J4330" i="1"/>
  <c r="G4330" i="1"/>
  <c r="J4329" i="1"/>
  <c r="G4329" i="1"/>
  <c r="AL4328" i="1"/>
  <c r="P4328" i="1"/>
  <c r="J4328" i="1"/>
  <c r="G4328" i="1"/>
  <c r="J4327" i="1"/>
  <c r="G4327" i="1"/>
  <c r="J4326" i="1"/>
  <c r="G4326" i="1"/>
  <c r="J4325" i="1"/>
  <c r="G4325" i="1"/>
  <c r="J4324" i="1"/>
  <c r="G4324" i="1"/>
  <c r="J4323" i="1"/>
  <c r="G4323" i="1"/>
  <c r="AL4322" i="1"/>
  <c r="P4322" i="1"/>
  <c r="J4322" i="1"/>
  <c r="G4322" i="1"/>
  <c r="J4321" i="1"/>
  <c r="G4321" i="1"/>
  <c r="AL4320" i="1"/>
  <c r="J4320" i="1"/>
  <c r="G4320" i="1"/>
  <c r="G4319" i="1"/>
  <c r="AL4318" i="1"/>
  <c r="P4318" i="1"/>
  <c r="J4318" i="1"/>
  <c r="G4318" i="1"/>
  <c r="AL4317" i="1"/>
  <c r="J4317" i="1"/>
  <c r="G4317" i="1"/>
  <c r="J4316" i="1"/>
  <c r="G4316" i="1"/>
  <c r="J4315" i="1"/>
  <c r="G4315" i="1"/>
  <c r="J4314" i="1"/>
  <c r="G4314" i="1"/>
  <c r="J4313" i="1"/>
  <c r="G4313" i="1"/>
  <c r="J4312" i="1"/>
  <c r="G4312" i="1"/>
  <c r="J4311" i="1"/>
  <c r="G4311" i="1"/>
  <c r="AL4310" i="1"/>
  <c r="P4310" i="1"/>
  <c r="J4310" i="1"/>
  <c r="G4310" i="1"/>
  <c r="P4309" i="1"/>
  <c r="J4309" i="1"/>
  <c r="G4309" i="1"/>
  <c r="P4308" i="1"/>
  <c r="J4308" i="1"/>
  <c r="G4308" i="1"/>
  <c r="P4307" i="1"/>
  <c r="J4307" i="1"/>
  <c r="G4307" i="1"/>
  <c r="J4306" i="1"/>
  <c r="G4306" i="1"/>
  <c r="AL4305" i="1"/>
  <c r="P4305" i="1"/>
  <c r="J4305" i="1"/>
  <c r="G4305" i="1"/>
  <c r="AL4304" i="1"/>
  <c r="J4304" i="1"/>
  <c r="G4304" i="1"/>
  <c r="AL4303" i="1"/>
  <c r="P4303" i="1"/>
  <c r="J4303" i="1"/>
  <c r="G4303" i="1"/>
  <c r="AL4302" i="1"/>
  <c r="J4302" i="1"/>
  <c r="G4302" i="1"/>
  <c r="J4301" i="1"/>
  <c r="G4301" i="1"/>
  <c r="AL4300" i="1"/>
  <c r="J4300" i="1"/>
  <c r="G4300" i="1"/>
  <c r="J4299" i="1"/>
  <c r="G4299" i="1"/>
  <c r="J4298" i="1"/>
  <c r="G4298" i="1"/>
  <c r="AL4297" i="1"/>
  <c r="P4297" i="1"/>
  <c r="J4297" i="1"/>
  <c r="G4297" i="1"/>
  <c r="AL4296" i="1"/>
  <c r="J4296" i="1"/>
  <c r="G4296" i="1"/>
  <c r="P4295" i="1"/>
  <c r="J4295" i="1"/>
  <c r="G4295" i="1"/>
  <c r="P4294" i="1"/>
  <c r="J4294" i="1"/>
  <c r="G4294" i="1"/>
  <c r="J4293" i="1"/>
  <c r="G4293" i="1"/>
  <c r="AL4292" i="1"/>
  <c r="J4292" i="1"/>
  <c r="G4292" i="1"/>
  <c r="J4291" i="1"/>
  <c r="G4291" i="1"/>
  <c r="AL4290" i="1"/>
  <c r="P4290" i="1"/>
  <c r="J4290" i="1"/>
  <c r="G4290" i="1"/>
  <c r="J4289" i="1"/>
  <c r="G4289" i="1"/>
  <c r="AL4288" i="1"/>
  <c r="J4288" i="1"/>
  <c r="G4288" i="1"/>
  <c r="J4287" i="1"/>
  <c r="G4287" i="1"/>
  <c r="J4286" i="1"/>
  <c r="G4286" i="1"/>
  <c r="AL4285" i="1"/>
  <c r="J4285" i="1"/>
  <c r="G4285" i="1"/>
  <c r="J4284" i="1"/>
  <c r="G4284" i="1"/>
  <c r="AL4283" i="1"/>
  <c r="P4283" i="1"/>
  <c r="J4283" i="1"/>
  <c r="G4283" i="1"/>
  <c r="AL4282" i="1"/>
  <c r="J4282" i="1"/>
  <c r="G4282" i="1"/>
  <c r="AL4281" i="1"/>
  <c r="P4281" i="1"/>
  <c r="J4281" i="1"/>
  <c r="G4281" i="1"/>
  <c r="G4280" i="1"/>
  <c r="P4279" i="1"/>
  <c r="J4279" i="1"/>
  <c r="G4279" i="1"/>
  <c r="AL4278" i="1"/>
  <c r="P4278" i="1"/>
  <c r="J4278" i="1"/>
  <c r="G4278" i="1"/>
  <c r="AL4277" i="1"/>
  <c r="P4277" i="1"/>
  <c r="J4277" i="1"/>
  <c r="G4277" i="1"/>
  <c r="AL4276" i="1"/>
  <c r="J4276" i="1"/>
  <c r="G4276" i="1"/>
  <c r="J4275" i="1"/>
  <c r="G4275" i="1"/>
  <c r="P4274" i="1"/>
  <c r="J4274" i="1"/>
  <c r="G4274" i="1"/>
  <c r="AL4273" i="1"/>
  <c r="P4273" i="1"/>
  <c r="J4273" i="1"/>
  <c r="G4273" i="1"/>
  <c r="P4272" i="1"/>
  <c r="J4272" i="1"/>
  <c r="G4272" i="1"/>
  <c r="J4271" i="1"/>
  <c r="G4271" i="1"/>
  <c r="AL4270" i="1"/>
  <c r="P4270" i="1"/>
  <c r="J4270" i="1"/>
  <c r="G4270" i="1"/>
  <c r="J4269" i="1"/>
  <c r="G4269" i="1"/>
  <c r="AL4268" i="1"/>
  <c r="J4268" i="1"/>
  <c r="G4268" i="1"/>
  <c r="AL4267" i="1"/>
  <c r="J4267" i="1"/>
  <c r="G4267" i="1"/>
  <c r="J4266" i="1"/>
  <c r="G4266" i="1"/>
  <c r="AL4265" i="1"/>
  <c r="J4265" i="1"/>
  <c r="G4265" i="1"/>
  <c r="J4264" i="1"/>
  <c r="G4264" i="1"/>
  <c r="AL4263" i="1"/>
  <c r="P4263" i="1"/>
  <c r="J4263" i="1"/>
  <c r="G4263" i="1"/>
  <c r="AL4262" i="1"/>
  <c r="J4262" i="1"/>
  <c r="G4262" i="1"/>
  <c r="P4261" i="1"/>
  <c r="J4261" i="1"/>
  <c r="G4261" i="1"/>
  <c r="AL4260" i="1"/>
  <c r="J4260" i="1"/>
  <c r="G4260" i="1"/>
  <c r="J4259" i="1"/>
  <c r="G4259" i="1"/>
  <c r="AL4258" i="1"/>
  <c r="P4258" i="1"/>
  <c r="J4258" i="1"/>
  <c r="G4258" i="1"/>
  <c r="AL4257" i="1"/>
  <c r="P4257" i="1"/>
  <c r="J4257" i="1"/>
  <c r="G4257" i="1"/>
  <c r="AL4256" i="1"/>
  <c r="J4256" i="1"/>
  <c r="G4256" i="1"/>
  <c r="J4255" i="1"/>
  <c r="G4255" i="1"/>
  <c r="AL4254" i="1"/>
  <c r="J4254" i="1"/>
  <c r="G4254" i="1"/>
  <c r="J4253" i="1"/>
  <c r="G4253" i="1"/>
  <c r="AL4252" i="1"/>
  <c r="P4252" i="1"/>
  <c r="J4252" i="1"/>
  <c r="G4252" i="1"/>
  <c r="AL4251" i="1"/>
  <c r="P4251" i="1"/>
  <c r="J4251" i="1"/>
  <c r="G4251" i="1"/>
  <c r="AL4250" i="1"/>
  <c r="P4250" i="1"/>
  <c r="J4250" i="1"/>
  <c r="G4250" i="1"/>
  <c r="AL4249" i="1"/>
  <c r="P4249" i="1"/>
  <c r="J4249" i="1"/>
  <c r="G4249" i="1"/>
  <c r="J4248" i="1"/>
  <c r="G4248" i="1"/>
  <c r="J4247" i="1"/>
  <c r="G4247" i="1"/>
  <c r="AL4246" i="1"/>
  <c r="J4246" i="1"/>
  <c r="G4246" i="1"/>
  <c r="P4245" i="1"/>
  <c r="J4245" i="1"/>
  <c r="G4245" i="1"/>
  <c r="AL4244" i="1"/>
  <c r="P4244" i="1"/>
  <c r="J4244" i="1"/>
  <c r="G4244" i="1"/>
  <c r="G4243" i="1"/>
  <c r="AL4242" i="1"/>
  <c r="J4242" i="1"/>
  <c r="G4242" i="1"/>
  <c r="AL4241" i="1"/>
  <c r="J4241" i="1"/>
  <c r="G4241" i="1"/>
  <c r="AL4240" i="1"/>
  <c r="J4240" i="1"/>
  <c r="G4240" i="1"/>
  <c r="AL4239" i="1"/>
  <c r="P4239" i="1"/>
  <c r="J4239" i="1"/>
  <c r="G4239" i="1"/>
  <c r="P4238" i="1"/>
  <c r="J4238" i="1"/>
  <c r="G4238" i="1"/>
  <c r="AL4237" i="1"/>
  <c r="P4237" i="1"/>
  <c r="J4237" i="1"/>
  <c r="G4237" i="1"/>
  <c r="P4236" i="1"/>
  <c r="J4236" i="1"/>
  <c r="G4236" i="1"/>
  <c r="J4235" i="1"/>
  <c r="G4235" i="1"/>
  <c r="J4234" i="1"/>
  <c r="G4234" i="1"/>
  <c r="J4233" i="1"/>
  <c r="G4233" i="1"/>
  <c r="AL4232" i="1"/>
  <c r="P4232" i="1"/>
  <c r="J4232" i="1"/>
  <c r="G4232" i="1"/>
  <c r="AL4231" i="1"/>
  <c r="P4231" i="1"/>
  <c r="J4231" i="1"/>
  <c r="G4231" i="1"/>
  <c r="J4230" i="1"/>
  <c r="G4230" i="1"/>
  <c r="J4229" i="1"/>
  <c r="G4229" i="1"/>
  <c r="J4228" i="1"/>
  <c r="G4228" i="1"/>
  <c r="J4227" i="1"/>
  <c r="G4227" i="1"/>
  <c r="J4226" i="1"/>
  <c r="G4226" i="1"/>
  <c r="J4225" i="1"/>
  <c r="G4225" i="1"/>
  <c r="AL4224" i="1"/>
  <c r="J4224" i="1"/>
  <c r="G4224" i="1"/>
  <c r="AL4223" i="1"/>
  <c r="P4223" i="1"/>
  <c r="J4223" i="1"/>
  <c r="G4223" i="1"/>
  <c r="J4222" i="1"/>
  <c r="G4222" i="1"/>
  <c r="AL4221" i="1"/>
  <c r="P4221" i="1"/>
  <c r="J4221" i="1"/>
  <c r="G4221" i="1"/>
  <c r="J4220" i="1"/>
  <c r="G4220" i="1"/>
  <c r="AL4219" i="1"/>
  <c r="P4219" i="1"/>
  <c r="J4219" i="1"/>
  <c r="G4219" i="1"/>
  <c r="AL4218" i="1"/>
  <c r="P4218" i="1"/>
  <c r="J4218" i="1"/>
  <c r="G4218" i="1"/>
  <c r="J4217" i="1"/>
  <c r="G4217" i="1"/>
  <c r="J4216" i="1"/>
  <c r="G4216" i="1"/>
  <c r="J4215" i="1"/>
  <c r="G4215" i="1"/>
  <c r="J4214" i="1"/>
  <c r="G4214" i="1"/>
  <c r="J4213" i="1"/>
  <c r="G4213" i="1"/>
  <c r="AL4212" i="1"/>
  <c r="J4212" i="1"/>
  <c r="G4212" i="1"/>
  <c r="AL4211" i="1"/>
  <c r="P4211" i="1"/>
  <c r="G4211" i="1"/>
  <c r="J4210" i="1"/>
  <c r="G4210" i="1"/>
  <c r="AL4209" i="1"/>
  <c r="P4209" i="1"/>
  <c r="J4209" i="1"/>
  <c r="G4209" i="1"/>
  <c r="AL4208" i="1"/>
  <c r="P4208" i="1"/>
  <c r="J4208" i="1"/>
  <c r="G4208" i="1"/>
  <c r="P4207" i="1"/>
  <c r="J4207" i="1"/>
  <c r="G4207" i="1"/>
  <c r="J4206" i="1"/>
  <c r="G4206" i="1"/>
  <c r="J4205" i="1"/>
  <c r="G4205" i="1"/>
  <c r="J4204" i="1"/>
  <c r="G4204" i="1"/>
  <c r="AL4203" i="1"/>
  <c r="P4203" i="1"/>
  <c r="J4203" i="1"/>
  <c r="G4203" i="1"/>
  <c r="G4202" i="1"/>
  <c r="J4201" i="1"/>
  <c r="G4201" i="1"/>
  <c r="J4200" i="1"/>
  <c r="G4200" i="1"/>
  <c r="J4199" i="1"/>
  <c r="G4199" i="1"/>
  <c r="AL4198" i="1"/>
  <c r="P4198" i="1"/>
  <c r="J4198" i="1"/>
  <c r="G4198" i="1"/>
  <c r="J4197" i="1"/>
  <c r="G4197" i="1"/>
  <c r="J4196" i="1"/>
  <c r="G4196" i="1"/>
  <c r="AL4195" i="1"/>
  <c r="P4195" i="1"/>
  <c r="J4195" i="1"/>
  <c r="G4195" i="1"/>
  <c r="J4194" i="1"/>
  <c r="G4194" i="1"/>
  <c r="J4193" i="1"/>
  <c r="G4193" i="1"/>
  <c r="J4192" i="1"/>
  <c r="G4192" i="1"/>
  <c r="AL4191" i="1"/>
  <c r="P4191" i="1"/>
  <c r="J4191" i="1"/>
  <c r="G4191" i="1"/>
  <c r="J4190" i="1"/>
  <c r="G4190" i="1"/>
  <c r="AL4189" i="1"/>
  <c r="J4189" i="1"/>
  <c r="G4189" i="1"/>
  <c r="AL4188" i="1"/>
  <c r="J4188" i="1"/>
  <c r="G4188" i="1"/>
  <c r="J4187" i="1"/>
  <c r="G4187" i="1"/>
  <c r="AL4186" i="1"/>
  <c r="J4186" i="1"/>
  <c r="G4186" i="1"/>
  <c r="AL4185" i="1"/>
  <c r="J4185" i="1"/>
  <c r="G4185" i="1"/>
  <c r="J4184" i="1"/>
  <c r="G4184" i="1"/>
  <c r="AL4183" i="1"/>
  <c r="P4183" i="1"/>
  <c r="J4183" i="1"/>
  <c r="G4183" i="1"/>
  <c r="AL4182" i="1"/>
  <c r="J4182" i="1"/>
  <c r="G4182" i="1"/>
  <c r="AL4181" i="1"/>
  <c r="J4181" i="1"/>
  <c r="G4181" i="1"/>
  <c r="AL4180" i="1"/>
  <c r="J4180" i="1"/>
  <c r="G4180" i="1"/>
  <c r="J4179" i="1"/>
  <c r="G4179" i="1"/>
  <c r="J4178" i="1"/>
  <c r="G4178" i="1"/>
  <c r="AL4177" i="1"/>
  <c r="P4177" i="1"/>
  <c r="J4177" i="1"/>
  <c r="G4177" i="1"/>
  <c r="J4176" i="1"/>
  <c r="G4176" i="1"/>
  <c r="AL4175" i="1"/>
  <c r="P4175" i="1"/>
  <c r="J4175" i="1"/>
  <c r="G4175" i="1"/>
  <c r="J4174" i="1"/>
  <c r="G4174" i="1"/>
  <c r="AL4173" i="1"/>
  <c r="J4173" i="1"/>
  <c r="G4173" i="1"/>
  <c r="J4172" i="1"/>
  <c r="G4172" i="1"/>
  <c r="AL4171" i="1"/>
  <c r="J4171" i="1"/>
  <c r="G4171" i="1"/>
  <c r="J4170" i="1"/>
  <c r="G4170" i="1"/>
  <c r="AL4169" i="1"/>
  <c r="P4169" i="1"/>
  <c r="J4169" i="1"/>
  <c r="G4169" i="1"/>
  <c r="AL4168" i="1"/>
  <c r="J4168" i="1"/>
  <c r="G4168" i="1"/>
  <c r="AL4167" i="1"/>
  <c r="P4167" i="1"/>
  <c r="J4167" i="1"/>
  <c r="G4167" i="1"/>
  <c r="J4166" i="1"/>
  <c r="G4166" i="1"/>
  <c r="AL4165" i="1"/>
  <c r="J4165" i="1"/>
  <c r="G4165" i="1"/>
  <c r="AL4164" i="1"/>
  <c r="P4164" i="1"/>
  <c r="J4164" i="1"/>
  <c r="G4164" i="1"/>
  <c r="J4163" i="1"/>
  <c r="G4163" i="1"/>
  <c r="J4162" i="1"/>
  <c r="G4162" i="1"/>
  <c r="AL4161" i="1"/>
  <c r="J4161" i="1"/>
  <c r="G4161" i="1"/>
  <c r="J4160" i="1"/>
  <c r="G4160" i="1"/>
  <c r="J4159" i="1"/>
  <c r="G4159" i="1"/>
  <c r="J4158" i="1"/>
  <c r="G4158" i="1"/>
  <c r="J4157" i="1"/>
  <c r="G4157" i="1"/>
  <c r="J4156" i="1"/>
  <c r="G4156" i="1"/>
  <c r="AL4155" i="1"/>
  <c r="P4155" i="1"/>
  <c r="J4155" i="1"/>
  <c r="G4155" i="1"/>
  <c r="AL4154" i="1"/>
  <c r="J4154" i="1"/>
  <c r="G4154" i="1"/>
  <c r="P4153" i="1"/>
  <c r="J4153" i="1"/>
  <c r="G4153" i="1"/>
  <c r="J4152" i="1"/>
  <c r="G4152" i="1"/>
  <c r="P4151" i="1"/>
  <c r="J4151" i="1"/>
  <c r="G4151" i="1"/>
  <c r="AL4150" i="1"/>
  <c r="J4150" i="1"/>
  <c r="G4150" i="1"/>
  <c r="AL4149" i="1"/>
  <c r="P4149" i="1"/>
  <c r="J4149" i="1"/>
  <c r="G4149" i="1"/>
  <c r="P4148" i="1"/>
  <c r="J4148" i="1"/>
  <c r="G4148" i="1"/>
  <c r="P4147" i="1"/>
  <c r="J4147" i="1"/>
  <c r="G4147" i="1"/>
  <c r="AL4146" i="1"/>
  <c r="J4146" i="1"/>
  <c r="G4146" i="1"/>
  <c r="J4145" i="1"/>
  <c r="G4145" i="1"/>
  <c r="J4144" i="1"/>
  <c r="G4144" i="1"/>
  <c r="AL4143" i="1"/>
  <c r="P4143" i="1"/>
  <c r="J4143" i="1"/>
  <c r="G4143" i="1"/>
  <c r="AL4142" i="1"/>
  <c r="J4142" i="1"/>
  <c r="G4142" i="1"/>
  <c r="AL4141" i="1"/>
  <c r="J4141" i="1"/>
  <c r="G4141" i="1"/>
  <c r="J4140" i="1"/>
  <c r="G4140" i="1"/>
  <c r="AL4139" i="1"/>
  <c r="P4139" i="1"/>
  <c r="J4139" i="1"/>
  <c r="G4139" i="1"/>
  <c r="AL4138" i="1"/>
  <c r="J4138" i="1"/>
  <c r="G4138" i="1"/>
  <c r="AL4137" i="1"/>
  <c r="J4137" i="1"/>
  <c r="G4137" i="1"/>
  <c r="J4136" i="1"/>
  <c r="G4136" i="1"/>
  <c r="AL4135" i="1"/>
  <c r="J4135" i="1"/>
  <c r="G4135" i="1"/>
  <c r="J4134" i="1"/>
  <c r="G4134" i="1"/>
  <c r="AL4133" i="1"/>
  <c r="P4133" i="1"/>
  <c r="J4133" i="1"/>
  <c r="G4133" i="1"/>
  <c r="AL4132" i="1"/>
  <c r="P4132" i="1"/>
  <c r="J4132" i="1"/>
  <c r="G4132" i="1"/>
  <c r="AL4131" i="1"/>
  <c r="P4131" i="1"/>
  <c r="J4131" i="1"/>
  <c r="G4131" i="1"/>
  <c r="J4130" i="1"/>
  <c r="G4130" i="1"/>
  <c r="J4129" i="1"/>
  <c r="G4129" i="1"/>
  <c r="AL4128" i="1"/>
  <c r="J4128" i="1"/>
  <c r="G4128" i="1"/>
  <c r="AL4127" i="1"/>
  <c r="P4127" i="1"/>
  <c r="J4127" i="1"/>
  <c r="G4127" i="1"/>
  <c r="AL4126" i="1"/>
  <c r="J4126" i="1"/>
  <c r="G4126" i="1"/>
  <c r="AL4125" i="1"/>
  <c r="J4125" i="1"/>
  <c r="G4125" i="1"/>
  <c r="AL4124" i="1"/>
  <c r="J4124" i="1"/>
  <c r="G4124" i="1"/>
  <c r="J4123" i="1"/>
  <c r="G4123" i="1"/>
  <c r="J4122" i="1"/>
  <c r="G4122" i="1"/>
  <c r="AL4121" i="1"/>
  <c r="P4121" i="1"/>
  <c r="J4121" i="1"/>
  <c r="G4121" i="1"/>
  <c r="AL4120" i="1"/>
  <c r="P4120" i="1"/>
  <c r="J4120" i="1"/>
  <c r="G4120" i="1"/>
  <c r="AL4119" i="1"/>
  <c r="J4119" i="1"/>
  <c r="G4119" i="1"/>
  <c r="AL4118" i="1"/>
  <c r="P4118" i="1"/>
  <c r="J4118" i="1"/>
  <c r="G4118" i="1"/>
  <c r="P4117" i="1"/>
  <c r="J4117" i="1"/>
  <c r="G4117" i="1"/>
  <c r="AL4116" i="1"/>
  <c r="J4116" i="1"/>
  <c r="G4116" i="1"/>
  <c r="J4115" i="1"/>
  <c r="G4115" i="1"/>
  <c r="AL4114" i="1"/>
  <c r="J4114" i="1"/>
  <c r="G4114" i="1"/>
  <c r="J4113" i="1"/>
  <c r="G4113" i="1"/>
  <c r="J4112" i="1"/>
  <c r="G4112" i="1"/>
  <c r="P4111" i="1"/>
  <c r="J4111" i="1"/>
  <c r="G4111" i="1"/>
  <c r="AL4110" i="1"/>
  <c r="P4110" i="1"/>
  <c r="J4110" i="1"/>
  <c r="G4110" i="1"/>
  <c r="AL4109" i="1"/>
  <c r="P4109" i="1"/>
  <c r="J4109" i="1"/>
  <c r="G4109" i="1"/>
  <c r="AL4108" i="1"/>
  <c r="P4108" i="1"/>
  <c r="J4108" i="1"/>
  <c r="G4108" i="1"/>
  <c r="AL4107" i="1"/>
  <c r="P4107" i="1"/>
  <c r="J4107" i="1"/>
  <c r="G4107" i="1"/>
  <c r="AL4106" i="1"/>
  <c r="J4106" i="1"/>
  <c r="G4106" i="1"/>
  <c r="J4105" i="1"/>
  <c r="G4105" i="1"/>
  <c r="AL4104" i="1"/>
  <c r="J4104" i="1"/>
  <c r="G4104" i="1"/>
  <c r="AL4103" i="1"/>
  <c r="J4103" i="1"/>
  <c r="G4103" i="1"/>
  <c r="J4102" i="1"/>
  <c r="G4102" i="1"/>
  <c r="G4101" i="1"/>
  <c r="G4100" i="1"/>
  <c r="AL4099" i="1"/>
  <c r="P4099" i="1"/>
  <c r="J4099" i="1"/>
  <c r="G4099" i="1"/>
  <c r="AL4098" i="1"/>
  <c r="P4098" i="1"/>
  <c r="J4098" i="1"/>
  <c r="G4098" i="1"/>
  <c r="J4097" i="1"/>
  <c r="G4097" i="1"/>
  <c r="AL4096" i="1"/>
  <c r="J4096" i="1"/>
  <c r="G4096" i="1"/>
  <c r="J4095" i="1"/>
  <c r="G4095" i="1"/>
  <c r="J4094" i="1"/>
  <c r="G4094" i="1"/>
  <c r="AL4093" i="1"/>
  <c r="J4093" i="1"/>
  <c r="G4093" i="1"/>
  <c r="J4092" i="1"/>
  <c r="G4092" i="1"/>
  <c r="AL4091" i="1"/>
  <c r="J4091" i="1"/>
  <c r="G4091" i="1"/>
  <c r="G4090" i="1"/>
  <c r="J4089" i="1"/>
  <c r="G4089" i="1"/>
  <c r="J4088" i="1"/>
  <c r="G4088" i="1"/>
  <c r="P4087" i="1"/>
  <c r="J4087" i="1"/>
  <c r="G4087" i="1"/>
  <c r="AL4086" i="1"/>
  <c r="J4086" i="1"/>
  <c r="G4086" i="1"/>
  <c r="J4085" i="1"/>
  <c r="G4085" i="1"/>
  <c r="AL4084" i="1"/>
  <c r="P4084" i="1"/>
  <c r="J4084" i="1"/>
  <c r="G4084" i="1"/>
  <c r="J4083" i="1"/>
  <c r="G4083" i="1"/>
  <c r="AL4082" i="1"/>
  <c r="J4082" i="1"/>
  <c r="G4082" i="1"/>
  <c r="AL4081" i="1"/>
  <c r="J4081" i="1"/>
  <c r="G4081" i="1"/>
  <c r="J4080" i="1"/>
  <c r="G4080" i="1"/>
  <c r="AL4079" i="1"/>
  <c r="J4079" i="1"/>
  <c r="G4079" i="1"/>
  <c r="J4078" i="1"/>
  <c r="G4078" i="1"/>
  <c r="AL4077" i="1"/>
  <c r="J4077" i="1"/>
  <c r="G4077" i="1"/>
  <c r="J4076" i="1"/>
  <c r="G4076" i="1"/>
  <c r="J4075" i="1"/>
  <c r="G4075" i="1"/>
  <c r="AL4074" i="1"/>
  <c r="J4074" i="1"/>
  <c r="G4074" i="1"/>
  <c r="J4073" i="1"/>
  <c r="G4073" i="1"/>
  <c r="AL4072" i="1"/>
  <c r="J4072" i="1"/>
  <c r="G4072" i="1"/>
  <c r="J4071" i="1"/>
  <c r="G4071" i="1"/>
  <c r="J4070" i="1"/>
  <c r="G4070" i="1"/>
  <c r="J4069" i="1"/>
  <c r="G4069" i="1"/>
  <c r="J4068" i="1"/>
  <c r="G4068" i="1"/>
  <c r="P4067" i="1"/>
  <c r="J4067" i="1"/>
  <c r="G4067" i="1"/>
  <c r="G4066" i="1"/>
  <c r="AL4065" i="1"/>
  <c r="P4065" i="1"/>
  <c r="J4065" i="1"/>
  <c r="G4065" i="1"/>
  <c r="P4064" i="1"/>
  <c r="J4064" i="1"/>
  <c r="G4064" i="1"/>
  <c r="AL4063" i="1"/>
  <c r="J4063" i="1"/>
  <c r="G4063" i="1"/>
  <c r="J4062" i="1"/>
  <c r="G4062" i="1"/>
  <c r="AL4061" i="1"/>
  <c r="J4061" i="1"/>
  <c r="G4061" i="1"/>
  <c r="AL4060" i="1"/>
  <c r="J4060" i="1"/>
  <c r="G4060" i="1"/>
  <c r="AL4059" i="1"/>
  <c r="P4059" i="1"/>
  <c r="J4059" i="1"/>
  <c r="G4059" i="1"/>
  <c r="AL4058" i="1"/>
  <c r="J4058" i="1"/>
  <c r="G4058" i="1"/>
  <c r="J4057" i="1"/>
  <c r="G4057" i="1"/>
  <c r="J4056" i="1"/>
  <c r="G4056" i="1"/>
  <c r="J4055" i="1"/>
  <c r="G4055" i="1"/>
  <c r="P4054" i="1"/>
  <c r="J4054" i="1"/>
  <c r="G4054" i="1"/>
  <c r="J4053" i="1"/>
  <c r="G4053" i="1"/>
  <c r="J4052" i="1"/>
  <c r="G4052" i="1"/>
  <c r="AL4051" i="1"/>
  <c r="P4051" i="1"/>
  <c r="J4051" i="1"/>
  <c r="G4051" i="1"/>
  <c r="AL4050" i="1"/>
  <c r="P4050" i="1"/>
  <c r="J4050" i="1"/>
  <c r="G4050" i="1"/>
  <c r="AL4049" i="1"/>
  <c r="J4049" i="1"/>
  <c r="G4049" i="1"/>
  <c r="AL4048" i="1"/>
  <c r="P4048" i="1"/>
  <c r="J4048" i="1"/>
  <c r="G4048" i="1"/>
  <c r="AL4047" i="1"/>
  <c r="P4047" i="1"/>
  <c r="J4047" i="1"/>
  <c r="G4047" i="1"/>
  <c r="AL4046" i="1"/>
  <c r="P4046" i="1"/>
  <c r="J4046" i="1"/>
  <c r="G4046" i="1"/>
  <c r="J4045" i="1"/>
  <c r="G4045" i="1"/>
  <c r="J4044" i="1"/>
  <c r="G4044" i="1"/>
  <c r="AL4043" i="1"/>
  <c r="J4043" i="1"/>
  <c r="G4043" i="1"/>
  <c r="AL4042" i="1"/>
  <c r="P4042" i="1"/>
  <c r="J4042" i="1"/>
  <c r="G4042" i="1"/>
  <c r="AL4041" i="1"/>
  <c r="P4041" i="1"/>
  <c r="J4041" i="1"/>
  <c r="G4041" i="1"/>
  <c r="AL4040" i="1"/>
  <c r="P4040" i="1"/>
  <c r="J4040" i="1"/>
  <c r="G4040" i="1"/>
  <c r="J4039" i="1"/>
  <c r="G4039" i="1"/>
  <c r="AL4038" i="1"/>
  <c r="P4038" i="1"/>
  <c r="J4038" i="1"/>
  <c r="G4038" i="1"/>
  <c r="AL4037" i="1"/>
  <c r="P4037" i="1"/>
  <c r="J4037" i="1"/>
  <c r="G4037" i="1"/>
  <c r="J4036" i="1"/>
  <c r="G4036" i="1"/>
  <c r="AL4035" i="1"/>
  <c r="J4035" i="1"/>
  <c r="G4035" i="1"/>
  <c r="AL4034" i="1"/>
  <c r="J4034" i="1"/>
  <c r="G4034" i="1"/>
  <c r="J4033" i="1"/>
  <c r="G4033" i="1"/>
  <c r="AL4032" i="1"/>
  <c r="P4032" i="1"/>
  <c r="J4032" i="1"/>
  <c r="G4032" i="1"/>
  <c r="J4031" i="1"/>
  <c r="G4031" i="1"/>
  <c r="AL4030" i="1"/>
  <c r="P4030" i="1"/>
  <c r="J4030" i="1"/>
  <c r="G4030" i="1"/>
  <c r="AL4029" i="1"/>
  <c r="J4029" i="1"/>
  <c r="G4029" i="1"/>
  <c r="AL4028" i="1"/>
  <c r="J4028" i="1"/>
  <c r="G4028" i="1"/>
  <c r="AL4027" i="1"/>
  <c r="P4027" i="1"/>
  <c r="J4027" i="1"/>
  <c r="G4027" i="1"/>
  <c r="J4026" i="1"/>
  <c r="G4026" i="1"/>
  <c r="AL4025" i="1"/>
  <c r="P4025" i="1"/>
  <c r="J4025" i="1"/>
  <c r="G4025" i="1"/>
  <c r="AL4024" i="1"/>
  <c r="J4024" i="1"/>
  <c r="G4024" i="1"/>
  <c r="J4023" i="1"/>
  <c r="G4023" i="1"/>
  <c r="G4022" i="1"/>
  <c r="G4021" i="1"/>
  <c r="J4020" i="1"/>
  <c r="G4020" i="1"/>
  <c r="J4019" i="1"/>
  <c r="G4019" i="1"/>
  <c r="J4018" i="1"/>
  <c r="G4018" i="1"/>
  <c r="AL4017" i="1"/>
  <c r="P4017" i="1"/>
  <c r="J4017" i="1"/>
  <c r="G4017" i="1"/>
  <c r="G4016" i="1"/>
  <c r="J4015" i="1"/>
  <c r="G4015" i="1"/>
  <c r="AL4014" i="1"/>
  <c r="P4014" i="1"/>
  <c r="J4014" i="1"/>
  <c r="G4014" i="1"/>
  <c r="AL4013" i="1"/>
  <c r="J4013" i="1"/>
  <c r="G4013" i="1"/>
  <c r="G4012" i="1"/>
  <c r="AL4011" i="1"/>
  <c r="J4011" i="1"/>
  <c r="G4011" i="1"/>
  <c r="AL4010" i="1"/>
  <c r="J4010" i="1"/>
  <c r="G4010" i="1"/>
  <c r="AL4009" i="1"/>
  <c r="J4009" i="1"/>
  <c r="G4009" i="1"/>
  <c r="AL4008" i="1"/>
  <c r="J4008" i="1"/>
  <c r="G4008" i="1"/>
  <c r="AL4007" i="1"/>
  <c r="P4007" i="1"/>
  <c r="J4007" i="1"/>
  <c r="G4007" i="1"/>
  <c r="AL4006" i="1"/>
  <c r="P4006" i="1"/>
  <c r="J4006" i="1"/>
  <c r="G4006" i="1"/>
  <c r="AL4005" i="1"/>
  <c r="J4005" i="1"/>
  <c r="G4005" i="1"/>
  <c r="AL4004" i="1"/>
  <c r="P4004" i="1"/>
  <c r="J4004" i="1"/>
  <c r="G4004" i="1"/>
  <c r="J4003" i="1"/>
  <c r="G4003" i="1"/>
  <c r="AL4002" i="1"/>
  <c r="J4002" i="1"/>
  <c r="G4002" i="1"/>
  <c r="AL4001" i="1"/>
  <c r="J4001" i="1"/>
  <c r="G4001" i="1"/>
  <c r="J4000" i="1"/>
  <c r="G4000" i="1"/>
  <c r="J3999" i="1"/>
  <c r="G3999" i="1"/>
  <c r="AL3998" i="1"/>
  <c r="J3998" i="1"/>
  <c r="G3998" i="1"/>
  <c r="P3997" i="1"/>
  <c r="J3997" i="1"/>
  <c r="G3997" i="1"/>
  <c r="AL3996" i="1"/>
  <c r="P3996" i="1"/>
  <c r="J3996" i="1"/>
  <c r="G3996" i="1"/>
  <c r="AL3995" i="1"/>
  <c r="J3995" i="1"/>
  <c r="G3995" i="1"/>
  <c r="AL3994" i="1"/>
  <c r="J3994" i="1"/>
  <c r="G3994" i="1"/>
  <c r="AL3993" i="1"/>
  <c r="P3993" i="1"/>
  <c r="J3993" i="1"/>
  <c r="G3993" i="1"/>
  <c r="AL3992" i="1"/>
  <c r="J3992" i="1"/>
  <c r="G3992" i="1"/>
  <c r="J3991" i="1"/>
  <c r="G3991" i="1"/>
  <c r="AL3990" i="1"/>
  <c r="P3990" i="1"/>
  <c r="J3990" i="1"/>
  <c r="G3990" i="1"/>
  <c r="AL3989" i="1"/>
  <c r="J3989" i="1"/>
  <c r="G3989" i="1"/>
  <c r="AL3988" i="1"/>
  <c r="J3988" i="1"/>
  <c r="G3988" i="1"/>
  <c r="AL3987" i="1"/>
  <c r="J3987" i="1"/>
  <c r="G3987" i="1"/>
  <c r="AL3986" i="1"/>
  <c r="J3986" i="1"/>
  <c r="G3986" i="1"/>
  <c r="J3985" i="1"/>
  <c r="G3985" i="1"/>
  <c r="J3984" i="1"/>
  <c r="G3984" i="1"/>
  <c r="AL3983" i="1"/>
  <c r="P3983" i="1"/>
  <c r="J3983" i="1"/>
  <c r="G3983" i="1"/>
  <c r="AL3982" i="1"/>
  <c r="J3982" i="1"/>
  <c r="G3982" i="1"/>
  <c r="J3981" i="1"/>
  <c r="G3981" i="1"/>
  <c r="AL3980" i="1"/>
  <c r="J3980" i="1"/>
  <c r="G3980" i="1"/>
  <c r="J3979" i="1"/>
  <c r="G3979" i="1"/>
  <c r="J3978" i="1"/>
  <c r="G3978" i="1"/>
  <c r="AL3977" i="1"/>
  <c r="P3977" i="1"/>
  <c r="J3977" i="1"/>
  <c r="G3977" i="1"/>
  <c r="J3976" i="1"/>
  <c r="G3976" i="1"/>
  <c r="AL3975" i="1"/>
  <c r="J3975" i="1"/>
  <c r="G3975" i="1"/>
  <c r="J3974" i="1"/>
  <c r="G3974" i="1"/>
  <c r="AL3973" i="1"/>
  <c r="J3973" i="1"/>
  <c r="G3973" i="1"/>
  <c r="AL3972" i="1"/>
  <c r="P3972" i="1"/>
  <c r="J3972" i="1"/>
  <c r="G3972" i="1"/>
  <c r="P3971" i="1"/>
  <c r="G3971" i="1"/>
  <c r="AL3970" i="1"/>
  <c r="J3970" i="1"/>
  <c r="G3970" i="1"/>
  <c r="AL3969" i="1"/>
  <c r="P3969" i="1"/>
  <c r="J3969" i="1"/>
  <c r="G3969" i="1"/>
  <c r="AL3968" i="1"/>
  <c r="J3968" i="1"/>
  <c r="G3968" i="1"/>
  <c r="AL3967" i="1"/>
  <c r="J3967" i="1"/>
  <c r="G3967" i="1"/>
  <c r="AL3966" i="1"/>
  <c r="P3966" i="1"/>
  <c r="J3966" i="1"/>
  <c r="G3966" i="1"/>
  <c r="AL3965" i="1"/>
  <c r="J3965" i="1"/>
  <c r="G3965" i="1"/>
  <c r="AL3964" i="1"/>
  <c r="J3964" i="1"/>
  <c r="G3964" i="1"/>
  <c r="AL3963" i="1"/>
  <c r="P3963" i="1"/>
  <c r="J3963" i="1"/>
  <c r="G3963" i="1"/>
  <c r="J3962" i="1"/>
  <c r="G3962" i="1"/>
  <c r="AL3961" i="1"/>
  <c r="J3961" i="1"/>
  <c r="G3961" i="1"/>
  <c r="AL3960" i="1"/>
  <c r="J3960" i="1"/>
  <c r="G3960" i="1"/>
  <c r="AL3959" i="1"/>
  <c r="P3959" i="1"/>
  <c r="J3959" i="1"/>
  <c r="G3959" i="1"/>
  <c r="AL3958" i="1"/>
  <c r="J3958" i="1"/>
  <c r="G3958" i="1"/>
  <c r="AL3957" i="1"/>
  <c r="J3957" i="1"/>
  <c r="G3957" i="1"/>
  <c r="J3956" i="1"/>
  <c r="G3956" i="1"/>
  <c r="AL3955" i="1"/>
  <c r="J3955" i="1"/>
  <c r="G3955" i="1"/>
  <c r="J3954" i="1"/>
  <c r="G3954" i="1"/>
  <c r="AL3953" i="1"/>
  <c r="J3953" i="1"/>
  <c r="G3953" i="1"/>
  <c r="AL3952" i="1"/>
  <c r="P3952" i="1"/>
  <c r="J3952" i="1"/>
  <c r="G3952" i="1"/>
  <c r="J3951" i="1"/>
  <c r="G3951" i="1"/>
  <c r="AL3950" i="1"/>
  <c r="J3950" i="1"/>
  <c r="G3950" i="1"/>
  <c r="AL3949" i="1"/>
  <c r="J3949" i="1"/>
  <c r="G3949" i="1"/>
  <c r="AL3948" i="1"/>
  <c r="P3948" i="1"/>
  <c r="J3948" i="1"/>
  <c r="G3948" i="1"/>
  <c r="AL3947" i="1"/>
  <c r="J3947" i="1"/>
  <c r="G3947" i="1"/>
  <c r="AL3946" i="1"/>
  <c r="J3946" i="1"/>
  <c r="G3946" i="1"/>
  <c r="J3945" i="1"/>
  <c r="G3945" i="1"/>
  <c r="AL3944" i="1"/>
  <c r="J3944" i="1"/>
  <c r="G3944" i="1"/>
  <c r="J3943" i="1"/>
  <c r="G3943" i="1"/>
  <c r="J3942" i="1"/>
  <c r="G3942" i="1"/>
  <c r="AL3941" i="1"/>
  <c r="J3941" i="1"/>
  <c r="G3941" i="1"/>
  <c r="AL3940" i="1"/>
  <c r="J3940" i="1"/>
  <c r="G3940" i="1"/>
  <c r="AL3939" i="1"/>
  <c r="J3939" i="1"/>
  <c r="G3939" i="1"/>
  <c r="AL3938" i="1"/>
  <c r="J3938" i="1"/>
  <c r="G3938" i="1"/>
  <c r="J3937" i="1"/>
  <c r="G3937" i="1"/>
  <c r="J3936" i="1"/>
  <c r="G3936" i="1"/>
  <c r="AL3935" i="1"/>
  <c r="J3935" i="1"/>
  <c r="G3935" i="1"/>
  <c r="J3934" i="1"/>
  <c r="G3934" i="1"/>
  <c r="AL3933" i="1"/>
  <c r="J3933" i="1"/>
  <c r="G3933" i="1"/>
  <c r="AL3932" i="1"/>
  <c r="J3932" i="1"/>
  <c r="G3932" i="1"/>
  <c r="J3931" i="1"/>
  <c r="G3931" i="1"/>
  <c r="J3930" i="1"/>
  <c r="G3930" i="1"/>
  <c r="AL3929" i="1"/>
  <c r="J3929" i="1"/>
  <c r="G3929" i="1"/>
  <c r="J3928" i="1"/>
  <c r="G3928" i="1"/>
  <c r="AL3927" i="1"/>
  <c r="J3927" i="1"/>
  <c r="G3927" i="1"/>
  <c r="AL3926" i="1"/>
  <c r="P3926" i="1"/>
  <c r="J3926" i="1"/>
  <c r="G3926" i="1"/>
  <c r="AL3925" i="1"/>
  <c r="J3925" i="1"/>
  <c r="G3925" i="1"/>
  <c r="AL3924" i="1"/>
  <c r="J3924" i="1"/>
  <c r="G3924" i="1"/>
  <c r="J3923" i="1"/>
  <c r="G3923" i="1"/>
  <c r="J3922" i="1"/>
  <c r="G3922" i="1"/>
  <c r="P3921" i="1"/>
  <c r="J3921" i="1"/>
  <c r="G3921" i="1"/>
  <c r="AL3920" i="1"/>
  <c r="J3920" i="1"/>
  <c r="G3920" i="1"/>
  <c r="AL3919" i="1"/>
  <c r="J3919" i="1"/>
  <c r="G3919" i="1"/>
  <c r="J3918" i="1"/>
  <c r="G3918" i="1"/>
  <c r="J3917" i="1"/>
  <c r="G3917" i="1"/>
  <c r="J3916" i="1"/>
  <c r="G3916" i="1"/>
  <c r="AL3915" i="1"/>
  <c r="J3915" i="1"/>
  <c r="G3915" i="1"/>
  <c r="AL3914" i="1"/>
  <c r="P3914" i="1"/>
  <c r="J3914" i="1"/>
  <c r="G3914" i="1"/>
  <c r="AL3913" i="1"/>
  <c r="P3913" i="1"/>
  <c r="J3913" i="1"/>
  <c r="G3913" i="1"/>
  <c r="AL3912" i="1"/>
  <c r="J3912" i="1"/>
  <c r="G3912" i="1"/>
  <c r="AL3911" i="1"/>
  <c r="J3911" i="1"/>
  <c r="G3911" i="1"/>
  <c r="AL3910" i="1"/>
  <c r="J3910" i="1"/>
  <c r="G3910" i="1"/>
  <c r="AL3909" i="1"/>
  <c r="J3909" i="1"/>
  <c r="G3909" i="1"/>
  <c r="J3908" i="1"/>
  <c r="G3908" i="1"/>
  <c r="AL3907" i="1"/>
  <c r="J3907" i="1"/>
  <c r="G3907" i="1"/>
  <c r="J3906" i="1"/>
  <c r="G3906" i="1"/>
  <c r="AL3905" i="1"/>
  <c r="J3905" i="1"/>
  <c r="G3905" i="1"/>
  <c r="AL3904" i="1"/>
  <c r="J3904" i="1"/>
  <c r="G3904" i="1"/>
  <c r="AL3903" i="1"/>
  <c r="J3903" i="1"/>
  <c r="G3903" i="1"/>
  <c r="J3902" i="1"/>
  <c r="G3902" i="1"/>
  <c r="AL3901" i="1"/>
  <c r="P3901" i="1"/>
  <c r="J3901" i="1"/>
  <c r="G3901" i="1"/>
  <c r="AL3900" i="1"/>
  <c r="J3900" i="1"/>
  <c r="G3900" i="1"/>
  <c r="AL3899" i="1"/>
  <c r="J3899" i="1"/>
  <c r="G3899" i="1"/>
  <c r="AL3898" i="1"/>
  <c r="J3898" i="1"/>
  <c r="G3898" i="1"/>
  <c r="J3897" i="1"/>
  <c r="G3897" i="1"/>
  <c r="AL3896" i="1"/>
  <c r="J3896" i="1"/>
  <c r="G3896" i="1"/>
  <c r="AL3895" i="1"/>
  <c r="P3895" i="1"/>
  <c r="J3895" i="1"/>
  <c r="G3895" i="1"/>
  <c r="J3894" i="1"/>
  <c r="G3894" i="1"/>
  <c r="AL3893" i="1"/>
  <c r="J3893" i="1"/>
  <c r="G3893" i="1"/>
  <c r="AL3892" i="1"/>
  <c r="J3892" i="1"/>
  <c r="G3892" i="1"/>
  <c r="AL3891" i="1"/>
  <c r="J3891" i="1"/>
  <c r="G3891" i="1"/>
  <c r="AL3890" i="1"/>
  <c r="P3890" i="1"/>
  <c r="J3890" i="1"/>
  <c r="G3890" i="1"/>
  <c r="J3889" i="1"/>
  <c r="G3889" i="1"/>
  <c r="AL3888" i="1"/>
  <c r="P3888" i="1"/>
  <c r="J3888" i="1"/>
  <c r="G3888" i="1"/>
  <c r="J3887" i="1"/>
  <c r="G3887" i="1"/>
  <c r="AL3886" i="1"/>
  <c r="J3886" i="1"/>
  <c r="G3886" i="1"/>
  <c r="AL3885" i="1"/>
  <c r="J3885" i="1"/>
  <c r="G3885" i="1"/>
  <c r="AL3884" i="1"/>
  <c r="J3884" i="1"/>
  <c r="G3884" i="1"/>
  <c r="AL3883" i="1"/>
  <c r="J3883" i="1"/>
  <c r="G3883" i="1"/>
  <c r="AL3882" i="1"/>
  <c r="J3882" i="1"/>
  <c r="G3882" i="1"/>
  <c r="AL3881" i="1"/>
  <c r="J3881" i="1"/>
  <c r="G3881" i="1"/>
  <c r="AL3880" i="1"/>
  <c r="J3880" i="1"/>
  <c r="G3880" i="1"/>
  <c r="AL3879" i="1"/>
  <c r="J3879" i="1"/>
  <c r="G3879" i="1"/>
  <c r="J3878" i="1"/>
  <c r="G3878" i="1"/>
  <c r="J3877" i="1"/>
  <c r="G3877" i="1"/>
  <c r="J3876" i="1"/>
  <c r="G3876" i="1"/>
  <c r="AL3875" i="1"/>
  <c r="P3875" i="1"/>
  <c r="J3875" i="1"/>
  <c r="G3875" i="1"/>
  <c r="AL3874" i="1"/>
  <c r="P3874" i="1"/>
  <c r="J3874" i="1"/>
  <c r="G3874" i="1"/>
  <c r="AL3873" i="1"/>
  <c r="P3873" i="1"/>
  <c r="J3873" i="1"/>
  <c r="G3873" i="1"/>
  <c r="J3872" i="1"/>
  <c r="G3872" i="1"/>
  <c r="AL3871" i="1"/>
  <c r="P3871" i="1"/>
  <c r="J3871" i="1"/>
  <c r="G3871" i="1"/>
  <c r="AL3870" i="1"/>
  <c r="P3870" i="1"/>
  <c r="J3870" i="1"/>
  <c r="G3870" i="1"/>
  <c r="AL3869" i="1"/>
  <c r="P3869" i="1"/>
  <c r="J3869" i="1"/>
  <c r="G3869" i="1"/>
  <c r="AL3868" i="1"/>
  <c r="J3868" i="1"/>
  <c r="G3868" i="1"/>
  <c r="J3867" i="1"/>
  <c r="G3867" i="1"/>
  <c r="AL3866" i="1"/>
  <c r="J3866" i="1"/>
  <c r="G3866" i="1"/>
  <c r="AL3865" i="1"/>
  <c r="J3865" i="1"/>
  <c r="G3865" i="1"/>
  <c r="AL3864" i="1"/>
  <c r="J3864" i="1"/>
  <c r="G3864" i="1"/>
  <c r="AL3863" i="1"/>
  <c r="J3863" i="1"/>
  <c r="G3863" i="1"/>
  <c r="AL3862" i="1"/>
  <c r="P3862" i="1"/>
  <c r="J3862" i="1"/>
  <c r="G3862" i="1"/>
  <c r="AL3861" i="1"/>
  <c r="J3861" i="1"/>
  <c r="G3861" i="1"/>
  <c r="AL3860" i="1"/>
  <c r="P3860" i="1"/>
  <c r="J3860" i="1"/>
  <c r="G3860" i="1"/>
  <c r="AL3859" i="1"/>
  <c r="J3859" i="1"/>
  <c r="G3859" i="1"/>
  <c r="AL3858" i="1"/>
  <c r="P3858" i="1"/>
  <c r="J3858" i="1"/>
  <c r="G3858" i="1"/>
  <c r="AL3857" i="1"/>
  <c r="P3857" i="1"/>
  <c r="J3857" i="1"/>
  <c r="G3857" i="1"/>
  <c r="AL3856" i="1"/>
  <c r="J3856" i="1"/>
  <c r="G3856" i="1"/>
  <c r="AL3855" i="1"/>
  <c r="J3855" i="1"/>
  <c r="G3855" i="1"/>
  <c r="AL3854" i="1"/>
  <c r="J3854" i="1"/>
  <c r="G3854" i="1"/>
  <c r="AL3853" i="1"/>
  <c r="J3853" i="1"/>
  <c r="G3853" i="1"/>
  <c r="AL3852" i="1"/>
  <c r="J3852" i="1"/>
  <c r="G3852" i="1"/>
  <c r="AL3851" i="1"/>
  <c r="J3851" i="1"/>
  <c r="G3851" i="1"/>
  <c r="J3850" i="1"/>
  <c r="G3850" i="1"/>
  <c r="AL3849" i="1"/>
  <c r="J3849" i="1"/>
  <c r="G3849" i="1"/>
  <c r="AL3848" i="1"/>
  <c r="P3848" i="1"/>
  <c r="J3848" i="1"/>
  <c r="G3848" i="1"/>
  <c r="AL3847" i="1"/>
  <c r="P3847" i="1"/>
  <c r="J3847" i="1"/>
  <c r="G3847" i="1"/>
  <c r="AL3846" i="1"/>
  <c r="P3846" i="1"/>
  <c r="J3846" i="1"/>
  <c r="G3846" i="1"/>
  <c r="AL3845" i="1"/>
  <c r="J3845" i="1"/>
  <c r="G3845" i="1"/>
  <c r="AL3844" i="1"/>
  <c r="P3844" i="1"/>
  <c r="J3844" i="1"/>
  <c r="G3844" i="1"/>
  <c r="J3843" i="1"/>
  <c r="G3843" i="1"/>
  <c r="AL3842" i="1"/>
  <c r="P3842" i="1"/>
  <c r="J3842" i="1"/>
  <c r="G3842" i="1"/>
  <c r="J3841" i="1"/>
  <c r="G3841" i="1"/>
  <c r="AL3840" i="1"/>
  <c r="J3840" i="1"/>
  <c r="G3840" i="1"/>
  <c r="J3839" i="1"/>
  <c r="G3839" i="1"/>
  <c r="J3838" i="1"/>
  <c r="G3838" i="1"/>
  <c r="AL3837" i="1"/>
  <c r="J3837" i="1"/>
  <c r="G3837" i="1"/>
  <c r="AL3836" i="1"/>
  <c r="J3836" i="1"/>
  <c r="G3836" i="1"/>
  <c r="AL3835" i="1"/>
  <c r="J3835" i="1"/>
  <c r="G3835" i="1"/>
  <c r="J3834" i="1"/>
  <c r="G3834" i="1"/>
  <c r="AL3833" i="1"/>
  <c r="J3833" i="1"/>
  <c r="G3833" i="1"/>
  <c r="J3832" i="1"/>
  <c r="G3832" i="1"/>
  <c r="J3831" i="1"/>
  <c r="G3831" i="1"/>
  <c r="J3830" i="1"/>
  <c r="G3830" i="1"/>
  <c r="J3829" i="1"/>
  <c r="G3829" i="1"/>
  <c r="J3828" i="1"/>
  <c r="G3828" i="1"/>
  <c r="J3827" i="1"/>
  <c r="G3827" i="1"/>
  <c r="J3826" i="1"/>
  <c r="G3826" i="1"/>
  <c r="AL3825" i="1"/>
  <c r="P3825" i="1"/>
  <c r="J3825" i="1"/>
  <c r="G3825" i="1"/>
  <c r="J3824" i="1"/>
  <c r="G3824" i="1"/>
  <c r="AL3823" i="1"/>
  <c r="J3823" i="1"/>
  <c r="G3823" i="1"/>
  <c r="J3822" i="1"/>
  <c r="G3822" i="1"/>
  <c r="AL3821" i="1"/>
  <c r="J3821" i="1"/>
  <c r="G3821" i="1"/>
  <c r="J3820" i="1"/>
  <c r="G3820" i="1"/>
  <c r="J3819" i="1"/>
  <c r="G3819" i="1"/>
  <c r="AL3818" i="1"/>
  <c r="P3818" i="1"/>
  <c r="J3818" i="1"/>
  <c r="G3818" i="1"/>
  <c r="J3817" i="1"/>
  <c r="G3817" i="1"/>
  <c r="AL3816" i="1"/>
  <c r="P3816" i="1"/>
  <c r="J3816" i="1"/>
  <c r="G3816" i="1"/>
  <c r="AL3815" i="1"/>
  <c r="P3815" i="1"/>
  <c r="J3815" i="1"/>
  <c r="G3815" i="1"/>
  <c r="J3814" i="1"/>
  <c r="G3814" i="1"/>
  <c r="J3813" i="1"/>
  <c r="G3813" i="1"/>
  <c r="J3812" i="1"/>
  <c r="G3812" i="1"/>
  <c r="AL3811" i="1"/>
  <c r="J3811" i="1"/>
  <c r="G3811" i="1"/>
  <c r="AL3810" i="1"/>
  <c r="J3810" i="1"/>
  <c r="G3810" i="1"/>
  <c r="J3809" i="1"/>
  <c r="G3809" i="1"/>
  <c r="AL3808" i="1"/>
  <c r="J3808" i="1"/>
  <c r="G3808" i="1"/>
  <c r="J3807" i="1"/>
  <c r="G3807" i="1"/>
  <c r="J3806" i="1"/>
  <c r="G3806" i="1"/>
  <c r="AL3805" i="1"/>
  <c r="J3805" i="1"/>
  <c r="G3805" i="1"/>
  <c r="J3804" i="1"/>
  <c r="G3804" i="1"/>
  <c r="AL3803" i="1"/>
  <c r="P3803" i="1"/>
  <c r="J3803" i="1"/>
  <c r="G3803" i="1"/>
  <c r="AL3802" i="1"/>
  <c r="P3802" i="1"/>
  <c r="J3802" i="1"/>
  <c r="G3802" i="1"/>
  <c r="J3801" i="1"/>
  <c r="G3801" i="1"/>
  <c r="J3800" i="1"/>
  <c r="G3800" i="1"/>
  <c r="AL3799" i="1"/>
  <c r="J3799" i="1"/>
  <c r="G3799" i="1"/>
  <c r="AL3798" i="1"/>
  <c r="J3798" i="1"/>
  <c r="G3798" i="1"/>
  <c r="AL3797" i="1"/>
  <c r="J3797" i="1"/>
  <c r="G3797" i="1"/>
  <c r="J3796" i="1"/>
  <c r="G3796" i="1"/>
  <c r="J3795" i="1"/>
  <c r="G3795" i="1"/>
  <c r="AL3794" i="1"/>
  <c r="P3794" i="1"/>
  <c r="J3794" i="1"/>
  <c r="G3794" i="1"/>
  <c r="AL3793" i="1"/>
  <c r="P3793" i="1"/>
  <c r="J3793" i="1"/>
  <c r="G3793" i="1"/>
  <c r="AL3792" i="1"/>
  <c r="P3792" i="1"/>
  <c r="J3792" i="1"/>
  <c r="G3792" i="1"/>
  <c r="J3791" i="1"/>
  <c r="G3791" i="1"/>
  <c r="AL3790" i="1"/>
  <c r="P3790" i="1"/>
  <c r="J3790" i="1"/>
  <c r="G3790" i="1"/>
  <c r="J3789" i="1"/>
  <c r="G3789" i="1"/>
  <c r="AL3788" i="1"/>
  <c r="J3788" i="1"/>
  <c r="G3788" i="1"/>
  <c r="AL3787" i="1"/>
  <c r="J3787" i="1"/>
  <c r="G3787" i="1"/>
  <c r="J3786" i="1"/>
  <c r="G3786" i="1"/>
  <c r="AL3785" i="1"/>
  <c r="P3785" i="1"/>
  <c r="J3785" i="1"/>
  <c r="G3785" i="1"/>
  <c r="AL3784" i="1"/>
  <c r="J3784" i="1"/>
  <c r="G3784" i="1"/>
  <c r="AL3783" i="1"/>
  <c r="P3783" i="1"/>
  <c r="J3783" i="1"/>
  <c r="G3783" i="1"/>
  <c r="AL3782" i="1"/>
  <c r="P3782" i="1"/>
  <c r="J3782" i="1"/>
  <c r="G3782" i="1"/>
  <c r="AL3781" i="1"/>
  <c r="J3781" i="1"/>
  <c r="G3781" i="1"/>
  <c r="AL3780" i="1"/>
  <c r="P3780" i="1"/>
  <c r="J3780" i="1"/>
  <c r="G3780" i="1"/>
  <c r="AL3779" i="1"/>
  <c r="P3779" i="1"/>
  <c r="J3779" i="1"/>
  <c r="G3779" i="1"/>
  <c r="AL3778" i="1"/>
  <c r="J3778" i="1"/>
  <c r="G3778" i="1"/>
  <c r="AL3777" i="1"/>
  <c r="J3777" i="1"/>
  <c r="G3777" i="1"/>
  <c r="AL3776" i="1"/>
  <c r="P3776" i="1"/>
  <c r="J3776" i="1"/>
  <c r="G3776" i="1"/>
  <c r="J3775" i="1"/>
  <c r="G3775" i="1"/>
  <c r="AL3774" i="1"/>
  <c r="P3774" i="1"/>
  <c r="J3774" i="1"/>
  <c r="G3774" i="1"/>
  <c r="J3773" i="1"/>
  <c r="G3773" i="1"/>
  <c r="J3772" i="1"/>
  <c r="G3772" i="1"/>
  <c r="J3771" i="1"/>
  <c r="G3771" i="1"/>
  <c r="AL3770" i="1"/>
  <c r="J3770" i="1"/>
  <c r="G3770" i="1"/>
  <c r="J3769" i="1"/>
  <c r="G3769" i="1"/>
  <c r="J3768" i="1"/>
  <c r="G3768" i="1"/>
  <c r="J3767" i="1"/>
  <c r="G3767" i="1"/>
  <c r="AL3766" i="1"/>
  <c r="J3766" i="1"/>
  <c r="G3766" i="1"/>
  <c r="AL3765" i="1"/>
  <c r="J3765" i="1"/>
  <c r="G3765" i="1"/>
  <c r="J3764" i="1"/>
  <c r="G3764" i="1"/>
  <c r="AL3763" i="1"/>
  <c r="J3763" i="1"/>
  <c r="G3763" i="1"/>
  <c r="J3762" i="1"/>
  <c r="G3762" i="1"/>
  <c r="J3761" i="1"/>
  <c r="G3761" i="1"/>
  <c r="AL3760" i="1"/>
  <c r="J3760" i="1"/>
  <c r="G3760" i="1"/>
  <c r="J3759" i="1"/>
  <c r="G3759" i="1"/>
  <c r="J3758" i="1"/>
  <c r="G3758" i="1"/>
  <c r="J3757" i="1"/>
  <c r="G3757" i="1"/>
  <c r="AL3756" i="1"/>
  <c r="J3756" i="1"/>
  <c r="G3756" i="1"/>
  <c r="J3755" i="1"/>
  <c r="G3755" i="1"/>
  <c r="J3754" i="1"/>
  <c r="G3754" i="1"/>
  <c r="J3753" i="1"/>
  <c r="G3753" i="1"/>
  <c r="J3752" i="1"/>
  <c r="G3752" i="1"/>
  <c r="J3751" i="1"/>
  <c r="G3751" i="1"/>
  <c r="J3750" i="1"/>
  <c r="G3750" i="1"/>
  <c r="J3749" i="1"/>
  <c r="G3749" i="1"/>
  <c r="J3748" i="1"/>
  <c r="G3748" i="1"/>
  <c r="AL3747" i="1"/>
  <c r="J3747" i="1"/>
  <c r="G3747" i="1"/>
  <c r="AL3746" i="1"/>
  <c r="J3746" i="1"/>
  <c r="G3746" i="1"/>
  <c r="AL3745" i="1"/>
  <c r="P3745" i="1"/>
  <c r="J3745" i="1"/>
  <c r="G3745" i="1"/>
  <c r="J3744" i="1"/>
  <c r="G3744" i="1"/>
  <c r="AL3743" i="1"/>
  <c r="P3743" i="1"/>
  <c r="J3743" i="1"/>
  <c r="G3743" i="1"/>
  <c r="J3742" i="1"/>
  <c r="G3742" i="1"/>
  <c r="J3741" i="1"/>
  <c r="G3741" i="1"/>
  <c r="AL3740" i="1"/>
  <c r="J3740" i="1"/>
  <c r="G3740" i="1"/>
  <c r="AL3739" i="1"/>
  <c r="J3739" i="1"/>
  <c r="G3739" i="1"/>
  <c r="AL3738" i="1"/>
  <c r="J3738" i="1"/>
  <c r="G3738" i="1"/>
  <c r="J3737" i="1"/>
  <c r="G3737" i="1"/>
  <c r="AL3736" i="1"/>
  <c r="P3736" i="1"/>
  <c r="J3736" i="1"/>
  <c r="G3736" i="1"/>
  <c r="J3735" i="1"/>
  <c r="G3735" i="1"/>
  <c r="J3734" i="1"/>
  <c r="G3734" i="1"/>
  <c r="AL3733" i="1"/>
  <c r="P3733" i="1"/>
  <c r="J3733" i="1"/>
  <c r="G3733" i="1"/>
  <c r="AL3732" i="1"/>
  <c r="J3732" i="1"/>
  <c r="G3732" i="1"/>
  <c r="AL3731" i="1"/>
  <c r="P3731" i="1"/>
  <c r="J3731" i="1"/>
  <c r="G3731" i="1"/>
  <c r="J3730" i="1"/>
  <c r="G3730" i="1"/>
  <c r="J3729" i="1"/>
  <c r="G3729" i="1"/>
  <c r="AL3728" i="1"/>
  <c r="J3728" i="1"/>
  <c r="G3728" i="1"/>
  <c r="J3727" i="1"/>
  <c r="G3727" i="1"/>
  <c r="AL3726" i="1"/>
  <c r="J3726" i="1"/>
  <c r="G3726" i="1"/>
  <c r="J3725" i="1"/>
  <c r="G3725" i="1"/>
  <c r="J3724" i="1"/>
  <c r="G3724" i="1"/>
  <c r="AL3723" i="1"/>
  <c r="J3723" i="1"/>
  <c r="G3723" i="1"/>
  <c r="AL3722" i="1"/>
  <c r="J3722" i="1"/>
  <c r="G3722" i="1"/>
  <c r="AL3721" i="1"/>
  <c r="J3721" i="1"/>
  <c r="G3721" i="1"/>
  <c r="J3720" i="1"/>
  <c r="G3720" i="1"/>
  <c r="J3719" i="1"/>
  <c r="G3719" i="1"/>
  <c r="P3718" i="1"/>
  <c r="J3718" i="1"/>
  <c r="G3718" i="1"/>
  <c r="J3717" i="1"/>
  <c r="G3717" i="1"/>
  <c r="J3716" i="1"/>
  <c r="G3716" i="1"/>
  <c r="J3715" i="1"/>
  <c r="G3715" i="1"/>
  <c r="AL3714" i="1"/>
  <c r="P3714" i="1"/>
  <c r="J3714" i="1"/>
  <c r="G3714" i="1"/>
  <c r="J3713" i="1"/>
  <c r="G3713" i="1"/>
  <c r="J3712" i="1"/>
  <c r="G3712" i="1"/>
  <c r="AL3711" i="1"/>
  <c r="P3711" i="1"/>
  <c r="J3711" i="1"/>
  <c r="G3711" i="1"/>
  <c r="AL3710" i="1"/>
  <c r="J3710" i="1"/>
  <c r="G3710" i="1"/>
  <c r="J3709" i="1"/>
  <c r="G3709" i="1"/>
  <c r="AL3708" i="1"/>
  <c r="J3708" i="1"/>
  <c r="G3708" i="1"/>
  <c r="AL3707" i="1"/>
  <c r="J3707" i="1"/>
  <c r="G3707" i="1"/>
  <c r="J3706" i="1"/>
  <c r="G3706" i="1"/>
  <c r="AL3705" i="1"/>
  <c r="P3705" i="1"/>
  <c r="J3705" i="1"/>
  <c r="G3705" i="1"/>
  <c r="AL3704" i="1"/>
  <c r="P3704" i="1"/>
  <c r="J3704" i="1"/>
  <c r="G3704" i="1"/>
  <c r="J3703" i="1"/>
  <c r="G3703" i="1"/>
  <c r="J3702" i="1"/>
  <c r="G3702" i="1"/>
  <c r="AL3701" i="1"/>
  <c r="P3701" i="1"/>
  <c r="J3701" i="1"/>
  <c r="G3701" i="1"/>
  <c r="AL3700" i="1"/>
  <c r="P3700" i="1"/>
  <c r="J3700" i="1"/>
  <c r="G3700" i="1"/>
  <c r="AL3699" i="1"/>
  <c r="P3699" i="1"/>
  <c r="J3699" i="1"/>
  <c r="G3699" i="1"/>
  <c r="AL3698" i="1"/>
  <c r="P3698" i="1"/>
  <c r="J3698" i="1"/>
  <c r="G3698" i="1"/>
  <c r="AL3697" i="1"/>
  <c r="P3697" i="1"/>
  <c r="J3697" i="1"/>
  <c r="G3697" i="1"/>
  <c r="AL3696" i="1"/>
  <c r="J3696" i="1"/>
  <c r="G3696" i="1"/>
  <c r="J3695" i="1"/>
  <c r="G3695" i="1"/>
  <c r="AL3694" i="1"/>
  <c r="P3694" i="1"/>
  <c r="J3694" i="1"/>
  <c r="G3694" i="1"/>
  <c r="AL3693" i="1"/>
  <c r="P3693" i="1"/>
  <c r="J3693" i="1"/>
  <c r="G3693" i="1"/>
  <c r="J3692" i="1"/>
  <c r="G3692" i="1"/>
  <c r="AL3691" i="1"/>
  <c r="P3691" i="1"/>
  <c r="J3691" i="1"/>
  <c r="G3691" i="1"/>
  <c r="AL3690" i="1"/>
  <c r="P3690" i="1"/>
  <c r="J3690" i="1"/>
  <c r="G3690" i="1"/>
  <c r="AL3689" i="1"/>
  <c r="P3689" i="1"/>
  <c r="J3689" i="1"/>
  <c r="G3689" i="1"/>
  <c r="J3688" i="1"/>
  <c r="G3688" i="1"/>
  <c r="J3687" i="1"/>
  <c r="G3687" i="1"/>
  <c r="AL3686" i="1"/>
  <c r="P3686" i="1"/>
  <c r="J3686" i="1"/>
  <c r="G3686" i="1"/>
  <c r="AL3685" i="1"/>
  <c r="P3685" i="1"/>
  <c r="J3685" i="1"/>
  <c r="G3685" i="1"/>
  <c r="P3684" i="1"/>
  <c r="G3684" i="1"/>
  <c r="J3683" i="1"/>
  <c r="G3683" i="1"/>
  <c r="J3682" i="1"/>
  <c r="G3682" i="1"/>
  <c r="AL3681" i="1"/>
  <c r="P3681" i="1"/>
  <c r="J3681" i="1"/>
  <c r="G3681" i="1"/>
  <c r="AL3680" i="1"/>
  <c r="P3680" i="1"/>
  <c r="J3680" i="1"/>
  <c r="G3680" i="1"/>
  <c r="AL3679" i="1"/>
  <c r="J3679" i="1"/>
  <c r="G3679" i="1"/>
  <c r="J3678" i="1"/>
  <c r="G3678" i="1"/>
  <c r="AL3677" i="1"/>
  <c r="P3677" i="1"/>
  <c r="J3677" i="1"/>
  <c r="G3677" i="1"/>
  <c r="J3676" i="1"/>
  <c r="G3676" i="1"/>
  <c r="AL3675" i="1"/>
  <c r="P3675" i="1"/>
  <c r="J3675" i="1"/>
  <c r="G3675" i="1"/>
  <c r="AL3674" i="1"/>
  <c r="J3674" i="1"/>
  <c r="G3674" i="1"/>
  <c r="J3673" i="1"/>
  <c r="G3673" i="1"/>
  <c r="AL3672" i="1"/>
  <c r="J3672" i="1"/>
  <c r="G3672" i="1"/>
  <c r="J3671" i="1"/>
  <c r="G3671" i="1"/>
  <c r="AL3670" i="1"/>
  <c r="P3670" i="1"/>
  <c r="J3670" i="1"/>
  <c r="G3670" i="1"/>
  <c r="P3669" i="1"/>
  <c r="J3669" i="1"/>
  <c r="G3669" i="1"/>
  <c r="AL3668" i="1"/>
  <c r="P3668" i="1"/>
  <c r="J3668" i="1"/>
  <c r="G3668" i="1"/>
  <c r="AL3667" i="1"/>
  <c r="P3667" i="1"/>
  <c r="J3667" i="1"/>
  <c r="G3667" i="1"/>
  <c r="J3666" i="1"/>
  <c r="G3666" i="1"/>
  <c r="AL3665" i="1"/>
  <c r="J3665" i="1"/>
  <c r="G3665" i="1"/>
  <c r="AL3664" i="1"/>
  <c r="J3664" i="1"/>
  <c r="G3664" i="1"/>
  <c r="J3663" i="1"/>
  <c r="G3663" i="1"/>
  <c r="J3662" i="1"/>
  <c r="G3662" i="1"/>
  <c r="J3661" i="1"/>
  <c r="G3661" i="1"/>
  <c r="J3660" i="1"/>
  <c r="G3660" i="1"/>
  <c r="AL3659" i="1"/>
  <c r="J3659" i="1"/>
  <c r="G3659" i="1"/>
  <c r="J3658" i="1"/>
  <c r="G3658" i="1"/>
  <c r="AL3657" i="1"/>
  <c r="J3657" i="1"/>
  <c r="G3657" i="1"/>
  <c r="AL3656" i="1"/>
  <c r="J3656" i="1"/>
  <c r="G3656" i="1"/>
  <c r="AL3655" i="1"/>
  <c r="P3655" i="1"/>
  <c r="J3655" i="1"/>
  <c r="G3655" i="1"/>
  <c r="AL3654" i="1"/>
  <c r="J3654" i="1"/>
  <c r="G3654" i="1"/>
  <c r="AL3653" i="1"/>
  <c r="P3653" i="1"/>
  <c r="J3653" i="1"/>
  <c r="G3653" i="1"/>
  <c r="J3652" i="1"/>
  <c r="G3652" i="1"/>
  <c r="J3651" i="1"/>
  <c r="G3651" i="1"/>
  <c r="AL3650" i="1"/>
  <c r="J3650" i="1"/>
  <c r="G3650" i="1"/>
  <c r="AL3649" i="1"/>
  <c r="J3649" i="1"/>
  <c r="G3649" i="1"/>
  <c r="AL3648" i="1"/>
  <c r="P3648" i="1"/>
  <c r="J3648" i="1"/>
  <c r="G3648" i="1"/>
  <c r="AL3647" i="1"/>
  <c r="J3647" i="1"/>
  <c r="G3647" i="1"/>
  <c r="AL3646" i="1"/>
  <c r="J3646" i="1"/>
  <c r="G3646" i="1"/>
  <c r="AL3645" i="1"/>
  <c r="P3645" i="1"/>
  <c r="J3645" i="1"/>
  <c r="G3645" i="1"/>
  <c r="AL3644" i="1"/>
  <c r="P3644" i="1"/>
  <c r="J3644" i="1"/>
  <c r="G3644" i="1"/>
  <c r="J3643" i="1"/>
  <c r="G3643" i="1"/>
  <c r="AL3642" i="1"/>
  <c r="P3642" i="1"/>
  <c r="J3642" i="1"/>
  <c r="G3642" i="1"/>
  <c r="AL3641" i="1"/>
  <c r="P3641" i="1"/>
  <c r="J3641" i="1"/>
  <c r="G3641" i="1"/>
  <c r="AL3640" i="1"/>
  <c r="P3640" i="1"/>
  <c r="J3640" i="1"/>
  <c r="G3640" i="1"/>
  <c r="AL3639" i="1"/>
  <c r="J3639" i="1"/>
  <c r="G3639" i="1"/>
  <c r="AL3638" i="1"/>
  <c r="P3638" i="1"/>
  <c r="J3638" i="1"/>
  <c r="G3638" i="1"/>
  <c r="AL3637" i="1"/>
  <c r="P3637" i="1"/>
  <c r="J3637" i="1"/>
  <c r="G3637" i="1"/>
  <c r="AL3636" i="1"/>
  <c r="P3636" i="1"/>
  <c r="J3636" i="1"/>
  <c r="G3636" i="1"/>
  <c r="AL3635" i="1"/>
  <c r="J3635" i="1"/>
  <c r="G3635" i="1"/>
  <c r="AL3634" i="1"/>
  <c r="P3634" i="1"/>
  <c r="J3634" i="1"/>
  <c r="G3634" i="1"/>
  <c r="AL3633" i="1"/>
  <c r="J3633" i="1"/>
  <c r="G3633" i="1"/>
  <c r="AL3632" i="1"/>
  <c r="J3632" i="1"/>
  <c r="G3632" i="1"/>
  <c r="P3631" i="1"/>
  <c r="J3631" i="1"/>
  <c r="G3631" i="1"/>
  <c r="AL3630" i="1"/>
  <c r="P3630" i="1"/>
  <c r="J3630" i="1"/>
  <c r="G3630" i="1"/>
  <c r="AL3629" i="1"/>
  <c r="P3629" i="1"/>
  <c r="J3629" i="1"/>
  <c r="G3629" i="1"/>
  <c r="AL3628" i="1"/>
  <c r="P3628" i="1"/>
  <c r="J3628" i="1"/>
  <c r="G3628" i="1"/>
  <c r="AL3627" i="1"/>
  <c r="P3627" i="1"/>
  <c r="J3627" i="1"/>
  <c r="G3627" i="1"/>
  <c r="AL3626" i="1"/>
  <c r="P3626" i="1"/>
  <c r="J3626" i="1"/>
  <c r="G3626" i="1"/>
  <c r="J3625" i="1"/>
  <c r="G3625" i="1"/>
  <c r="J3624" i="1"/>
  <c r="G3624" i="1"/>
  <c r="AL3623" i="1"/>
  <c r="P3623" i="1"/>
  <c r="J3623" i="1"/>
  <c r="G3623" i="1"/>
  <c r="AL3622" i="1"/>
  <c r="J3622" i="1"/>
  <c r="G3622" i="1"/>
  <c r="J3621" i="1"/>
  <c r="G3621" i="1"/>
  <c r="J3620" i="1"/>
  <c r="G3620" i="1"/>
  <c r="J3619" i="1"/>
  <c r="G3619" i="1"/>
  <c r="AL3618" i="1"/>
  <c r="J3618" i="1"/>
  <c r="G3618" i="1"/>
  <c r="AL3617" i="1"/>
  <c r="J3617" i="1"/>
  <c r="G3617" i="1"/>
  <c r="J3616" i="1"/>
  <c r="G3616" i="1"/>
  <c r="AL3615" i="1"/>
  <c r="P3615" i="1"/>
  <c r="J3615" i="1"/>
  <c r="G3615" i="1"/>
  <c r="J3614" i="1"/>
  <c r="G3614" i="1"/>
  <c r="AL3613" i="1"/>
  <c r="P3613" i="1"/>
  <c r="J3613" i="1"/>
  <c r="G3613" i="1"/>
  <c r="AL3612" i="1"/>
  <c r="P3612" i="1"/>
  <c r="J3612" i="1"/>
  <c r="G3612" i="1"/>
  <c r="AL3611" i="1"/>
  <c r="P3611" i="1"/>
  <c r="J3611" i="1"/>
  <c r="G3611" i="1"/>
  <c r="J3610" i="1"/>
  <c r="G3610" i="1"/>
  <c r="J3609" i="1"/>
  <c r="G3609" i="1"/>
  <c r="AL3608" i="1"/>
  <c r="J3608" i="1"/>
  <c r="G3608" i="1"/>
  <c r="AL3607" i="1"/>
  <c r="P3607" i="1"/>
  <c r="J3607" i="1"/>
  <c r="G3607" i="1"/>
  <c r="AL3606" i="1"/>
  <c r="P3606" i="1"/>
  <c r="J3606" i="1"/>
  <c r="G3606" i="1"/>
  <c r="AL3605" i="1"/>
  <c r="J3605" i="1"/>
  <c r="G3605" i="1"/>
  <c r="AL3604" i="1"/>
  <c r="P3604" i="1"/>
  <c r="J3604" i="1"/>
  <c r="G3604" i="1"/>
  <c r="AL3603" i="1"/>
  <c r="P3603" i="1"/>
  <c r="J3603" i="1"/>
  <c r="G3603" i="1"/>
  <c r="AL3602" i="1"/>
  <c r="P3602" i="1"/>
  <c r="J3602" i="1"/>
  <c r="G3602" i="1"/>
  <c r="AL3601" i="1"/>
  <c r="J3601" i="1"/>
  <c r="G3601" i="1"/>
  <c r="AL3600" i="1"/>
  <c r="J3600" i="1"/>
  <c r="G3600" i="1"/>
  <c r="AL3599" i="1"/>
  <c r="P3599" i="1"/>
  <c r="J3599" i="1"/>
  <c r="G3599" i="1"/>
  <c r="AL3598" i="1"/>
  <c r="J3598" i="1"/>
  <c r="G3598" i="1"/>
  <c r="AL3597" i="1"/>
  <c r="P3597" i="1"/>
  <c r="J3597" i="1"/>
  <c r="G3597" i="1"/>
  <c r="J3596" i="1"/>
  <c r="G3596" i="1"/>
  <c r="AL3595" i="1"/>
  <c r="J3595" i="1"/>
  <c r="G3595" i="1"/>
  <c r="AL3594" i="1"/>
  <c r="P3594" i="1"/>
  <c r="J3594" i="1"/>
  <c r="G3594" i="1"/>
  <c r="AL3593" i="1"/>
  <c r="P3593" i="1"/>
  <c r="J3593" i="1"/>
  <c r="G3593" i="1"/>
  <c r="J3592" i="1"/>
  <c r="G3592" i="1"/>
  <c r="AL3591" i="1"/>
  <c r="J3591" i="1"/>
  <c r="G3591" i="1"/>
  <c r="AL3590" i="1"/>
  <c r="P3590" i="1"/>
  <c r="J3590" i="1"/>
  <c r="G3590" i="1"/>
  <c r="J3589" i="1"/>
  <c r="G3589" i="1"/>
  <c r="AL3588" i="1"/>
  <c r="J3588" i="1"/>
  <c r="G3588" i="1"/>
  <c r="AL3587" i="1"/>
  <c r="P3587" i="1"/>
  <c r="J3587" i="1"/>
  <c r="G3587" i="1"/>
  <c r="J3586" i="1"/>
  <c r="G3586" i="1"/>
  <c r="AL3585" i="1"/>
  <c r="P3585" i="1"/>
  <c r="J3585" i="1"/>
  <c r="G3585" i="1"/>
  <c r="AL3584" i="1"/>
  <c r="P3584" i="1"/>
  <c r="J3584" i="1"/>
  <c r="G3584" i="1"/>
  <c r="J3583" i="1"/>
  <c r="G3583" i="1"/>
  <c r="J3582" i="1"/>
  <c r="G3582" i="1"/>
  <c r="AL3581" i="1"/>
  <c r="P3581" i="1"/>
  <c r="J3581" i="1"/>
  <c r="G3581" i="1"/>
  <c r="J3580" i="1"/>
  <c r="G3580" i="1"/>
  <c r="AL3579" i="1"/>
  <c r="P3579" i="1"/>
  <c r="J3579" i="1"/>
  <c r="G3579" i="1"/>
  <c r="AL3578" i="1"/>
  <c r="P3578" i="1"/>
  <c r="J3578" i="1"/>
  <c r="G3578" i="1"/>
  <c r="AL3577" i="1"/>
  <c r="P3577" i="1"/>
  <c r="J3577" i="1"/>
  <c r="G3577" i="1"/>
  <c r="AL3576" i="1"/>
  <c r="P3576" i="1"/>
  <c r="J3576" i="1"/>
  <c r="G3576" i="1"/>
  <c r="AL3575" i="1"/>
  <c r="P3575" i="1"/>
  <c r="J3575" i="1"/>
  <c r="G3575" i="1"/>
  <c r="AL3574" i="1"/>
  <c r="J3574" i="1"/>
  <c r="G3574" i="1"/>
  <c r="AL3573" i="1"/>
  <c r="J3573" i="1"/>
  <c r="G3573" i="1"/>
  <c r="J3572" i="1"/>
  <c r="G3572" i="1"/>
  <c r="AL3571" i="1"/>
  <c r="P3571" i="1"/>
  <c r="J3571" i="1"/>
  <c r="G3571" i="1"/>
  <c r="AL3570" i="1"/>
  <c r="J3570" i="1"/>
  <c r="G3570" i="1"/>
  <c r="AL3569" i="1"/>
  <c r="P3569" i="1"/>
  <c r="J3569" i="1"/>
  <c r="G3569" i="1"/>
  <c r="J3568" i="1"/>
  <c r="G3568" i="1"/>
  <c r="AL3567" i="1"/>
  <c r="P3567" i="1"/>
  <c r="J3567" i="1"/>
  <c r="G3567" i="1"/>
  <c r="J3566" i="1"/>
  <c r="G3566" i="1"/>
  <c r="J3565" i="1"/>
  <c r="G3565" i="1"/>
  <c r="J3564" i="1"/>
  <c r="G3564" i="1"/>
  <c r="J3563" i="1"/>
  <c r="G3563" i="1"/>
  <c r="AL3562" i="1"/>
  <c r="J3562" i="1"/>
  <c r="G3562" i="1"/>
  <c r="AL3561" i="1"/>
  <c r="J3561" i="1"/>
  <c r="G3561" i="1"/>
  <c r="J3560" i="1"/>
  <c r="G3560" i="1"/>
  <c r="AL3559" i="1"/>
  <c r="P3559" i="1"/>
  <c r="J3559" i="1"/>
  <c r="G3559" i="1"/>
  <c r="AL3558" i="1"/>
  <c r="P3558" i="1"/>
  <c r="J3558" i="1"/>
  <c r="G3558" i="1"/>
  <c r="AL3557" i="1"/>
  <c r="P3557" i="1"/>
  <c r="J3557" i="1"/>
  <c r="G3557" i="1"/>
  <c r="AL3556" i="1"/>
  <c r="P3556" i="1"/>
  <c r="J3556" i="1"/>
  <c r="G3556" i="1"/>
  <c r="P3555" i="1"/>
  <c r="J3555" i="1"/>
  <c r="G3555" i="1"/>
  <c r="J3554" i="1"/>
  <c r="G3554" i="1"/>
  <c r="AL3553" i="1"/>
  <c r="P3553" i="1"/>
  <c r="J3553" i="1"/>
  <c r="G3553" i="1"/>
  <c r="AL3552" i="1"/>
  <c r="P3552" i="1"/>
  <c r="J3552" i="1"/>
  <c r="G3552" i="1"/>
  <c r="P3551" i="1"/>
  <c r="J3551" i="1"/>
  <c r="G3551" i="1"/>
  <c r="AL3550" i="1"/>
  <c r="P3550" i="1"/>
  <c r="J3550" i="1"/>
  <c r="G3550" i="1"/>
  <c r="AL3549" i="1"/>
  <c r="J3549" i="1"/>
  <c r="G3549" i="1"/>
  <c r="J3548" i="1"/>
  <c r="G3548" i="1"/>
  <c r="J3547" i="1"/>
  <c r="G3547" i="1"/>
  <c r="J3546" i="1"/>
  <c r="G3546" i="1"/>
  <c r="AL3545" i="1"/>
  <c r="J3545" i="1"/>
  <c r="G3545" i="1"/>
  <c r="J3544" i="1"/>
  <c r="G3544" i="1"/>
  <c r="AL3543" i="1"/>
  <c r="P3543" i="1"/>
  <c r="J3543" i="1"/>
  <c r="G3543" i="1"/>
  <c r="J3542" i="1"/>
  <c r="G3542" i="1"/>
  <c r="AL3541" i="1"/>
  <c r="J3541" i="1"/>
  <c r="G3541" i="1"/>
  <c r="AL3540" i="1"/>
  <c r="J3540" i="1"/>
  <c r="G3540" i="1"/>
  <c r="AL3539" i="1"/>
  <c r="J3539" i="1"/>
  <c r="G3539" i="1"/>
  <c r="J3538" i="1"/>
  <c r="G3538" i="1"/>
  <c r="AL3537" i="1"/>
  <c r="P3537" i="1"/>
  <c r="J3537" i="1"/>
  <c r="G3537" i="1"/>
  <c r="J3536" i="1"/>
  <c r="G3536" i="1"/>
  <c r="AL3535" i="1"/>
  <c r="P3535" i="1"/>
  <c r="J3535" i="1"/>
  <c r="G3535" i="1"/>
  <c r="J3534" i="1"/>
  <c r="G3534" i="1"/>
  <c r="J3533" i="1"/>
  <c r="G3533" i="1"/>
  <c r="AL3532" i="1"/>
  <c r="P3532" i="1"/>
  <c r="J3532" i="1"/>
  <c r="G3532" i="1"/>
  <c r="AL3531" i="1"/>
  <c r="P3531" i="1"/>
  <c r="J3531" i="1"/>
  <c r="G3531" i="1"/>
  <c r="J3530" i="1"/>
  <c r="G3530" i="1"/>
  <c r="AL3529" i="1"/>
  <c r="J3529" i="1"/>
  <c r="G3529" i="1"/>
  <c r="J3528" i="1"/>
  <c r="G3528" i="1"/>
  <c r="J3527" i="1"/>
  <c r="G3527" i="1"/>
  <c r="J3526" i="1"/>
  <c r="G3526" i="1"/>
  <c r="AL3525" i="1"/>
  <c r="J3525" i="1"/>
  <c r="G3525" i="1"/>
  <c r="AL3524" i="1"/>
  <c r="J3524" i="1"/>
  <c r="G3524" i="1"/>
  <c r="AL3523" i="1"/>
  <c r="P3523" i="1"/>
  <c r="J3523" i="1"/>
  <c r="G3523" i="1"/>
  <c r="J3522" i="1"/>
  <c r="G3522" i="1"/>
  <c r="J3521" i="1"/>
  <c r="G3521" i="1"/>
  <c r="AL3520" i="1"/>
  <c r="P3520" i="1"/>
  <c r="J3520" i="1"/>
  <c r="G3520" i="1"/>
  <c r="J3519" i="1"/>
  <c r="G3519" i="1"/>
  <c r="G3518" i="1"/>
  <c r="AL3517" i="1"/>
  <c r="P3517" i="1"/>
  <c r="J3517" i="1"/>
  <c r="G3517" i="1"/>
  <c r="AL3516" i="1"/>
  <c r="P3516" i="1"/>
  <c r="J3516" i="1"/>
  <c r="G3516" i="1"/>
  <c r="AL3515" i="1"/>
  <c r="P3515" i="1"/>
  <c r="J3515" i="1"/>
  <c r="G3515" i="1"/>
  <c r="AL3514" i="1"/>
  <c r="P3514" i="1"/>
  <c r="J3514" i="1"/>
  <c r="G3514" i="1"/>
  <c r="J3513" i="1"/>
  <c r="G3513" i="1"/>
  <c r="J3512" i="1"/>
  <c r="G3512" i="1"/>
  <c r="J3511" i="1"/>
  <c r="G3511" i="1"/>
  <c r="AL3510" i="1"/>
  <c r="P3510" i="1"/>
  <c r="J3510" i="1"/>
  <c r="G3510" i="1"/>
  <c r="AL3509" i="1"/>
  <c r="P3509" i="1"/>
  <c r="J3509" i="1"/>
  <c r="G3509" i="1"/>
  <c r="J3508" i="1"/>
  <c r="G3508" i="1"/>
  <c r="AL3507" i="1"/>
  <c r="J3507" i="1"/>
  <c r="G3507" i="1"/>
  <c r="AL3506" i="1"/>
  <c r="P3506" i="1"/>
  <c r="J3506" i="1"/>
  <c r="G3506" i="1"/>
  <c r="J3505" i="1"/>
  <c r="G3505" i="1"/>
  <c r="J3504" i="1"/>
  <c r="G3504" i="1"/>
  <c r="AL3503" i="1"/>
  <c r="J3503" i="1"/>
  <c r="G3503" i="1"/>
  <c r="AL3502" i="1"/>
  <c r="P3502" i="1"/>
  <c r="J3502" i="1"/>
  <c r="G3502" i="1"/>
  <c r="AL3501" i="1"/>
  <c r="J3501" i="1"/>
  <c r="G3501" i="1"/>
  <c r="J3500" i="1"/>
  <c r="G3500" i="1"/>
  <c r="J3499" i="1"/>
  <c r="G3499" i="1"/>
  <c r="J3498" i="1"/>
  <c r="G3498" i="1"/>
  <c r="J3497" i="1"/>
  <c r="G3497" i="1"/>
  <c r="J3496" i="1"/>
  <c r="G3496" i="1"/>
  <c r="J3495" i="1"/>
  <c r="G3495" i="1"/>
  <c r="AL3494" i="1"/>
  <c r="P3494" i="1"/>
  <c r="J3494" i="1"/>
  <c r="G3494" i="1"/>
  <c r="AL3493" i="1"/>
  <c r="P3493" i="1"/>
  <c r="J3493" i="1"/>
  <c r="G3493" i="1"/>
  <c r="J3492" i="1"/>
  <c r="G3492" i="1"/>
  <c r="AL3491" i="1"/>
  <c r="J3491" i="1"/>
  <c r="G3491" i="1"/>
  <c r="J3490" i="1"/>
  <c r="G3490" i="1"/>
  <c r="AL3489" i="1"/>
  <c r="J3489" i="1"/>
  <c r="G3489" i="1"/>
  <c r="AL3488" i="1"/>
  <c r="P3488" i="1"/>
  <c r="J3488" i="1"/>
  <c r="G3488" i="1"/>
  <c r="AL3487" i="1"/>
  <c r="P3487" i="1"/>
  <c r="J3487" i="1"/>
  <c r="G3487" i="1"/>
  <c r="J3486" i="1"/>
  <c r="G3486" i="1"/>
  <c r="AL3485" i="1"/>
  <c r="P3485" i="1"/>
  <c r="J3485" i="1"/>
  <c r="G3485" i="1"/>
  <c r="J3484" i="1"/>
  <c r="G3484" i="1"/>
  <c r="J3483" i="1"/>
  <c r="G3483" i="1"/>
  <c r="J3482" i="1"/>
  <c r="G3482" i="1"/>
  <c r="AL3481" i="1"/>
  <c r="J3481" i="1"/>
  <c r="G3481" i="1"/>
  <c r="J3480" i="1"/>
  <c r="G3480" i="1"/>
  <c r="J3479" i="1"/>
  <c r="G3479" i="1"/>
  <c r="AL3478" i="1"/>
  <c r="J3478" i="1"/>
  <c r="G3478" i="1"/>
  <c r="AL3477" i="1"/>
  <c r="P3477" i="1"/>
  <c r="J3477" i="1"/>
  <c r="G3477" i="1"/>
  <c r="AL3476" i="1"/>
  <c r="P3476" i="1"/>
  <c r="J3476" i="1"/>
  <c r="G3476" i="1"/>
  <c r="AL3475" i="1"/>
  <c r="J3475" i="1"/>
  <c r="G3475" i="1"/>
  <c r="J3474" i="1"/>
  <c r="G3474" i="1"/>
  <c r="J3473" i="1"/>
  <c r="G3473" i="1"/>
  <c r="AL3472" i="1"/>
  <c r="P3472" i="1"/>
  <c r="J3472" i="1"/>
  <c r="G3472" i="1"/>
  <c r="AL3471" i="1"/>
  <c r="P3471" i="1"/>
  <c r="J3471" i="1"/>
  <c r="G3471" i="1"/>
  <c r="AL3470" i="1"/>
  <c r="J3470" i="1"/>
  <c r="G3470" i="1"/>
  <c r="J3469" i="1"/>
  <c r="G3469" i="1"/>
  <c r="J3468" i="1"/>
  <c r="G3468" i="1"/>
  <c r="J3467" i="1"/>
  <c r="G3467" i="1"/>
  <c r="AL3466" i="1"/>
  <c r="J3466" i="1"/>
  <c r="G3466" i="1"/>
  <c r="P3465" i="1"/>
  <c r="G3465" i="1"/>
  <c r="G3464" i="1"/>
  <c r="P3463" i="1"/>
  <c r="J3463" i="1"/>
  <c r="G3463" i="1"/>
  <c r="G3462" i="1"/>
  <c r="G3461" i="1"/>
  <c r="AL3460" i="1"/>
  <c r="P3460" i="1"/>
  <c r="J3460" i="1"/>
  <c r="G3460" i="1"/>
  <c r="J3459" i="1"/>
  <c r="G3459" i="1"/>
  <c r="J3458" i="1"/>
  <c r="G3458" i="1"/>
  <c r="AL3457" i="1"/>
  <c r="J3457" i="1"/>
  <c r="G3457" i="1"/>
  <c r="J3456" i="1"/>
  <c r="G3456" i="1"/>
  <c r="AL3455" i="1"/>
  <c r="J3455" i="1"/>
  <c r="G3455" i="1"/>
  <c r="J3454" i="1"/>
  <c r="G3454" i="1"/>
  <c r="J3453" i="1"/>
  <c r="G3453" i="1"/>
  <c r="P3452" i="1"/>
  <c r="J3452" i="1"/>
  <c r="G3452" i="1"/>
  <c r="AL3451" i="1"/>
  <c r="P3451" i="1"/>
  <c r="J3451" i="1"/>
  <c r="G3451" i="1"/>
  <c r="AL3450" i="1"/>
  <c r="P3450" i="1"/>
  <c r="J3450" i="1"/>
  <c r="G3450" i="1"/>
  <c r="AL3449" i="1"/>
  <c r="P3449" i="1"/>
  <c r="J3449" i="1"/>
  <c r="G3449" i="1"/>
  <c r="AL3448" i="1"/>
  <c r="J3448" i="1"/>
  <c r="G3448" i="1"/>
  <c r="J3447" i="1"/>
  <c r="G3447" i="1"/>
  <c r="AL3446" i="1"/>
  <c r="P3446" i="1"/>
  <c r="J3446" i="1"/>
  <c r="G3446" i="1"/>
  <c r="J3445" i="1"/>
  <c r="G3445" i="1"/>
  <c r="J3444" i="1"/>
  <c r="G3444" i="1"/>
  <c r="J3443" i="1"/>
  <c r="G3443" i="1"/>
  <c r="J3442" i="1"/>
  <c r="G3442" i="1"/>
  <c r="AL3441" i="1"/>
  <c r="J3441" i="1"/>
  <c r="G3441" i="1"/>
  <c r="J3440" i="1"/>
  <c r="G3440" i="1"/>
  <c r="AL3439" i="1"/>
  <c r="P3439" i="1"/>
  <c r="J3439" i="1"/>
  <c r="G3439" i="1"/>
  <c r="AL3438" i="1"/>
  <c r="P3438" i="1"/>
  <c r="J3438" i="1"/>
  <c r="G3438" i="1"/>
  <c r="P3437" i="1"/>
  <c r="J3437" i="1"/>
  <c r="G3437" i="1"/>
  <c r="P3436" i="1"/>
  <c r="J3436" i="1"/>
  <c r="G3436" i="1"/>
  <c r="AL3435" i="1"/>
  <c r="P3435" i="1"/>
  <c r="J3435" i="1"/>
  <c r="G3435" i="1"/>
  <c r="J3434" i="1"/>
  <c r="G3434" i="1"/>
  <c r="J3433" i="1"/>
  <c r="G3433" i="1"/>
  <c r="AL3432" i="1"/>
  <c r="P3432" i="1"/>
  <c r="J3432" i="1"/>
  <c r="G3432" i="1"/>
  <c r="J3431" i="1"/>
  <c r="G3431" i="1"/>
  <c r="AL3430" i="1"/>
  <c r="P3430" i="1"/>
  <c r="J3430" i="1"/>
  <c r="G3430" i="1"/>
  <c r="J3429" i="1"/>
  <c r="G3429" i="1"/>
  <c r="J3428" i="1"/>
  <c r="G3428" i="1"/>
  <c r="AL3427" i="1"/>
  <c r="P3427" i="1"/>
  <c r="J3427" i="1"/>
  <c r="G3427" i="1"/>
  <c r="AL3426" i="1"/>
  <c r="P3426" i="1"/>
  <c r="J3426" i="1"/>
  <c r="G3426" i="1"/>
  <c r="AL3425" i="1"/>
  <c r="P3425" i="1"/>
  <c r="J3425" i="1"/>
  <c r="G3425" i="1"/>
  <c r="J3424" i="1"/>
  <c r="G3424" i="1"/>
  <c r="J3423" i="1"/>
  <c r="G3423" i="1"/>
  <c r="AL3422" i="1"/>
  <c r="J3422" i="1"/>
  <c r="G3422" i="1"/>
  <c r="J3421" i="1"/>
  <c r="G3421" i="1"/>
  <c r="AL3420" i="1"/>
  <c r="J3420" i="1"/>
  <c r="G3420" i="1"/>
  <c r="J3419" i="1"/>
  <c r="G3419" i="1"/>
  <c r="AL3418" i="1"/>
  <c r="P3418" i="1"/>
  <c r="J3418" i="1"/>
  <c r="G3418" i="1"/>
  <c r="AL3417" i="1"/>
  <c r="J3417" i="1"/>
  <c r="G3417" i="1"/>
  <c r="AL3416" i="1"/>
  <c r="P3416" i="1"/>
  <c r="J3416" i="1"/>
  <c r="G3416" i="1"/>
  <c r="AL3415" i="1"/>
  <c r="J3415" i="1"/>
  <c r="G3415" i="1"/>
  <c r="AL3414" i="1"/>
  <c r="P3414" i="1"/>
  <c r="J3414" i="1"/>
  <c r="G3414" i="1"/>
  <c r="AL3413" i="1"/>
  <c r="P3413" i="1"/>
  <c r="J3413" i="1"/>
  <c r="G3413" i="1"/>
  <c r="AL3412" i="1"/>
  <c r="J3412" i="1"/>
  <c r="G3412" i="1"/>
  <c r="AL3411" i="1"/>
  <c r="P3411" i="1"/>
  <c r="J3411" i="1"/>
  <c r="G3411" i="1"/>
  <c r="J3410" i="1"/>
  <c r="G3410" i="1"/>
  <c r="J3409" i="1"/>
  <c r="G3409" i="1"/>
  <c r="J3408" i="1"/>
  <c r="G3408" i="1"/>
  <c r="AL3407" i="1"/>
  <c r="J3407" i="1"/>
  <c r="G3407" i="1"/>
  <c r="J3406" i="1"/>
  <c r="G3406" i="1"/>
  <c r="AL3405" i="1"/>
  <c r="P3405" i="1"/>
  <c r="J3405" i="1"/>
  <c r="G3405" i="1"/>
  <c r="AL3404" i="1"/>
  <c r="P3404" i="1"/>
  <c r="J3404" i="1"/>
  <c r="G3404" i="1"/>
  <c r="AL3403" i="1"/>
  <c r="J3403" i="1"/>
  <c r="G3403" i="1"/>
  <c r="AL3402" i="1"/>
  <c r="P3402" i="1"/>
  <c r="J3402" i="1"/>
  <c r="G3402" i="1"/>
  <c r="AL3401" i="1"/>
  <c r="P3401" i="1"/>
  <c r="J3401" i="1"/>
  <c r="G3401" i="1"/>
  <c r="AL3400" i="1"/>
  <c r="P3400" i="1"/>
  <c r="J3400" i="1"/>
  <c r="G3400" i="1"/>
  <c r="J3399" i="1"/>
  <c r="G3399" i="1"/>
  <c r="J3398" i="1"/>
  <c r="G3398" i="1"/>
  <c r="J3397" i="1"/>
  <c r="G3397" i="1"/>
  <c r="J3396" i="1"/>
  <c r="G3396" i="1"/>
  <c r="AL3395" i="1"/>
  <c r="J3395" i="1"/>
  <c r="G3395" i="1"/>
  <c r="J3394" i="1"/>
  <c r="G3394" i="1"/>
  <c r="J3393" i="1"/>
  <c r="G3393" i="1"/>
  <c r="J3392" i="1"/>
  <c r="G3392" i="1"/>
  <c r="AL3391" i="1"/>
  <c r="P3391" i="1"/>
  <c r="J3391" i="1"/>
  <c r="G3391" i="1"/>
  <c r="AL3390" i="1"/>
  <c r="P3390" i="1"/>
  <c r="J3390" i="1"/>
  <c r="G3390" i="1"/>
  <c r="J3389" i="1"/>
  <c r="G3389" i="1"/>
  <c r="J3388" i="1"/>
  <c r="G3388" i="1"/>
  <c r="AL3387" i="1"/>
  <c r="P3387" i="1"/>
  <c r="J3387" i="1"/>
  <c r="G3387" i="1"/>
  <c r="J3386" i="1"/>
  <c r="G3386" i="1"/>
  <c r="J3385" i="1"/>
  <c r="G3385" i="1"/>
  <c r="AL3384" i="1"/>
  <c r="P3384" i="1"/>
  <c r="J3384" i="1"/>
  <c r="G3384" i="1"/>
  <c r="AL3383" i="1"/>
  <c r="J3383" i="1"/>
  <c r="G3383" i="1"/>
  <c r="AL3382" i="1"/>
  <c r="J3382" i="1"/>
  <c r="G3382" i="1"/>
  <c r="AL3381" i="1"/>
  <c r="P3381" i="1"/>
  <c r="J3381" i="1"/>
  <c r="G3381" i="1"/>
  <c r="J3380" i="1"/>
  <c r="G3380" i="1"/>
  <c r="J3379" i="1"/>
  <c r="G3379" i="1"/>
  <c r="AL3378" i="1"/>
  <c r="J3378" i="1"/>
  <c r="G3378" i="1"/>
  <c r="J3377" i="1"/>
  <c r="G3377" i="1"/>
  <c r="J3376" i="1"/>
  <c r="G3376" i="1"/>
  <c r="J3375" i="1"/>
  <c r="G3375" i="1"/>
  <c r="AL3374" i="1"/>
  <c r="P3374" i="1"/>
  <c r="J3374" i="1"/>
  <c r="G3374" i="1"/>
  <c r="AL3373" i="1"/>
  <c r="P3373" i="1"/>
  <c r="J3373" i="1"/>
  <c r="G3373" i="1"/>
  <c r="J3372" i="1"/>
  <c r="G3372" i="1"/>
  <c r="J3371" i="1"/>
  <c r="G3371" i="1"/>
  <c r="J3370" i="1"/>
  <c r="G3370" i="1"/>
  <c r="AL3369" i="1"/>
  <c r="P3369" i="1"/>
  <c r="J3369" i="1"/>
  <c r="G3369" i="1"/>
  <c r="J3368" i="1"/>
  <c r="G3368" i="1"/>
  <c r="AL3367" i="1"/>
  <c r="P3367" i="1"/>
  <c r="J3367" i="1"/>
  <c r="G3367" i="1"/>
  <c r="J3366" i="1"/>
  <c r="G3366" i="1"/>
  <c r="AL3365" i="1"/>
  <c r="P3365" i="1"/>
  <c r="J3365" i="1"/>
  <c r="G3365" i="1"/>
  <c r="AL3364" i="1"/>
  <c r="P3364" i="1"/>
  <c r="J3364" i="1"/>
  <c r="G3364" i="1"/>
  <c r="P3363" i="1"/>
  <c r="G3363" i="1"/>
  <c r="J3362" i="1"/>
  <c r="G3362" i="1"/>
  <c r="AL3361" i="1"/>
  <c r="P3361" i="1"/>
  <c r="J3361" i="1"/>
  <c r="G3361" i="1"/>
  <c r="AL3360" i="1"/>
  <c r="P3360" i="1"/>
  <c r="J3360" i="1"/>
  <c r="G3360" i="1"/>
  <c r="AL3359" i="1"/>
  <c r="P3359" i="1"/>
  <c r="J3359" i="1"/>
  <c r="G3359" i="1"/>
  <c r="AL3358" i="1"/>
  <c r="P3358" i="1"/>
  <c r="J3358" i="1"/>
  <c r="G3358" i="1"/>
  <c r="AL3357" i="1"/>
  <c r="P3357" i="1"/>
  <c r="J3357" i="1"/>
  <c r="G3357" i="1"/>
  <c r="AL3356" i="1"/>
  <c r="J3356" i="1"/>
  <c r="G3356" i="1"/>
  <c r="J3355" i="1"/>
  <c r="G3355" i="1"/>
  <c r="J3354" i="1"/>
  <c r="G3354" i="1"/>
  <c r="AL3353" i="1"/>
  <c r="J3353" i="1"/>
  <c r="G3353" i="1"/>
  <c r="AL3352" i="1"/>
  <c r="J3352" i="1"/>
  <c r="G3352" i="1"/>
  <c r="J3351" i="1"/>
  <c r="G3351" i="1"/>
  <c r="AL3350" i="1"/>
  <c r="P3350" i="1"/>
  <c r="J3350" i="1"/>
  <c r="G3350" i="1"/>
  <c r="AL3349" i="1"/>
  <c r="J3349" i="1"/>
  <c r="G3349" i="1"/>
  <c r="J3348" i="1"/>
  <c r="G3348" i="1"/>
  <c r="P3347" i="1"/>
  <c r="J3347" i="1"/>
  <c r="G3347" i="1"/>
  <c r="J3346" i="1"/>
  <c r="G3346" i="1"/>
  <c r="J3345" i="1"/>
  <c r="G3345" i="1"/>
  <c r="J3344" i="1"/>
  <c r="G3344" i="1"/>
  <c r="J3343" i="1"/>
  <c r="G3343" i="1"/>
  <c r="J3342" i="1"/>
  <c r="G3342" i="1"/>
  <c r="P3341" i="1"/>
  <c r="G3341" i="1"/>
  <c r="J3340" i="1"/>
  <c r="G3340" i="1"/>
  <c r="AL3339" i="1"/>
  <c r="J3339" i="1"/>
  <c r="G3339" i="1"/>
  <c r="J3338" i="1"/>
  <c r="G3338" i="1"/>
  <c r="J3337" i="1"/>
  <c r="G3337" i="1"/>
  <c r="AL3336" i="1"/>
  <c r="P3336" i="1"/>
  <c r="J3336" i="1"/>
  <c r="G3336" i="1"/>
  <c r="AL3335" i="1"/>
  <c r="J3335" i="1"/>
  <c r="G3335" i="1"/>
  <c r="AL3334" i="1"/>
  <c r="P3334" i="1"/>
  <c r="J3334" i="1"/>
  <c r="G3334" i="1"/>
  <c r="AL3333" i="1"/>
  <c r="P3333" i="1"/>
  <c r="J3333" i="1"/>
  <c r="G3333" i="1"/>
  <c r="AL3332" i="1"/>
  <c r="P3332" i="1"/>
  <c r="J3332" i="1"/>
  <c r="G3332" i="1"/>
  <c r="AL3331" i="1"/>
  <c r="P3331" i="1"/>
  <c r="J3331" i="1"/>
  <c r="G3331" i="1"/>
  <c r="AL3330" i="1"/>
  <c r="J3330" i="1"/>
  <c r="G3330" i="1"/>
  <c r="P3329" i="1"/>
  <c r="J3329" i="1"/>
  <c r="G3329" i="1"/>
  <c r="J3328" i="1"/>
  <c r="G3328" i="1"/>
  <c r="J3327" i="1"/>
  <c r="G3327" i="1"/>
  <c r="AL3326" i="1"/>
  <c r="J3326" i="1"/>
  <c r="G3326" i="1"/>
  <c r="AL3325" i="1"/>
  <c r="J3325" i="1"/>
  <c r="G3325" i="1"/>
  <c r="AL3324" i="1"/>
  <c r="P3324" i="1"/>
  <c r="J3324" i="1"/>
  <c r="G3324" i="1"/>
  <c r="AL3323" i="1"/>
  <c r="J3323" i="1"/>
  <c r="G3323" i="1"/>
  <c r="J3322" i="1"/>
  <c r="G3322" i="1"/>
  <c r="AL3321" i="1"/>
  <c r="P3321" i="1"/>
  <c r="J3321" i="1"/>
  <c r="G3321" i="1"/>
  <c r="AL3320" i="1"/>
  <c r="P3320" i="1"/>
  <c r="J3320" i="1"/>
  <c r="G3320" i="1"/>
  <c r="AL3319" i="1"/>
  <c r="P3319" i="1"/>
  <c r="J3319" i="1"/>
  <c r="G3319" i="1"/>
  <c r="AL3318" i="1"/>
  <c r="J3318" i="1"/>
  <c r="G3318" i="1"/>
  <c r="AL3317" i="1"/>
  <c r="J3317" i="1"/>
  <c r="G3317" i="1"/>
  <c r="AL3316" i="1"/>
  <c r="J3316" i="1"/>
  <c r="G3316" i="1"/>
  <c r="AL3315" i="1"/>
  <c r="J3315" i="1"/>
  <c r="G3315" i="1"/>
  <c r="AL3314" i="1"/>
  <c r="J3314" i="1"/>
  <c r="G3314" i="1"/>
  <c r="AL3313" i="1"/>
  <c r="J3313" i="1"/>
  <c r="G3313" i="1"/>
  <c r="J3312" i="1"/>
  <c r="G3312" i="1"/>
  <c r="AL3311" i="1"/>
  <c r="P3311" i="1"/>
  <c r="J3311" i="1"/>
  <c r="G3311" i="1"/>
  <c r="J3310" i="1"/>
  <c r="G3310" i="1"/>
  <c r="AL3309" i="1"/>
  <c r="P3309" i="1"/>
  <c r="J3309" i="1"/>
  <c r="G3309" i="1"/>
  <c r="AL3308" i="1"/>
  <c r="J3308" i="1"/>
  <c r="G3308" i="1"/>
  <c r="J3307" i="1"/>
  <c r="G3307" i="1"/>
  <c r="J3306" i="1"/>
  <c r="G3306" i="1"/>
  <c r="AL3305" i="1"/>
  <c r="J3305" i="1"/>
  <c r="G3305" i="1"/>
  <c r="J3304" i="1"/>
  <c r="G3304" i="1"/>
  <c r="AL3303" i="1"/>
  <c r="P3303" i="1"/>
  <c r="J3303" i="1"/>
  <c r="G3303" i="1"/>
  <c r="J3302" i="1"/>
  <c r="G3302" i="1"/>
  <c r="J3301" i="1"/>
  <c r="G3301" i="1"/>
  <c r="J3300" i="1"/>
  <c r="G3300" i="1"/>
  <c r="J3299" i="1"/>
  <c r="G3299" i="1"/>
  <c r="J3298" i="1"/>
  <c r="G3298" i="1"/>
  <c r="AL3297" i="1"/>
  <c r="P3297" i="1"/>
  <c r="J3297" i="1"/>
  <c r="G3297" i="1"/>
  <c r="AL3296" i="1"/>
  <c r="P3296" i="1"/>
  <c r="J3296" i="1"/>
  <c r="G3296" i="1"/>
  <c r="AL3295" i="1"/>
  <c r="J3295" i="1"/>
  <c r="G3295" i="1"/>
  <c r="AL3294" i="1"/>
  <c r="P3294" i="1"/>
  <c r="J3294" i="1"/>
  <c r="G3294" i="1"/>
  <c r="J3293" i="1"/>
  <c r="G3293" i="1"/>
  <c r="J3292" i="1"/>
  <c r="G3292" i="1"/>
  <c r="J3291" i="1"/>
  <c r="G3291" i="1"/>
  <c r="J3290" i="1"/>
  <c r="G3290" i="1"/>
  <c r="J3289" i="1"/>
  <c r="G3289" i="1"/>
  <c r="J3288" i="1"/>
  <c r="G3288" i="1"/>
  <c r="J3287" i="1"/>
  <c r="G3287" i="1"/>
  <c r="AL3286" i="1"/>
  <c r="P3286" i="1"/>
  <c r="J3286" i="1"/>
  <c r="G3286" i="1"/>
  <c r="AL3285" i="1"/>
  <c r="J3285" i="1"/>
  <c r="G3285" i="1"/>
  <c r="AL3284" i="1"/>
  <c r="J3284" i="1"/>
  <c r="G3284" i="1"/>
  <c r="J3283" i="1"/>
  <c r="G3283" i="1"/>
  <c r="AL3282" i="1"/>
  <c r="P3282" i="1"/>
  <c r="J3282" i="1"/>
  <c r="G3282" i="1"/>
  <c r="AL3281" i="1"/>
  <c r="P3281" i="1"/>
  <c r="J3281" i="1"/>
  <c r="G3281" i="1"/>
  <c r="J3280" i="1"/>
  <c r="G3280" i="1"/>
  <c r="AL3279" i="1"/>
  <c r="J3279" i="1"/>
  <c r="G3279" i="1"/>
  <c r="AL3278" i="1"/>
  <c r="P3278" i="1"/>
  <c r="J3278" i="1"/>
  <c r="G3278" i="1"/>
  <c r="J3277" i="1"/>
  <c r="G3277" i="1"/>
  <c r="AL3276" i="1"/>
  <c r="P3276" i="1"/>
  <c r="J3276" i="1"/>
  <c r="G3276" i="1"/>
  <c r="J3275" i="1"/>
  <c r="G3275" i="1"/>
  <c r="J3274" i="1"/>
  <c r="G3274" i="1"/>
  <c r="J3273" i="1"/>
  <c r="G3273" i="1"/>
  <c r="AL3272" i="1"/>
  <c r="P3272" i="1"/>
  <c r="J3272" i="1"/>
  <c r="G3272" i="1"/>
  <c r="AL3271" i="1"/>
  <c r="J3271" i="1"/>
  <c r="G3271" i="1"/>
  <c r="AL3270" i="1"/>
  <c r="J3270" i="1"/>
  <c r="G3270" i="1"/>
  <c r="J3269" i="1"/>
  <c r="G3269" i="1"/>
  <c r="J3268" i="1"/>
  <c r="G3268" i="1"/>
  <c r="AL3267" i="1"/>
  <c r="J3267" i="1"/>
  <c r="G3267" i="1"/>
  <c r="AL3266" i="1"/>
  <c r="P3266" i="1"/>
  <c r="J3266" i="1"/>
  <c r="G3266" i="1"/>
  <c r="AL3265" i="1"/>
  <c r="P3265" i="1"/>
  <c r="J3265" i="1"/>
  <c r="G3265" i="1"/>
  <c r="J3264" i="1"/>
  <c r="G3264" i="1"/>
  <c r="AL3263" i="1"/>
  <c r="P3263" i="1"/>
  <c r="J3263" i="1"/>
  <c r="G3263" i="1"/>
  <c r="J3262" i="1"/>
  <c r="G3262" i="1"/>
  <c r="J3261" i="1"/>
  <c r="G3261" i="1"/>
  <c r="J3260" i="1"/>
  <c r="G3260" i="1"/>
  <c r="J3259" i="1"/>
  <c r="G3259" i="1"/>
  <c r="J3258" i="1"/>
  <c r="G3258" i="1"/>
  <c r="AL3257" i="1"/>
  <c r="J3257" i="1"/>
  <c r="G3257" i="1"/>
  <c r="AL3256" i="1"/>
  <c r="P3256" i="1"/>
  <c r="J3256" i="1"/>
  <c r="G3256" i="1"/>
  <c r="J3255" i="1"/>
  <c r="G3255" i="1"/>
  <c r="J3254" i="1"/>
  <c r="G3254" i="1"/>
  <c r="J3253" i="1"/>
  <c r="G3253" i="1"/>
  <c r="AL3252" i="1"/>
  <c r="P3252" i="1"/>
  <c r="J3252" i="1"/>
  <c r="G3252" i="1"/>
  <c r="J3251" i="1"/>
  <c r="G3251" i="1"/>
  <c r="AL3250" i="1"/>
  <c r="J3250" i="1"/>
  <c r="G3250" i="1"/>
  <c r="AL3249" i="1"/>
  <c r="P3249" i="1"/>
  <c r="J3249" i="1"/>
  <c r="G3249" i="1"/>
  <c r="J3248" i="1"/>
  <c r="G3248" i="1"/>
  <c r="J3247" i="1"/>
  <c r="G3247" i="1"/>
  <c r="AL3246" i="1"/>
  <c r="J3246" i="1"/>
  <c r="G3246" i="1"/>
  <c r="J3245" i="1"/>
  <c r="G3245" i="1"/>
  <c r="AL3244" i="1"/>
  <c r="J3244" i="1"/>
  <c r="G3244" i="1"/>
  <c r="AL3243" i="1"/>
  <c r="J3243" i="1"/>
  <c r="G3243" i="1"/>
  <c r="AL3242" i="1"/>
  <c r="J3242" i="1"/>
  <c r="G3242" i="1"/>
  <c r="J3241" i="1"/>
  <c r="G3241" i="1"/>
  <c r="J3240" i="1"/>
  <c r="G3240" i="1"/>
  <c r="J3239" i="1"/>
  <c r="G3239" i="1"/>
  <c r="AL3238" i="1"/>
  <c r="P3238" i="1"/>
  <c r="J3238" i="1"/>
  <c r="G3238" i="1"/>
  <c r="AL3237" i="1"/>
  <c r="J3237" i="1"/>
  <c r="G3237" i="1"/>
  <c r="J3236" i="1"/>
  <c r="G3236" i="1"/>
  <c r="J3235" i="1"/>
  <c r="G3235" i="1"/>
  <c r="J3234" i="1"/>
  <c r="G3234" i="1"/>
  <c r="AL3233" i="1"/>
  <c r="J3233" i="1"/>
  <c r="G3233" i="1"/>
  <c r="P3232" i="1"/>
  <c r="J3232" i="1"/>
  <c r="G3232" i="1"/>
  <c r="AL3231" i="1"/>
  <c r="P3231" i="1"/>
  <c r="J3231" i="1"/>
  <c r="G3231" i="1"/>
  <c r="AL3230" i="1"/>
  <c r="P3230" i="1"/>
  <c r="J3230" i="1"/>
  <c r="G3230" i="1"/>
  <c r="J3229" i="1"/>
  <c r="G3229" i="1"/>
  <c r="AL3228" i="1"/>
  <c r="P3228" i="1"/>
  <c r="J3228" i="1"/>
  <c r="G3228" i="1"/>
  <c r="J3227" i="1"/>
  <c r="G3227" i="1"/>
  <c r="AL3226" i="1"/>
  <c r="J3226" i="1"/>
  <c r="G3226" i="1"/>
  <c r="J3225" i="1"/>
  <c r="G3225" i="1"/>
  <c r="AL3224" i="1"/>
  <c r="P3224" i="1"/>
  <c r="J3224" i="1"/>
  <c r="G3224" i="1"/>
  <c r="P3223" i="1"/>
  <c r="G3223" i="1"/>
  <c r="AL3222" i="1"/>
  <c r="P3222" i="1"/>
  <c r="J3222" i="1"/>
  <c r="G3222" i="1"/>
  <c r="J3221" i="1"/>
  <c r="G3221" i="1"/>
  <c r="AL3220" i="1"/>
  <c r="P3220" i="1"/>
  <c r="J3220" i="1"/>
  <c r="G3220" i="1"/>
  <c r="AL3219" i="1"/>
  <c r="P3219" i="1"/>
  <c r="J3219" i="1"/>
  <c r="G3219" i="1"/>
  <c r="AL3218" i="1"/>
  <c r="P3218" i="1"/>
  <c r="J3218" i="1"/>
  <c r="G3218" i="1"/>
  <c r="AL3217" i="1"/>
  <c r="P3217" i="1"/>
  <c r="J3217" i="1"/>
  <c r="G3217" i="1"/>
  <c r="J3216" i="1"/>
  <c r="G3216" i="1"/>
  <c r="AL3215" i="1"/>
  <c r="P3215" i="1"/>
  <c r="J3215" i="1"/>
  <c r="G3215" i="1"/>
  <c r="J3214" i="1"/>
  <c r="G3214" i="1"/>
  <c r="AL3213" i="1"/>
  <c r="P3213" i="1"/>
  <c r="J3213" i="1"/>
  <c r="G3213" i="1"/>
  <c r="J3212" i="1"/>
  <c r="G3212" i="1"/>
  <c r="J3211" i="1"/>
  <c r="G3211" i="1"/>
  <c r="J3210" i="1"/>
  <c r="G3210" i="1"/>
  <c r="AL3209" i="1"/>
  <c r="P3209" i="1"/>
  <c r="J3209" i="1"/>
  <c r="G3209" i="1"/>
  <c r="J3208" i="1"/>
  <c r="G3208" i="1"/>
  <c r="AL3207" i="1"/>
  <c r="P3207" i="1"/>
  <c r="J3207" i="1"/>
  <c r="G3207" i="1"/>
  <c r="AL3206" i="1"/>
  <c r="P3206" i="1"/>
  <c r="J3206" i="1"/>
  <c r="G3206" i="1"/>
  <c r="AL3205" i="1"/>
  <c r="P3205" i="1"/>
  <c r="J3205" i="1"/>
  <c r="G3205" i="1"/>
  <c r="J3204" i="1"/>
  <c r="G3204" i="1"/>
  <c r="AL3203" i="1"/>
  <c r="P3203" i="1"/>
  <c r="J3203" i="1"/>
  <c r="G3203" i="1"/>
  <c r="J3202" i="1"/>
  <c r="G3202" i="1"/>
  <c r="AL3201" i="1"/>
  <c r="J3201" i="1"/>
  <c r="G3201" i="1"/>
  <c r="J3200" i="1"/>
  <c r="G3200" i="1"/>
  <c r="AL3199" i="1"/>
  <c r="J3199" i="1"/>
  <c r="G3199" i="1"/>
  <c r="J3198" i="1"/>
  <c r="G3198" i="1"/>
  <c r="P3197" i="1"/>
  <c r="J3197" i="1"/>
  <c r="G3197" i="1"/>
  <c r="AL3196" i="1"/>
  <c r="P3196" i="1"/>
  <c r="J3196" i="1"/>
  <c r="G3196" i="1"/>
  <c r="J3195" i="1"/>
  <c r="G3195" i="1"/>
  <c r="AL3194" i="1"/>
  <c r="P3194" i="1"/>
  <c r="J3194" i="1"/>
  <c r="G3194" i="1"/>
  <c r="AL3193" i="1"/>
  <c r="J3193" i="1"/>
  <c r="G3193" i="1"/>
  <c r="AL3192" i="1"/>
  <c r="P3192" i="1"/>
  <c r="J3192" i="1"/>
  <c r="G3192" i="1"/>
  <c r="J3191" i="1"/>
  <c r="G3191" i="1"/>
  <c r="P3190" i="1"/>
  <c r="J3190" i="1"/>
  <c r="G3190" i="1"/>
  <c r="AL3189" i="1"/>
  <c r="P3189" i="1"/>
  <c r="J3189" i="1"/>
  <c r="G3189" i="1"/>
  <c r="AL3188" i="1"/>
  <c r="J3188" i="1"/>
  <c r="G3188" i="1"/>
  <c r="AL3187" i="1"/>
  <c r="P3187" i="1"/>
  <c r="J3187" i="1"/>
  <c r="G3187" i="1"/>
  <c r="J3186" i="1"/>
  <c r="G3186" i="1"/>
  <c r="J3185" i="1"/>
  <c r="G3185" i="1"/>
  <c r="AL3184" i="1"/>
  <c r="J3184" i="1"/>
  <c r="G3184" i="1"/>
  <c r="AL3183" i="1"/>
  <c r="J3183" i="1"/>
  <c r="G3183" i="1"/>
  <c r="AL3182" i="1"/>
  <c r="J3182" i="1"/>
  <c r="G3182" i="1"/>
  <c r="AL3181" i="1"/>
  <c r="J3181" i="1"/>
  <c r="G3181" i="1"/>
  <c r="AL3180" i="1"/>
  <c r="J3180" i="1"/>
  <c r="G3180" i="1"/>
  <c r="AL3179" i="1"/>
  <c r="J3179" i="1"/>
  <c r="G3179" i="1"/>
  <c r="AL3178" i="1"/>
  <c r="J3178" i="1"/>
  <c r="G3178" i="1"/>
  <c r="AL3177" i="1"/>
  <c r="J3177" i="1"/>
  <c r="G3177" i="1"/>
  <c r="AL3176" i="1"/>
  <c r="J3176" i="1"/>
  <c r="G3176" i="1"/>
  <c r="AL3175" i="1"/>
  <c r="J3175" i="1"/>
  <c r="G3175" i="1"/>
  <c r="AL3174" i="1"/>
  <c r="J3174" i="1"/>
  <c r="G3174" i="1"/>
  <c r="AL3173" i="1"/>
  <c r="J3173" i="1"/>
  <c r="G3173" i="1"/>
  <c r="AL3172" i="1"/>
  <c r="P3172" i="1"/>
  <c r="J3172" i="1"/>
  <c r="G3172" i="1"/>
  <c r="AL3171" i="1"/>
  <c r="J3171" i="1"/>
  <c r="G3171" i="1"/>
  <c r="AL3170" i="1"/>
  <c r="P3170" i="1"/>
  <c r="J3170" i="1"/>
  <c r="G3170" i="1"/>
  <c r="AL3169" i="1"/>
  <c r="P3169" i="1"/>
  <c r="J3169" i="1"/>
  <c r="G3169" i="1"/>
  <c r="AL3168" i="1"/>
  <c r="J3168" i="1"/>
  <c r="G3168" i="1"/>
  <c r="AL3167" i="1"/>
  <c r="P3167" i="1"/>
  <c r="J3167" i="1"/>
  <c r="G3167" i="1"/>
  <c r="J3166" i="1"/>
  <c r="G3166" i="1"/>
  <c r="AL3165" i="1"/>
  <c r="J3165" i="1"/>
  <c r="G3165" i="1"/>
  <c r="AL3164" i="1"/>
  <c r="J3164" i="1"/>
  <c r="G3164" i="1"/>
  <c r="AL3163" i="1"/>
  <c r="J3163" i="1"/>
  <c r="G3163" i="1"/>
  <c r="AL3162" i="1"/>
  <c r="J3162" i="1"/>
  <c r="G3162" i="1"/>
  <c r="AL3161" i="1"/>
  <c r="J3161" i="1"/>
  <c r="G3161" i="1"/>
  <c r="AL3160" i="1"/>
  <c r="J3160" i="1"/>
  <c r="G3160" i="1"/>
  <c r="J3159" i="1"/>
  <c r="G3159" i="1"/>
  <c r="J3158" i="1"/>
  <c r="G3158" i="1"/>
  <c r="AL3157" i="1"/>
  <c r="J3157" i="1"/>
  <c r="G3157" i="1"/>
  <c r="AL3156" i="1"/>
  <c r="J3156" i="1"/>
  <c r="G3156" i="1"/>
  <c r="AL3155" i="1"/>
  <c r="J3155" i="1"/>
  <c r="G3155" i="1"/>
  <c r="J3154" i="1"/>
  <c r="G3154" i="1"/>
  <c r="AL3153" i="1"/>
  <c r="J3153" i="1"/>
  <c r="G3153" i="1"/>
  <c r="J3152" i="1"/>
  <c r="G3152" i="1"/>
  <c r="AL3151" i="1"/>
  <c r="P3151" i="1"/>
  <c r="J3151" i="1"/>
  <c r="G3151" i="1"/>
  <c r="J3150" i="1"/>
  <c r="G3150" i="1"/>
  <c r="P3149" i="1"/>
  <c r="J3149" i="1"/>
  <c r="G3149" i="1"/>
  <c r="J3148" i="1"/>
  <c r="G3148" i="1"/>
  <c r="AL3147" i="1"/>
  <c r="J3147" i="1"/>
  <c r="G3147" i="1"/>
  <c r="AL3146" i="1"/>
  <c r="J3146" i="1"/>
  <c r="G3146" i="1"/>
  <c r="J3145" i="1"/>
  <c r="G3145" i="1"/>
  <c r="AL3144" i="1"/>
  <c r="J3144" i="1"/>
  <c r="G3144" i="1"/>
  <c r="AL3143" i="1"/>
  <c r="J3143" i="1"/>
  <c r="G3143" i="1"/>
  <c r="AL3142" i="1"/>
  <c r="J3142" i="1"/>
  <c r="G3142" i="1"/>
  <c r="AL3141" i="1"/>
  <c r="J3141" i="1"/>
  <c r="G3141" i="1"/>
  <c r="AL3140" i="1"/>
  <c r="P3140" i="1"/>
  <c r="J3140" i="1"/>
  <c r="G3140" i="1"/>
  <c r="AL3139" i="1"/>
  <c r="J3139" i="1"/>
  <c r="G3139" i="1"/>
  <c r="AL3138" i="1"/>
  <c r="J3138" i="1"/>
  <c r="G3138" i="1"/>
  <c r="AL3137" i="1"/>
  <c r="P3137" i="1"/>
  <c r="J3137" i="1"/>
  <c r="G3137" i="1"/>
  <c r="AL3136" i="1"/>
  <c r="P3136" i="1"/>
  <c r="J3136" i="1"/>
  <c r="G3136" i="1"/>
  <c r="AL3135" i="1"/>
  <c r="J3135" i="1"/>
  <c r="G3135" i="1"/>
  <c r="AL3134" i="1"/>
  <c r="P3134" i="1"/>
  <c r="J3134" i="1"/>
  <c r="G3134" i="1"/>
  <c r="AL3133" i="1"/>
  <c r="P3133" i="1"/>
  <c r="J3133" i="1"/>
  <c r="G3133" i="1"/>
  <c r="G3132" i="1"/>
  <c r="AL3131" i="1"/>
  <c r="P3131" i="1"/>
  <c r="J3131" i="1"/>
  <c r="G3131" i="1"/>
  <c r="AL3130" i="1"/>
  <c r="J3130" i="1"/>
  <c r="G3130" i="1"/>
  <c r="AL3129" i="1"/>
  <c r="J3129" i="1"/>
  <c r="G3129" i="1"/>
  <c r="AL3128" i="1"/>
  <c r="J3128" i="1"/>
  <c r="G3128" i="1"/>
  <c r="AL3127" i="1"/>
  <c r="J3127" i="1"/>
  <c r="G3127" i="1"/>
  <c r="AL3126" i="1"/>
  <c r="J3126" i="1"/>
  <c r="G3126" i="1"/>
  <c r="AL3125" i="1"/>
  <c r="J3125" i="1"/>
  <c r="G3125" i="1"/>
  <c r="P3124" i="1"/>
  <c r="J3124" i="1"/>
  <c r="G3124" i="1"/>
  <c r="J3123" i="1"/>
  <c r="G3123" i="1"/>
  <c r="AL3122" i="1"/>
  <c r="P3122" i="1"/>
  <c r="J3122" i="1"/>
  <c r="G3122" i="1"/>
  <c r="AL3121" i="1"/>
  <c r="P3121" i="1"/>
  <c r="J3121" i="1"/>
  <c r="G3121" i="1"/>
  <c r="AL3120" i="1"/>
  <c r="J3120" i="1"/>
  <c r="G3120" i="1"/>
  <c r="AL3119" i="1"/>
  <c r="P3119" i="1"/>
  <c r="J3119" i="1"/>
  <c r="G3119" i="1"/>
  <c r="AL3118" i="1"/>
  <c r="J3118" i="1"/>
  <c r="G3118" i="1"/>
  <c r="J3117" i="1"/>
  <c r="G3117" i="1"/>
  <c r="AL3116" i="1"/>
  <c r="J3116" i="1"/>
  <c r="G3116" i="1"/>
  <c r="AL3115" i="1"/>
  <c r="J3115" i="1"/>
  <c r="G3115" i="1"/>
  <c r="AL3114" i="1"/>
  <c r="J3114" i="1"/>
  <c r="G3114" i="1"/>
  <c r="AL3113" i="1"/>
  <c r="J3113" i="1"/>
  <c r="G3113" i="1"/>
  <c r="AL3112" i="1"/>
  <c r="J3112" i="1"/>
  <c r="G3112" i="1"/>
  <c r="AL3111" i="1"/>
  <c r="J3111" i="1"/>
  <c r="G3111" i="1"/>
  <c r="AL3110" i="1"/>
  <c r="P3110" i="1"/>
  <c r="J3110" i="1"/>
  <c r="G3110" i="1"/>
  <c r="J3109" i="1"/>
  <c r="G3109" i="1"/>
  <c r="J3108" i="1"/>
  <c r="G3108" i="1"/>
  <c r="AL3107" i="1"/>
  <c r="J3107" i="1"/>
  <c r="G3107" i="1"/>
  <c r="J3106" i="1"/>
  <c r="G3106" i="1"/>
  <c r="AL3105" i="1"/>
  <c r="J3105" i="1"/>
  <c r="G3105" i="1"/>
  <c r="AL3104" i="1"/>
  <c r="P3104" i="1"/>
  <c r="J3104" i="1"/>
  <c r="G3104" i="1"/>
  <c r="J3103" i="1"/>
  <c r="G3103" i="1"/>
  <c r="J3102" i="1"/>
  <c r="G3102" i="1"/>
  <c r="AL3101" i="1"/>
  <c r="P3101" i="1"/>
  <c r="J3101" i="1"/>
  <c r="G3101" i="1"/>
  <c r="AL3100" i="1"/>
  <c r="P3100" i="1"/>
  <c r="J3100" i="1"/>
  <c r="G3100" i="1"/>
  <c r="AL3099" i="1"/>
  <c r="J3099" i="1"/>
  <c r="G3099" i="1"/>
  <c r="AL3098" i="1"/>
  <c r="P3098" i="1"/>
  <c r="J3098" i="1"/>
  <c r="G3098" i="1"/>
  <c r="J3097" i="1"/>
  <c r="G3097" i="1"/>
  <c r="AL3096" i="1"/>
  <c r="J3096" i="1"/>
  <c r="G3096" i="1"/>
  <c r="AL3095" i="1"/>
  <c r="J3095" i="1"/>
  <c r="G3095" i="1"/>
  <c r="J3094" i="1"/>
  <c r="G3094" i="1"/>
  <c r="AL3093" i="1"/>
  <c r="P3093" i="1"/>
  <c r="J3093" i="1"/>
  <c r="G3093" i="1"/>
  <c r="J3092" i="1"/>
  <c r="G3092" i="1"/>
  <c r="J3091" i="1"/>
  <c r="G3091" i="1"/>
  <c r="G3090" i="1"/>
  <c r="AL3089" i="1"/>
  <c r="J3089" i="1"/>
  <c r="G3089" i="1"/>
  <c r="J3088" i="1"/>
  <c r="G3088" i="1"/>
  <c r="J3087" i="1"/>
  <c r="G3087" i="1"/>
  <c r="J3086" i="1"/>
  <c r="G3086" i="1"/>
  <c r="J3085" i="1"/>
  <c r="G3085" i="1"/>
  <c r="J3084" i="1"/>
  <c r="G3084" i="1"/>
  <c r="AL3083" i="1"/>
  <c r="J3083" i="1"/>
  <c r="G3083" i="1"/>
  <c r="J3082" i="1"/>
  <c r="G3082" i="1"/>
  <c r="AL3081" i="1"/>
  <c r="J3081" i="1"/>
  <c r="G3081" i="1"/>
  <c r="AL3080" i="1"/>
  <c r="J3080" i="1"/>
  <c r="G3080" i="1"/>
  <c r="AL3079" i="1"/>
  <c r="J3079" i="1"/>
  <c r="G3079" i="1"/>
  <c r="J3078" i="1"/>
  <c r="G3078" i="1"/>
  <c r="J3077" i="1"/>
  <c r="G3077" i="1"/>
  <c r="J3076" i="1"/>
  <c r="G3076" i="1"/>
  <c r="AL3075" i="1"/>
  <c r="J3075" i="1"/>
  <c r="G3075" i="1"/>
  <c r="AL3074" i="1"/>
  <c r="J3074" i="1"/>
  <c r="G3074" i="1"/>
  <c r="J3073" i="1"/>
  <c r="G3073" i="1"/>
  <c r="J3072" i="1"/>
  <c r="G3072" i="1"/>
  <c r="J3071" i="1"/>
  <c r="G3071" i="1"/>
  <c r="AL3070" i="1"/>
  <c r="P3070" i="1"/>
  <c r="J3070" i="1"/>
  <c r="G3070" i="1"/>
  <c r="AL3069" i="1"/>
  <c r="P3069" i="1"/>
  <c r="J3069" i="1"/>
  <c r="G3069" i="1"/>
  <c r="P3068" i="1"/>
  <c r="J3068" i="1"/>
  <c r="G3068" i="1"/>
  <c r="AL3067" i="1"/>
  <c r="P3067" i="1"/>
  <c r="J3067" i="1"/>
  <c r="G3067" i="1"/>
  <c r="J3066" i="1"/>
  <c r="G3066" i="1"/>
  <c r="J3065" i="1"/>
  <c r="G3065" i="1"/>
  <c r="AL3064" i="1"/>
  <c r="J3064" i="1"/>
  <c r="G3064" i="1"/>
  <c r="AL3063" i="1"/>
  <c r="J3063" i="1"/>
  <c r="G3063" i="1"/>
  <c r="AL3062" i="1"/>
  <c r="J3062" i="1"/>
  <c r="G3062" i="1"/>
  <c r="AL3061" i="1"/>
  <c r="J3061" i="1"/>
  <c r="G3061" i="1"/>
  <c r="AL3060" i="1"/>
  <c r="J3060" i="1"/>
  <c r="G3060" i="1"/>
  <c r="AL3059" i="1"/>
  <c r="J3059" i="1"/>
  <c r="G3059" i="1"/>
  <c r="AL3058" i="1"/>
  <c r="J3058" i="1"/>
  <c r="G3058" i="1"/>
  <c r="J3057" i="1"/>
  <c r="G3057" i="1"/>
  <c r="AL3056" i="1"/>
  <c r="J3056" i="1"/>
  <c r="G3056" i="1"/>
  <c r="AL3055" i="1"/>
  <c r="J3055" i="1"/>
  <c r="G3055" i="1"/>
  <c r="AL3054" i="1"/>
  <c r="J3054" i="1"/>
  <c r="G3054" i="1"/>
  <c r="AL3053" i="1"/>
  <c r="J3053" i="1"/>
  <c r="G3053" i="1"/>
  <c r="P3052" i="1"/>
  <c r="J3052" i="1"/>
  <c r="G3052" i="1"/>
  <c r="P3051" i="1"/>
  <c r="J3051" i="1"/>
  <c r="G3051" i="1"/>
  <c r="J3050" i="1"/>
  <c r="G3050" i="1"/>
  <c r="AL3049" i="1"/>
  <c r="P3049" i="1"/>
  <c r="J3049" i="1"/>
  <c r="G3049" i="1"/>
  <c r="AL3048" i="1"/>
  <c r="J3048" i="1"/>
  <c r="G3048" i="1"/>
  <c r="J3047" i="1"/>
  <c r="G3047" i="1"/>
  <c r="AL3046" i="1"/>
  <c r="J3046" i="1"/>
  <c r="G3046" i="1"/>
  <c r="J3045" i="1"/>
  <c r="G3045" i="1"/>
  <c r="J3044" i="1"/>
  <c r="G3044" i="1"/>
  <c r="AL3043" i="1"/>
  <c r="J3043" i="1"/>
  <c r="G3043" i="1"/>
  <c r="AL3042" i="1"/>
  <c r="J3042" i="1"/>
  <c r="G3042" i="1"/>
  <c r="AL3041" i="1"/>
  <c r="J3041" i="1"/>
  <c r="G3041" i="1"/>
  <c r="AL3040" i="1"/>
  <c r="J3040" i="1"/>
  <c r="G3040" i="1"/>
  <c r="AL3039" i="1"/>
  <c r="J3039" i="1"/>
  <c r="G3039" i="1"/>
  <c r="AL3038" i="1"/>
  <c r="J3038" i="1"/>
  <c r="G3038" i="1"/>
  <c r="AL3037" i="1"/>
  <c r="J3037" i="1"/>
  <c r="G3037" i="1"/>
  <c r="AL3036" i="1"/>
  <c r="J3036" i="1"/>
  <c r="G3036" i="1"/>
  <c r="AL3035" i="1"/>
  <c r="P3035" i="1"/>
  <c r="J3035" i="1"/>
  <c r="G3035" i="1"/>
  <c r="AL3034" i="1"/>
  <c r="P3034" i="1"/>
  <c r="J3034" i="1"/>
  <c r="G3034" i="1"/>
  <c r="J3033" i="1"/>
  <c r="G3033" i="1"/>
  <c r="AL3032" i="1"/>
  <c r="P3032" i="1"/>
  <c r="J3032" i="1"/>
  <c r="G3032" i="1"/>
  <c r="J3031" i="1"/>
  <c r="G3031" i="1"/>
  <c r="P3030" i="1"/>
  <c r="J3030" i="1"/>
  <c r="G3030" i="1"/>
  <c r="AL3029" i="1"/>
  <c r="J3029" i="1"/>
  <c r="G3029" i="1"/>
  <c r="AL3028" i="1"/>
  <c r="J3028" i="1"/>
  <c r="G3028" i="1"/>
  <c r="J3027" i="1"/>
  <c r="G3027" i="1"/>
  <c r="P3026" i="1"/>
  <c r="J3026" i="1"/>
  <c r="G3026" i="1"/>
  <c r="J3025" i="1"/>
  <c r="G3025" i="1"/>
  <c r="P3024" i="1"/>
  <c r="J3024" i="1"/>
  <c r="G3024" i="1"/>
  <c r="G3023" i="1"/>
  <c r="P3022" i="1"/>
  <c r="J3022" i="1"/>
  <c r="G3022" i="1"/>
  <c r="AL3021" i="1"/>
  <c r="J3021" i="1"/>
  <c r="G3021" i="1"/>
  <c r="AL3020" i="1"/>
  <c r="J3020" i="1"/>
  <c r="G3020" i="1"/>
  <c r="AL3019" i="1"/>
  <c r="J3019" i="1"/>
  <c r="G3019" i="1"/>
  <c r="J3018" i="1"/>
  <c r="G3018" i="1"/>
  <c r="J3017" i="1"/>
  <c r="G3017" i="1"/>
  <c r="AL3016" i="1"/>
  <c r="J3016" i="1"/>
  <c r="G3016" i="1"/>
  <c r="J3015" i="1"/>
  <c r="G3015" i="1"/>
  <c r="AL3014" i="1"/>
  <c r="J3014" i="1"/>
  <c r="G3014" i="1"/>
  <c r="AL3013" i="1"/>
  <c r="J3013" i="1"/>
  <c r="G3013" i="1"/>
  <c r="AL3012" i="1"/>
  <c r="J3012" i="1"/>
  <c r="G3012" i="1"/>
  <c r="J3011" i="1"/>
  <c r="G3011" i="1"/>
  <c r="AL3010" i="1"/>
  <c r="P3010" i="1"/>
  <c r="J3010" i="1"/>
  <c r="G3010" i="1"/>
  <c r="AL3009" i="1"/>
  <c r="J3009" i="1"/>
  <c r="G3009" i="1"/>
  <c r="AL3008" i="1"/>
  <c r="P3008" i="1"/>
  <c r="J3008" i="1"/>
  <c r="G3008" i="1"/>
  <c r="P3007" i="1"/>
  <c r="J3007" i="1"/>
  <c r="G3007" i="1"/>
  <c r="AL3006" i="1"/>
  <c r="P3006" i="1"/>
  <c r="J3006" i="1"/>
  <c r="G3006" i="1"/>
  <c r="AL3005" i="1"/>
  <c r="J3005" i="1"/>
  <c r="G3005" i="1"/>
  <c r="AL3004" i="1"/>
  <c r="P3004" i="1"/>
  <c r="J3004" i="1"/>
  <c r="G3004" i="1"/>
  <c r="AL3003" i="1"/>
  <c r="J3003" i="1"/>
  <c r="G3003" i="1"/>
  <c r="AL3002" i="1"/>
  <c r="P3002" i="1"/>
  <c r="J3002" i="1"/>
  <c r="G3002" i="1"/>
  <c r="P3001" i="1"/>
  <c r="J3001" i="1"/>
  <c r="G3001" i="1"/>
  <c r="AL3000" i="1"/>
  <c r="J3000" i="1"/>
  <c r="G3000" i="1"/>
  <c r="AL2999" i="1"/>
  <c r="J2999" i="1"/>
  <c r="G2999" i="1"/>
  <c r="AL2998" i="1"/>
  <c r="J2998" i="1"/>
  <c r="G2998" i="1"/>
  <c r="J2997" i="1"/>
  <c r="G2997" i="1"/>
  <c r="AL2996" i="1"/>
  <c r="J2996" i="1"/>
  <c r="G2996" i="1"/>
  <c r="AL2995" i="1"/>
  <c r="J2995" i="1"/>
  <c r="G2995" i="1"/>
  <c r="AL2994" i="1"/>
  <c r="J2994" i="1"/>
  <c r="G2994" i="1"/>
  <c r="AL2993" i="1"/>
  <c r="J2993" i="1"/>
  <c r="G2993" i="1"/>
  <c r="J2992" i="1"/>
  <c r="G2992" i="1"/>
  <c r="AL2991" i="1"/>
  <c r="J2991" i="1"/>
  <c r="G2991" i="1"/>
  <c r="P2990" i="1"/>
  <c r="J2990" i="1"/>
  <c r="G2990" i="1"/>
  <c r="AL2989" i="1"/>
  <c r="J2989" i="1"/>
  <c r="G2989" i="1"/>
  <c r="AL2988" i="1"/>
  <c r="J2988" i="1"/>
  <c r="G2988" i="1"/>
  <c r="AL2987" i="1"/>
  <c r="J2987" i="1"/>
  <c r="G2987" i="1"/>
  <c r="J2986" i="1"/>
  <c r="G2986" i="1"/>
  <c r="AL2985" i="1"/>
  <c r="J2985" i="1"/>
  <c r="G2985" i="1"/>
  <c r="AL2984" i="1"/>
  <c r="J2984" i="1"/>
  <c r="G2984" i="1"/>
  <c r="AL2983" i="1"/>
  <c r="J2983" i="1"/>
  <c r="G2983" i="1"/>
  <c r="AL2982" i="1"/>
  <c r="J2982" i="1"/>
  <c r="G2982" i="1"/>
  <c r="AL2981" i="1"/>
  <c r="J2981" i="1"/>
  <c r="G2981" i="1"/>
  <c r="AL2980" i="1"/>
  <c r="J2980" i="1"/>
  <c r="G2980" i="1"/>
  <c r="J2979" i="1"/>
  <c r="G2979" i="1"/>
  <c r="AL2978" i="1"/>
  <c r="J2978" i="1"/>
  <c r="G2978" i="1"/>
  <c r="AL2977" i="1"/>
  <c r="J2977" i="1"/>
  <c r="G2977" i="1"/>
  <c r="AL2976" i="1"/>
  <c r="J2976" i="1"/>
  <c r="G2976" i="1"/>
  <c r="J2975" i="1"/>
  <c r="G2975" i="1"/>
  <c r="AL2974" i="1"/>
  <c r="J2974" i="1"/>
  <c r="G2974" i="1"/>
  <c r="AL2973" i="1"/>
  <c r="J2973" i="1"/>
  <c r="G2973" i="1"/>
  <c r="AL2972" i="1"/>
  <c r="J2972" i="1"/>
  <c r="G2972" i="1"/>
  <c r="AL2971" i="1"/>
  <c r="J2971" i="1"/>
  <c r="G2971" i="1"/>
  <c r="J2970" i="1"/>
  <c r="G2970" i="1"/>
  <c r="J2969" i="1"/>
  <c r="G2969" i="1"/>
  <c r="AL2968" i="1"/>
  <c r="J2968" i="1"/>
  <c r="G2968" i="1"/>
  <c r="P2967" i="1"/>
  <c r="J2967" i="1"/>
  <c r="G2967" i="1"/>
  <c r="AL2966" i="1"/>
  <c r="J2966" i="1"/>
  <c r="G2966" i="1"/>
  <c r="AL2965" i="1"/>
  <c r="P2965" i="1"/>
  <c r="J2965" i="1"/>
  <c r="G2965" i="1"/>
  <c r="J2964" i="1"/>
  <c r="G2964" i="1"/>
  <c r="J2963" i="1"/>
  <c r="G2963" i="1"/>
  <c r="AL2962" i="1"/>
  <c r="J2962" i="1"/>
  <c r="G2962" i="1"/>
  <c r="J2961" i="1"/>
  <c r="G2961" i="1"/>
  <c r="AL2960" i="1"/>
  <c r="P2960" i="1"/>
  <c r="J2960" i="1"/>
  <c r="G2960" i="1"/>
  <c r="AL2959" i="1"/>
  <c r="P2959" i="1"/>
  <c r="J2959" i="1"/>
  <c r="G2959" i="1"/>
  <c r="J2958" i="1"/>
  <c r="G2958" i="1"/>
  <c r="AL2957" i="1"/>
  <c r="P2957" i="1"/>
  <c r="J2957" i="1"/>
  <c r="G2957" i="1"/>
  <c r="AL2956" i="1"/>
  <c r="J2956" i="1"/>
  <c r="G2956" i="1"/>
  <c r="J2955" i="1"/>
  <c r="G2955" i="1"/>
  <c r="AL2954" i="1"/>
  <c r="J2954" i="1"/>
  <c r="G2954" i="1"/>
  <c r="J2953" i="1"/>
  <c r="G2953" i="1"/>
  <c r="J2952" i="1"/>
  <c r="G2952" i="1"/>
  <c r="J2951" i="1"/>
  <c r="G2951" i="1"/>
  <c r="J2950" i="1"/>
  <c r="G2950" i="1"/>
  <c r="AL2949" i="1"/>
  <c r="J2949" i="1"/>
  <c r="G2949" i="1"/>
  <c r="AL2948" i="1"/>
  <c r="P2948" i="1"/>
  <c r="J2948" i="1"/>
  <c r="G2948" i="1"/>
  <c r="AL2947" i="1"/>
  <c r="J2947" i="1"/>
  <c r="G2947" i="1"/>
  <c r="J2946" i="1"/>
  <c r="G2946" i="1"/>
  <c r="AL2945" i="1"/>
  <c r="J2945" i="1"/>
  <c r="G2945" i="1"/>
  <c r="AL2944" i="1"/>
  <c r="J2944" i="1"/>
  <c r="G2944" i="1"/>
  <c r="AL2943" i="1"/>
  <c r="J2943" i="1"/>
  <c r="G2943" i="1"/>
  <c r="AL2942" i="1"/>
  <c r="J2942" i="1"/>
  <c r="G2942" i="1"/>
  <c r="AL2941" i="1"/>
  <c r="P2941" i="1"/>
  <c r="J2941" i="1"/>
  <c r="G2941" i="1"/>
  <c r="AL2940" i="1"/>
  <c r="J2940" i="1"/>
  <c r="G2940" i="1"/>
  <c r="J2939" i="1"/>
  <c r="G2939" i="1"/>
  <c r="AL2938" i="1"/>
  <c r="J2938" i="1"/>
  <c r="G2938" i="1"/>
  <c r="J2937" i="1"/>
  <c r="G2937" i="1"/>
  <c r="J2936" i="1"/>
  <c r="G2936" i="1"/>
  <c r="AL2935" i="1"/>
  <c r="P2935" i="1"/>
  <c r="J2935" i="1"/>
  <c r="G2935" i="1"/>
  <c r="AL2934" i="1"/>
  <c r="P2934" i="1"/>
  <c r="J2934" i="1"/>
  <c r="G2934" i="1"/>
  <c r="AL2933" i="1"/>
  <c r="P2933" i="1"/>
  <c r="J2933" i="1"/>
  <c r="G2933" i="1"/>
  <c r="AL2932" i="1"/>
  <c r="P2932" i="1"/>
  <c r="J2932" i="1"/>
  <c r="G2932" i="1"/>
  <c r="AL2931" i="1"/>
  <c r="P2931" i="1"/>
  <c r="J2931" i="1"/>
  <c r="G2931" i="1"/>
  <c r="AL2930" i="1"/>
  <c r="J2930" i="1"/>
  <c r="G2930" i="1"/>
  <c r="J2929" i="1"/>
  <c r="G2929" i="1"/>
  <c r="P2928" i="1"/>
  <c r="J2928" i="1"/>
  <c r="G2928" i="1"/>
  <c r="J2927" i="1"/>
  <c r="G2927" i="1"/>
  <c r="P2926" i="1"/>
  <c r="J2926" i="1"/>
  <c r="G2926" i="1"/>
  <c r="AL2925" i="1"/>
  <c r="P2925" i="1"/>
  <c r="J2925" i="1"/>
  <c r="G2925" i="1"/>
  <c r="AL2924" i="1"/>
  <c r="J2924" i="1"/>
  <c r="G2924" i="1"/>
  <c r="AL2923" i="1"/>
  <c r="J2923" i="1"/>
  <c r="G2923" i="1"/>
  <c r="AL2922" i="1"/>
  <c r="J2922" i="1"/>
  <c r="G2922" i="1"/>
  <c r="AL2921" i="1"/>
  <c r="J2921" i="1"/>
  <c r="G2921" i="1"/>
  <c r="AL2920" i="1"/>
  <c r="J2920" i="1"/>
  <c r="G2920" i="1"/>
  <c r="J2919" i="1"/>
  <c r="G2919" i="1"/>
  <c r="AL2918" i="1"/>
  <c r="J2918" i="1"/>
  <c r="G2918" i="1"/>
  <c r="AL2917" i="1"/>
  <c r="J2917" i="1"/>
  <c r="G2917" i="1"/>
  <c r="J2916" i="1"/>
  <c r="G2916" i="1"/>
  <c r="J2915" i="1"/>
  <c r="G2915" i="1"/>
  <c r="AL2914" i="1"/>
  <c r="J2914" i="1"/>
  <c r="G2914" i="1"/>
  <c r="J2913" i="1"/>
  <c r="G2913" i="1"/>
  <c r="AL2912" i="1"/>
  <c r="P2912" i="1"/>
  <c r="J2912" i="1"/>
  <c r="G2912" i="1"/>
  <c r="J2911" i="1"/>
  <c r="G2911" i="1"/>
  <c r="J2910" i="1"/>
  <c r="G2910" i="1"/>
  <c r="AL2909" i="1"/>
  <c r="P2909" i="1"/>
  <c r="J2909" i="1"/>
  <c r="G2909" i="1"/>
  <c r="J2908" i="1"/>
  <c r="G2908" i="1"/>
  <c r="AL2907" i="1"/>
  <c r="P2907" i="1"/>
  <c r="J2907" i="1"/>
  <c r="G2907" i="1"/>
  <c r="AL2906" i="1"/>
  <c r="P2906" i="1"/>
  <c r="J2906" i="1"/>
  <c r="G2906" i="1"/>
  <c r="J2905" i="1"/>
  <c r="G2905" i="1"/>
  <c r="AL2904" i="1"/>
  <c r="P2904" i="1"/>
  <c r="J2904" i="1"/>
  <c r="G2904" i="1"/>
  <c r="J2903" i="1"/>
  <c r="G2903" i="1"/>
  <c r="J2902" i="1"/>
  <c r="G2902" i="1"/>
  <c r="J2901" i="1"/>
  <c r="G2901" i="1"/>
  <c r="AL2900" i="1"/>
  <c r="J2900" i="1"/>
  <c r="G2900" i="1"/>
  <c r="AL2899" i="1"/>
  <c r="J2899" i="1"/>
  <c r="G2899" i="1"/>
  <c r="AL2898" i="1"/>
  <c r="J2898" i="1"/>
  <c r="G2898" i="1"/>
  <c r="AL2897" i="1"/>
  <c r="P2897" i="1"/>
  <c r="J2897" i="1"/>
  <c r="G2897" i="1"/>
  <c r="AL2896" i="1"/>
  <c r="P2896" i="1"/>
  <c r="J2896" i="1"/>
  <c r="G2896" i="1"/>
  <c r="AL2895" i="1"/>
  <c r="J2895" i="1"/>
  <c r="G2895" i="1"/>
  <c r="J2894" i="1"/>
  <c r="G2894" i="1"/>
  <c r="P2893" i="1"/>
  <c r="J2893" i="1"/>
  <c r="G2893" i="1"/>
  <c r="J2892" i="1"/>
  <c r="G2892" i="1"/>
  <c r="AL2891" i="1"/>
  <c r="P2891" i="1"/>
  <c r="J2891" i="1"/>
  <c r="G2891" i="1"/>
  <c r="AL2890" i="1"/>
  <c r="P2890" i="1"/>
  <c r="J2890" i="1"/>
  <c r="G2890" i="1"/>
  <c r="AL2889" i="1"/>
  <c r="P2889" i="1"/>
  <c r="J2889" i="1"/>
  <c r="G2889" i="1"/>
  <c r="AL2888" i="1"/>
  <c r="P2888" i="1"/>
  <c r="J2888" i="1"/>
  <c r="G2888" i="1"/>
  <c r="AL2887" i="1"/>
  <c r="J2887" i="1"/>
  <c r="G2887" i="1"/>
  <c r="AL2886" i="1"/>
  <c r="P2886" i="1"/>
  <c r="J2886" i="1"/>
  <c r="G2886" i="1"/>
  <c r="J2885" i="1"/>
  <c r="G2885" i="1"/>
  <c r="AL2884" i="1"/>
  <c r="P2884" i="1"/>
  <c r="J2884" i="1"/>
  <c r="G2884" i="1"/>
  <c r="AL2883" i="1"/>
  <c r="P2883" i="1"/>
  <c r="J2883" i="1"/>
  <c r="G2883" i="1"/>
  <c r="AL2882" i="1"/>
  <c r="P2882" i="1"/>
  <c r="J2882" i="1"/>
  <c r="G2882" i="1"/>
  <c r="J2881" i="1"/>
  <c r="G2881" i="1"/>
  <c r="AL2880" i="1"/>
  <c r="J2880" i="1"/>
  <c r="G2880" i="1"/>
  <c r="J2879" i="1"/>
  <c r="G2879" i="1"/>
  <c r="J2878" i="1"/>
  <c r="G2878" i="1"/>
  <c r="AL2877" i="1"/>
  <c r="P2877" i="1"/>
  <c r="J2877" i="1"/>
  <c r="G2877" i="1"/>
  <c r="J2876" i="1"/>
  <c r="G2876" i="1"/>
  <c r="AL2875" i="1"/>
  <c r="J2875" i="1"/>
  <c r="G2875" i="1"/>
  <c r="J2874" i="1"/>
  <c r="G2874" i="1"/>
  <c r="AL2873" i="1"/>
  <c r="P2873" i="1"/>
  <c r="J2873" i="1"/>
  <c r="G2873" i="1"/>
  <c r="P2872" i="1"/>
  <c r="J2872" i="1"/>
  <c r="G2872" i="1"/>
  <c r="AL2871" i="1"/>
  <c r="J2871" i="1"/>
  <c r="G2871" i="1"/>
  <c r="AL2870" i="1"/>
  <c r="J2870" i="1"/>
  <c r="G2870" i="1"/>
  <c r="J2869" i="1"/>
  <c r="G2869" i="1"/>
  <c r="J2868" i="1"/>
  <c r="G2868" i="1"/>
  <c r="AL2867" i="1"/>
  <c r="J2867" i="1"/>
  <c r="G2867" i="1"/>
  <c r="J2866" i="1"/>
  <c r="G2866" i="1"/>
  <c r="AL2865" i="1"/>
  <c r="J2865" i="1"/>
  <c r="G2865" i="1"/>
  <c r="J2864" i="1"/>
  <c r="G2864" i="1"/>
  <c r="J2863" i="1"/>
  <c r="G2863" i="1"/>
  <c r="AL2862" i="1"/>
  <c r="P2862" i="1"/>
  <c r="J2862" i="1"/>
  <c r="G2862" i="1"/>
  <c r="AL2861" i="1"/>
  <c r="P2861" i="1"/>
  <c r="J2861" i="1"/>
  <c r="G2861" i="1"/>
  <c r="AL2860" i="1"/>
  <c r="J2860" i="1"/>
  <c r="G2860" i="1"/>
  <c r="AL2859" i="1"/>
  <c r="J2859" i="1"/>
  <c r="G2859" i="1"/>
  <c r="AL2858" i="1"/>
  <c r="J2858" i="1"/>
  <c r="G2858" i="1"/>
  <c r="AL2857" i="1"/>
  <c r="J2857" i="1"/>
  <c r="G2857" i="1"/>
  <c r="J2856" i="1"/>
  <c r="G2856" i="1"/>
  <c r="J2855" i="1"/>
  <c r="G2855" i="1"/>
  <c r="J2854" i="1"/>
  <c r="G2854" i="1"/>
  <c r="AL2853" i="1"/>
  <c r="J2853" i="1"/>
  <c r="G2853" i="1"/>
  <c r="AL2852" i="1"/>
  <c r="J2852" i="1"/>
  <c r="G2852" i="1"/>
  <c r="J2851" i="1"/>
  <c r="G2851" i="1"/>
  <c r="AL2850" i="1"/>
  <c r="J2850" i="1"/>
  <c r="G2850" i="1"/>
  <c r="J2849" i="1"/>
  <c r="G2849" i="1"/>
  <c r="AL2848" i="1"/>
  <c r="P2848" i="1"/>
  <c r="J2848" i="1"/>
  <c r="G2848" i="1"/>
  <c r="J2847" i="1"/>
  <c r="G2847" i="1"/>
  <c r="AL2846" i="1"/>
  <c r="J2846" i="1"/>
  <c r="G2846" i="1"/>
  <c r="J2845" i="1"/>
  <c r="G2845" i="1"/>
  <c r="J2844" i="1"/>
  <c r="G2844" i="1"/>
  <c r="J2843" i="1"/>
  <c r="G2843" i="1"/>
  <c r="AL2842" i="1"/>
  <c r="J2842" i="1"/>
  <c r="G2842" i="1"/>
  <c r="AL2841" i="1"/>
  <c r="P2841" i="1"/>
  <c r="J2841" i="1"/>
  <c r="G2841" i="1"/>
  <c r="P2840" i="1"/>
  <c r="J2840" i="1"/>
  <c r="G2840" i="1"/>
  <c r="AL2839" i="1"/>
  <c r="J2839" i="1"/>
  <c r="G2839" i="1"/>
  <c r="J2838" i="1"/>
  <c r="G2838" i="1"/>
  <c r="J2837" i="1"/>
  <c r="G2837" i="1"/>
  <c r="AL2836" i="1"/>
  <c r="P2836" i="1"/>
  <c r="J2836" i="1"/>
  <c r="G2836" i="1"/>
  <c r="AL2835" i="1"/>
  <c r="J2835" i="1"/>
  <c r="G2835" i="1"/>
  <c r="J2834" i="1"/>
  <c r="G2834" i="1"/>
  <c r="J2833" i="1"/>
  <c r="G2833" i="1"/>
  <c r="AL2832" i="1"/>
  <c r="J2832" i="1"/>
  <c r="G2832" i="1"/>
  <c r="J2831" i="1"/>
  <c r="G2831" i="1"/>
  <c r="AL2830" i="1"/>
  <c r="P2830" i="1"/>
  <c r="J2830" i="1"/>
  <c r="G2830" i="1"/>
  <c r="G2829" i="1"/>
  <c r="G2828" i="1"/>
  <c r="G2827" i="1"/>
  <c r="G2826" i="1"/>
  <c r="AL2825" i="1"/>
  <c r="P2825" i="1"/>
  <c r="J2825" i="1"/>
  <c r="G2825" i="1"/>
  <c r="AL2824" i="1"/>
  <c r="P2824" i="1"/>
  <c r="J2824" i="1"/>
  <c r="G2824" i="1"/>
  <c r="AL2823" i="1"/>
  <c r="J2823" i="1"/>
  <c r="G2823" i="1"/>
  <c r="J2822" i="1"/>
  <c r="G2822" i="1"/>
  <c r="AL2821" i="1"/>
  <c r="J2821" i="1"/>
  <c r="G2821" i="1"/>
  <c r="AL2820" i="1"/>
  <c r="P2820" i="1"/>
  <c r="J2820" i="1"/>
  <c r="G2820" i="1"/>
  <c r="AL2819" i="1"/>
  <c r="J2819" i="1"/>
  <c r="G2819" i="1"/>
  <c r="J2818" i="1"/>
  <c r="G2818" i="1"/>
  <c r="J2817" i="1"/>
  <c r="G2817" i="1"/>
  <c r="J2816" i="1"/>
  <c r="G2816" i="1"/>
  <c r="AL2815" i="1"/>
  <c r="J2815" i="1"/>
  <c r="G2815" i="1"/>
  <c r="AL2814" i="1"/>
  <c r="J2814" i="1"/>
  <c r="G2814" i="1"/>
  <c r="AL2813" i="1"/>
  <c r="J2813" i="1"/>
  <c r="G2813" i="1"/>
  <c r="AL2812" i="1"/>
  <c r="P2812" i="1"/>
  <c r="J2812" i="1"/>
  <c r="G2812" i="1"/>
  <c r="AL2811" i="1"/>
  <c r="P2811" i="1"/>
  <c r="J2811" i="1"/>
  <c r="G2811" i="1"/>
  <c r="AL2810" i="1"/>
  <c r="J2810" i="1"/>
  <c r="G2810" i="1"/>
  <c r="AL2809" i="1"/>
  <c r="J2809" i="1"/>
  <c r="G2809" i="1"/>
  <c r="AL2808" i="1"/>
  <c r="J2808" i="1"/>
  <c r="G2808" i="1"/>
  <c r="J2807" i="1"/>
  <c r="G2807" i="1"/>
  <c r="AL2806" i="1"/>
  <c r="J2806" i="1"/>
  <c r="G2806" i="1"/>
  <c r="AL2805" i="1"/>
  <c r="P2805" i="1"/>
  <c r="J2805" i="1"/>
  <c r="G2805" i="1"/>
  <c r="AL2804" i="1"/>
  <c r="P2804" i="1"/>
  <c r="J2804" i="1"/>
  <c r="G2804" i="1"/>
  <c r="AL2803" i="1"/>
  <c r="J2803" i="1"/>
  <c r="G2803" i="1"/>
  <c r="AL2802" i="1"/>
  <c r="P2802" i="1"/>
  <c r="J2802" i="1"/>
  <c r="G2802" i="1"/>
  <c r="J2801" i="1"/>
  <c r="G2801" i="1"/>
  <c r="AL2800" i="1"/>
  <c r="P2800" i="1"/>
  <c r="J2800" i="1"/>
  <c r="G2800" i="1"/>
  <c r="AL2799" i="1"/>
  <c r="J2799" i="1"/>
  <c r="G2799" i="1"/>
  <c r="AL2798" i="1"/>
  <c r="J2798" i="1"/>
  <c r="G2798" i="1"/>
  <c r="J2797" i="1"/>
  <c r="G2797" i="1"/>
  <c r="J2796" i="1"/>
  <c r="G2796" i="1"/>
  <c r="AL2795" i="1"/>
  <c r="J2795" i="1"/>
  <c r="G2795" i="1"/>
  <c r="AL2794" i="1"/>
  <c r="J2794" i="1"/>
  <c r="G2794" i="1"/>
  <c r="AL2793" i="1"/>
  <c r="P2793" i="1"/>
  <c r="J2793" i="1"/>
  <c r="G2793" i="1"/>
  <c r="G2792" i="1"/>
  <c r="G2791" i="1"/>
  <c r="P2790" i="1"/>
  <c r="J2790" i="1"/>
  <c r="G2790" i="1"/>
  <c r="G2789" i="1"/>
  <c r="P2788" i="1"/>
  <c r="J2788" i="1"/>
  <c r="G2788" i="1"/>
  <c r="AL2787" i="1"/>
  <c r="J2787" i="1"/>
  <c r="G2787" i="1"/>
  <c r="J2786" i="1"/>
  <c r="G2786" i="1"/>
  <c r="J2785" i="1"/>
  <c r="G2785" i="1"/>
  <c r="J2784" i="1"/>
  <c r="G2784" i="1"/>
  <c r="AL2783" i="1"/>
  <c r="J2783" i="1"/>
  <c r="G2783" i="1"/>
  <c r="J2782" i="1"/>
  <c r="G2782" i="1"/>
  <c r="AL2781" i="1"/>
  <c r="J2781" i="1"/>
  <c r="G2781" i="1"/>
  <c r="J2780" i="1"/>
  <c r="G2780" i="1"/>
  <c r="AL2779" i="1"/>
  <c r="J2779" i="1"/>
  <c r="G2779" i="1"/>
  <c r="J2778" i="1"/>
  <c r="G2778" i="1"/>
  <c r="J2777" i="1"/>
  <c r="G2777" i="1"/>
  <c r="AL2776" i="1"/>
  <c r="J2776" i="1"/>
  <c r="G2776" i="1"/>
  <c r="J2775" i="1"/>
  <c r="G2775" i="1"/>
  <c r="AL2774" i="1"/>
  <c r="P2774" i="1"/>
  <c r="J2774" i="1"/>
  <c r="G2774" i="1"/>
  <c r="J2773" i="1"/>
  <c r="G2773" i="1"/>
  <c r="AL2772" i="1"/>
  <c r="J2772" i="1"/>
  <c r="G2772" i="1"/>
  <c r="AL2771" i="1"/>
  <c r="J2771" i="1"/>
  <c r="G2771" i="1"/>
  <c r="AL2770" i="1"/>
  <c r="J2770" i="1"/>
  <c r="G2770" i="1"/>
  <c r="AL2769" i="1"/>
  <c r="P2769" i="1"/>
  <c r="J2769" i="1"/>
  <c r="G2769" i="1"/>
  <c r="J2768" i="1"/>
  <c r="G2768" i="1"/>
  <c r="AL2767" i="1"/>
  <c r="P2767" i="1"/>
  <c r="J2767" i="1"/>
  <c r="G2767" i="1"/>
  <c r="J2766" i="1"/>
  <c r="G2766" i="1"/>
  <c r="AL2765" i="1"/>
  <c r="P2765" i="1"/>
  <c r="J2765" i="1"/>
  <c r="G2765" i="1"/>
  <c r="J2764" i="1"/>
  <c r="G2764" i="1"/>
  <c r="AL2763" i="1"/>
  <c r="P2763" i="1"/>
  <c r="J2763" i="1"/>
  <c r="G2763" i="1"/>
  <c r="AL2762" i="1"/>
  <c r="P2762" i="1"/>
  <c r="J2762" i="1"/>
  <c r="G2762" i="1"/>
  <c r="AL2761" i="1"/>
  <c r="P2761" i="1"/>
  <c r="J2761" i="1"/>
  <c r="G2761" i="1"/>
  <c r="J2760" i="1"/>
  <c r="G2760" i="1"/>
  <c r="J2759" i="1"/>
  <c r="G2759" i="1"/>
  <c r="J2758" i="1"/>
  <c r="G2758" i="1"/>
  <c r="AL2757" i="1"/>
  <c r="J2757" i="1"/>
  <c r="G2757" i="1"/>
  <c r="AL2756" i="1"/>
  <c r="P2756" i="1"/>
  <c r="J2756" i="1"/>
  <c r="G2756" i="1"/>
  <c r="AL2755" i="1"/>
  <c r="P2755" i="1"/>
  <c r="J2755" i="1"/>
  <c r="G2755" i="1"/>
  <c r="AL2754" i="1"/>
  <c r="J2754" i="1"/>
  <c r="G2754" i="1"/>
  <c r="AL2753" i="1"/>
  <c r="P2753" i="1"/>
  <c r="J2753" i="1"/>
  <c r="G2753" i="1"/>
  <c r="AL2752" i="1"/>
  <c r="J2752" i="1"/>
  <c r="G2752" i="1"/>
  <c r="AL2751" i="1"/>
  <c r="J2751" i="1"/>
  <c r="G2751" i="1"/>
  <c r="AL2750" i="1"/>
  <c r="J2750" i="1"/>
  <c r="G2750" i="1"/>
  <c r="J2749" i="1"/>
  <c r="G2749" i="1"/>
  <c r="AL2748" i="1"/>
  <c r="P2748" i="1"/>
  <c r="J2748" i="1"/>
  <c r="G2748" i="1"/>
  <c r="J2747" i="1"/>
  <c r="G2747" i="1"/>
  <c r="J2746" i="1"/>
  <c r="G2746" i="1"/>
  <c r="AL2745" i="1"/>
  <c r="J2745" i="1"/>
  <c r="G2745" i="1"/>
  <c r="AL2744" i="1"/>
  <c r="J2744" i="1"/>
  <c r="G2744" i="1"/>
  <c r="AL2743" i="1"/>
  <c r="J2743" i="1"/>
  <c r="G2743" i="1"/>
  <c r="AL2742" i="1"/>
  <c r="P2742" i="1"/>
  <c r="J2742" i="1"/>
  <c r="G2742" i="1"/>
  <c r="J2741" i="1"/>
  <c r="G2741" i="1"/>
  <c r="AL2740" i="1"/>
  <c r="P2740" i="1"/>
  <c r="J2740" i="1"/>
  <c r="G2740" i="1"/>
  <c r="AL2739" i="1"/>
  <c r="P2739" i="1"/>
  <c r="J2739" i="1"/>
  <c r="G2739" i="1"/>
  <c r="J2738" i="1"/>
  <c r="G2738" i="1"/>
  <c r="AL2737" i="1"/>
  <c r="J2737" i="1"/>
  <c r="G2737" i="1"/>
  <c r="J2736" i="1"/>
  <c r="G2736" i="1"/>
  <c r="J2735" i="1"/>
  <c r="G2735" i="1"/>
  <c r="J2734" i="1"/>
  <c r="G2734" i="1"/>
  <c r="AL2733" i="1"/>
  <c r="J2733" i="1"/>
  <c r="G2733" i="1"/>
  <c r="J2732" i="1"/>
  <c r="G2732" i="1"/>
  <c r="AL2731" i="1"/>
  <c r="J2731" i="1"/>
  <c r="G2731" i="1"/>
  <c r="AL2730" i="1"/>
  <c r="P2730" i="1"/>
  <c r="J2730" i="1"/>
  <c r="G2730" i="1"/>
  <c r="AL2729" i="1"/>
  <c r="P2729" i="1"/>
  <c r="J2729" i="1"/>
  <c r="G2729" i="1"/>
  <c r="J2728" i="1"/>
  <c r="G2728" i="1"/>
  <c r="J2727" i="1"/>
  <c r="G2727" i="1"/>
  <c r="AL2726" i="1"/>
  <c r="J2726" i="1"/>
  <c r="G2726" i="1"/>
  <c r="AL2725" i="1"/>
  <c r="P2725" i="1"/>
  <c r="J2725" i="1"/>
  <c r="G2725" i="1"/>
  <c r="J2724" i="1"/>
  <c r="G2724" i="1"/>
  <c r="J2723" i="1"/>
  <c r="G2723" i="1"/>
  <c r="AL2722" i="1"/>
  <c r="P2722" i="1"/>
  <c r="J2722" i="1"/>
  <c r="G2722" i="1"/>
  <c r="J2721" i="1"/>
  <c r="G2721" i="1"/>
  <c r="AL2720" i="1"/>
  <c r="J2720" i="1"/>
  <c r="G2720" i="1"/>
  <c r="J2719" i="1"/>
  <c r="G2719" i="1"/>
  <c r="AL2718" i="1"/>
  <c r="J2718" i="1"/>
  <c r="G2718" i="1"/>
  <c r="J2717" i="1"/>
  <c r="G2717" i="1"/>
  <c r="AL2716" i="1"/>
  <c r="P2716" i="1"/>
  <c r="J2716" i="1"/>
  <c r="G2716" i="1"/>
  <c r="J2715" i="1"/>
  <c r="G2715" i="1"/>
  <c r="J2714" i="1"/>
  <c r="G2714" i="1"/>
  <c r="AL2713" i="1"/>
  <c r="J2713" i="1"/>
  <c r="G2713" i="1"/>
  <c r="J2712" i="1"/>
  <c r="G2712" i="1"/>
  <c r="AL2711" i="1"/>
  <c r="P2711" i="1"/>
  <c r="J2711" i="1"/>
  <c r="G2711" i="1"/>
  <c r="J2710" i="1"/>
  <c r="G2710" i="1"/>
  <c r="AL2709" i="1"/>
  <c r="P2709" i="1"/>
  <c r="J2709" i="1"/>
  <c r="G2709" i="1"/>
  <c r="J2708" i="1"/>
  <c r="G2708" i="1"/>
  <c r="AL2707" i="1"/>
  <c r="J2707" i="1"/>
  <c r="G2707" i="1"/>
  <c r="AL2706" i="1"/>
  <c r="J2706" i="1"/>
  <c r="G2706" i="1"/>
  <c r="J2705" i="1"/>
  <c r="G2705" i="1"/>
  <c r="AL2704" i="1"/>
  <c r="J2704" i="1"/>
  <c r="G2704" i="1"/>
  <c r="J2703" i="1"/>
  <c r="G2703" i="1"/>
  <c r="AL2702" i="1"/>
  <c r="P2702" i="1"/>
  <c r="J2702" i="1"/>
  <c r="G2702" i="1"/>
  <c r="AL2701" i="1"/>
  <c r="P2701" i="1"/>
  <c r="J2701" i="1"/>
  <c r="G2701" i="1"/>
  <c r="J2700" i="1"/>
  <c r="G2700" i="1"/>
  <c r="J2699" i="1"/>
  <c r="G2699" i="1"/>
  <c r="J2698" i="1"/>
  <c r="G2698" i="1"/>
  <c r="AL2697" i="1"/>
  <c r="J2697" i="1"/>
  <c r="G2697" i="1"/>
  <c r="AL2696" i="1"/>
  <c r="J2696" i="1"/>
  <c r="G2696" i="1"/>
  <c r="AL2695" i="1"/>
  <c r="J2695" i="1"/>
  <c r="G2695" i="1"/>
  <c r="J2694" i="1"/>
  <c r="G2694" i="1"/>
  <c r="J2693" i="1"/>
  <c r="G2693" i="1"/>
  <c r="J2692" i="1"/>
  <c r="G2692" i="1"/>
  <c r="J2691" i="1"/>
  <c r="G2691" i="1"/>
  <c r="J2690" i="1"/>
  <c r="G2690" i="1"/>
  <c r="AL2689" i="1"/>
  <c r="P2689" i="1"/>
  <c r="J2689" i="1"/>
  <c r="G2689" i="1"/>
  <c r="AL2688" i="1"/>
  <c r="J2688" i="1"/>
  <c r="G2688" i="1"/>
  <c r="AL2687" i="1"/>
  <c r="P2687" i="1"/>
  <c r="J2687" i="1"/>
  <c r="G2687" i="1"/>
  <c r="J2686" i="1"/>
  <c r="G2686" i="1"/>
  <c r="J2685" i="1"/>
  <c r="G2685" i="1"/>
  <c r="AL2684" i="1"/>
  <c r="P2684" i="1"/>
  <c r="J2684" i="1"/>
  <c r="G2684" i="1"/>
  <c r="AL2683" i="1"/>
  <c r="J2683" i="1"/>
  <c r="G2683" i="1"/>
  <c r="J2682" i="1"/>
  <c r="G2682" i="1"/>
  <c r="J2681" i="1"/>
  <c r="G2681" i="1"/>
  <c r="J2680" i="1"/>
  <c r="G2680" i="1"/>
  <c r="AL2679" i="1"/>
  <c r="P2679" i="1"/>
  <c r="J2679" i="1"/>
  <c r="G2679" i="1"/>
  <c r="AL2678" i="1"/>
  <c r="P2678" i="1"/>
  <c r="J2678" i="1"/>
  <c r="G2678" i="1"/>
  <c r="AL2677" i="1"/>
  <c r="J2677" i="1"/>
  <c r="G2677" i="1"/>
  <c r="J2676" i="1"/>
  <c r="G2676" i="1"/>
  <c r="AL2675" i="1"/>
  <c r="P2675" i="1"/>
  <c r="J2675" i="1"/>
  <c r="G2675" i="1"/>
  <c r="AL2674" i="1"/>
  <c r="P2674" i="1"/>
  <c r="J2674" i="1"/>
  <c r="G2674" i="1"/>
  <c r="AL2673" i="1"/>
  <c r="P2673" i="1"/>
  <c r="J2673" i="1"/>
  <c r="G2673" i="1"/>
  <c r="J2672" i="1"/>
  <c r="G2672" i="1"/>
  <c r="AL2671" i="1"/>
  <c r="P2671" i="1"/>
  <c r="J2671" i="1"/>
  <c r="G2671" i="1"/>
  <c r="AL2670" i="1"/>
  <c r="P2670" i="1"/>
  <c r="J2670" i="1"/>
  <c r="G2670" i="1"/>
  <c r="J2669" i="1"/>
  <c r="G2669" i="1"/>
  <c r="AL2668" i="1"/>
  <c r="P2668" i="1"/>
  <c r="J2668" i="1"/>
  <c r="G2668" i="1"/>
  <c r="AL2667" i="1"/>
  <c r="J2667" i="1"/>
  <c r="G2667" i="1"/>
  <c r="AL2666" i="1"/>
  <c r="J2666" i="1"/>
  <c r="G2666" i="1"/>
  <c r="AL2665" i="1"/>
  <c r="J2665" i="1"/>
  <c r="G2665" i="1"/>
  <c r="AL2664" i="1"/>
  <c r="P2664" i="1"/>
  <c r="J2664" i="1"/>
  <c r="G2664" i="1"/>
  <c r="AL2663" i="1"/>
  <c r="P2663" i="1"/>
  <c r="J2663" i="1"/>
  <c r="G2663" i="1"/>
  <c r="J2662" i="1"/>
  <c r="G2662" i="1"/>
  <c r="J2661" i="1"/>
  <c r="G2661" i="1"/>
  <c r="J2660" i="1"/>
  <c r="G2660" i="1"/>
  <c r="J2659" i="1"/>
  <c r="G2659" i="1"/>
  <c r="AL2658" i="1"/>
  <c r="J2658" i="1"/>
  <c r="G2658" i="1"/>
  <c r="AL2657" i="1"/>
  <c r="J2657" i="1"/>
  <c r="G2657" i="1"/>
  <c r="J2656" i="1"/>
  <c r="G2656" i="1"/>
  <c r="J2655" i="1"/>
  <c r="G2655" i="1"/>
  <c r="AL2654" i="1"/>
  <c r="J2654" i="1"/>
  <c r="G2654" i="1"/>
  <c r="J2653" i="1"/>
  <c r="G2653" i="1"/>
  <c r="J2652" i="1"/>
  <c r="G2652" i="1"/>
  <c r="AL2651" i="1"/>
  <c r="P2651" i="1"/>
  <c r="J2651" i="1"/>
  <c r="G2651" i="1"/>
  <c r="AL2650" i="1"/>
  <c r="P2650" i="1"/>
  <c r="J2650" i="1"/>
  <c r="G2650" i="1"/>
  <c r="J2649" i="1"/>
  <c r="G2649" i="1"/>
  <c r="J2648" i="1"/>
  <c r="G2648" i="1"/>
  <c r="J2647" i="1"/>
  <c r="G2647" i="1"/>
  <c r="AL2646" i="1"/>
  <c r="J2646" i="1"/>
  <c r="G2646" i="1"/>
  <c r="J2645" i="1"/>
  <c r="G2645" i="1"/>
  <c r="AL2644" i="1"/>
  <c r="P2644" i="1"/>
  <c r="J2644" i="1"/>
  <c r="G2644" i="1"/>
  <c r="AL2643" i="1"/>
  <c r="J2643" i="1"/>
  <c r="G2643" i="1"/>
  <c r="J2642" i="1"/>
  <c r="G2642" i="1"/>
  <c r="AL2641" i="1"/>
  <c r="P2641" i="1"/>
  <c r="J2641" i="1"/>
  <c r="G2641" i="1"/>
  <c r="AL2640" i="1"/>
  <c r="P2640" i="1"/>
  <c r="J2640" i="1"/>
  <c r="G2640" i="1"/>
  <c r="AL2639" i="1"/>
  <c r="J2639" i="1"/>
  <c r="G2639" i="1"/>
  <c r="AL2638" i="1"/>
  <c r="J2638" i="1"/>
  <c r="G2638" i="1"/>
  <c r="AL2637" i="1"/>
  <c r="J2637" i="1"/>
  <c r="G2637" i="1"/>
  <c r="AL2636" i="1"/>
  <c r="J2636" i="1"/>
  <c r="G2636" i="1"/>
  <c r="J2635" i="1"/>
  <c r="G2635" i="1"/>
  <c r="AL2634" i="1"/>
  <c r="P2634" i="1"/>
  <c r="J2634" i="1"/>
  <c r="G2634" i="1"/>
  <c r="J2633" i="1"/>
  <c r="G2633" i="1"/>
  <c r="J2632" i="1"/>
  <c r="G2632" i="1"/>
  <c r="AL2631" i="1"/>
  <c r="J2631" i="1"/>
  <c r="G2631" i="1"/>
  <c r="J2630" i="1"/>
  <c r="G2630" i="1"/>
  <c r="AL2629" i="1"/>
  <c r="J2629" i="1"/>
  <c r="G2629" i="1"/>
  <c r="AL2628" i="1"/>
  <c r="J2628" i="1"/>
  <c r="G2628" i="1"/>
  <c r="J2627" i="1"/>
  <c r="G2627" i="1"/>
  <c r="AL2626" i="1"/>
  <c r="J2626" i="1"/>
  <c r="G2626" i="1"/>
  <c r="AL2625" i="1"/>
  <c r="P2625" i="1"/>
  <c r="J2625" i="1"/>
  <c r="G2625" i="1"/>
  <c r="AL2624" i="1"/>
  <c r="J2624" i="1"/>
  <c r="G2624" i="1"/>
  <c r="P2623" i="1"/>
  <c r="J2623" i="1"/>
  <c r="G2623" i="1"/>
  <c r="P2622" i="1"/>
  <c r="J2622" i="1"/>
  <c r="G2622" i="1"/>
  <c r="AL2621" i="1"/>
  <c r="J2621" i="1"/>
  <c r="G2621" i="1"/>
  <c r="P2620" i="1"/>
  <c r="J2620" i="1"/>
  <c r="G2620" i="1"/>
  <c r="AL2619" i="1"/>
  <c r="P2619" i="1"/>
  <c r="J2619" i="1"/>
  <c r="G2619" i="1"/>
  <c r="P2618" i="1"/>
  <c r="J2618" i="1"/>
  <c r="G2618" i="1"/>
  <c r="AL2617" i="1"/>
  <c r="J2617" i="1"/>
  <c r="G2617" i="1"/>
  <c r="J2616" i="1"/>
  <c r="G2616" i="1"/>
  <c r="AL2615" i="1"/>
  <c r="J2615" i="1"/>
  <c r="G2615" i="1"/>
  <c r="J2614" i="1"/>
  <c r="G2614" i="1"/>
  <c r="J2613" i="1"/>
  <c r="G2613" i="1"/>
  <c r="G2612" i="1"/>
  <c r="J2611" i="1"/>
  <c r="G2611" i="1"/>
  <c r="J2610" i="1"/>
  <c r="G2610" i="1"/>
  <c r="G2609" i="1"/>
  <c r="G2608" i="1"/>
  <c r="AL2607" i="1"/>
  <c r="J2607" i="1"/>
  <c r="G2607" i="1"/>
  <c r="J2606" i="1"/>
  <c r="G2606" i="1"/>
  <c r="AL2605" i="1"/>
  <c r="P2605" i="1"/>
  <c r="J2605" i="1"/>
  <c r="G2605" i="1"/>
  <c r="J2604" i="1"/>
  <c r="G2604" i="1"/>
  <c r="AL2603" i="1"/>
  <c r="J2603" i="1"/>
  <c r="G2603" i="1"/>
  <c r="J2602" i="1"/>
  <c r="G2602" i="1"/>
  <c r="AL2601" i="1"/>
  <c r="J2601" i="1"/>
  <c r="G2601" i="1"/>
  <c r="P2600" i="1"/>
  <c r="J2600" i="1"/>
  <c r="G2600" i="1"/>
  <c r="AL2599" i="1"/>
  <c r="J2599" i="1"/>
  <c r="G2599" i="1"/>
  <c r="AL2598" i="1"/>
  <c r="J2598" i="1"/>
  <c r="G2598" i="1"/>
  <c r="AL2597" i="1"/>
  <c r="J2597" i="1"/>
  <c r="G2597" i="1"/>
  <c r="J2596" i="1"/>
  <c r="G2596" i="1"/>
  <c r="AL2595" i="1"/>
  <c r="P2595" i="1"/>
  <c r="J2595" i="1"/>
  <c r="G2595" i="1"/>
  <c r="AL2594" i="1"/>
  <c r="P2594" i="1"/>
  <c r="J2594" i="1"/>
  <c r="G2594" i="1"/>
  <c r="AL2593" i="1"/>
  <c r="J2593" i="1"/>
  <c r="G2593" i="1"/>
  <c r="J2592" i="1"/>
  <c r="G2592" i="1"/>
  <c r="AL2591" i="1"/>
  <c r="P2591" i="1"/>
  <c r="J2591" i="1"/>
  <c r="G2591" i="1"/>
  <c r="AL2590" i="1"/>
  <c r="J2590" i="1"/>
  <c r="G2590" i="1"/>
  <c r="AL2589" i="1"/>
  <c r="P2589" i="1"/>
  <c r="J2589" i="1"/>
  <c r="G2589" i="1"/>
  <c r="P2588" i="1"/>
  <c r="J2588" i="1"/>
  <c r="G2588" i="1"/>
  <c r="AL2587" i="1"/>
  <c r="J2587" i="1"/>
  <c r="G2587" i="1"/>
  <c r="AL2586" i="1"/>
  <c r="J2586" i="1"/>
  <c r="G2586" i="1"/>
  <c r="AL2585" i="1"/>
  <c r="P2585" i="1"/>
  <c r="J2585" i="1"/>
  <c r="G2585" i="1"/>
  <c r="J2584" i="1"/>
  <c r="G2584" i="1"/>
  <c r="J2583" i="1"/>
  <c r="G2583" i="1"/>
  <c r="AL2582" i="1"/>
  <c r="P2582" i="1"/>
  <c r="J2582" i="1"/>
  <c r="G2582" i="1"/>
  <c r="J2581" i="1"/>
  <c r="G2581" i="1"/>
  <c r="J2580" i="1"/>
  <c r="G2580" i="1"/>
  <c r="AL2579" i="1"/>
  <c r="J2579" i="1"/>
  <c r="G2579" i="1"/>
  <c r="J2578" i="1"/>
  <c r="G2578" i="1"/>
  <c r="AL2577" i="1"/>
  <c r="J2577" i="1"/>
  <c r="G2577" i="1"/>
  <c r="J2576" i="1"/>
  <c r="G2576" i="1"/>
  <c r="J2575" i="1"/>
  <c r="G2575" i="1"/>
  <c r="AL2574" i="1"/>
  <c r="J2574" i="1"/>
  <c r="G2574" i="1"/>
  <c r="J2573" i="1"/>
  <c r="G2573" i="1"/>
  <c r="AL2572" i="1"/>
  <c r="P2572" i="1"/>
  <c r="J2572" i="1"/>
  <c r="G2572" i="1"/>
  <c r="J2571" i="1"/>
  <c r="G2571" i="1"/>
  <c r="AL2570" i="1"/>
  <c r="J2570" i="1"/>
  <c r="G2570" i="1"/>
  <c r="AL2569" i="1"/>
  <c r="J2569" i="1"/>
  <c r="G2569" i="1"/>
  <c r="J2568" i="1"/>
  <c r="G2568" i="1"/>
  <c r="AL2567" i="1"/>
  <c r="J2567" i="1"/>
  <c r="G2567" i="1"/>
  <c r="AL2566" i="1"/>
  <c r="J2566" i="1"/>
  <c r="G2566" i="1"/>
  <c r="AL2565" i="1"/>
  <c r="J2565" i="1"/>
  <c r="G2565" i="1"/>
  <c r="AL2564" i="1"/>
  <c r="J2564" i="1"/>
  <c r="G2564" i="1"/>
  <c r="J2563" i="1"/>
  <c r="G2563" i="1"/>
  <c r="J2562" i="1"/>
  <c r="G2562" i="1"/>
  <c r="J2561" i="1"/>
  <c r="G2561" i="1"/>
  <c r="AL2560" i="1"/>
  <c r="P2560" i="1"/>
  <c r="J2560" i="1"/>
  <c r="G2560" i="1"/>
  <c r="J2559" i="1"/>
  <c r="G2559" i="1"/>
  <c r="AL2558" i="1"/>
  <c r="P2558" i="1"/>
  <c r="J2558" i="1"/>
  <c r="G2558" i="1"/>
  <c r="J2557" i="1"/>
  <c r="G2557" i="1"/>
  <c r="AL2556" i="1"/>
  <c r="P2556" i="1"/>
  <c r="J2556" i="1"/>
  <c r="G2556" i="1"/>
  <c r="J2555" i="1"/>
  <c r="G2555" i="1"/>
  <c r="AL2554" i="1"/>
  <c r="P2554" i="1"/>
  <c r="J2554" i="1"/>
  <c r="G2554" i="1"/>
  <c r="AL2553" i="1"/>
  <c r="J2553" i="1"/>
  <c r="G2553" i="1"/>
  <c r="J2552" i="1"/>
  <c r="G2552" i="1"/>
  <c r="J2551" i="1"/>
  <c r="G2551" i="1"/>
  <c r="AL2550" i="1"/>
  <c r="J2550" i="1"/>
  <c r="G2550" i="1"/>
  <c r="AL2549" i="1"/>
  <c r="J2549" i="1"/>
  <c r="G2549" i="1"/>
  <c r="J2548" i="1"/>
  <c r="G2548" i="1"/>
  <c r="AL2547" i="1"/>
  <c r="J2547" i="1"/>
  <c r="G2547" i="1"/>
  <c r="AL2546" i="1"/>
  <c r="J2546" i="1"/>
  <c r="G2546" i="1"/>
  <c r="AL2545" i="1"/>
  <c r="J2545" i="1"/>
  <c r="G2545" i="1"/>
  <c r="J2544" i="1"/>
  <c r="G2544" i="1"/>
  <c r="AL2543" i="1"/>
  <c r="J2543" i="1"/>
  <c r="G2543" i="1"/>
  <c r="P2542" i="1"/>
  <c r="J2542" i="1"/>
  <c r="G2542" i="1"/>
  <c r="AL2541" i="1"/>
  <c r="P2541" i="1"/>
  <c r="J2541" i="1"/>
  <c r="G2541" i="1"/>
  <c r="P2540" i="1"/>
  <c r="J2540" i="1"/>
  <c r="G2540" i="1"/>
  <c r="P2539" i="1"/>
  <c r="J2539" i="1"/>
  <c r="G2539" i="1"/>
  <c r="AL2538" i="1"/>
  <c r="P2538" i="1"/>
  <c r="J2538" i="1"/>
  <c r="G2538" i="1"/>
  <c r="AL2537" i="1"/>
  <c r="P2537" i="1"/>
  <c r="J2537" i="1"/>
  <c r="G2537" i="1"/>
  <c r="J2536" i="1"/>
  <c r="G2536" i="1"/>
  <c r="J2535" i="1"/>
  <c r="G2535" i="1"/>
  <c r="AL2534" i="1"/>
  <c r="J2534" i="1"/>
  <c r="G2534" i="1"/>
  <c r="J2533" i="1"/>
  <c r="G2533" i="1"/>
  <c r="J2532" i="1"/>
  <c r="G2532" i="1"/>
  <c r="AL2531" i="1"/>
  <c r="P2531" i="1"/>
  <c r="J2531" i="1"/>
  <c r="G2531" i="1"/>
  <c r="AL2530" i="1"/>
  <c r="J2530" i="1"/>
  <c r="G2530" i="1"/>
  <c r="P2529" i="1"/>
  <c r="J2529" i="1"/>
  <c r="G2529" i="1"/>
  <c r="AL2528" i="1"/>
  <c r="P2528" i="1"/>
  <c r="J2528" i="1"/>
  <c r="G2528" i="1"/>
  <c r="J2527" i="1"/>
  <c r="G2527" i="1"/>
  <c r="J2526" i="1"/>
  <c r="G2526" i="1"/>
  <c r="AL2525" i="1"/>
  <c r="P2525" i="1"/>
  <c r="J2525" i="1"/>
  <c r="G2525" i="1"/>
  <c r="J2524" i="1"/>
  <c r="G2524" i="1"/>
  <c r="P2523" i="1"/>
  <c r="J2523" i="1"/>
  <c r="G2523" i="1"/>
  <c r="J2522" i="1"/>
  <c r="G2522" i="1"/>
  <c r="AL2521" i="1"/>
  <c r="J2521" i="1"/>
  <c r="G2521" i="1"/>
  <c r="J2520" i="1"/>
  <c r="G2520" i="1"/>
  <c r="J2519" i="1"/>
  <c r="G2519" i="1"/>
  <c r="J2518" i="1"/>
  <c r="G2518" i="1"/>
  <c r="AL2517" i="1"/>
  <c r="J2517" i="1"/>
  <c r="G2517" i="1"/>
  <c r="AL2516" i="1"/>
  <c r="P2516" i="1"/>
  <c r="J2516" i="1"/>
  <c r="G2516" i="1"/>
  <c r="J2515" i="1"/>
  <c r="G2515" i="1"/>
  <c r="J2514" i="1"/>
  <c r="G2514" i="1"/>
  <c r="J2513" i="1"/>
  <c r="G2513" i="1"/>
  <c r="J2512" i="1"/>
  <c r="G2512" i="1"/>
  <c r="AL2511" i="1"/>
  <c r="P2511" i="1"/>
  <c r="J2511" i="1"/>
  <c r="G2511" i="1"/>
  <c r="J2510" i="1"/>
  <c r="G2510" i="1"/>
  <c r="AL2509" i="1"/>
  <c r="J2509" i="1"/>
  <c r="G2509" i="1"/>
  <c r="J2508" i="1"/>
  <c r="G2508" i="1"/>
  <c r="J2507" i="1"/>
  <c r="G2507" i="1"/>
  <c r="AL2506" i="1"/>
  <c r="P2506" i="1"/>
  <c r="J2506" i="1"/>
  <c r="G2506" i="1"/>
  <c r="J2505" i="1"/>
  <c r="G2505" i="1"/>
  <c r="J2504" i="1"/>
  <c r="G2504" i="1"/>
  <c r="G2503" i="1"/>
  <c r="J2502" i="1"/>
  <c r="G2502" i="1"/>
  <c r="J2501" i="1"/>
  <c r="G2501" i="1"/>
  <c r="AL2500" i="1"/>
  <c r="J2500" i="1"/>
  <c r="G2500" i="1"/>
  <c r="AL2499" i="1"/>
  <c r="J2499" i="1"/>
  <c r="G2499" i="1"/>
  <c r="AL2498" i="1"/>
  <c r="J2498" i="1"/>
  <c r="G2498" i="1"/>
  <c r="AL2497" i="1"/>
  <c r="P2497" i="1"/>
  <c r="J2497" i="1"/>
  <c r="G2497" i="1"/>
  <c r="AL2496" i="1"/>
  <c r="P2496" i="1"/>
  <c r="J2496" i="1"/>
  <c r="G2496" i="1"/>
  <c r="J2495" i="1"/>
  <c r="G2495" i="1"/>
  <c r="J2494" i="1"/>
  <c r="G2494" i="1"/>
  <c r="P2493" i="1"/>
  <c r="J2493" i="1"/>
  <c r="G2493" i="1"/>
  <c r="J2492" i="1"/>
  <c r="G2492" i="1"/>
  <c r="P2491" i="1"/>
  <c r="J2491" i="1"/>
  <c r="G2491" i="1"/>
  <c r="P2490" i="1"/>
  <c r="J2490" i="1"/>
  <c r="G2490" i="1"/>
  <c r="J2489" i="1"/>
  <c r="G2489" i="1"/>
  <c r="AL2488" i="1"/>
  <c r="P2488" i="1"/>
  <c r="J2488" i="1"/>
  <c r="G2488" i="1"/>
  <c r="AL2487" i="1"/>
  <c r="J2487" i="1"/>
  <c r="G2487" i="1"/>
  <c r="P2486" i="1"/>
  <c r="J2486" i="1"/>
  <c r="G2486" i="1"/>
  <c r="AL2485" i="1"/>
  <c r="J2485" i="1"/>
  <c r="G2485" i="1"/>
  <c r="AL2484" i="1"/>
  <c r="J2484" i="1"/>
  <c r="G2484" i="1"/>
  <c r="AL2483" i="1"/>
  <c r="P2483" i="1"/>
  <c r="J2483" i="1"/>
  <c r="G2483" i="1"/>
  <c r="AL2482" i="1"/>
  <c r="P2482" i="1"/>
  <c r="J2482" i="1"/>
  <c r="G2482" i="1"/>
  <c r="J2481" i="1"/>
  <c r="G2481" i="1"/>
  <c r="J2480" i="1"/>
  <c r="G2480" i="1"/>
  <c r="J2479" i="1"/>
  <c r="G2479" i="1"/>
  <c r="P2478" i="1"/>
  <c r="J2478" i="1"/>
  <c r="G2478" i="1"/>
  <c r="J2477" i="1"/>
  <c r="G2477" i="1"/>
  <c r="AL2476" i="1"/>
  <c r="J2476" i="1"/>
  <c r="G2476" i="1"/>
  <c r="J2475" i="1"/>
  <c r="G2475" i="1"/>
  <c r="J2474" i="1"/>
  <c r="G2474" i="1"/>
  <c r="AL2473" i="1"/>
  <c r="J2473" i="1"/>
  <c r="G2473" i="1"/>
  <c r="J2472" i="1"/>
  <c r="G2472" i="1"/>
  <c r="AL2471" i="1"/>
  <c r="J2471" i="1"/>
  <c r="G2471" i="1"/>
  <c r="AL2470" i="1"/>
  <c r="J2470" i="1"/>
  <c r="G2470" i="1"/>
  <c r="J2469" i="1"/>
  <c r="G2469" i="1"/>
  <c r="J2468" i="1"/>
  <c r="G2468" i="1"/>
  <c r="AL2467" i="1"/>
  <c r="J2467" i="1"/>
  <c r="G2467" i="1"/>
  <c r="J2466" i="1"/>
  <c r="G2466" i="1"/>
  <c r="J2465" i="1"/>
  <c r="G2465" i="1"/>
  <c r="AL2464" i="1"/>
  <c r="J2464" i="1"/>
  <c r="G2464" i="1"/>
  <c r="P2463" i="1"/>
  <c r="J2463" i="1"/>
  <c r="G2463" i="1"/>
  <c r="P2462" i="1"/>
  <c r="J2462" i="1"/>
  <c r="G2462" i="1"/>
  <c r="J2461" i="1"/>
  <c r="G2461" i="1"/>
  <c r="J2460" i="1"/>
  <c r="G2460" i="1"/>
  <c r="AL2459" i="1"/>
  <c r="J2459" i="1"/>
  <c r="G2459" i="1"/>
  <c r="J2458" i="1"/>
  <c r="G2458" i="1"/>
  <c r="J2457" i="1"/>
  <c r="G2457" i="1"/>
  <c r="P2456" i="1"/>
  <c r="J2456" i="1"/>
  <c r="G2456" i="1"/>
  <c r="AL2455" i="1"/>
  <c r="J2455" i="1"/>
  <c r="G2455" i="1"/>
  <c r="AL2454" i="1"/>
  <c r="J2454" i="1"/>
  <c r="G2454" i="1"/>
  <c r="AL2453" i="1"/>
  <c r="J2453" i="1"/>
  <c r="G2453" i="1"/>
  <c r="AL2452" i="1"/>
  <c r="J2452" i="1"/>
  <c r="G2452" i="1"/>
  <c r="AL2451" i="1"/>
  <c r="J2451" i="1"/>
  <c r="G2451" i="1"/>
  <c r="J2450" i="1"/>
  <c r="G2450" i="1"/>
  <c r="AL2449" i="1"/>
  <c r="P2449" i="1"/>
  <c r="J2449" i="1"/>
  <c r="G2449" i="1"/>
  <c r="AL2448" i="1"/>
  <c r="P2448" i="1"/>
  <c r="J2448" i="1"/>
  <c r="G2448" i="1"/>
  <c r="AL2447" i="1"/>
  <c r="P2447" i="1"/>
  <c r="J2447" i="1"/>
  <c r="G2447" i="1"/>
  <c r="AL2446" i="1"/>
  <c r="P2446" i="1"/>
  <c r="J2446" i="1"/>
  <c r="G2446" i="1"/>
  <c r="J2445" i="1"/>
  <c r="G2445" i="1"/>
  <c r="P2444" i="1"/>
  <c r="J2444" i="1"/>
  <c r="G2444" i="1"/>
  <c r="AL2443" i="1"/>
  <c r="J2443" i="1"/>
  <c r="G2443" i="1"/>
  <c r="AL2442" i="1"/>
  <c r="P2442" i="1"/>
  <c r="J2442" i="1"/>
  <c r="G2442" i="1"/>
  <c r="AL2441" i="1"/>
  <c r="P2441" i="1"/>
  <c r="J2441" i="1"/>
  <c r="G2441" i="1"/>
  <c r="AL2440" i="1"/>
  <c r="J2440" i="1"/>
  <c r="G2440" i="1"/>
  <c r="J2439" i="1"/>
  <c r="G2439" i="1"/>
  <c r="J2438" i="1"/>
  <c r="G2438" i="1"/>
  <c r="J2437" i="1"/>
  <c r="G2437" i="1"/>
  <c r="J2436" i="1"/>
  <c r="G2436" i="1"/>
  <c r="J2435" i="1"/>
  <c r="G2435" i="1"/>
  <c r="AL2434" i="1"/>
  <c r="J2434" i="1"/>
  <c r="G2434" i="1"/>
  <c r="J2433" i="1"/>
  <c r="G2433" i="1"/>
  <c r="AL2432" i="1"/>
  <c r="P2432" i="1"/>
  <c r="J2432" i="1"/>
  <c r="G2432" i="1"/>
  <c r="J2431" i="1"/>
  <c r="G2431" i="1"/>
  <c r="AL2430" i="1"/>
  <c r="P2430" i="1"/>
  <c r="J2430" i="1"/>
  <c r="G2430" i="1"/>
  <c r="AL2429" i="1"/>
  <c r="P2429" i="1"/>
  <c r="J2429" i="1"/>
  <c r="G2429" i="1"/>
  <c r="J2428" i="1"/>
  <c r="G2428" i="1"/>
  <c r="P2427" i="1"/>
  <c r="J2427" i="1"/>
  <c r="G2427" i="1"/>
  <c r="AL2426" i="1"/>
  <c r="P2426" i="1"/>
  <c r="J2426" i="1"/>
  <c r="G2426" i="1"/>
  <c r="AL2425" i="1"/>
  <c r="P2425" i="1"/>
  <c r="J2425" i="1"/>
  <c r="G2425" i="1"/>
  <c r="J2424" i="1"/>
  <c r="G2424" i="1"/>
  <c r="AL2423" i="1"/>
  <c r="J2423" i="1"/>
  <c r="G2423" i="1"/>
  <c r="J2422" i="1"/>
  <c r="G2422" i="1"/>
  <c r="AL2421" i="1"/>
  <c r="J2421" i="1"/>
  <c r="G2421" i="1"/>
  <c r="AL2420" i="1"/>
  <c r="J2420" i="1"/>
  <c r="G2420" i="1"/>
  <c r="J2419" i="1"/>
  <c r="G2419" i="1"/>
  <c r="AL2418" i="1"/>
  <c r="J2418" i="1"/>
  <c r="G2418" i="1"/>
  <c r="AL2417" i="1"/>
  <c r="P2417" i="1"/>
  <c r="J2417" i="1"/>
  <c r="G2417" i="1"/>
  <c r="J2416" i="1"/>
  <c r="G2416" i="1"/>
  <c r="P2415" i="1"/>
  <c r="J2415" i="1"/>
  <c r="G2415" i="1"/>
  <c r="AL2414" i="1"/>
  <c r="J2414" i="1"/>
  <c r="G2414" i="1"/>
  <c r="AL2413" i="1"/>
  <c r="J2413" i="1"/>
  <c r="G2413" i="1"/>
  <c r="J2412" i="1"/>
  <c r="G2412" i="1"/>
  <c r="J2411" i="1"/>
  <c r="G2411" i="1"/>
  <c r="J2410" i="1"/>
  <c r="G2410" i="1"/>
  <c r="AL2409" i="1"/>
  <c r="P2409" i="1"/>
  <c r="J2409" i="1"/>
  <c r="G2409" i="1"/>
  <c r="AL2408" i="1"/>
  <c r="J2408" i="1"/>
  <c r="G2408" i="1"/>
  <c r="J2407" i="1"/>
  <c r="G2407" i="1"/>
  <c r="AL2406" i="1"/>
  <c r="J2406" i="1"/>
  <c r="G2406" i="1"/>
  <c r="J2405" i="1"/>
  <c r="G2405" i="1"/>
  <c r="AL2404" i="1"/>
  <c r="J2404" i="1"/>
  <c r="G2404" i="1"/>
  <c r="J2403" i="1"/>
  <c r="G2403" i="1"/>
  <c r="AL2402" i="1"/>
  <c r="J2402" i="1"/>
  <c r="G2402" i="1"/>
  <c r="J2401" i="1"/>
  <c r="G2401" i="1"/>
  <c r="AL2400" i="1"/>
  <c r="J2400" i="1"/>
  <c r="G2400" i="1"/>
  <c r="AL2399" i="1"/>
  <c r="P2399" i="1"/>
  <c r="J2399" i="1"/>
  <c r="G2399" i="1"/>
  <c r="AL2398" i="1"/>
  <c r="J2398" i="1"/>
  <c r="G2398" i="1"/>
  <c r="AL2397" i="1"/>
  <c r="J2397" i="1"/>
  <c r="G2397" i="1"/>
  <c r="J2396" i="1"/>
  <c r="G2396" i="1"/>
  <c r="AL2395" i="1"/>
  <c r="P2395" i="1"/>
  <c r="J2395" i="1"/>
  <c r="G2395" i="1"/>
  <c r="AL2394" i="1"/>
  <c r="J2394" i="1"/>
  <c r="G2394" i="1"/>
  <c r="J2393" i="1"/>
  <c r="G2393" i="1"/>
  <c r="AL2392" i="1"/>
  <c r="J2392" i="1"/>
  <c r="G2392" i="1"/>
  <c r="AL2391" i="1"/>
  <c r="P2391" i="1"/>
  <c r="J2391" i="1"/>
  <c r="G2391" i="1"/>
  <c r="AL2390" i="1"/>
  <c r="J2390" i="1"/>
  <c r="G2390" i="1"/>
  <c r="AL2389" i="1"/>
  <c r="J2389" i="1"/>
  <c r="G2389" i="1"/>
  <c r="J2388" i="1"/>
  <c r="G2388" i="1"/>
  <c r="J2387" i="1"/>
  <c r="G2387" i="1"/>
  <c r="J2386" i="1"/>
  <c r="G2386" i="1"/>
  <c r="AL2385" i="1"/>
  <c r="J2385" i="1"/>
  <c r="G2385" i="1"/>
  <c r="AL2384" i="1"/>
  <c r="J2384" i="1"/>
  <c r="G2384" i="1"/>
  <c r="AL2383" i="1"/>
  <c r="J2383" i="1"/>
  <c r="G2383" i="1"/>
  <c r="J2382" i="1"/>
  <c r="G2382" i="1"/>
  <c r="AL2381" i="1"/>
  <c r="J2381" i="1"/>
  <c r="G2381" i="1"/>
  <c r="AL2380" i="1"/>
  <c r="J2380" i="1"/>
  <c r="G2380" i="1"/>
  <c r="J2379" i="1"/>
  <c r="G2379" i="1"/>
  <c r="AL2378" i="1"/>
  <c r="J2378" i="1"/>
  <c r="G2378" i="1"/>
  <c r="P2377" i="1"/>
  <c r="J2377" i="1"/>
  <c r="G2377" i="1"/>
  <c r="AL2376" i="1"/>
  <c r="P2376" i="1"/>
  <c r="J2376" i="1"/>
  <c r="G2376" i="1"/>
  <c r="J2375" i="1"/>
  <c r="G2375" i="1"/>
  <c r="J2374" i="1"/>
  <c r="G2374" i="1"/>
  <c r="J2373" i="1"/>
  <c r="G2373" i="1"/>
  <c r="J2372" i="1"/>
  <c r="G2372" i="1"/>
  <c r="J2371" i="1"/>
  <c r="G2371" i="1"/>
  <c r="J2370" i="1"/>
  <c r="G2370" i="1"/>
  <c r="AL2369" i="1"/>
  <c r="P2369" i="1"/>
  <c r="J2369" i="1"/>
  <c r="G2369" i="1"/>
  <c r="J2368" i="1"/>
  <c r="G2368" i="1"/>
  <c r="P2367" i="1"/>
  <c r="J2367" i="1"/>
  <c r="G2367" i="1"/>
  <c r="J2366" i="1"/>
  <c r="G2366" i="1"/>
  <c r="AL2365" i="1"/>
  <c r="P2365" i="1"/>
  <c r="J2365" i="1"/>
  <c r="G2365" i="1"/>
  <c r="J2364" i="1"/>
  <c r="G2364" i="1"/>
  <c r="J2363" i="1"/>
  <c r="G2363" i="1"/>
  <c r="AL2362" i="1"/>
  <c r="J2362" i="1"/>
  <c r="G2362" i="1"/>
  <c r="P2361" i="1"/>
  <c r="J2361" i="1"/>
  <c r="G2361" i="1"/>
  <c r="AL2360" i="1"/>
  <c r="P2360" i="1"/>
  <c r="J2360" i="1"/>
  <c r="G2360" i="1"/>
  <c r="AL2359" i="1"/>
  <c r="P2359" i="1"/>
  <c r="J2359" i="1"/>
  <c r="G2359" i="1"/>
  <c r="AL2358" i="1"/>
  <c r="P2358" i="1"/>
  <c r="J2358" i="1"/>
  <c r="G2358" i="1"/>
  <c r="AL2357" i="1"/>
  <c r="P2357" i="1"/>
  <c r="J2357" i="1"/>
  <c r="G2357" i="1"/>
  <c r="AL2356" i="1"/>
  <c r="J2356" i="1"/>
  <c r="G2356" i="1"/>
  <c r="AL2355" i="1"/>
  <c r="J2355" i="1"/>
  <c r="G2355" i="1"/>
  <c r="J2354" i="1"/>
  <c r="G2354" i="1"/>
  <c r="J2353" i="1"/>
  <c r="G2353" i="1"/>
  <c r="J2352" i="1"/>
  <c r="G2352" i="1"/>
  <c r="AL2351" i="1"/>
  <c r="P2351" i="1"/>
  <c r="J2351" i="1"/>
  <c r="G2351" i="1"/>
  <c r="P2350" i="1"/>
  <c r="J2350" i="1"/>
  <c r="G2350" i="1"/>
  <c r="J2349" i="1"/>
  <c r="G2349" i="1"/>
  <c r="AL2348" i="1"/>
  <c r="P2348" i="1"/>
  <c r="J2348" i="1"/>
  <c r="G2348" i="1"/>
  <c r="AL2347" i="1"/>
  <c r="P2347" i="1"/>
  <c r="J2347" i="1"/>
  <c r="G2347" i="1"/>
  <c r="AL2346" i="1"/>
  <c r="J2346" i="1"/>
  <c r="G2346" i="1"/>
  <c r="AL2345" i="1"/>
  <c r="J2345" i="1"/>
  <c r="G2345" i="1"/>
  <c r="J2344" i="1"/>
  <c r="G2344" i="1"/>
  <c r="J2343" i="1"/>
  <c r="G2343" i="1"/>
  <c r="AL2342" i="1"/>
  <c r="P2342" i="1"/>
  <c r="J2342" i="1"/>
  <c r="G2342" i="1"/>
  <c r="AL2341" i="1"/>
  <c r="P2341" i="1"/>
  <c r="J2341" i="1"/>
  <c r="G2341" i="1"/>
  <c r="J2340" i="1"/>
  <c r="G2340" i="1"/>
  <c r="J2339" i="1"/>
  <c r="G2339" i="1"/>
  <c r="AL2338" i="1"/>
  <c r="J2338" i="1"/>
  <c r="G2338" i="1"/>
  <c r="J2337" i="1"/>
  <c r="G2337" i="1"/>
  <c r="J2336" i="1"/>
  <c r="G2336" i="1"/>
  <c r="P2335" i="1"/>
  <c r="J2335" i="1"/>
  <c r="G2335" i="1"/>
  <c r="J2334" i="1"/>
  <c r="G2334" i="1"/>
  <c r="J2333" i="1"/>
  <c r="G2333" i="1"/>
  <c r="AL2332" i="1"/>
  <c r="J2332" i="1"/>
  <c r="G2332" i="1"/>
  <c r="AL2331" i="1"/>
  <c r="P2331" i="1"/>
  <c r="J2331" i="1"/>
  <c r="G2331" i="1"/>
  <c r="AL2330" i="1"/>
  <c r="J2330" i="1"/>
  <c r="G2330" i="1"/>
  <c r="J2329" i="1"/>
  <c r="G2329" i="1"/>
  <c r="AL2328" i="1"/>
  <c r="P2328" i="1"/>
  <c r="J2328" i="1"/>
  <c r="G2328" i="1"/>
  <c r="J2327" i="1"/>
  <c r="G2327" i="1"/>
  <c r="AL2326" i="1"/>
  <c r="J2326" i="1"/>
  <c r="G2326" i="1"/>
  <c r="J2325" i="1"/>
  <c r="G2325" i="1"/>
  <c r="AL2324" i="1"/>
  <c r="P2324" i="1"/>
  <c r="J2324" i="1"/>
  <c r="G2324" i="1"/>
  <c r="J2323" i="1"/>
  <c r="G2323" i="1"/>
  <c r="AL2322" i="1"/>
  <c r="P2322" i="1"/>
  <c r="J2322" i="1"/>
  <c r="G2322" i="1"/>
  <c r="J2321" i="1"/>
  <c r="G2321" i="1"/>
  <c r="AL2320" i="1"/>
  <c r="J2320" i="1"/>
  <c r="G2320" i="1"/>
  <c r="AL2319" i="1"/>
  <c r="J2319" i="1"/>
  <c r="G2319" i="1"/>
  <c r="J2318" i="1"/>
  <c r="G2318" i="1"/>
  <c r="J2317" i="1"/>
  <c r="G2317" i="1"/>
  <c r="AL2316" i="1"/>
  <c r="P2316" i="1"/>
  <c r="J2316" i="1"/>
  <c r="G2316" i="1"/>
  <c r="J2315" i="1"/>
  <c r="G2315" i="1"/>
  <c r="AL2314" i="1"/>
  <c r="P2314" i="1"/>
  <c r="J2314" i="1"/>
  <c r="G2314" i="1"/>
  <c r="AL2313" i="1"/>
  <c r="P2313" i="1"/>
  <c r="J2313" i="1"/>
  <c r="G2313" i="1"/>
  <c r="AL2312" i="1"/>
  <c r="J2312" i="1"/>
  <c r="G2312" i="1"/>
  <c r="J2311" i="1"/>
  <c r="G2311" i="1"/>
  <c r="J2310" i="1"/>
  <c r="G2310" i="1"/>
  <c r="P2309" i="1"/>
  <c r="J2309" i="1"/>
  <c r="G2309" i="1"/>
  <c r="J2308" i="1"/>
  <c r="G2308" i="1"/>
  <c r="J2307" i="1"/>
  <c r="G2307" i="1"/>
  <c r="J2306" i="1"/>
  <c r="G2306" i="1"/>
  <c r="G2305" i="1"/>
  <c r="AL2304" i="1"/>
  <c r="J2304" i="1"/>
  <c r="G2304" i="1"/>
  <c r="AL2303" i="1"/>
  <c r="P2303" i="1"/>
  <c r="J2303" i="1"/>
  <c r="G2303" i="1"/>
  <c r="J2302" i="1"/>
  <c r="G2302" i="1"/>
  <c r="J2301" i="1"/>
  <c r="G2301" i="1"/>
  <c r="J2300" i="1"/>
  <c r="G2300" i="1"/>
  <c r="J2299" i="1"/>
  <c r="G2299" i="1"/>
  <c r="J2298" i="1"/>
  <c r="G2298" i="1"/>
  <c r="AL2297" i="1"/>
  <c r="J2297" i="1"/>
  <c r="G2297" i="1"/>
  <c r="J2296" i="1"/>
  <c r="G2296" i="1"/>
  <c r="AL2295" i="1"/>
  <c r="J2295" i="1"/>
  <c r="G2295" i="1"/>
  <c r="J2294" i="1"/>
  <c r="G2294" i="1"/>
  <c r="AL2293" i="1"/>
  <c r="J2293" i="1"/>
  <c r="G2293" i="1"/>
  <c r="AL2292" i="1"/>
  <c r="J2292" i="1"/>
  <c r="G2292" i="1"/>
  <c r="J2291" i="1"/>
  <c r="G2291" i="1"/>
  <c r="AL2290" i="1"/>
  <c r="J2290" i="1"/>
  <c r="G2290" i="1"/>
  <c r="J2289" i="1"/>
  <c r="G2289" i="1"/>
  <c r="J2288" i="1"/>
  <c r="G2288" i="1"/>
  <c r="AL2287" i="1"/>
  <c r="J2287" i="1"/>
  <c r="G2287" i="1"/>
  <c r="J2286" i="1"/>
  <c r="G2286" i="1"/>
  <c r="AL2285" i="1"/>
  <c r="P2285" i="1"/>
  <c r="J2285" i="1"/>
  <c r="G2285" i="1"/>
  <c r="AL2284" i="1"/>
  <c r="J2284" i="1"/>
  <c r="G2284" i="1"/>
  <c r="AL2283" i="1"/>
  <c r="J2283" i="1"/>
  <c r="G2283" i="1"/>
  <c r="J2282" i="1"/>
  <c r="G2282" i="1"/>
  <c r="AL2281" i="1"/>
  <c r="J2281" i="1"/>
  <c r="G2281" i="1"/>
  <c r="AL2280" i="1"/>
  <c r="P2280" i="1"/>
  <c r="J2280" i="1"/>
  <c r="G2280" i="1"/>
  <c r="J2279" i="1"/>
  <c r="G2279" i="1"/>
  <c r="J2278" i="1"/>
  <c r="G2278" i="1"/>
  <c r="J2277" i="1"/>
  <c r="G2277" i="1"/>
  <c r="J2276" i="1"/>
  <c r="G2276" i="1"/>
  <c r="J2275" i="1"/>
  <c r="G2275" i="1"/>
  <c r="J2274" i="1"/>
  <c r="G2274" i="1"/>
  <c r="J2273" i="1"/>
  <c r="G2273" i="1"/>
  <c r="AL2272" i="1"/>
  <c r="J2272" i="1"/>
  <c r="G2272" i="1"/>
  <c r="J2271" i="1"/>
  <c r="G2271" i="1"/>
  <c r="AL2270" i="1"/>
  <c r="J2270" i="1"/>
  <c r="G2270" i="1"/>
  <c r="AL2269" i="1"/>
  <c r="J2269" i="1"/>
  <c r="G2269" i="1"/>
  <c r="G2268" i="1"/>
  <c r="J2267" i="1"/>
  <c r="G2267" i="1"/>
  <c r="J2266" i="1"/>
  <c r="G2266" i="1"/>
  <c r="J2265" i="1"/>
  <c r="G2265" i="1"/>
  <c r="AL2264" i="1"/>
  <c r="J2264" i="1"/>
  <c r="G2264" i="1"/>
  <c r="J2263" i="1"/>
  <c r="G2263" i="1"/>
  <c r="AL2262" i="1"/>
  <c r="J2262" i="1"/>
  <c r="G2262" i="1"/>
  <c r="AL2261" i="1"/>
  <c r="J2261" i="1"/>
  <c r="G2261" i="1"/>
  <c r="AL2260" i="1"/>
  <c r="J2260" i="1"/>
  <c r="G2260" i="1"/>
  <c r="AL2259" i="1"/>
  <c r="J2259" i="1"/>
  <c r="G2259" i="1"/>
  <c r="AL2258" i="1"/>
  <c r="P2258" i="1"/>
  <c r="J2258" i="1"/>
  <c r="G2258" i="1"/>
  <c r="J2257" i="1"/>
  <c r="G2257" i="1"/>
  <c r="J2256" i="1"/>
  <c r="G2256" i="1"/>
  <c r="AL2255" i="1"/>
  <c r="J2255" i="1"/>
  <c r="G2255" i="1"/>
  <c r="AL2254" i="1"/>
  <c r="P2254" i="1"/>
  <c r="J2254" i="1"/>
  <c r="G2254" i="1"/>
  <c r="J2253" i="1"/>
  <c r="G2253" i="1"/>
  <c r="P2252" i="1"/>
  <c r="J2252" i="1"/>
  <c r="G2252" i="1"/>
  <c r="G2251" i="1"/>
  <c r="AL2250" i="1"/>
  <c r="P2250" i="1"/>
  <c r="J2250" i="1"/>
  <c r="G2250" i="1"/>
  <c r="AL2249" i="1"/>
  <c r="J2249" i="1"/>
  <c r="G2249" i="1"/>
  <c r="AL2248" i="1"/>
  <c r="J2248" i="1"/>
  <c r="G2248" i="1"/>
  <c r="AL2247" i="1"/>
  <c r="J2247" i="1"/>
  <c r="G2247" i="1"/>
  <c r="AL2246" i="1"/>
  <c r="P2246" i="1"/>
  <c r="J2246" i="1"/>
  <c r="G2246" i="1"/>
  <c r="AL2245" i="1"/>
  <c r="P2245" i="1"/>
  <c r="J2245" i="1"/>
  <c r="G2245" i="1"/>
  <c r="AL2244" i="1"/>
  <c r="J2244" i="1"/>
  <c r="G2244" i="1"/>
  <c r="P2243" i="1"/>
  <c r="J2243" i="1"/>
  <c r="G2243" i="1"/>
  <c r="P2242" i="1"/>
  <c r="J2242" i="1"/>
  <c r="G2242" i="1"/>
  <c r="AL2241" i="1"/>
  <c r="J2241" i="1"/>
  <c r="G2241" i="1"/>
  <c r="AL2240" i="1"/>
  <c r="J2240" i="1"/>
  <c r="G2240" i="1"/>
  <c r="AL2239" i="1"/>
  <c r="J2239" i="1"/>
  <c r="G2239" i="1"/>
  <c r="AL2238" i="1"/>
  <c r="J2238" i="1"/>
  <c r="G2238" i="1"/>
  <c r="J2237" i="1"/>
  <c r="G2237" i="1"/>
  <c r="AL2236" i="1"/>
  <c r="P2236" i="1"/>
  <c r="J2236" i="1"/>
  <c r="G2236" i="1"/>
  <c r="AL2235" i="1"/>
  <c r="J2235" i="1"/>
  <c r="G2235" i="1"/>
  <c r="AL2234" i="1"/>
  <c r="J2234" i="1"/>
  <c r="G2234" i="1"/>
  <c r="P2233" i="1"/>
  <c r="G2233" i="1"/>
  <c r="J2232" i="1"/>
  <c r="G2232" i="1"/>
  <c r="J2231" i="1"/>
  <c r="G2231" i="1"/>
  <c r="J2230" i="1"/>
  <c r="G2230" i="1"/>
  <c r="AL2229" i="1"/>
  <c r="P2229" i="1"/>
  <c r="J2229" i="1"/>
  <c r="G2229" i="1"/>
  <c r="AL2228" i="1"/>
  <c r="P2228" i="1"/>
  <c r="J2228" i="1"/>
  <c r="G2228" i="1"/>
  <c r="G2227" i="1"/>
  <c r="G2226" i="1"/>
  <c r="G2225" i="1"/>
  <c r="J2224" i="1"/>
  <c r="G2224" i="1"/>
  <c r="J2223" i="1"/>
  <c r="G2223" i="1"/>
  <c r="G2222" i="1"/>
  <c r="J2221" i="1"/>
  <c r="G2221" i="1"/>
  <c r="J2220" i="1"/>
  <c r="G2220" i="1"/>
  <c r="J2219" i="1"/>
  <c r="G2219" i="1"/>
  <c r="G2218" i="1"/>
  <c r="AL2217" i="1"/>
  <c r="P2217" i="1"/>
  <c r="J2217" i="1"/>
  <c r="G2217" i="1"/>
  <c r="J2216" i="1"/>
  <c r="G2216" i="1"/>
  <c r="AL2215" i="1"/>
  <c r="J2215" i="1"/>
  <c r="G2215" i="1"/>
  <c r="AL2214" i="1"/>
  <c r="J2214" i="1"/>
  <c r="G2214" i="1"/>
  <c r="AL2213" i="1"/>
  <c r="J2213" i="1"/>
  <c r="G2213" i="1"/>
  <c r="AL2212" i="1"/>
  <c r="J2212" i="1"/>
  <c r="G2212" i="1"/>
  <c r="AL2211" i="1"/>
  <c r="J2211" i="1"/>
  <c r="G2211" i="1"/>
  <c r="J2210" i="1"/>
  <c r="G2210" i="1"/>
  <c r="AL2209" i="1"/>
  <c r="J2209" i="1"/>
  <c r="G2209" i="1"/>
  <c r="AL2208" i="1"/>
  <c r="J2208" i="1"/>
  <c r="G2208" i="1"/>
  <c r="J2207" i="1"/>
  <c r="G2207" i="1"/>
  <c r="AL2206" i="1"/>
  <c r="P2206" i="1"/>
  <c r="J2206" i="1"/>
  <c r="G2206" i="1"/>
  <c r="AL2205" i="1"/>
  <c r="J2205" i="1"/>
  <c r="G2205" i="1"/>
  <c r="J2204" i="1"/>
  <c r="G2204" i="1"/>
  <c r="J2203" i="1"/>
  <c r="G2203" i="1"/>
  <c r="AL2202" i="1"/>
  <c r="J2202" i="1"/>
  <c r="G2202" i="1"/>
  <c r="AL2201" i="1"/>
  <c r="J2201" i="1"/>
  <c r="G2201" i="1"/>
  <c r="AL2200" i="1"/>
  <c r="P2200" i="1"/>
  <c r="J2200" i="1"/>
  <c r="G2200" i="1"/>
  <c r="J2199" i="1"/>
  <c r="G2199" i="1"/>
  <c r="J2198" i="1"/>
  <c r="G2198" i="1"/>
  <c r="J2197" i="1"/>
  <c r="G2197" i="1"/>
  <c r="AL2196" i="1"/>
  <c r="J2196" i="1"/>
  <c r="G2196" i="1"/>
  <c r="J2195" i="1"/>
  <c r="G2195" i="1"/>
  <c r="AL2194" i="1"/>
  <c r="J2194" i="1"/>
  <c r="G2194" i="1"/>
  <c r="AL2193" i="1"/>
  <c r="J2193" i="1"/>
  <c r="G2193" i="1"/>
  <c r="J2192" i="1"/>
  <c r="G2192" i="1"/>
  <c r="AL2191" i="1"/>
  <c r="J2191" i="1"/>
  <c r="G2191" i="1"/>
  <c r="AL2190" i="1"/>
  <c r="J2190" i="1"/>
  <c r="G2190" i="1"/>
  <c r="J2189" i="1"/>
  <c r="G2189" i="1"/>
  <c r="AL2188" i="1"/>
  <c r="P2188" i="1"/>
  <c r="J2188" i="1"/>
  <c r="G2188" i="1"/>
  <c r="J2187" i="1"/>
  <c r="G2187" i="1"/>
  <c r="AL2186" i="1"/>
  <c r="J2186" i="1"/>
  <c r="G2186" i="1"/>
  <c r="AL2185" i="1"/>
  <c r="J2185" i="1"/>
  <c r="G2185" i="1"/>
  <c r="AL2184" i="1"/>
  <c r="J2184" i="1"/>
  <c r="G2184" i="1"/>
  <c r="J2183" i="1"/>
  <c r="G2183" i="1"/>
  <c r="J2182" i="1"/>
  <c r="G2182" i="1"/>
  <c r="AL2181" i="1"/>
  <c r="J2181" i="1"/>
  <c r="G2181" i="1"/>
  <c r="AL2180" i="1"/>
  <c r="J2180" i="1"/>
  <c r="G2180" i="1"/>
  <c r="AL2179" i="1"/>
  <c r="P2179" i="1"/>
  <c r="J2179" i="1"/>
  <c r="G2179" i="1"/>
  <c r="AL2178" i="1"/>
  <c r="P2178" i="1"/>
  <c r="J2178" i="1"/>
  <c r="G2178" i="1"/>
  <c r="J2177" i="1"/>
  <c r="G2177" i="1"/>
  <c r="J2176" i="1"/>
  <c r="G2176" i="1"/>
  <c r="AL2175" i="1"/>
  <c r="J2175" i="1"/>
  <c r="G2175" i="1"/>
  <c r="AL2174" i="1"/>
  <c r="J2174" i="1"/>
  <c r="G2174" i="1"/>
  <c r="AL2173" i="1"/>
  <c r="J2173" i="1"/>
  <c r="G2173" i="1"/>
  <c r="J2172" i="1"/>
  <c r="G2172" i="1"/>
  <c r="J2171" i="1"/>
  <c r="G2171" i="1"/>
  <c r="AL2170" i="1"/>
  <c r="J2170" i="1"/>
  <c r="G2170" i="1"/>
  <c r="J2169" i="1"/>
  <c r="G2169" i="1"/>
  <c r="AL2168" i="1"/>
  <c r="J2168" i="1"/>
  <c r="G2168" i="1"/>
  <c r="AL2167" i="1"/>
  <c r="J2167" i="1"/>
  <c r="G2167" i="1"/>
  <c r="J2166" i="1"/>
  <c r="G2166" i="1"/>
  <c r="J2165" i="1"/>
  <c r="G2165" i="1"/>
  <c r="J2164" i="1"/>
  <c r="G2164" i="1"/>
  <c r="J2163" i="1"/>
  <c r="G2163" i="1"/>
  <c r="AL2162" i="1"/>
  <c r="P2162" i="1"/>
  <c r="J2162" i="1"/>
  <c r="G2162" i="1"/>
  <c r="P2161" i="1"/>
  <c r="G2161" i="1"/>
  <c r="AL2160" i="1"/>
  <c r="P2160" i="1"/>
  <c r="J2160" i="1"/>
  <c r="G2160" i="1"/>
  <c r="AL2159" i="1"/>
  <c r="J2159" i="1"/>
  <c r="G2159" i="1"/>
  <c r="AL2158" i="1"/>
  <c r="J2158" i="1"/>
  <c r="G2158" i="1"/>
  <c r="J2157" i="1"/>
  <c r="G2157" i="1"/>
  <c r="AL2156" i="1"/>
  <c r="J2156" i="1"/>
  <c r="G2156" i="1"/>
  <c r="AL2155" i="1"/>
  <c r="J2155" i="1"/>
  <c r="G2155" i="1"/>
  <c r="AL2154" i="1"/>
  <c r="J2154" i="1"/>
  <c r="G2154" i="1"/>
  <c r="AL2153" i="1"/>
  <c r="J2153" i="1"/>
  <c r="G2153" i="1"/>
  <c r="AL2152" i="1"/>
  <c r="J2152" i="1"/>
  <c r="G2152" i="1"/>
  <c r="J2151" i="1"/>
  <c r="G2151" i="1"/>
  <c r="AL2150" i="1"/>
  <c r="P2150" i="1"/>
  <c r="J2150" i="1"/>
  <c r="G2150" i="1"/>
  <c r="AL2149" i="1"/>
  <c r="J2149" i="1"/>
  <c r="G2149" i="1"/>
  <c r="AL2148" i="1"/>
  <c r="P2148" i="1"/>
  <c r="J2148" i="1"/>
  <c r="G2148" i="1"/>
  <c r="AL2147" i="1"/>
  <c r="J2147" i="1"/>
  <c r="G2147" i="1"/>
  <c r="AL2146" i="1"/>
  <c r="P2146" i="1"/>
  <c r="J2146" i="1"/>
  <c r="G2146" i="1"/>
  <c r="P2145" i="1"/>
  <c r="G2145" i="1"/>
  <c r="AL2144" i="1"/>
  <c r="J2144" i="1"/>
  <c r="G2144" i="1"/>
  <c r="AL2143" i="1"/>
  <c r="P2143" i="1"/>
  <c r="J2143" i="1"/>
  <c r="G2143" i="1"/>
  <c r="AL2142" i="1"/>
  <c r="J2142" i="1"/>
  <c r="G2142" i="1"/>
  <c r="AL2141" i="1"/>
  <c r="J2141" i="1"/>
  <c r="G2141" i="1"/>
  <c r="AL2140" i="1"/>
  <c r="J2140" i="1"/>
  <c r="G2140" i="1"/>
  <c r="AL2139" i="1"/>
  <c r="J2139" i="1"/>
  <c r="G2139" i="1"/>
  <c r="AL2138" i="1"/>
  <c r="P2138" i="1"/>
  <c r="J2138" i="1"/>
  <c r="G2138" i="1"/>
  <c r="J2137" i="1"/>
  <c r="G2137" i="1"/>
  <c r="J2136" i="1"/>
  <c r="G2136" i="1"/>
  <c r="J2135" i="1"/>
  <c r="G2135" i="1"/>
  <c r="J2134" i="1"/>
  <c r="G2134" i="1"/>
  <c r="AL2133" i="1"/>
  <c r="P2133" i="1"/>
  <c r="J2133" i="1"/>
  <c r="G2133" i="1"/>
  <c r="J2132" i="1"/>
  <c r="G2132" i="1"/>
  <c r="G2131" i="1"/>
  <c r="AL2130" i="1"/>
  <c r="P2130" i="1"/>
  <c r="J2130" i="1"/>
  <c r="G2130" i="1"/>
  <c r="AL2129" i="1"/>
  <c r="J2129" i="1"/>
  <c r="G2129" i="1"/>
  <c r="J2128" i="1"/>
  <c r="G2128" i="1"/>
  <c r="AL2127" i="1"/>
  <c r="P2127" i="1"/>
  <c r="J2127" i="1"/>
  <c r="G2127" i="1"/>
  <c r="AL2126" i="1"/>
  <c r="J2126" i="1"/>
  <c r="G2126" i="1"/>
  <c r="AL2125" i="1"/>
  <c r="J2125" i="1"/>
  <c r="G2125" i="1"/>
  <c r="J2124" i="1"/>
  <c r="G2124" i="1"/>
  <c r="AL2123" i="1"/>
  <c r="J2123" i="1"/>
  <c r="G2123" i="1"/>
  <c r="AL2122" i="1"/>
  <c r="P2122" i="1"/>
  <c r="J2122" i="1"/>
  <c r="G2122" i="1"/>
  <c r="J2121" i="1"/>
  <c r="G2121" i="1"/>
  <c r="J2120" i="1"/>
  <c r="G2120" i="1"/>
  <c r="AL2119" i="1"/>
  <c r="P2119" i="1"/>
  <c r="J2119" i="1"/>
  <c r="G2119" i="1"/>
  <c r="P2118" i="1"/>
  <c r="J2118" i="1"/>
  <c r="G2118" i="1"/>
  <c r="J2117" i="1"/>
  <c r="G2117" i="1"/>
  <c r="P2116" i="1"/>
  <c r="J2116" i="1"/>
  <c r="G2116" i="1"/>
  <c r="J2115" i="1"/>
  <c r="G2115" i="1"/>
  <c r="J2114" i="1"/>
  <c r="G2114" i="1"/>
  <c r="AL2113" i="1"/>
  <c r="J2113" i="1"/>
  <c r="G2113" i="1"/>
  <c r="AL2112" i="1"/>
  <c r="J2112" i="1"/>
  <c r="G2112" i="1"/>
  <c r="AL2111" i="1"/>
  <c r="P2111" i="1"/>
  <c r="J2111" i="1"/>
  <c r="G2111" i="1"/>
  <c r="P2110" i="1"/>
  <c r="J2110" i="1"/>
  <c r="G2110" i="1"/>
  <c r="AL2109" i="1"/>
  <c r="J2109" i="1"/>
  <c r="G2109" i="1"/>
  <c r="J2108" i="1"/>
  <c r="G2108" i="1"/>
  <c r="J2107" i="1"/>
  <c r="G2107" i="1"/>
  <c r="J2106" i="1"/>
  <c r="G2106" i="1"/>
  <c r="J2105" i="1"/>
  <c r="G2105" i="1"/>
  <c r="AL2104" i="1"/>
  <c r="P2104" i="1"/>
  <c r="J2104" i="1"/>
  <c r="G2104" i="1"/>
  <c r="J2103" i="1"/>
  <c r="G2103" i="1"/>
  <c r="J2102" i="1"/>
  <c r="G2102" i="1"/>
  <c r="AL2101" i="1"/>
  <c r="J2101" i="1"/>
  <c r="G2101" i="1"/>
  <c r="AL2100" i="1"/>
  <c r="P2100" i="1"/>
  <c r="J2100" i="1"/>
  <c r="G2100" i="1"/>
  <c r="J2099" i="1"/>
  <c r="G2099" i="1"/>
  <c r="AL2098" i="1"/>
  <c r="P2098" i="1"/>
  <c r="J2098" i="1"/>
  <c r="G2098" i="1"/>
  <c r="AL2097" i="1"/>
  <c r="J2097" i="1"/>
  <c r="G2097" i="1"/>
  <c r="AL2096" i="1"/>
  <c r="P2096" i="1"/>
  <c r="J2096" i="1"/>
  <c r="G2096" i="1"/>
  <c r="AL2095" i="1"/>
  <c r="J2095" i="1"/>
  <c r="G2095" i="1"/>
  <c r="J2094" i="1"/>
  <c r="G2094" i="1"/>
  <c r="AL2093" i="1"/>
  <c r="J2093" i="1"/>
  <c r="G2093" i="1"/>
  <c r="AL2092" i="1"/>
  <c r="P2092" i="1"/>
  <c r="J2092" i="1"/>
  <c r="G2092" i="1"/>
  <c r="AL2091" i="1"/>
  <c r="J2091" i="1"/>
  <c r="G2091" i="1"/>
  <c r="AL2090" i="1"/>
  <c r="J2090" i="1"/>
  <c r="G2090" i="1"/>
  <c r="AL2089" i="1"/>
  <c r="J2089" i="1"/>
  <c r="G2089" i="1"/>
  <c r="AL2088" i="1"/>
  <c r="P2088" i="1"/>
  <c r="J2088" i="1"/>
  <c r="G2088" i="1"/>
  <c r="J2087" i="1"/>
  <c r="G2087" i="1"/>
  <c r="J2086" i="1"/>
  <c r="G2086" i="1"/>
  <c r="G2085" i="1"/>
  <c r="AL2084" i="1"/>
  <c r="J2084" i="1"/>
  <c r="G2084" i="1"/>
  <c r="J2083" i="1"/>
  <c r="G2083" i="1"/>
  <c r="J2082" i="1"/>
  <c r="G2082" i="1"/>
  <c r="AL2081" i="1"/>
  <c r="J2081" i="1"/>
  <c r="G2081" i="1"/>
  <c r="AL2080" i="1"/>
  <c r="J2080" i="1"/>
  <c r="G2080" i="1"/>
  <c r="AL2079" i="1"/>
  <c r="P2079" i="1"/>
  <c r="J2079" i="1"/>
  <c r="G2079" i="1"/>
  <c r="J2078" i="1"/>
  <c r="G2078" i="1"/>
  <c r="J2077" i="1"/>
  <c r="G2077" i="1"/>
  <c r="AL2076" i="1"/>
  <c r="J2076" i="1"/>
  <c r="G2076" i="1"/>
  <c r="P2075" i="1"/>
  <c r="J2075" i="1"/>
  <c r="G2075" i="1"/>
  <c r="J2074" i="1"/>
  <c r="G2074" i="1"/>
  <c r="AL2073" i="1"/>
  <c r="J2073" i="1"/>
  <c r="G2073" i="1"/>
  <c r="AL2072" i="1"/>
  <c r="J2072" i="1"/>
  <c r="G2072" i="1"/>
  <c r="AL2071" i="1"/>
  <c r="J2071" i="1"/>
  <c r="G2071" i="1"/>
  <c r="AL2070" i="1"/>
  <c r="J2070" i="1"/>
  <c r="G2070" i="1"/>
  <c r="J2069" i="1"/>
  <c r="G2069" i="1"/>
  <c r="AL2068" i="1"/>
  <c r="J2068" i="1"/>
  <c r="G2068" i="1"/>
  <c r="AL2067" i="1"/>
  <c r="P2067" i="1"/>
  <c r="J2067" i="1"/>
  <c r="G2067" i="1"/>
  <c r="AL2066" i="1"/>
  <c r="J2066" i="1"/>
  <c r="G2066" i="1"/>
  <c r="AL2065" i="1"/>
  <c r="P2065" i="1"/>
  <c r="J2065" i="1"/>
  <c r="G2065" i="1"/>
  <c r="AL2064" i="1"/>
  <c r="J2064" i="1"/>
  <c r="G2064" i="1"/>
  <c r="J2063" i="1"/>
  <c r="G2063" i="1"/>
  <c r="J2062" i="1"/>
  <c r="G2062" i="1"/>
  <c r="AL2061" i="1"/>
  <c r="J2061" i="1"/>
  <c r="G2061" i="1"/>
  <c r="AL2060" i="1"/>
  <c r="J2060" i="1"/>
  <c r="G2060" i="1"/>
  <c r="AL2059" i="1"/>
  <c r="J2059" i="1"/>
  <c r="G2059" i="1"/>
  <c r="AL2058" i="1"/>
  <c r="J2058" i="1"/>
  <c r="G2058" i="1"/>
  <c r="AL2057" i="1"/>
  <c r="J2057" i="1"/>
  <c r="G2057" i="1"/>
  <c r="AL2056" i="1"/>
  <c r="P2056" i="1"/>
  <c r="J2056" i="1"/>
  <c r="G2056" i="1"/>
  <c r="AL2055" i="1"/>
  <c r="P2055" i="1"/>
  <c r="J2055" i="1"/>
  <c r="G2055" i="1"/>
  <c r="J2054" i="1"/>
  <c r="G2054" i="1"/>
  <c r="AL2053" i="1"/>
  <c r="J2053" i="1"/>
  <c r="G2053" i="1"/>
  <c r="AL2052" i="1"/>
  <c r="J2052" i="1"/>
  <c r="G2052" i="1"/>
  <c r="J2051" i="1"/>
  <c r="G2051" i="1"/>
  <c r="J2050" i="1"/>
  <c r="G2050" i="1"/>
  <c r="AL2049" i="1"/>
  <c r="J2049" i="1"/>
  <c r="G2049" i="1"/>
  <c r="AL2048" i="1"/>
  <c r="J2048" i="1"/>
  <c r="G2048" i="1"/>
  <c r="J2047" i="1"/>
  <c r="G2047" i="1"/>
  <c r="P2046" i="1"/>
  <c r="G2046" i="1"/>
  <c r="AL2045" i="1"/>
  <c r="P2045" i="1"/>
  <c r="J2045" i="1"/>
  <c r="G2045" i="1"/>
  <c r="P2044" i="1"/>
  <c r="J2044" i="1"/>
  <c r="G2044" i="1"/>
  <c r="J2043" i="1"/>
  <c r="G2043" i="1"/>
  <c r="AL2042" i="1"/>
  <c r="J2042" i="1"/>
  <c r="G2042" i="1"/>
  <c r="AL2041" i="1"/>
  <c r="J2041" i="1"/>
  <c r="G2041" i="1"/>
  <c r="AL2040" i="1"/>
  <c r="J2040" i="1"/>
  <c r="G2040" i="1"/>
  <c r="AL2039" i="1"/>
  <c r="J2039" i="1"/>
  <c r="G2039" i="1"/>
  <c r="AL2038" i="1"/>
  <c r="J2038" i="1"/>
  <c r="G2038" i="1"/>
  <c r="P2037" i="1"/>
  <c r="J2037" i="1"/>
  <c r="G2037" i="1"/>
  <c r="J2036" i="1"/>
  <c r="G2036" i="1"/>
  <c r="AL2035" i="1"/>
  <c r="J2035" i="1"/>
  <c r="G2035" i="1"/>
  <c r="AL2034" i="1"/>
  <c r="P2034" i="1"/>
  <c r="J2034" i="1"/>
  <c r="G2034" i="1"/>
  <c r="AL2033" i="1"/>
  <c r="P2033" i="1"/>
  <c r="J2033" i="1"/>
  <c r="G2033" i="1"/>
  <c r="AL2032" i="1"/>
  <c r="P2032" i="1"/>
  <c r="J2032" i="1"/>
  <c r="G2032" i="1"/>
  <c r="J2031" i="1"/>
  <c r="G2031" i="1"/>
  <c r="AL2030" i="1"/>
  <c r="P2030" i="1"/>
  <c r="J2030" i="1"/>
  <c r="G2030" i="1"/>
  <c r="AL2029" i="1"/>
  <c r="J2029" i="1"/>
  <c r="G2029" i="1"/>
  <c r="AL2028" i="1"/>
  <c r="J2028" i="1"/>
  <c r="G2028" i="1"/>
  <c r="AL2027" i="1"/>
  <c r="J2027" i="1"/>
  <c r="G2027" i="1"/>
  <c r="AL2026" i="1"/>
  <c r="P2026" i="1"/>
  <c r="J2026" i="1"/>
  <c r="G2026" i="1"/>
  <c r="J2025" i="1"/>
  <c r="G2025" i="1"/>
  <c r="AL2024" i="1"/>
  <c r="P2024" i="1"/>
  <c r="J2024" i="1"/>
  <c r="G2024" i="1"/>
  <c r="AL2023" i="1"/>
  <c r="P2023" i="1"/>
  <c r="J2023" i="1"/>
  <c r="G2023" i="1"/>
  <c r="AL2022" i="1"/>
  <c r="J2022" i="1"/>
  <c r="G2022" i="1"/>
  <c r="AL2021" i="1"/>
  <c r="J2021" i="1"/>
  <c r="G2021" i="1"/>
  <c r="AL2020" i="1"/>
  <c r="J2020" i="1"/>
  <c r="G2020" i="1"/>
  <c r="J2019" i="1"/>
  <c r="G2019" i="1"/>
  <c r="AL2018" i="1"/>
  <c r="P2018" i="1"/>
  <c r="J2018" i="1"/>
  <c r="G2018" i="1"/>
  <c r="AL2017" i="1"/>
  <c r="P2017" i="1"/>
  <c r="J2017" i="1"/>
  <c r="G2017" i="1"/>
  <c r="AL2016" i="1"/>
  <c r="J2016" i="1"/>
  <c r="G2016" i="1"/>
  <c r="J2015" i="1"/>
  <c r="G2015" i="1"/>
  <c r="AL2014" i="1"/>
  <c r="J2014" i="1"/>
  <c r="G2014" i="1"/>
  <c r="J2013" i="1"/>
  <c r="G2013" i="1"/>
  <c r="AL2012" i="1"/>
  <c r="J2012" i="1"/>
  <c r="G2012" i="1"/>
  <c r="AL2011" i="1"/>
  <c r="J2011" i="1"/>
  <c r="G2011" i="1"/>
  <c r="AL2010" i="1"/>
  <c r="P2010" i="1"/>
  <c r="J2010" i="1"/>
  <c r="G2010" i="1"/>
  <c r="AL2009" i="1"/>
  <c r="J2009" i="1"/>
  <c r="G2009" i="1"/>
  <c r="AL2008" i="1"/>
  <c r="J2008" i="1"/>
  <c r="G2008" i="1"/>
  <c r="AL2007" i="1"/>
  <c r="P2007" i="1"/>
  <c r="J2007" i="1"/>
  <c r="G2007" i="1"/>
  <c r="AL2006" i="1"/>
  <c r="J2006" i="1"/>
  <c r="G2006" i="1"/>
  <c r="J2005" i="1"/>
  <c r="G2005" i="1"/>
  <c r="AL2004" i="1"/>
  <c r="J2004" i="1"/>
  <c r="G2004" i="1"/>
  <c r="AL2003" i="1"/>
  <c r="P2003" i="1"/>
  <c r="J2003" i="1"/>
  <c r="G2003" i="1"/>
  <c r="AL2002" i="1"/>
  <c r="J2002" i="1"/>
  <c r="G2002" i="1"/>
  <c r="J2001" i="1"/>
  <c r="G2001" i="1"/>
  <c r="J2000" i="1"/>
  <c r="G2000" i="1"/>
  <c r="AL1999" i="1"/>
  <c r="P1999" i="1"/>
  <c r="J1999" i="1"/>
  <c r="G1999" i="1"/>
  <c r="AL1998" i="1"/>
  <c r="P1998" i="1"/>
  <c r="J1998" i="1"/>
  <c r="G1998" i="1"/>
  <c r="AL1997" i="1"/>
  <c r="P1997" i="1"/>
  <c r="J1997" i="1"/>
  <c r="G1997" i="1"/>
  <c r="AL1996" i="1"/>
  <c r="P1996" i="1"/>
  <c r="J1996" i="1"/>
  <c r="G1996" i="1"/>
  <c r="AL1995" i="1"/>
  <c r="J1995" i="1"/>
  <c r="G1995" i="1"/>
  <c r="J1994" i="1"/>
  <c r="G1994" i="1"/>
  <c r="AL1993" i="1"/>
  <c r="P1993" i="1"/>
  <c r="J1993" i="1"/>
  <c r="G1993" i="1"/>
  <c r="AL1992" i="1"/>
  <c r="J1992" i="1"/>
  <c r="G1992" i="1"/>
  <c r="AL1991" i="1"/>
  <c r="J1991" i="1"/>
  <c r="G1991" i="1"/>
  <c r="AL1990" i="1"/>
  <c r="J1990" i="1"/>
  <c r="G1990" i="1"/>
  <c r="AL1989" i="1"/>
  <c r="P1989" i="1"/>
  <c r="J1989" i="1"/>
  <c r="G1989" i="1"/>
  <c r="AL1988" i="1"/>
  <c r="J1988" i="1"/>
  <c r="G1988" i="1"/>
  <c r="AL1987" i="1"/>
  <c r="J1987" i="1"/>
  <c r="G1987" i="1"/>
  <c r="AL1986" i="1"/>
  <c r="J1986" i="1"/>
  <c r="G1986" i="1"/>
  <c r="J1985" i="1"/>
  <c r="G1985" i="1"/>
  <c r="J1984" i="1"/>
  <c r="G1984" i="1"/>
  <c r="AL1983" i="1"/>
  <c r="P1983" i="1"/>
  <c r="J1983" i="1"/>
  <c r="G1983" i="1"/>
  <c r="P1982" i="1"/>
  <c r="G1982" i="1"/>
  <c r="AL1981" i="1"/>
  <c r="J1981" i="1"/>
  <c r="G1981" i="1"/>
  <c r="AL1980" i="1"/>
  <c r="P1980" i="1"/>
  <c r="J1980" i="1"/>
  <c r="G1980" i="1"/>
  <c r="AL1979" i="1"/>
  <c r="P1979" i="1"/>
  <c r="J1979" i="1"/>
  <c r="G1979" i="1"/>
  <c r="J1978" i="1"/>
  <c r="G1978" i="1"/>
  <c r="J1977" i="1"/>
  <c r="G1977" i="1"/>
  <c r="AL1976" i="1"/>
  <c r="J1976" i="1"/>
  <c r="G1976" i="1"/>
  <c r="J1975" i="1"/>
  <c r="G1975" i="1"/>
  <c r="J1974" i="1"/>
  <c r="G1974" i="1"/>
  <c r="AL1973" i="1"/>
  <c r="J1973" i="1"/>
  <c r="G1973" i="1"/>
  <c r="AL1972" i="1"/>
  <c r="J1972" i="1"/>
  <c r="G1972" i="1"/>
  <c r="J1971" i="1"/>
  <c r="G1971" i="1"/>
  <c r="J1970" i="1"/>
  <c r="G1970" i="1"/>
  <c r="AL1969" i="1"/>
  <c r="J1969" i="1"/>
  <c r="G1969" i="1"/>
  <c r="AL1968" i="1"/>
  <c r="J1968" i="1"/>
  <c r="G1968" i="1"/>
  <c r="AL1967" i="1"/>
  <c r="J1967" i="1"/>
  <c r="G1967" i="1"/>
  <c r="AL1966" i="1"/>
  <c r="J1966" i="1"/>
  <c r="G1966" i="1"/>
  <c r="AL1965" i="1"/>
  <c r="J1965" i="1"/>
  <c r="G1965" i="1"/>
  <c r="J1964" i="1"/>
  <c r="G1964" i="1"/>
  <c r="AL1963" i="1"/>
  <c r="P1963" i="1"/>
  <c r="J1963" i="1"/>
  <c r="G1963" i="1"/>
  <c r="AL1962" i="1"/>
  <c r="J1962" i="1"/>
  <c r="G1962" i="1"/>
  <c r="AL1961" i="1"/>
  <c r="J1961" i="1"/>
  <c r="G1961" i="1"/>
  <c r="AL1960" i="1"/>
  <c r="J1960" i="1"/>
  <c r="G1960" i="1"/>
  <c r="J1959" i="1"/>
  <c r="G1959" i="1"/>
  <c r="AL1958" i="1"/>
  <c r="J1958" i="1"/>
  <c r="G1958" i="1"/>
  <c r="P1957" i="1"/>
  <c r="J1957" i="1"/>
  <c r="G1957" i="1"/>
  <c r="J1956" i="1"/>
  <c r="G1956" i="1"/>
  <c r="AL1955" i="1"/>
  <c r="P1955" i="1"/>
  <c r="J1955" i="1"/>
  <c r="G1955" i="1"/>
  <c r="J1954" i="1"/>
  <c r="G1954" i="1"/>
  <c r="J1953" i="1"/>
  <c r="G1953" i="1"/>
  <c r="AL1952" i="1"/>
  <c r="P1952" i="1"/>
  <c r="J1952" i="1"/>
  <c r="G1952" i="1"/>
  <c r="J1951" i="1"/>
  <c r="G1951" i="1"/>
  <c r="J1950" i="1"/>
  <c r="G1950" i="1"/>
  <c r="J1949" i="1"/>
  <c r="G1949" i="1"/>
  <c r="AL1948" i="1"/>
  <c r="J1948" i="1"/>
  <c r="G1948" i="1"/>
  <c r="AL1947" i="1"/>
  <c r="J1947" i="1"/>
  <c r="G1947" i="1"/>
  <c r="G1946" i="1"/>
  <c r="J1945" i="1"/>
  <c r="G1945" i="1"/>
  <c r="J1944" i="1"/>
  <c r="G1944" i="1"/>
  <c r="AL1943" i="1"/>
  <c r="J1943" i="1"/>
  <c r="G1943" i="1"/>
  <c r="AL1942" i="1"/>
  <c r="J1942" i="1"/>
  <c r="G1942" i="1"/>
  <c r="J1941" i="1"/>
  <c r="G1941" i="1"/>
  <c r="AL1940" i="1"/>
  <c r="J1940" i="1"/>
  <c r="G1940" i="1"/>
  <c r="AL1939" i="1"/>
  <c r="J1939" i="1"/>
  <c r="G1939" i="1"/>
  <c r="AL1938" i="1"/>
  <c r="P1938" i="1"/>
  <c r="J1938" i="1"/>
  <c r="G1938" i="1"/>
  <c r="AL1937" i="1"/>
  <c r="J1937" i="1"/>
  <c r="G1937" i="1"/>
  <c r="AL1936" i="1"/>
  <c r="P1936" i="1"/>
  <c r="J1936" i="1"/>
  <c r="G1936" i="1"/>
  <c r="AL1935" i="1"/>
  <c r="J1935" i="1"/>
  <c r="G1935" i="1"/>
  <c r="J1934" i="1"/>
  <c r="G1934" i="1"/>
  <c r="AL1933" i="1"/>
  <c r="J1933" i="1"/>
  <c r="G1933" i="1"/>
  <c r="AL1932" i="1"/>
  <c r="J1932" i="1"/>
  <c r="G1932" i="1"/>
  <c r="AL1931" i="1"/>
  <c r="J1931" i="1"/>
  <c r="G1931" i="1"/>
  <c r="AL1930" i="1"/>
  <c r="P1930" i="1"/>
  <c r="J1930" i="1"/>
  <c r="G1930" i="1"/>
  <c r="J1929" i="1"/>
  <c r="G1929" i="1"/>
  <c r="J1928" i="1"/>
  <c r="G1928" i="1"/>
  <c r="AL1927" i="1"/>
  <c r="J1927" i="1"/>
  <c r="G1927" i="1"/>
  <c r="AL1926" i="1"/>
  <c r="J1926" i="1"/>
  <c r="G1926" i="1"/>
  <c r="AL1925" i="1"/>
  <c r="J1925" i="1"/>
  <c r="G1925" i="1"/>
  <c r="J1924" i="1"/>
  <c r="G1924" i="1"/>
  <c r="AL1923" i="1"/>
  <c r="P1923" i="1"/>
  <c r="J1923" i="1"/>
  <c r="G1923" i="1"/>
  <c r="P1922" i="1"/>
  <c r="J1922" i="1"/>
  <c r="G1922" i="1"/>
  <c r="AL1921" i="1"/>
  <c r="P1921" i="1"/>
  <c r="J1921" i="1"/>
  <c r="G1921" i="1"/>
  <c r="J1920" i="1"/>
  <c r="G1920" i="1"/>
  <c r="J1919" i="1"/>
  <c r="G1919" i="1"/>
  <c r="J1918" i="1"/>
  <c r="G1918" i="1"/>
  <c r="P1917" i="1"/>
  <c r="J1917" i="1"/>
  <c r="G1917" i="1"/>
  <c r="AL1916" i="1"/>
  <c r="P1916" i="1"/>
  <c r="J1916" i="1"/>
  <c r="G1916" i="1"/>
  <c r="J1915" i="1"/>
  <c r="G1915" i="1"/>
  <c r="J1914" i="1"/>
  <c r="G1914" i="1"/>
  <c r="AL1913" i="1"/>
  <c r="J1913" i="1"/>
  <c r="G1913" i="1"/>
  <c r="AL1912" i="1"/>
  <c r="J1912" i="1"/>
  <c r="G1912" i="1"/>
  <c r="AL1911" i="1"/>
  <c r="P1911" i="1"/>
  <c r="J1911" i="1"/>
  <c r="G1911" i="1"/>
  <c r="J1910" i="1"/>
  <c r="G1910" i="1"/>
  <c r="AL1909" i="1"/>
  <c r="J1909" i="1"/>
  <c r="G1909" i="1"/>
  <c r="AL1908" i="1"/>
  <c r="P1908" i="1"/>
  <c r="J1908" i="1"/>
  <c r="G1908" i="1"/>
  <c r="AL1907" i="1"/>
  <c r="J1907" i="1"/>
  <c r="G1907" i="1"/>
  <c r="AL1906" i="1"/>
  <c r="J1906" i="1"/>
  <c r="G1906" i="1"/>
  <c r="J1905" i="1"/>
  <c r="G1905" i="1"/>
  <c r="AL1904" i="1"/>
  <c r="J1904" i="1"/>
  <c r="G1904" i="1"/>
  <c r="J1903" i="1"/>
  <c r="G1903" i="1"/>
  <c r="AL1902" i="1"/>
  <c r="J1902" i="1"/>
  <c r="G1902" i="1"/>
  <c r="AL1901" i="1"/>
  <c r="J1901" i="1"/>
  <c r="G1901" i="1"/>
  <c r="AL1900" i="1"/>
  <c r="P1900" i="1"/>
  <c r="J1900" i="1"/>
  <c r="G1900" i="1"/>
  <c r="AL1899" i="1"/>
  <c r="J1899" i="1"/>
  <c r="G1899" i="1"/>
  <c r="J1898" i="1"/>
  <c r="G1898" i="1"/>
  <c r="J1897" i="1"/>
  <c r="G1897" i="1"/>
  <c r="AL1896" i="1"/>
  <c r="P1896" i="1"/>
  <c r="J1896" i="1"/>
  <c r="G1896" i="1"/>
  <c r="AL1895" i="1"/>
  <c r="P1895" i="1"/>
  <c r="J1895" i="1"/>
  <c r="G1895" i="1"/>
  <c r="AL1894" i="1"/>
  <c r="P1894" i="1"/>
  <c r="J1894" i="1"/>
  <c r="G1894" i="1"/>
  <c r="P1893" i="1"/>
  <c r="J1893" i="1"/>
  <c r="G1893" i="1"/>
  <c r="J1892" i="1"/>
  <c r="G1892" i="1"/>
  <c r="P1891" i="1"/>
  <c r="J1891" i="1"/>
  <c r="G1891" i="1"/>
  <c r="AL1890" i="1"/>
  <c r="J1890" i="1"/>
  <c r="G1890" i="1"/>
  <c r="AL1889" i="1"/>
  <c r="P1889" i="1"/>
  <c r="J1889" i="1"/>
  <c r="G1889" i="1"/>
  <c r="J1888" i="1"/>
  <c r="G1888" i="1"/>
  <c r="J1887" i="1"/>
  <c r="G1887" i="1"/>
  <c r="AL1886" i="1"/>
  <c r="P1886" i="1"/>
  <c r="J1886" i="1"/>
  <c r="G1886" i="1"/>
  <c r="J1885" i="1"/>
  <c r="G1885" i="1"/>
  <c r="J1884" i="1"/>
  <c r="G1884" i="1"/>
  <c r="AL1883" i="1"/>
  <c r="P1883" i="1"/>
  <c r="J1883" i="1"/>
  <c r="G1883" i="1"/>
  <c r="AL1882" i="1"/>
  <c r="P1882" i="1"/>
  <c r="J1882" i="1"/>
  <c r="G1882" i="1"/>
  <c r="J1881" i="1"/>
  <c r="G1881" i="1"/>
  <c r="AL1880" i="1"/>
  <c r="J1880" i="1"/>
  <c r="G1880" i="1"/>
  <c r="J1879" i="1"/>
  <c r="G1879" i="1"/>
  <c r="AL1878" i="1"/>
  <c r="P1878" i="1"/>
  <c r="J1878" i="1"/>
  <c r="G1878" i="1"/>
  <c r="AL1877" i="1"/>
  <c r="J1877" i="1"/>
  <c r="G1877" i="1"/>
  <c r="AL1876" i="1"/>
  <c r="J1876" i="1"/>
  <c r="G1876" i="1"/>
  <c r="J1875" i="1"/>
  <c r="G1875" i="1"/>
  <c r="P1874" i="1"/>
  <c r="J1874" i="1"/>
  <c r="G1874" i="1"/>
  <c r="P1873" i="1"/>
  <c r="J1873" i="1"/>
  <c r="G1873" i="1"/>
  <c r="P1872" i="1"/>
  <c r="J1872" i="1"/>
  <c r="G1872" i="1"/>
  <c r="AL1871" i="1"/>
  <c r="J1871" i="1"/>
  <c r="G1871" i="1"/>
  <c r="AL1870" i="1"/>
  <c r="J1870" i="1"/>
  <c r="G1870" i="1"/>
  <c r="AL1869" i="1"/>
  <c r="J1869" i="1"/>
  <c r="G1869" i="1"/>
  <c r="AL1868" i="1"/>
  <c r="J1868" i="1"/>
  <c r="G1868" i="1"/>
  <c r="J1867" i="1"/>
  <c r="G1867" i="1"/>
  <c r="AL1866" i="1"/>
  <c r="J1866" i="1"/>
  <c r="G1866" i="1"/>
  <c r="AL1865" i="1"/>
  <c r="J1865" i="1"/>
  <c r="G1865" i="1"/>
  <c r="AL1864" i="1"/>
  <c r="J1864" i="1"/>
  <c r="G1864" i="1"/>
  <c r="AL1863" i="1"/>
  <c r="P1863" i="1"/>
  <c r="J1863" i="1"/>
  <c r="G1863" i="1"/>
  <c r="J1862" i="1"/>
  <c r="G1862" i="1"/>
  <c r="AL1861" i="1"/>
  <c r="P1861" i="1"/>
  <c r="J1861" i="1"/>
  <c r="G1861" i="1"/>
  <c r="P1860" i="1"/>
  <c r="J1860" i="1"/>
  <c r="G1860" i="1"/>
  <c r="AL1859" i="1"/>
  <c r="J1859" i="1"/>
  <c r="G1859" i="1"/>
  <c r="J1858" i="1"/>
  <c r="G1858" i="1"/>
  <c r="P1857" i="1"/>
  <c r="J1857" i="1"/>
  <c r="G1857" i="1"/>
  <c r="P1856" i="1"/>
  <c r="J1856" i="1"/>
  <c r="G1856" i="1"/>
  <c r="J1855" i="1"/>
  <c r="G1855" i="1"/>
  <c r="AL1854" i="1"/>
  <c r="J1854" i="1"/>
  <c r="G1854" i="1"/>
  <c r="J1853" i="1"/>
  <c r="G1853" i="1"/>
  <c r="J1852" i="1"/>
  <c r="G1852" i="1"/>
  <c r="J1851" i="1"/>
  <c r="G1851" i="1"/>
  <c r="J1850" i="1"/>
  <c r="G1850" i="1"/>
  <c r="AL1849" i="1"/>
  <c r="J1849" i="1"/>
  <c r="G1849" i="1"/>
  <c r="AL1848" i="1"/>
  <c r="J1848" i="1"/>
  <c r="G1848" i="1"/>
  <c r="J1847" i="1"/>
  <c r="G1847" i="1"/>
  <c r="J1846" i="1"/>
  <c r="G1846" i="1"/>
  <c r="AL1845" i="1"/>
  <c r="J1845" i="1"/>
  <c r="G1845" i="1"/>
  <c r="AL1844" i="1"/>
  <c r="J1844" i="1"/>
  <c r="G1844" i="1"/>
  <c r="AL1843" i="1"/>
  <c r="P1843" i="1"/>
  <c r="J1843" i="1"/>
  <c r="G1843" i="1"/>
  <c r="AL1842" i="1"/>
  <c r="P1842" i="1"/>
  <c r="J1842" i="1"/>
  <c r="G1842" i="1"/>
  <c r="J1841" i="1"/>
  <c r="G1841" i="1"/>
  <c r="J1840" i="1"/>
  <c r="G1840" i="1"/>
  <c r="AL1839" i="1"/>
  <c r="P1839" i="1"/>
  <c r="J1839" i="1"/>
  <c r="G1839" i="1"/>
  <c r="AL1838" i="1"/>
  <c r="J1838" i="1"/>
  <c r="G1838" i="1"/>
  <c r="J1837" i="1"/>
  <c r="G1837" i="1"/>
  <c r="AL1836" i="1"/>
  <c r="J1836" i="1"/>
  <c r="G1836" i="1"/>
  <c r="AL1835" i="1"/>
  <c r="J1835" i="1"/>
  <c r="G1835" i="1"/>
  <c r="J1834" i="1"/>
  <c r="G1834" i="1"/>
  <c r="AL1833" i="1"/>
  <c r="P1833" i="1"/>
  <c r="J1833" i="1"/>
  <c r="G1833" i="1"/>
  <c r="AL1832" i="1"/>
  <c r="P1832" i="1"/>
  <c r="J1832" i="1"/>
  <c r="G1832" i="1"/>
  <c r="AL1831" i="1"/>
  <c r="J1831" i="1"/>
  <c r="G1831" i="1"/>
  <c r="J1830" i="1"/>
  <c r="G1830" i="1"/>
  <c r="J1829" i="1"/>
  <c r="G1829" i="1"/>
  <c r="AL1828" i="1"/>
  <c r="J1828" i="1"/>
  <c r="G1828" i="1"/>
  <c r="P1827" i="1"/>
  <c r="J1827" i="1"/>
  <c r="G1827" i="1"/>
  <c r="AL1826" i="1"/>
  <c r="J1826" i="1"/>
  <c r="G1826" i="1"/>
  <c r="AL1825" i="1"/>
  <c r="P1825" i="1"/>
  <c r="J1825" i="1"/>
  <c r="G1825" i="1"/>
  <c r="AL1824" i="1"/>
  <c r="P1824" i="1"/>
  <c r="J1824" i="1"/>
  <c r="G1824" i="1"/>
  <c r="J1823" i="1"/>
  <c r="G1823" i="1"/>
  <c r="AL1822" i="1"/>
  <c r="J1822" i="1"/>
  <c r="G1822" i="1"/>
  <c r="AL1821" i="1"/>
  <c r="J1821" i="1"/>
  <c r="G1821" i="1"/>
  <c r="J1820" i="1"/>
  <c r="G1820" i="1"/>
  <c r="AL1819" i="1"/>
  <c r="J1819" i="1"/>
  <c r="G1819" i="1"/>
  <c r="AL1818" i="1"/>
  <c r="J1818" i="1"/>
  <c r="G1818" i="1"/>
  <c r="AL1817" i="1"/>
  <c r="J1817" i="1"/>
  <c r="G1817" i="1"/>
  <c r="AL1816" i="1"/>
  <c r="J1816" i="1"/>
  <c r="G1816" i="1"/>
  <c r="AL1815" i="1"/>
  <c r="P1815" i="1"/>
  <c r="J1815" i="1"/>
  <c r="G1815" i="1"/>
  <c r="AL1814" i="1"/>
  <c r="P1814" i="1"/>
  <c r="J1814" i="1"/>
  <c r="G1814" i="1"/>
  <c r="AL1813" i="1"/>
  <c r="P1813" i="1"/>
  <c r="J1813" i="1"/>
  <c r="G1813" i="1"/>
  <c r="P1812" i="1"/>
  <c r="J1812" i="1"/>
  <c r="G1812" i="1"/>
  <c r="P1811" i="1"/>
  <c r="J1811" i="1"/>
  <c r="G1811" i="1"/>
  <c r="J1810" i="1"/>
  <c r="G1810" i="1"/>
  <c r="J1809" i="1"/>
  <c r="G1809" i="1"/>
  <c r="AL1808" i="1"/>
  <c r="J1808" i="1"/>
  <c r="G1808" i="1"/>
  <c r="AL1807" i="1"/>
  <c r="P1807" i="1"/>
  <c r="J1807" i="1"/>
  <c r="G1807" i="1"/>
  <c r="AL1806" i="1"/>
  <c r="P1806" i="1"/>
  <c r="J1806" i="1"/>
  <c r="G1806" i="1"/>
  <c r="J1805" i="1"/>
  <c r="G1805" i="1"/>
  <c r="AL1804" i="1"/>
  <c r="P1804" i="1"/>
  <c r="J1804" i="1"/>
  <c r="G1804" i="1"/>
  <c r="AL1803" i="1"/>
  <c r="P1803" i="1"/>
  <c r="J1803" i="1"/>
  <c r="G1803" i="1"/>
  <c r="AL1802" i="1"/>
  <c r="P1802" i="1"/>
  <c r="J1802" i="1"/>
  <c r="G1802" i="1"/>
  <c r="AL1801" i="1"/>
  <c r="J1801" i="1"/>
  <c r="G1801" i="1"/>
  <c r="AL1800" i="1"/>
  <c r="P1800" i="1"/>
  <c r="J1800" i="1"/>
  <c r="G1800" i="1"/>
  <c r="AL1799" i="1"/>
  <c r="J1799" i="1"/>
  <c r="G1799" i="1"/>
  <c r="AL1798" i="1"/>
  <c r="J1798" i="1"/>
  <c r="G1798" i="1"/>
  <c r="J1797" i="1"/>
  <c r="G1797" i="1"/>
  <c r="AL1796" i="1"/>
  <c r="P1796" i="1"/>
  <c r="J1796" i="1"/>
  <c r="G1796" i="1"/>
  <c r="P1795" i="1"/>
  <c r="J1795" i="1"/>
  <c r="G1795" i="1"/>
  <c r="AL1794" i="1"/>
  <c r="P1794" i="1"/>
  <c r="J1794" i="1"/>
  <c r="G1794" i="1"/>
  <c r="J1793" i="1"/>
  <c r="G1793" i="1"/>
  <c r="J1792" i="1"/>
  <c r="G1792" i="1"/>
  <c r="AL1791" i="1"/>
  <c r="J1791" i="1"/>
  <c r="G1791" i="1"/>
  <c r="AL1790" i="1"/>
  <c r="J1790" i="1"/>
  <c r="G1790" i="1"/>
  <c r="AL1789" i="1"/>
  <c r="J1789" i="1"/>
  <c r="G1789" i="1"/>
  <c r="J1788" i="1"/>
  <c r="G1788" i="1"/>
  <c r="AL1787" i="1"/>
  <c r="J1787" i="1"/>
  <c r="G1787" i="1"/>
  <c r="AL1786" i="1"/>
  <c r="J1786" i="1"/>
  <c r="G1786" i="1"/>
  <c r="AL1785" i="1"/>
  <c r="J1785" i="1"/>
  <c r="G1785" i="1"/>
  <c r="AL1784" i="1"/>
  <c r="J1784" i="1"/>
  <c r="G1784" i="1"/>
  <c r="AL1783" i="1"/>
  <c r="P1783" i="1"/>
  <c r="J1783" i="1"/>
  <c r="G1783" i="1"/>
  <c r="AL1782" i="1"/>
  <c r="P1782" i="1"/>
  <c r="J1782" i="1"/>
  <c r="G1782" i="1"/>
  <c r="J1781" i="1"/>
  <c r="G1781" i="1"/>
  <c r="AL1780" i="1"/>
  <c r="P1780" i="1"/>
  <c r="J1780" i="1"/>
  <c r="G1780" i="1"/>
  <c r="AL1779" i="1"/>
  <c r="J1779" i="1"/>
  <c r="G1779" i="1"/>
  <c r="J1778" i="1"/>
  <c r="G1778" i="1"/>
  <c r="AL1777" i="1"/>
  <c r="P1777" i="1"/>
  <c r="J1777" i="1"/>
  <c r="G1777" i="1"/>
  <c r="AL1776" i="1"/>
  <c r="J1776" i="1"/>
  <c r="G1776" i="1"/>
  <c r="J1775" i="1"/>
  <c r="G1775" i="1"/>
  <c r="AL1774" i="1"/>
  <c r="P1774" i="1"/>
  <c r="J1774" i="1"/>
  <c r="G1774" i="1"/>
  <c r="J1773" i="1"/>
  <c r="G1773" i="1"/>
  <c r="P1772" i="1"/>
  <c r="J1772" i="1"/>
  <c r="G1772" i="1"/>
  <c r="AL1771" i="1"/>
  <c r="P1771" i="1"/>
  <c r="J1771" i="1"/>
  <c r="G1771" i="1"/>
  <c r="AL1770" i="1"/>
  <c r="P1770" i="1"/>
  <c r="J1770" i="1"/>
  <c r="G1770" i="1"/>
  <c r="AL1769" i="1"/>
  <c r="P1769" i="1"/>
  <c r="J1769" i="1"/>
  <c r="G1769" i="1"/>
  <c r="AL1768" i="1"/>
  <c r="J1768" i="1"/>
  <c r="G1768" i="1"/>
  <c r="J1767" i="1"/>
  <c r="G1767" i="1"/>
  <c r="J1766" i="1"/>
  <c r="G1766" i="1"/>
  <c r="P1765" i="1"/>
  <c r="J1765" i="1"/>
  <c r="G1765" i="1"/>
  <c r="P1764" i="1"/>
  <c r="J1764" i="1"/>
  <c r="G1764" i="1"/>
  <c r="AL1763" i="1"/>
  <c r="P1763" i="1"/>
  <c r="J1763" i="1"/>
  <c r="G1763" i="1"/>
  <c r="AL1762" i="1"/>
  <c r="P1762" i="1"/>
  <c r="J1762" i="1"/>
  <c r="G1762" i="1"/>
  <c r="J1761" i="1"/>
  <c r="G1761" i="1"/>
  <c r="J1760" i="1"/>
  <c r="G1760" i="1"/>
  <c r="AL1759" i="1"/>
  <c r="J1759" i="1"/>
  <c r="G1759" i="1"/>
  <c r="P1758" i="1"/>
  <c r="J1758" i="1"/>
  <c r="G1758" i="1"/>
  <c r="P1757" i="1"/>
  <c r="J1757" i="1"/>
  <c r="G1757" i="1"/>
  <c r="J1756" i="1"/>
  <c r="G1756" i="1"/>
  <c r="J1755" i="1"/>
  <c r="G1755" i="1"/>
  <c r="AL1754" i="1"/>
  <c r="J1754" i="1"/>
  <c r="G1754" i="1"/>
  <c r="AL1753" i="1"/>
  <c r="J1753" i="1"/>
  <c r="G1753" i="1"/>
  <c r="AL1752" i="1"/>
  <c r="P1752" i="1"/>
  <c r="J1752" i="1"/>
  <c r="G1752" i="1"/>
  <c r="AL1751" i="1"/>
  <c r="J1751" i="1"/>
  <c r="G1751" i="1"/>
  <c r="P1750" i="1"/>
  <c r="J1750" i="1"/>
  <c r="G1750" i="1"/>
  <c r="AL1749" i="1"/>
  <c r="P1749" i="1"/>
  <c r="J1749" i="1"/>
  <c r="G1749" i="1"/>
  <c r="J1748" i="1"/>
  <c r="G1748" i="1"/>
  <c r="J1747" i="1"/>
  <c r="G1747" i="1"/>
  <c r="AL1746" i="1"/>
  <c r="P1746" i="1"/>
  <c r="J1746" i="1"/>
  <c r="G1746" i="1"/>
  <c r="J1745" i="1"/>
  <c r="G1745" i="1"/>
  <c r="AL1744" i="1"/>
  <c r="P1744" i="1"/>
  <c r="J1744" i="1"/>
  <c r="G1744" i="1"/>
  <c r="AL1743" i="1"/>
  <c r="P1743" i="1"/>
  <c r="J1743" i="1"/>
  <c r="G1743" i="1"/>
  <c r="J1742" i="1"/>
  <c r="G1742" i="1"/>
  <c r="J1741" i="1"/>
  <c r="G1741" i="1"/>
  <c r="AL1740" i="1"/>
  <c r="P1740" i="1"/>
  <c r="J1740" i="1"/>
  <c r="G1740" i="1"/>
  <c r="J1739" i="1"/>
  <c r="G1739" i="1"/>
  <c r="AL1738" i="1"/>
  <c r="J1738" i="1"/>
  <c r="G1738" i="1"/>
  <c r="J1737" i="1"/>
  <c r="G1737" i="1"/>
  <c r="AL1736" i="1"/>
  <c r="J1736" i="1"/>
  <c r="G1736" i="1"/>
  <c r="AL1735" i="1"/>
  <c r="J1735" i="1"/>
  <c r="G1735" i="1"/>
  <c r="AL1734" i="1"/>
  <c r="J1734" i="1"/>
  <c r="G1734" i="1"/>
  <c r="J1733" i="1"/>
  <c r="G1733" i="1"/>
  <c r="AL1732" i="1"/>
  <c r="P1732" i="1"/>
  <c r="J1732" i="1"/>
  <c r="G1732" i="1"/>
  <c r="AL1731" i="1"/>
  <c r="J1731" i="1"/>
  <c r="G1731" i="1"/>
  <c r="AL1730" i="1"/>
  <c r="J1730" i="1"/>
  <c r="G1730" i="1"/>
  <c r="AL1729" i="1"/>
  <c r="J1729" i="1"/>
  <c r="G1729" i="1"/>
  <c r="AL1728" i="1"/>
  <c r="J1728" i="1"/>
  <c r="G1728" i="1"/>
  <c r="AL1727" i="1"/>
  <c r="J1727" i="1"/>
  <c r="G1727" i="1"/>
  <c r="AL1726" i="1"/>
  <c r="J1726" i="1"/>
  <c r="G1726" i="1"/>
  <c r="J1725" i="1"/>
  <c r="G1725" i="1"/>
  <c r="J1724" i="1"/>
  <c r="G1724" i="1"/>
  <c r="AL1723" i="1"/>
  <c r="P1723" i="1"/>
  <c r="J1723" i="1"/>
  <c r="G1723" i="1"/>
  <c r="AL1722" i="1"/>
  <c r="J1722" i="1"/>
  <c r="G1722" i="1"/>
  <c r="AL1721" i="1"/>
  <c r="J1721" i="1"/>
  <c r="G1721" i="1"/>
  <c r="AL1720" i="1"/>
  <c r="P1720" i="1"/>
  <c r="J1720" i="1"/>
  <c r="G1720" i="1"/>
  <c r="AL1719" i="1"/>
  <c r="J1719" i="1"/>
  <c r="G1719" i="1"/>
  <c r="AL1718" i="1"/>
  <c r="J1718" i="1"/>
  <c r="G1718" i="1"/>
  <c r="AL1717" i="1"/>
  <c r="J1717" i="1"/>
  <c r="G1717" i="1"/>
  <c r="J1716" i="1"/>
  <c r="G1716" i="1"/>
  <c r="AL1715" i="1"/>
  <c r="J1715" i="1"/>
  <c r="G1715" i="1"/>
  <c r="AL1714" i="1"/>
  <c r="J1714" i="1"/>
  <c r="G1714" i="1"/>
  <c r="J1713" i="1"/>
  <c r="G1713" i="1"/>
  <c r="AL1712" i="1"/>
  <c r="P1712" i="1"/>
  <c r="J1712" i="1"/>
  <c r="G1712" i="1"/>
  <c r="AL1711" i="1"/>
  <c r="P1711" i="1"/>
  <c r="J1711" i="1"/>
  <c r="G1711" i="1"/>
  <c r="AL1710" i="1"/>
  <c r="J1710" i="1"/>
  <c r="G1710" i="1"/>
  <c r="AL1709" i="1"/>
  <c r="J1709" i="1"/>
  <c r="G1709" i="1"/>
  <c r="AL1708" i="1"/>
  <c r="P1708" i="1"/>
  <c r="J1708" i="1"/>
  <c r="G1708" i="1"/>
  <c r="AL1707" i="1"/>
  <c r="J1707" i="1"/>
  <c r="G1707" i="1"/>
  <c r="AL1706" i="1"/>
  <c r="J1706" i="1"/>
  <c r="G1706" i="1"/>
  <c r="AL1705" i="1"/>
  <c r="P1705" i="1"/>
  <c r="J1705" i="1"/>
  <c r="G1705" i="1"/>
  <c r="AL1704" i="1"/>
  <c r="J1704" i="1"/>
  <c r="G1704" i="1"/>
  <c r="AL1703" i="1"/>
  <c r="J1703" i="1"/>
  <c r="G1703" i="1"/>
  <c r="AL1702" i="1"/>
  <c r="J1702" i="1"/>
  <c r="G1702" i="1"/>
  <c r="AL1701" i="1"/>
  <c r="P1701" i="1"/>
  <c r="J1701" i="1"/>
  <c r="G1701" i="1"/>
  <c r="AL1700" i="1"/>
  <c r="J1700" i="1"/>
  <c r="G1700" i="1"/>
  <c r="AL1699" i="1"/>
  <c r="P1699" i="1"/>
  <c r="J1699" i="1"/>
  <c r="G1699" i="1"/>
  <c r="J1698" i="1"/>
  <c r="G1698" i="1"/>
  <c r="AL1697" i="1"/>
  <c r="J1697" i="1"/>
  <c r="G1697" i="1"/>
  <c r="AL1696" i="1"/>
  <c r="J1696" i="1"/>
  <c r="G1696" i="1"/>
  <c r="AL1695" i="1"/>
  <c r="J1695" i="1"/>
  <c r="G1695" i="1"/>
  <c r="AL1694" i="1"/>
  <c r="P1694" i="1"/>
  <c r="J1694" i="1"/>
  <c r="G1694" i="1"/>
  <c r="J1693" i="1"/>
  <c r="G1693" i="1"/>
  <c r="J1692" i="1"/>
  <c r="G1692" i="1"/>
  <c r="AL1691" i="1"/>
  <c r="P1691" i="1"/>
  <c r="J1691" i="1"/>
  <c r="G1691" i="1"/>
  <c r="AL1690" i="1"/>
  <c r="P1690" i="1"/>
  <c r="J1690" i="1"/>
  <c r="G1690" i="1"/>
  <c r="AL1689" i="1"/>
  <c r="J1689" i="1"/>
  <c r="G1689" i="1"/>
  <c r="J1688" i="1"/>
  <c r="G1688" i="1"/>
  <c r="AL1687" i="1"/>
  <c r="P1687" i="1"/>
  <c r="J1687" i="1"/>
  <c r="G1687" i="1"/>
  <c r="J1686" i="1"/>
  <c r="G1686" i="1"/>
  <c r="AL1685" i="1"/>
  <c r="P1685" i="1"/>
  <c r="J1685" i="1"/>
  <c r="G1685" i="1"/>
  <c r="J1684" i="1"/>
  <c r="G1684" i="1"/>
  <c r="J1683" i="1"/>
  <c r="G1683" i="1"/>
  <c r="J1682" i="1"/>
  <c r="G1682" i="1"/>
  <c r="AL1681" i="1"/>
  <c r="J1681" i="1"/>
  <c r="G1681" i="1"/>
  <c r="J1680" i="1"/>
  <c r="G1680" i="1"/>
  <c r="J1679" i="1"/>
  <c r="G1679" i="1"/>
  <c r="AL1678" i="1"/>
  <c r="J1678" i="1"/>
  <c r="G1678" i="1"/>
  <c r="J1677" i="1"/>
  <c r="G1677" i="1"/>
  <c r="AL1676" i="1"/>
  <c r="P1676" i="1"/>
  <c r="J1676" i="1"/>
  <c r="G1676" i="1"/>
  <c r="J1675" i="1"/>
  <c r="G1675" i="1"/>
  <c r="J1674" i="1"/>
  <c r="G1674" i="1"/>
  <c r="AL1673" i="1"/>
  <c r="J1673" i="1"/>
  <c r="G1673" i="1"/>
  <c r="J1672" i="1"/>
  <c r="G1672" i="1"/>
  <c r="J1671" i="1"/>
  <c r="G1671" i="1"/>
  <c r="J1670" i="1"/>
  <c r="G1670" i="1"/>
  <c r="J1669" i="1"/>
  <c r="G1669" i="1"/>
  <c r="P1668" i="1"/>
  <c r="J1668" i="1"/>
  <c r="G1668" i="1"/>
  <c r="AL1667" i="1"/>
  <c r="J1667" i="1"/>
  <c r="G1667" i="1"/>
  <c r="J1666" i="1"/>
  <c r="G1666" i="1"/>
  <c r="AL1665" i="1"/>
  <c r="J1665" i="1"/>
  <c r="G1665" i="1"/>
  <c r="J1664" i="1"/>
  <c r="G1664" i="1"/>
  <c r="J1663" i="1"/>
  <c r="G1663" i="1"/>
  <c r="J1662" i="1"/>
  <c r="G1662" i="1"/>
  <c r="AL1661" i="1"/>
  <c r="P1661" i="1"/>
  <c r="J1661" i="1"/>
  <c r="G1661" i="1"/>
  <c r="J1660" i="1"/>
  <c r="G1660" i="1"/>
  <c r="J1659" i="1"/>
  <c r="G1659" i="1"/>
  <c r="P1658" i="1"/>
  <c r="J1658" i="1"/>
  <c r="G1658" i="1"/>
  <c r="J1657" i="1"/>
  <c r="G1657" i="1"/>
  <c r="J1656" i="1"/>
  <c r="G1656" i="1"/>
  <c r="J1655" i="1"/>
  <c r="G1655" i="1"/>
  <c r="AL1654" i="1"/>
  <c r="P1654" i="1"/>
  <c r="J1654" i="1"/>
  <c r="G1654" i="1"/>
  <c r="AL1653" i="1"/>
  <c r="P1653" i="1"/>
  <c r="J1653" i="1"/>
  <c r="G1653" i="1"/>
  <c r="J1652" i="1"/>
  <c r="G1652" i="1"/>
  <c r="J1651" i="1"/>
  <c r="G1651" i="1"/>
  <c r="J1650" i="1"/>
  <c r="G1650" i="1"/>
  <c r="J1649" i="1"/>
  <c r="G1649" i="1"/>
  <c r="AL1648" i="1"/>
  <c r="P1648" i="1"/>
  <c r="J1648" i="1"/>
  <c r="G1648" i="1"/>
  <c r="J1647" i="1"/>
  <c r="G1647" i="1"/>
  <c r="AL1646" i="1"/>
  <c r="P1646" i="1"/>
  <c r="J1646" i="1"/>
  <c r="G1646" i="1"/>
  <c r="P1645" i="1"/>
  <c r="J1645" i="1"/>
  <c r="G1645" i="1"/>
  <c r="J1644" i="1"/>
  <c r="G1644" i="1"/>
  <c r="P1643" i="1"/>
  <c r="J1643" i="1"/>
  <c r="G1643" i="1"/>
  <c r="AL1642" i="1"/>
  <c r="P1642" i="1"/>
  <c r="J1642" i="1"/>
  <c r="G1642" i="1"/>
  <c r="P1641" i="1"/>
  <c r="J1641" i="1"/>
  <c r="G1641" i="1"/>
  <c r="P1640" i="1"/>
  <c r="J1640" i="1"/>
  <c r="G1640" i="1"/>
  <c r="P1639" i="1"/>
  <c r="J1639" i="1"/>
  <c r="G1639" i="1"/>
  <c r="P1638" i="1"/>
  <c r="J1638" i="1"/>
  <c r="G1638" i="1"/>
  <c r="P1637" i="1"/>
  <c r="J1637" i="1"/>
  <c r="G1637" i="1"/>
  <c r="AL1636" i="1"/>
  <c r="P1636" i="1"/>
  <c r="J1636" i="1"/>
  <c r="G1636" i="1"/>
  <c r="P1635" i="1"/>
  <c r="J1635" i="1"/>
  <c r="G1635" i="1"/>
  <c r="P1634" i="1"/>
  <c r="J1634" i="1"/>
  <c r="G1634" i="1"/>
  <c r="AL1633" i="1"/>
  <c r="J1633" i="1"/>
  <c r="G1633" i="1"/>
  <c r="P1632" i="1"/>
  <c r="J1632" i="1"/>
  <c r="G1632" i="1"/>
  <c r="AL1631" i="1"/>
  <c r="P1631" i="1"/>
  <c r="J1631" i="1"/>
  <c r="G1631" i="1"/>
  <c r="AL1630" i="1"/>
  <c r="J1630" i="1"/>
  <c r="G1630" i="1"/>
  <c r="P1629" i="1"/>
  <c r="J1629" i="1"/>
  <c r="G1629" i="1"/>
  <c r="P1628" i="1"/>
  <c r="J1628" i="1"/>
  <c r="G1628" i="1"/>
  <c r="P1627" i="1"/>
  <c r="J1627" i="1"/>
  <c r="G1627" i="1"/>
  <c r="P1626" i="1"/>
  <c r="J1626" i="1"/>
  <c r="G1626" i="1"/>
  <c r="P1625" i="1"/>
  <c r="J1625" i="1"/>
  <c r="G1625" i="1"/>
  <c r="AL1624" i="1"/>
  <c r="J1624" i="1"/>
  <c r="G1624" i="1"/>
  <c r="J1623" i="1"/>
  <c r="G1623" i="1"/>
  <c r="P1622" i="1"/>
  <c r="J1622" i="1"/>
  <c r="G1622" i="1"/>
  <c r="P1621" i="1"/>
  <c r="J1621" i="1"/>
  <c r="G1621" i="1"/>
  <c r="P1620" i="1"/>
  <c r="J1620" i="1"/>
  <c r="G1620" i="1"/>
  <c r="P1619" i="1"/>
  <c r="J1619" i="1"/>
  <c r="G1619" i="1"/>
  <c r="AL1618" i="1"/>
  <c r="P1618" i="1"/>
  <c r="J1618" i="1"/>
  <c r="G1618" i="1"/>
  <c r="P1617" i="1"/>
  <c r="J1617" i="1"/>
  <c r="G1617" i="1"/>
  <c r="P1616" i="1"/>
  <c r="J1616" i="1"/>
  <c r="G1616" i="1"/>
  <c r="AL1615" i="1"/>
  <c r="P1615" i="1"/>
  <c r="J1615" i="1"/>
  <c r="G1615" i="1"/>
  <c r="AL1614" i="1"/>
  <c r="P1614" i="1"/>
  <c r="J1614" i="1"/>
  <c r="G1614" i="1"/>
  <c r="AL1613" i="1"/>
  <c r="P1613" i="1"/>
  <c r="J1613" i="1"/>
  <c r="G1613" i="1"/>
  <c r="AL1612" i="1"/>
  <c r="P1612" i="1"/>
  <c r="J1612" i="1"/>
  <c r="G1612" i="1"/>
  <c r="J1611" i="1"/>
  <c r="G1611" i="1"/>
  <c r="AL1610" i="1"/>
  <c r="J1610" i="1"/>
  <c r="G1610" i="1"/>
  <c r="J1609" i="1"/>
  <c r="G1609" i="1"/>
  <c r="AL1608" i="1"/>
  <c r="P1608" i="1"/>
  <c r="J1608" i="1"/>
  <c r="G1608" i="1"/>
  <c r="J1607" i="1"/>
  <c r="G1607" i="1"/>
  <c r="AL1606" i="1"/>
  <c r="J1606" i="1"/>
  <c r="G1606" i="1"/>
  <c r="AL1605" i="1"/>
  <c r="J1605" i="1"/>
  <c r="G1605" i="1"/>
  <c r="AL1604" i="1"/>
  <c r="J1604" i="1"/>
  <c r="G1604" i="1"/>
  <c r="AL1603" i="1"/>
  <c r="J1603" i="1"/>
  <c r="G1603" i="1"/>
  <c r="J1602" i="1"/>
  <c r="G1602" i="1"/>
  <c r="J1601" i="1"/>
  <c r="G1601" i="1"/>
  <c r="AL1600" i="1"/>
  <c r="J1600" i="1"/>
  <c r="G1600" i="1"/>
  <c r="AL1599" i="1"/>
  <c r="P1599" i="1"/>
  <c r="J1599" i="1"/>
  <c r="G1599" i="1"/>
  <c r="J1598" i="1"/>
  <c r="G1598" i="1"/>
  <c r="AL1597" i="1"/>
  <c r="P1597" i="1"/>
  <c r="J1597" i="1"/>
  <c r="G1597" i="1"/>
  <c r="AL1596" i="1"/>
  <c r="P1596" i="1"/>
  <c r="J1596" i="1"/>
  <c r="G1596" i="1"/>
  <c r="AL1595" i="1"/>
  <c r="P1595" i="1"/>
  <c r="J1595" i="1"/>
  <c r="G1595" i="1"/>
  <c r="P1594" i="1"/>
  <c r="J1594" i="1"/>
  <c r="G1594" i="1"/>
  <c r="J1593" i="1"/>
  <c r="G1593" i="1"/>
  <c r="J1592" i="1"/>
  <c r="G1592" i="1"/>
  <c r="J1591" i="1"/>
  <c r="G1591" i="1"/>
  <c r="J1590" i="1"/>
  <c r="G1590" i="1"/>
  <c r="J1589" i="1"/>
  <c r="G1589" i="1"/>
  <c r="AL1588" i="1"/>
  <c r="P1588" i="1"/>
  <c r="J1588" i="1"/>
  <c r="G1588" i="1"/>
  <c r="AL1587" i="1"/>
  <c r="J1587" i="1"/>
  <c r="G1587" i="1"/>
  <c r="AL1586" i="1"/>
  <c r="J1586" i="1"/>
  <c r="G1586" i="1"/>
  <c r="J1585" i="1"/>
  <c r="G1585" i="1"/>
  <c r="J1584" i="1"/>
  <c r="G1584" i="1"/>
  <c r="AL1583" i="1"/>
  <c r="P1583" i="1"/>
  <c r="J1583" i="1"/>
  <c r="G1583" i="1"/>
  <c r="AL1582" i="1"/>
  <c r="J1582" i="1"/>
  <c r="G1582" i="1"/>
  <c r="J1581" i="1"/>
  <c r="G1581" i="1"/>
  <c r="J1580" i="1"/>
  <c r="G1580" i="1"/>
  <c r="J1579" i="1"/>
  <c r="G1579" i="1"/>
  <c r="AL1578" i="1"/>
  <c r="J1578" i="1"/>
  <c r="G1578" i="1"/>
  <c r="AL1577" i="1"/>
  <c r="P1577" i="1"/>
  <c r="J1577" i="1"/>
  <c r="G1577" i="1"/>
  <c r="J1576" i="1"/>
  <c r="G1576" i="1"/>
  <c r="AL1575" i="1"/>
  <c r="P1575" i="1"/>
  <c r="J1575" i="1"/>
  <c r="G1575" i="1"/>
  <c r="G1574" i="1"/>
  <c r="P1573" i="1"/>
  <c r="J1573" i="1"/>
  <c r="G1573" i="1"/>
  <c r="J1572" i="1"/>
  <c r="G1572" i="1"/>
  <c r="AL1571" i="1"/>
  <c r="P1571" i="1"/>
  <c r="J1571" i="1"/>
  <c r="G1571" i="1"/>
  <c r="J1570" i="1"/>
  <c r="G1570" i="1"/>
  <c r="AL1569" i="1"/>
  <c r="J1569" i="1"/>
  <c r="G1569" i="1"/>
  <c r="AL1568" i="1"/>
  <c r="J1568" i="1"/>
  <c r="G1568" i="1"/>
  <c r="AL1567" i="1"/>
  <c r="P1567" i="1"/>
  <c r="J1567" i="1"/>
  <c r="G1567" i="1"/>
  <c r="AL1566" i="1"/>
  <c r="J1566" i="1"/>
  <c r="G1566" i="1"/>
  <c r="AL1565" i="1"/>
  <c r="J1565" i="1"/>
  <c r="G1565" i="1"/>
  <c r="AL1564" i="1"/>
  <c r="J1564" i="1"/>
  <c r="G1564" i="1"/>
  <c r="AL1563" i="1"/>
  <c r="J1563" i="1"/>
  <c r="G1563" i="1"/>
  <c r="AL1562" i="1"/>
  <c r="J1562" i="1"/>
  <c r="G1562" i="1"/>
  <c r="J1561" i="1"/>
  <c r="G1561" i="1"/>
  <c r="J1560" i="1"/>
  <c r="G1560" i="1"/>
  <c r="J1559" i="1"/>
  <c r="G1559" i="1"/>
  <c r="J1558" i="1"/>
  <c r="G1558" i="1"/>
  <c r="AL1557" i="1"/>
  <c r="P1557" i="1"/>
  <c r="J1557" i="1"/>
  <c r="G1557" i="1"/>
  <c r="AL1556" i="1"/>
  <c r="P1556" i="1"/>
  <c r="J1556" i="1"/>
  <c r="G1556" i="1"/>
  <c r="AL1555" i="1"/>
  <c r="P1555" i="1"/>
  <c r="J1555" i="1"/>
  <c r="G1555" i="1"/>
  <c r="AL1554" i="1"/>
  <c r="P1554" i="1"/>
  <c r="J1554" i="1"/>
  <c r="G1554" i="1"/>
  <c r="AL1553" i="1"/>
  <c r="P1553" i="1"/>
  <c r="J1553" i="1"/>
  <c r="G1553" i="1"/>
  <c r="AL1552" i="1"/>
  <c r="P1552" i="1"/>
  <c r="J1552" i="1"/>
  <c r="G1552" i="1"/>
  <c r="J1551" i="1"/>
  <c r="G1551" i="1"/>
  <c r="AL1550" i="1"/>
  <c r="J1550" i="1"/>
  <c r="G1550" i="1"/>
  <c r="J1549" i="1"/>
  <c r="G1549" i="1"/>
  <c r="J1548" i="1"/>
  <c r="G1548" i="1"/>
  <c r="J1547" i="1"/>
  <c r="G1547" i="1"/>
  <c r="AL1546" i="1"/>
  <c r="J1546" i="1"/>
  <c r="G1546" i="1"/>
  <c r="J1545" i="1"/>
  <c r="G1545" i="1"/>
  <c r="J1544" i="1"/>
  <c r="G1544" i="1"/>
  <c r="J1543" i="1"/>
  <c r="G1543" i="1"/>
  <c r="AL1542" i="1"/>
  <c r="P1542" i="1"/>
  <c r="J1542" i="1"/>
  <c r="G1542" i="1"/>
  <c r="J1541" i="1"/>
  <c r="G1541" i="1"/>
  <c r="AL1540" i="1"/>
  <c r="J1540" i="1"/>
  <c r="G1540" i="1"/>
  <c r="P1539" i="1"/>
  <c r="J1539" i="1"/>
  <c r="G1539" i="1"/>
  <c r="AL1538" i="1"/>
  <c r="J1538" i="1"/>
  <c r="G1538" i="1"/>
  <c r="J1537" i="1"/>
  <c r="G1537" i="1"/>
  <c r="AL1536" i="1"/>
  <c r="J1536" i="1"/>
  <c r="G1536" i="1"/>
  <c r="J1535" i="1"/>
  <c r="G1535" i="1"/>
  <c r="J1534" i="1"/>
  <c r="G1534" i="1"/>
  <c r="AL1533" i="1"/>
  <c r="J1533" i="1"/>
  <c r="G1533" i="1"/>
  <c r="J1532" i="1"/>
  <c r="G1532" i="1"/>
  <c r="AL1531" i="1"/>
  <c r="P1531" i="1"/>
  <c r="J1531" i="1"/>
  <c r="G1531" i="1"/>
  <c r="AL1530" i="1"/>
  <c r="J1530" i="1"/>
  <c r="G1530" i="1"/>
  <c r="AL1529" i="1"/>
  <c r="J1529" i="1"/>
  <c r="G1529" i="1"/>
  <c r="J1528" i="1"/>
  <c r="G1528" i="1"/>
  <c r="J1527" i="1"/>
  <c r="G1527" i="1"/>
  <c r="AL1526" i="1"/>
  <c r="J1526" i="1"/>
  <c r="G1526" i="1"/>
  <c r="J1525" i="1"/>
  <c r="G1525" i="1"/>
  <c r="J1524" i="1"/>
  <c r="G1524" i="1"/>
  <c r="J1523" i="1"/>
  <c r="G1523" i="1"/>
  <c r="J1522" i="1"/>
  <c r="G1522" i="1"/>
  <c r="AL1521" i="1"/>
  <c r="J1521" i="1"/>
  <c r="G1521" i="1"/>
  <c r="AL1520" i="1"/>
  <c r="P1520" i="1"/>
  <c r="J1520" i="1"/>
  <c r="G1520" i="1"/>
  <c r="AL1519" i="1"/>
  <c r="P1519" i="1"/>
  <c r="J1519" i="1"/>
  <c r="G1519" i="1"/>
  <c r="AL1518" i="1"/>
  <c r="P1518" i="1"/>
  <c r="J1518" i="1"/>
  <c r="G1518" i="1"/>
  <c r="P1517" i="1"/>
  <c r="J1517" i="1"/>
  <c r="G1517" i="1"/>
  <c r="AL1516" i="1"/>
  <c r="J1516" i="1"/>
  <c r="G1516" i="1"/>
  <c r="J1515" i="1"/>
  <c r="G1515" i="1"/>
  <c r="AL1514" i="1"/>
  <c r="P1514" i="1"/>
  <c r="J1514" i="1"/>
  <c r="G1514" i="1"/>
  <c r="AL1513" i="1"/>
  <c r="P1513" i="1"/>
  <c r="J1513" i="1"/>
  <c r="G1513" i="1"/>
  <c r="AL1512" i="1"/>
  <c r="J1512" i="1"/>
  <c r="G1512" i="1"/>
  <c r="AL1511" i="1"/>
  <c r="J1511" i="1"/>
  <c r="G1511" i="1"/>
  <c r="AL1510" i="1"/>
  <c r="J1510" i="1"/>
  <c r="G1510" i="1"/>
  <c r="AL1509" i="1"/>
  <c r="P1509" i="1"/>
  <c r="J1509" i="1"/>
  <c r="G1509" i="1"/>
  <c r="AL1508" i="1"/>
  <c r="P1508" i="1"/>
  <c r="J1508" i="1"/>
  <c r="G1508" i="1"/>
  <c r="AL1507" i="1"/>
  <c r="J1507" i="1"/>
  <c r="G1507" i="1"/>
  <c r="J1506" i="1"/>
  <c r="G1506" i="1"/>
  <c r="J1505" i="1"/>
  <c r="G1505" i="1"/>
  <c r="AL1504" i="1"/>
  <c r="J1504" i="1"/>
  <c r="G1504" i="1"/>
  <c r="AL1503" i="1"/>
  <c r="J1503" i="1"/>
  <c r="G1503" i="1"/>
  <c r="AL1502" i="1"/>
  <c r="J1502" i="1"/>
  <c r="G1502" i="1"/>
  <c r="J1501" i="1"/>
  <c r="G1501" i="1"/>
  <c r="AL1500" i="1"/>
  <c r="J1500" i="1"/>
  <c r="G1500" i="1"/>
  <c r="AL1499" i="1"/>
  <c r="P1499" i="1"/>
  <c r="J1499" i="1"/>
  <c r="G1499" i="1"/>
  <c r="AL1498" i="1"/>
  <c r="P1498" i="1"/>
  <c r="J1498" i="1"/>
  <c r="G1498" i="1"/>
  <c r="AL1497" i="1"/>
  <c r="P1497" i="1"/>
  <c r="J1497" i="1"/>
  <c r="G1497" i="1"/>
  <c r="AL1496" i="1"/>
  <c r="P1496" i="1"/>
  <c r="J1496" i="1"/>
  <c r="G1496" i="1"/>
  <c r="J1495" i="1"/>
  <c r="G1495" i="1"/>
  <c r="J1494" i="1"/>
  <c r="G1494" i="1"/>
  <c r="AL1493" i="1"/>
  <c r="P1493" i="1"/>
  <c r="J1493" i="1"/>
  <c r="G1493" i="1"/>
  <c r="AL1492" i="1"/>
  <c r="P1492" i="1"/>
  <c r="J1492" i="1"/>
  <c r="G1492" i="1"/>
  <c r="AL1491" i="1"/>
  <c r="J1491" i="1"/>
  <c r="G1491" i="1"/>
  <c r="J1490" i="1"/>
  <c r="G1490" i="1"/>
  <c r="AL1489" i="1"/>
  <c r="J1489" i="1"/>
  <c r="G1489" i="1"/>
  <c r="J1488" i="1"/>
  <c r="G1488" i="1"/>
  <c r="AL1487" i="1"/>
  <c r="J1487" i="1"/>
  <c r="G1487" i="1"/>
  <c r="J1486" i="1"/>
  <c r="G1486" i="1"/>
  <c r="J1485" i="1"/>
  <c r="G1485" i="1"/>
  <c r="AL1484" i="1"/>
  <c r="J1484" i="1"/>
  <c r="G1484" i="1"/>
  <c r="AL1483" i="1"/>
  <c r="P1483" i="1"/>
  <c r="J1483" i="1"/>
  <c r="G1483" i="1"/>
  <c r="AL1482" i="1"/>
  <c r="J1482" i="1"/>
  <c r="G1482" i="1"/>
  <c r="P1481" i="1"/>
  <c r="J1481" i="1"/>
  <c r="G1481" i="1"/>
  <c r="AL1480" i="1"/>
  <c r="P1480" i="1"/>
  <c r="J1480" i="1"/>
  <c r="G1480" i="1"/>
  <c r="AL1479" i="1"/>
  <c r="J1479" i="1"/>
  <c r="G1479" i="1"/>
  <c r="AL1478" i="1"/>
  <c r="J1478" i="1"/>
  <c r="G1478" i="1"/>
  <c r="AL1477" i="1"/>
  <c r="J1477" i="1"/>
  <c r="G1477" i="1"/>
  <c r="AL1476" i="1"/>
  <c r="P1476" i="1"/>
  <c r="J1476" i="1"/>
  <c r="G1476" i="1"/>
  <c r="AL1475" i="1"/>
  <c r="P1475" i="1"/>
  <c r="J1475" i="1"/>
  <c r="G1475" i="1"/>
  <c r="AL1474" i="1"/>
  <c r="P1474" i="1"/>
  <c r="J1474" i="1"/>
  <c r="G1474" i="1"/>
  <c r="J1473" i="1"/>
  <c r="G1473" i="1"/>
  <c r="AL1472" i="1"/>
  <c r="P1472" i="1"/>
  <c r="J1472" i="1"/>
  <c r="G1472" i="1"/>
  <c r="AL1471" i="1"/>
  <c r="J1471" i="1"/>
  <c r="G1471" i="1"/>
  <c r="J1470" i="1"/>
  <c r="G1470" i="1"/>
  <c r="AL1469" i="1"/>
  <c r="P1469" i="1"/>
  <c r="J1469" i="1"/>
  <c r="G1469" i="1"/>
  <c r="AL1468" i="1"/>
  <c r="P1468" i="1"/>
  <c r="J1468" i="1"/>
  <c r="G1468" i="1"/>
  <c r="AL1467" i="1"/>
  <c r="P1467" i="1"/>
  <c r="J1467" i="1"/>
  <c r="G1467" i="1"/>
  <c r="AL1466" i="1"/>
  <c r="J1466" i="1"/>
  <c r="G1466" i="1"/>
  <c r="J1465" i="1"/>
  <c r="G1465" i="1"/>
  <c r="AL1464" i="1"/>
  <c r="J1464" i="1"/>
  <c r="G1464" i="1"/>
  <c r="AL1463" i="1"/>
  <c r="J1463" i="1"/>
  <c r="G1463" i="1"/>
  <c r="P1462" i="1"/>
  <c r="J1462" i="1"/>
  <c r="G1462" i="1"/>
  <c r="P1461" i="1"/>
  <c r="J1461" i="1"/>
  <c r="G1461" i="1"/>
  <c r="AL1460" i="1"/>
  <c r="P1460" i="1"/>
  <c r="J1460" i="1"/>
  <c r="G1460" i="1"/>
  <c r="J1459" i="1"/>
  <c r="G1459" i="1"/>
  <c r="AL1458" i="1"/>
  <c r="P1458" i="1"/>
  <c r="J1458" i="1"/>
  <c r="G1458" i="1"/>
  <c r="AL1457" i="1"/>
  <c r="J1457" i="1"/>
  <c r="G1457" i="1"/>
  <c r="P1456" i="1"/>
  <c r="J1456" i="1"/>
  <c r="G1456" i="1"/>
  <c r="J1455" i="1"/>
  <c r="G1455" i="1"/>
  <c r="AL1454" i="1"/>
  <c r="P1454" i="1"/>
  <c r="J1454" i="1"/>
  <c r="G1454" i="1"/>
  <c r="AL1453" i="1"/>
  <c r="J1453" i="1"/>
  <c r="G1453" i="1"/>
  <c r="P1452" i="1"/>
  <c r="J1452" i="1"/>
  <c r="G1452" i="1"/>
  <c r="J1451" i="1"/>
  <c r="G1451" i="1"/>
  <c r="AL1450" i="1"/>
  <c r="P1450" i="1"/>
  <c r="J1450" i="1"/>
  <c r="G1450" i="1"/>
  <c r="AL1449" i="1"/>
  <c r="J1449" i="1"/>
  <c r="G1449" i="1"/>
  <c r="AL1448" i="1"/>
  <c r="J1448" i="1"/>
  <c r="G1448" i="1"/>
  <c r="P1447" i="1"/>
  <c r="J1447" i="1"/>
  <c r="G1447" i="1"/>
  <c r="J1446" i="1"/>
  <c r="G1446" i="1"/>
  <c r="AL1445" i="1"/>
  <c r="P1445" i="1"/>
  <c r="J1445" i="1"/>
  <c r="G1445" i="1"/>
  <c r="AL1444" i="1"/>
  <c r="P1444" i="1"/>
  <c r="J1444" i="1"/>
  <c r="G1444" i="1"/>
  <c r="AL1443" i="1"/>
  <c r="P1443" i="1"/>
  <c r="J1443" i="1"/>
  <c r="G1443" i="1"/>
  <c r="J1442" i="1"/>
  <c r="G1442" i="1"/>
  <c r="AL1441" i="1"/>
  <c r="P1441" i="1"/>
  <c r="J1441" i="1"/>
  <c r="G1441" i="1"/>
  <c r="AL1440" i="1"/>
  <c r="J1440" i="1"/>
  <c r="G1440" i="1"/>
  <c r="AL1439" i="1"/>
  <c r="P1439" i="1"/>
  <c r="J1439" i="1"/>
  <c r="G1439" i="1"/>
  <c r="AL1438" i="1"/>
  <c r="P1438" i="1"/>
  <c r="J1438" i="1"/>
  <c r="G1438" i="1"/>
  <c r="AL1437" i="1"/>
  <c r="P1437" i="1"/>
  <c r="J1437" i="1"/>
  <c r="G1437" i="1"/>
  <c r="J1436" i="1"/>
  <c r="G1436" i="1"/>
  <c r="P1435" i="1"/>
  <c r="J1435" i="1"/>
  <c r="G1435" i="1"/>
  <c r="AL1434" i="1"/>
  <c r="P1434" i="1"/>
  <c r="J1434" i="1"/>
  <c r="G1434" i="1"/>
  <c r="P1433" i="1"/>
  <c r="J1433" i="1"/>
  <c r="G1433" i="1"/>
  <c r="J1432" i="1"/>
  <c r="G1432" i="1"/>
  <c r="AL1431" i="1"/>
  <c r="J1431" i="1"/>
  <c r="G1431" i="1"/>
  <c r="J1430" i="1"/>
  <c r="G1430" i="1"/>
  <c r="AL1429" i="1"/>
  <c r="P1429" i="1"/>
  <c r="J1429" i="1"/>
  <c r="G1429" i="1"/>
  <c r="AL1428" i="1"/>
  <c r="J1428" i="1"/>
  <c r="G1428" i="1"/>
  <c r="J1427" i="1"/>
  <c r="G1427" i="1"/>
  <c r="AL1426" i="1"/>
  <c r="J1426" i="1"/>
  <c r="G1426" i="1"/>
  <c r="AL1425" i="1"/>
  <c r="J1425" i="1"/>
  <c r="G1425" i="1"/>
  <c r="AL1424" i="1"/>
  <c r="J1424" i="1"/>
  <c r="G1424" i="1"/>
  <c r="AL1423" i="1"/>
  <c r="J1423" i="1"/>
  <c r="G1423" i="1"/>
  <c r="J1422" i="1"/>
  <c r="G1422" i="1"/>
  <c r="AL1421" i="1"/>
  <c r="J1421" i="1"/>
  <c r="G1421" i="1"/>
  <c r="AL1420" i="1"/>
  <c r="P1420" i="1"/>
  <c r="J1420" i="1"/>
  <c r="G1420" i="1"/>
  <c r="AL1419" i="1"/>
  <c r="P1419" i="1"/>
  <c r="J1419" i="1"/>
  <c r="G1419" i="1"/>
  <c r="AL1418" i="1"/>
  <c r="P1418" i="1"/>
  <c r="J1418" i="1"/>
  <c r="G1418" i="1"/>
  <c r="J1417" i="1"/>
  <c r="G1417" i="1"/>
  <c r="AL1416" i="1"/>
  <c r="J1416" i="1"/>
  <c r="G1416" i="1"/>
  <c r="AL1415" i="1"/>
  <c r="P1415" i="1"/>
  <c r="J1415" i="1"/>
  <c r="G1415" i="1"/>
  <c r="AL1414" i="1"/>
  <c r="P1414" i="1"/>
  <c r="J1414" i="1"/>
  <c r="G1414" i="1"/>
  <c r="J1413" i="1"/>
  <c r="G1413" i="1"/>
  <c r="AL1412" i="1"/>
  <c r="J1412" i="1"/>
  <c r="G1412" i="1"/>
  <c r="J1411" i="1"/>
  <c r="G1411" i="1"/>
  <c r="J1410" i="1"/>
  <c r="G1410" i="1"/>
  <c r="J1409" i="1"/>
  <c r="G1409" i="1"/>
  <c r="AL1408" i="1"/>
  <c r="P1408" i="1"/>
  <c r="J1408" i="1"/>
  <c r="G1408" i="1"/>
  <c r="P1407" i="1"/>
  <c r="J1407" i="1"/>
  <c r="G1407" i="1"/>
  <c r="AL1406" i="1"/>
  <c r="J1406" i="1"/>
  <c r="G1406" i="1"/>
  <c r="J1405" i="1"/>
  <c r="G1405" i="1"/>
  <c r="J1404" i="1"/>
  <c r="G1404" i="1"/>
  <c r="P1403" i="1"/>
  <c r="J1403" i="1"/>
  <c r="G1403" i="1"/>
  <c r="P1402" i="1"/>
  <c r="J1402" i="1"/>
  <c r="G1402" i="1"/>
  <c r="J1401" i="1"/>
  <c r="G1401" i="1"/>
  <c r="AL1400" i="1"/>
  <c r="P1400" i="1"/>
  <c r="J1400" i="1"/>
  <c r="G1400" i="1"/>
  <c r="J1399" i="1"/>
  <c r="G1399" i="1"/>
  <c r="AL1398" i="1"/>
  <c r="J1398" i="1"/>
  <c r="G1398" i="1"/>
  <c r="AL1397" i="1"/>
  <c r="J1397" i="1"/>
  <c r="G1397" i="1"/>
  <c r="AL1396" i="1"/>
  <c r="P1396" i="1"/>
  <c r="J1396" i="1"/>
  <c r="G1396" i="1"/>
  <c r="P1395" i="1"/>
  <c r="J1395" i="1"/>
  <c r="G1395" i="1"/>
  <c r="AL1394" i="1"/>
  <c r="P1394" i="1"/>
  <c r="J1394" i="1"/>
  <c r="G1394" i="1"/>
  <c r="J1393" i="1"/>
  <c r="G1393" i="1"/>
  <c r="P1392" i="1"/>
  <c r="J1392" i="1"/>
  <c r="G1392" i="1"/>
  <c r="P1391" i="1"/>
  <c r="J1391" i="1"/>
  <c r="G1391" i="1"/>
  <c r="P1390" i="1"/>
  <c r="J1390" i="1"/>
  <c r="G1390" i="1"/>
  <c r="AL1389" i="1"/>
  <c r="P1389" i="1"/>
  <c r="J1389" i="1"/>
  <c r="G1389" i="1"/>
  <c r="AL1388" i="1"/>
  <c r="J1388" i="1"/>
  <c r="G1388" i="1"/>
  <c r="AL1387" i="1"/>
  <c r="P1387" i="1"/>
  <c r="J1387" i="1"/>
  <c r="G1387" i="1"/>
  <c r="AL1386" i="1"/>
  <c r="P1386" i="1"/>
  <c r="J1386" i="1"/>
  <c r="G1386" i="1"/>
  <c r="AL1385" i="1"/>
  <c r="P1385" i="1"/>
  <c r="J1385" i="1"/>
  <c r="G1385" i="1"/>
  <c r="J1384" i="1"/>
  <c r="G1384" i="1"/>
  <c r="J1383" i="1"/>
  <c r="G1383" i="1"/>
  <c r="AL1382" i="1"/>
  <c r="P1382" i="1"/>
  <c r="J1382" i="1"/>
  <c r="G1382" i="1"/>
  <c r="J1381" i="1"/>
  <c r="G1381" i="1"/>
  <c r="AL1380" i="1"/>
  <c r="P1380" i="1"/>
  <c r="J1380" i="1"/>
  <c r="G1380" i="1"/>
  <c r="AL1379" i="1"/>
  <c r="P1379" i="1"/>
  <c r="J1379" i="1"/>
  <c r="G1379" i="1"/>
  <c r="J1378" i="1"/>
  <c r="G1378" i="1"/>
  <c r="AL1377" i="1"/>
  <c r="J1377" i="1"/>
  <c r="G1377" i="1"/>
  <c r="AL1376" i="1"/>
  <c r="J1376" i="1"/>
  <c r="G1376" i="1"/>
  <c r="J1375" i="1"/>
  <c r="G1375" i="1"/>
  <c r="AL1374" i="1"/>
  <c r="P1374" i="1"/>
  <c r="J1374" i="1"/>
  <c r="G1374" i="1"/>
  <c r="AL1373" i="1"/>
  <c r="P1373" i="1"/>
  <c r="J1373" i="1"/>
  <c r="G1373" i="1"/>
  <c r="AL1372" i="1"/>
  <c r="P1372" i="1"/>
  <c r="J1372" i="1"/>
  <c r="G1372" i="1"/>
  <c r="AL1371" i="1"/>
  <c r="P1371" i="1"/>
  <c r="J1371" i="1"/>
  <c r="G1371" i="1"/>
  <c r="AL1370" i="1"/>
  <c r="P1370" i="1"/>
  <c r="J1370" i="1"/>
  <c r="G1370" i="1"/>
  <c r="AL1369" i="1"/>
  <c r="P1369" i="1"/>
  <c r="J1369" i="1"/>
  <c r="G1369" i="1"/>
  <c r="J1368" i="1"/>
  <c r="G1368" i="1"/>
  <c r="AL1367" i="1"/>
  <c r="P1367" i="1"/>
  <c r="J1367" i="1"/>
  <c r="G1367" i="1"/>
  <c r="AL1366" i="1"/>
  <c r="P1366" i="1"/>
  <c r="J1366" i="1"/>
  <c r="G1366" i="1"/>
  <c r="AL1365" i="1"/>
  <c r="P1365" i="1"/>
  <c r="J1365" i="1"/>
  <c r="G1365" i="1"/>
  <c r="J1364" i="1"/>
  <c r="G1364" i="1"/>
  <c r="AL1363" i="1"/>
  <c r="P1363" i="1"/>
  <c r="J1363" i="1"/>
  <c r="G1363" i="1"/>
  <c r="AL1362" i="1"/>
  <c r="P1362" i="1"/>
  <c r="J1362" i="1"/>
  <c r="G1362" i="1"/>
  <c r="AL1361" i="1"/>
  <c r="J1361" i="1"/>
  <c r="G1361" i="1"/>
  <c r="AL1360" i="1"/>
  <c r="J1360" i="1"/>
  <c r="G1360" i="1"/>
  <c r="J1359" i="1"/>
  <c r="G1359" i="1"/>
  <c r="J1358" i="1"/>
  <c r="G1358" i="1"/>
  <c r="AL1357" i="1"/>
  <c r="J1357" i="1"/>
  <c r="G1357" i="1"/>
  <c r="P1356" i="1"/>
  <c r="J1356" i="1"/>
  <c r="G1356" i="1"/>
  <c r="AL1355" i="1"/>
  <c r="P1355" i="1"/>
  <c r="J1355" i="1"/>
  <c r="G1355" i="1"/>
  <c r="J1354" i="1"/>
  <c r="G1354" i="1"/>
  <c r="AL1353" i="1"/>
  <c r="P1353" i="1"/>
  <c r="J1353" i="1"/>
  <c r="G1353" i="1"/>
  <c r="AL1352" i="1"/>
  <c r="P1352" i="1"/>
  <c r="J1352" i="1"/>
  <c r="G1352" i="1"/>
  <c r="AL1351" i="1"/>
  <c r="P1351" i="1"/>
  <c r="J1351" i="1"/>
  <c r="G1351" i="1"/>
  <c r="AL1350" i="1"/>
  <c r="J1350" i="1"/>
  <c r="G1350" i="1"/>
  <c r="AL1349" i="1"/>
  <c r="P1349" i="1"/>
  <c r="J1349" i="1"/>
  <c r="G1349" i="1"/>
  <c r="AL1348" i="1"/>
  <c r="J1348" i="1"/>
  <c r="G1348" i="1"/>
  <c r="AL1347" i="1"/>
  <c r="J1347" i="1"/>
  <c r="G1347" i="1"/>
  <c r="AL1346" i="1"/>
  <c r="J1346" i="1"/>
  <c r="G1346" i="1"/>
  <c r="J1345" i="1"/>
  <c r="G1345" i="1"/>
  <c r="J1344" i="1"/>
  <c r="G1344" i="1"/>
  <c r="J1343" i="1"/>
  <c r="G1343" i="1"/>
  <c r="AL1342" i="1"/>
  <c r="P1342" i="1"/>
  <c r="J1342" i="1"/>
  <c r="G1342" i="1"/>
  <c r="AL1341" i="1"/>
  <c r="J1341" i="1"/>
  <c r="G1341" i="1"/>
  <c r="J1340" i="1"/>
  <c r="G1340" i="1"/>
  <c r="J1339" i="1"/>
  <c r="G1339" i="1"/>
  <c r="AL1338" i="1"/>
  <c r="J1338" i="1"/>
  <c r="G1338" i="1"/>
  <c r="J1337" i="1"/>
  <c r="G1337" i="1"/>
  <c r="AL1336" i="1"/>
  <c r="J1336" i="1"/>
  <c r="G1336" i="1"/>
  <c r="AL1335" i="1"/>
  <c r="J1335" i="1"/>
  <c r="G1335" i="1"/>
  <c r="J1334" i="1"/>
  <c r="G1334" i="1"/>
  <c r="AL1333" i="1"/>
  <c r="P1333" i="1"/>
  <c r="J1333" i="1"/>
  <c r="G1333" i="1"/>
  <c r="J1332" i="1"/>
  <c r="G1332" i="1"/>
  <c r="AL1331" i="1"/>
  <c r="P1331" i="1"/>
  <c r="J1331" i="1"/>
  <c r="G1331" i="1"/>
  <c r="AL1330" i="1"/>
  <c r="P1330" i="1"/>
  <c r="J1330" i="1"/>
  <c r="G1330" i="1"/>
  <c r="AL1329" i="1"/>
  <c r="P1329" i="1"/>
  <c r="J1329" i="1"/>
  <c r="G1329" i="1"/>
  <c r="AL1328" i="1"/>
  <c r="P1328" i="1"/>
  <c r="J1328" i="1"/>
  <c r="G1328" i="1"/>
  <c r="AL1327" i="1"/>
  <c r="P1327" i="1"/>
  <c r="J1327" i="1"/>
  <c r="G1327" i="1"/>
  <c r="J1326" i="1"/>
  <c r="G1326" i="1"/>
  <c r="AL1325" i="1"/>
  <c r="J1325" i="1"/>
  <c r="G1325" i="1"/>
  <c r="AL1324" i="1"/>
  <c r="J1324" i="1"/>
  <c r="G1324" i="1"/>
  <c r="J1323" i="1"/>
  <c r="G1323" i="1"/>
  <c r="AL1322" i="1"/>
  <c r="P1322" i="1"/>
  <c r="J1322" i="1"/>
  <c r="G1322" i="1"/>
  <c r="AL1321" i="1"/>
  <c r="P1321" i="1"/>
  <c r="J1321" i="1"/>
  <c r="G1321" i="1"/>
  <c r="P1320" i="1"/>
  <c r="J1320" i="1"/>
  <c r="G1320" i="1"/>
  <c r="J1319" i="1"/>
  <c r="G1319" i="1"/>
  <c r="J1318" i="1"/>
  <c r="G1318" i="1"/>
  <c r="AL1317" i="1"/>
  <c r="J1317" i="1"/>
  <c r="G1317" i="1"/>
  <c r="AL1316" i="1"/>
  <c r="J1316" i="1"/>
  <c r="G1316" i="1"/>
  <c r="J1315" i="1"/>
  <c r="G1315" i="1"/>
  <c r="J1314" i="1"/>
  <c r="G1314" i="1"/>
  <c r="J1313" i="1"/>
  <c r="G1313" i="1"/>
  <c r="AL1312" i="1"/>
  <c r="P1312" i="1"/>
  <c r="J1312" i="1"/>
  <c r="G1312" i="1"/>
  <c r="J1311" i="1"/>
  <c r="G1311" i="1"/>
  <c r="J1310" i="1"/>
  <c r="G1310" i="1"/>
  <c r="J1309" i="1"/>
  <c r="G1309" i="1"/>
  <c r="AL1308" i="1"/>
  <c r="P1308" i="1"/>
  <c r="J1308" i="1"/>
  <c r="G1308" i="1"/>
  <c r="AL1307" i="1"/>
  <c r="P1307" i="1"/>
  <c r="J1307" i="1"/>
  <c r="G1307" i="1"/>
  <c r="AL1306" i="1"/>
  <c r="J1306" i="1"/>
  <c r="G1306" i="1"/>
  <c r="AL1305" i="1"/>
  <c r="J1305" i="1"/>
  <c r="G1305" i="1"/>
  <c r="J1304" i="1"/>
  <c r="G1304" i="1"/>
  <c r="AL1303" i="1"/>
  <c r="J1303" i="1"/>
  <c r="G1303" i="1"/>
  <c r="AL1302" i="1"/>
  <c r="J1302" i="1"/>
  <c r="G1302" i="1"/>
  <c r="AL1301" i="1"/>
  <c r="J1301" i="1"/>
  <c r="G1301" i="1"/>
  <c r="J1300" i="1"/>
  <c r="G1300" i="1"/>
  <c r="J1299" i="1"/>
  <c r="G1299" i="1"/>
  <c r="AL1298" i="1"/>
  <c r="P1298" i="1"/>
  <c r="J1298" i="1"/>
  <c r="G1298" i="1"/>
  <c r="AL1297" i="1"/>
  <c r="J1297" i="1"/>
  <c r="G1297" i="1"/>
  <c r="AL1296" i="1"/>
  <c r="J1296" i="1"/>
  <c r="G1296" i="1"/>
  <c r="AL1295" i="1"/>
  <c r="J1295" i="1"/>
  <c r="G1295" i="1"/>
  <c r="AL1294" i="1"/>
  <c r="P1294" i="1"/>
  <c r="J1294" i="1"/>
  <c r="G1294" i="1"/>
  <c r="AL1293" i="1"/>
  <c r="P1293" i="1"/>
  <c r="J1293" i="1"/>
  <c r="G1293" i="1"/>
  <c r="AL1292" i="1"/>
  <c r="P1292" i="1"/>
  <c r="J1292" i="1"/>
  <c r="G1292" i="1"/>
  <c r="P1291" i="1"/>
  <c r="J1291" i="1"/>
  <c r="G1291" i="1"/>
  <c r="AL1290" i="1"/>
  <c r="P1290" i="1"/>
  <c r="J1290" i="1"/>
  <c r="G1290" i="1"/>
  <c r="AL1289" i="1"/>
  <c r="J1289" i="1"/>
  <c r="G1289" i="1"/>
  <c r="AL1288" i="1"/>
  <c r="J1288" i="1"/>
  <c r="G1288" i="1"/>
  <c r="AL1287" i="1"/>
  <c r="J1287" i="1"/>
  <c r="G1287" i="1"/>
  <c r="AL1286" i="1"/>
  <c r="J1286" i="1"/>
  <c r="G1286" i="1"/>
  <c r="P1285" i="1"/>
  <c r="J1285" i="1"/>
  <c r="G1285" i="1"/>
  <c r="AL1284" i="1"/>
  <c r="P1284" i="1"/>
  <c r="J1284" i="1"/>
  <c r="G1284" i="1"/>
  <c r="J1283" i="1"/>
  <c r="G1283" i="1"/>
  <c r="AL1282" i="1"/>
  <c r="P1282" i="1"/>
  <c r="J1282" i="1"/>
  <c r="G1282" i="1"/>
  <c r="AL1281" i="1"/>
  <c r="P1281" i="1"/>
  <c r="J1281" i="1"/>
  <c r="G1281" i="1"/>
  <c r="AL1280" i="1"/>
  <c r="J1280" i="1"/>
  <c r="G1280" i="1"/>
  <c r="AL1279" i="1"/>
  <c r="J1279" i="1"/>
  <c r="G1279" i="1"/>
  <c r="AL1278" i="1"/>
  <c r="J1278" i="1"/>
  <c r="G1278" i="1"/>
  <c r="J1277" i="1"/>
  <c r="G1277" i="1"/>
  <c r="AL1276" i="1"/>
  <c r="P1276" i="1"/>
  <c r="J1276" i="1"/>
  <c r="G1276" i="1"/>
  <c r="J1275" i="1"/>
  <c r="G1275" i="1"/>
  <c r="P1274" i="1"/>
  <c r="J1274" i="1"/>
  <c r="G1274" i="1"/>
  <c r="AL1273" i="1"/>
  <c r="P1273" i="1"/>
  <c r="J1273" i="1"/>
  <c r="G1273" i="1"/>
  <c r="AL1272" i="1"/>
  <c r="P1272" i="1"/>
  <c r="J1272" i="1"/>
  <c r="G1272" i="1"/>
  <c r="P1271" i="1"/>
  <c r="J1271" i="1"/>
  <c r="G1271" i="1"/>
  <c r="AL1270" i="1"/>
  <c r="J1270" i="1"/>
  <c r="G1270" i="1"/>
  <c r="AL1269" i="1"/>
  <c r="P1269" i="1"/>
  <c r="J1269" i="1"/>
  <c r="G1269" i="1"/>
  <c r="J1268" i="1"/>
  <c r="G1268" i="1"/>
  <c r="J1267" i="1"/>
  <c r="G1267" i="1"/>
  <c r="AL1266" i="1"/>
  <c r="J1266" i="1"/>
  <c r="G1266" i="1"/>
  <c r="AL1265" i="1"/>
  <c r="J1265" i="1"/>
  <c r="G1265" i="1"/>
  <c r="J1264" i="1"/>
  <c r="G1264" i="1"/>
  <c r="AL1263" i="1"/>
  <c r="P1263" i="1"/>
  <c r="J1263" i="1"/>
  <c r="G1263" i="1"/>
  <c r="AL1262" i="1"/>
  <c r="P1262" i="1"/>
  <c r="J1262" i="1"/>
  <c r="G1262" i="1"/>
  <c r="AL1261" i="1"/>
  <c r="P1261" i="1"/>
  <c r="J1261" i="1"/>
  <c r="G1261" i="1"/>
  <c r="J1260" i="1"/>
  <c r="G1260" i="1"/>
  <c r="AL1259" i="1"/>
  <c r="P1259" i="1"/>
  <c r="J1259" i="1"/>
  <c r="G1259" i="1"/>
  <c r="P1258" i="1"/>
  <c r="J1258" i="1"/>
  <c r="G1258" i="1"/>
  <c r="AL1257" i="1"/>
  <c r="P1257" i="1"/>
  <c r="J1257" i="1"/>
  <c r="G1257" i="1"/>
  <c r="AL1256" i="1"/>
  <c r="P1256" i="1"/>
  <c r="J1256" i="1"/>
  <c r="G1256" i="1"/>
  <c r="J1255" i="1"/>
  <c r="G1255" i="1"/>
  <c r="J1254" i="1"/>
  <c r="G1254" i="1"/>
  <c r="AL1253" i="1"/>
  <c r="P1253" i="1"/>
  <c r="J1253" i="1"/>
  <c r="G1253" i="1"/>
  <c r="AL1252" i="1"/>
  <c r="J1252" i="1"/>
  <c r="G1252" i="1"/>
  <c r="AL1251" i="1"/>
  <c r="J1251" i="1"/>
  <c r="G1251" i="1"/>
  <c r="J1250" i="1"/>
  <c r="G1250" i="1"/>
  <c r="J1249" i="1"/>
  <c r="G1249" i="1"/>
  <c r="AL1248" i="1"/>
  <c r="J1248" i="1"/>
  <c r="G1248" i="1"/>
  <c r="AL1247" i="1"/>
  <c r="J1247" i="1"/>
  <c r="G1247" i="1"/>
  <c r="P1246" i="1"/>
  <c r="J1246" i="1"/>
  <c r="G1246" i="1"/>
  <c r="AL1245" i="1"/>
  <c r="P1245" i="1"/>
  <c r="J1245" i="1"/>
  <c r="G1245" i="1"/>
  <c r="AL1244" i="1"/>
  <c r="P1244" i="1"/>
  <c r="J1244" i="1"/>
  <c r="G1244" i="1"/>
  <c r="P1243" i="1"/>
  <c r="J1243" i="1"/>
  <c r="G1243" i="1"/>
  <c r="J1242" i="1"/>
  <c r="G1242" i="1"/>
  <c r="J1241" i="1"/>
  <c r="G1241" i="1"/>
  <c r="J1240" i="1"/>
  <c r="G1240" i="1"/>
  <c r="J1239" i="1"/>
  <c r="G1239" i="1"/>
  <c r="J1238" i="1"/>
  <c r="G1238" i="1"/>
  <c r="J1237" i="1"/>
  <c r="G1237" i="1"/>
  <c r="AL1236" i="1"/>
  <c r="P1236" i="1"/>
  <c r="J1236" i="1"/>
  <c r="G1236" i="1"/>
  <c r="AL1235" i="1"/>
  <c r="P1235" i="1"/>
  <c r="J1235" i="1"/>
  <c r="G1235" i="1"/>
  <c r="AL1234" i="1"/>
  <c r="P1234" i="1"/>
  <c r="J1234" i="1"/>
  <c r="G1234" i="1"/>
  <c r="AL1233" i="1"/>
  <c r="J1233" i="1"/>
  <c r="G1233" i="1"/>
  <c r="J1232" i="1"/>
  <c r="G1232" i="1"/>
  <c r="AL1231" i="1"/>
  <c r="P1231" i="1"/>
  <c r="J1231" i="1"/>
  <c r="G1231" i="1"/>
  <c r="AL1230" i="1"/>
  <c r="P1230" i="1"/>
  <c r="J1230" i="1"/>
  <c r="G1230" i="1"/>
  <c r="AL1229" i="1"/>
  <c r="J1229" i="1"/>
  <c r="G1229" i="1"/>
  <c r="J1228" i="1"/>
  <c r="G1228" i="1"/>
  <c r="AL1227" i="1"/>
  <c r="J1227" i="1"/>
  <c r="G1227" i="1"/>
  <c r="AL1226" i="1"/>
  <c r="P1226" i="1"/>
  <c r="J1226" i="1"/>
  <c r="G1226" i="1"/>
  <c r="J1225" i="1"/>
  <c r="G1225" i="1"/>
  <c r="AL1224" i="1"/>
  <c r="P1224" i="1"/>
  <c r="J1224" i="1"/>
  <c r="G1224" i="1"/>
  <c r="J1223" i="1"/>
  <c r="G1223" i="1"/>
  <c r="AL1222" i="1"/>
  <c r="P1222" i="1"/>
  <c r="J1222" i="1"/>
  <c r="G1222" i="1"/>
  <c r="AL1221" i="1"/>
  <c r="J1221" i="1"/>
  <c r="G1221" i="1"/>
  <c r="AL1220" i="1"/>
  <c r="J1220" i="1"/>
  <c r="G1220" i="1"/>
  <c r="J1219" i="1"/>
  <c r="G1219" i="1"/>
  <c r="J1218" i="1"/>
  <c r="G1218" i="1"/>
  <c r="J1217" i="1"/>
  <c r="G1217" i="1"/>
  <c r="AL1216" i="1"/>
  <c r="J1216" i="1"/>
  <c r="G1216" i="1"/>
  <c r="J1215" i="1"/>
  <c r="G1215" i="1"/>
  <c r="AL1214" i="1"/>
  <c r="J1214" i="1"/>
  <c r="G1214" i="1"/>
  <c r="AL1213" i="1"/>
  <c r="P1213" i="1"/>
  <c r="J1213" i="1"/>
  <c r="G1213" i="1"/>
  <c r="J1212" i="1"/>
  <c r="G1212" i="1"/>
  <c r="AL1211" i="1"/>
  <c r="J1211" i="1"/>
  <c r="G1211" i="1"/>
  <c r="J1210" i="1"/>
  <c r="G1210" i="1"/>
  <c r="J1209" i="1"/>
  <c r="G1209" i="1"/>
  <c r="AL1208" i="1"/>
  <c r="J1208" i="1"/>
  <c r="G1208" i="1"/>
  <c r="AL1207" i="1"/>
  <c r="J1207" i="1"/>
  <c r="G1207" i="1"/>
  <c r="AL1206" i="1"/>
  <c r="J1206" i="1"/>
  <c r="G1206" i="1"/>
  <c r="J1205" i="1"/>
  <c r="G1205" i="1"/>
  <c r="AL1204" i="1"/>
  <c r="J1204" i="1"/>
  <c r="G1204" i="1"/>
  <c r="AL1203" i="1"/>
  <c r="J1203" i="1"/>
  <c r="G1203" i="1"/>
  <c r="J1202" i="1"/>
  <c r="G1202" i="1"/>
  <c r="AL1201" i="1"/>
  <c r="J1201" i="1"/>
  <c r="G1201" i="1"/>
  <c r="AL1200" i="1"/>
  <c r="J1200" i="1"/>
  <c r="G1200" i="1"/>
  <c r="AL1199" i="1"/>
  <c r="P1199" i="1"/>
  <c r="J1199" i="1"/>
  <c r="G1199" i="1"/>
  <c r="AL1198" i="1"/>
  <c r="P1198" i="1"/>
  <c r="J1198" i="1"/>
  <c r="G1198" i="1"/>
  <c r="AL1197" i="1"/>
  <c r="P1197" i="1"/>
  <c r="J1197" i="1"/>
  <c r="G1197" i="1"/>
  <c r="AL1196" i="1"/>
  <c r="P1196" i="1"/>
  <c r="J1196" i="1"/>
  <c r="G1196" i="1"/>
  <c r="AL1195" i="1"/>
  <c r="P1195" i="1"/>
  <c r="J1195" i="1"/>
  <c r="G1195" i="1"/>
  <c r="AL1194" i="1"/>
  <c r="P1194" i="1"/>
  <c r="J1194" i="1"/>
  <c r="G1194" i="1"/>
  <c r="J1193" i="1"/>
  <c r="G1193" i="1"/>
  <c r="AL1192" i="1"/>
  <c r="P1192" i="1"/>
  <c r="J1192" i="1"/>
  <c r="G1192" i="1"/>
  <c r="J1191" i="1"/>
  <c r="G1191" i="1"/>
  <c r="J1190" i="1"/>
  <c r="G1190" i="1"/>
  <c r="AL1189" i="1"/>
  <c r="P1189" i="1"/>
  <c r="J1189" i="1"/>
  <c r="G1189" i="1"/>
  <c r="AL1188" i="1"/>
  <c r="J1188" i="1"/>
  <c r="G1188" i="1"/>
  <c r="J1187" i="1"/>
  <c r="G1187" i="1"/>
  <c r="J1186" i="1"/>
  <c r="G1186" i="1"/>
  <c r="J1185" i="1"/>
  <c r="G1185" i="1"/>
  <c r="AL1184" i="1"/>
  <c r="J1184" i="1"/>
  <c r="G1184" i="1"/>
  <c r="AL1183" i="1"/>
  <c r="P1183" i="1"/>
  <c r="J1183" i="1"/>
  <c r="G1183" i="1"/>
  <c r="J1182" i="1"/>
  <c r="G1182" i="1"/>
  <c r="J1181" i="1"/>
  <c r="G1181" i="1"/>
  <c r="AL1180" i="1"/>
  <c r="J1180" i="1"/>
  <c r="G1180" i="1"/>
  <c r="AL1179" i="1"/>
  <c r="J1179" i="1"/>
  <c r="G1179" i="1"/>
  <c r="AL1178" i="1"/>
  <c r="P1178" i="1"/>
  <c r="J1178" i="1"/>
  <c r="G1178" i="1"/>
  <c r="AL1177" i="1"/>
  <c r="P1177" i="1"/>
  <c r="J1177" i="1"/>
  <c r="G1177" i="1"/>
  <c r="P1176" i="1"/>
  <c r="J1176" i="1"/>
  <c r="G1176" i="1"/>
  <c r="J1175" i="1"/>
  <c r="G1175" i="1"/>
  <c r="AL1174" i="1"/>
  <c r="P1174" i="1"/>
  <c r="J1174" i="1"/>
  <c r="G1174" i="1"/>
  <c r="J1173" i="1"/>
  <c r="G1173" i="1"/>
  <c r="AL1172" i="1"/>
  <c r="P1172" i="1"/>
  <c r="J1172" i="1"/>
  <c r="G1172" i="1"/>
  <c r="J1171" i="1"/>
  <c r="G1171" i="1"/>
  <c r="AL1170" i="1"/>
  <c r="P1170" i="1"/>
  <c r="J1170" i="1"/>
  <c r="G1170" i="1"/>
  <c r="J1169" i="1"/>
  <c r="G1169" i="1"/>
  <c r="J1168" i="1"/>
  <c r="G1168" i="1"/>
  <c r="J1167" i="1"/>
  <c r="G1167" i="1"/>
  <c r="J1166" i="1"/>
  <c r="G1166" i="1"/>
  <c r="AL1165" i="1"/>
  <c r="J1165" i="1"/>
  <c r="G1165" i="1"/>
  <c r="AL1164" i="1"/>
  <c r="P1164" i="1"/>
  <c r="J1164" i="1"/>
  <c r="G1164" i="1"/>
  <c r="J1163" i="1"/>
  <c r="G1163" i="1"/>
  <c r="J1162" i="1"/>
  <c r="G1162" i="1"/>
  <c r="J1161" i="1"/>
  <c r="G1161" i="1"/>
  <c r="J1160" i="1"/>
  <c r="G1160" i="1"/>
  <c r="AL1159" i="1"/>
  <c r="J1159" i="1"/>
  <c r="G1159" i="1"/>
  <c r="J1158" i="1"/>
  <c r="G1158" i="1"/>
  <c r="J1157" i="1"/>
  <c r="G1157" i="1"/>
  <c r="AL1156" i="1"/>
  <c r="P1156" i="1"/>
  <c r="J1156" i="1"/>
  <c r="G1156" i="1"/>
  <c r="J1155" i="1"/>
  <c r="G1155" i="1"/>
  <c r="J1154" i="1"/>
  <c r="G1154" i="1"/>
  <c r="J1153" i="1"/>
  <c r="G1153" i="1"/>
  <c r="AL1152" i="1"/>
  <c r="P1152" i="1"/>
  <c r="J1152" i="1"/>
  <c r="G1152" i="1"/>
  <c r="AL1151" i="1"/>
  <c r="P1151" i="1"/>
  <c r="J1151" i="1"/>
  <c r="G1151" i="1"/>
  <c r="AL1150" i="1"/>
  <c r="P1150" i="1"/>
  <c r="J1150" i="1"/>
  <c r="G1150" i="1"/>
  <c r="AL1149" i="1"/>
  <c r="J1149" i="1"/>
  <c r="G1149" i="1"/>
  <c r="J1148" i="1"/>
  <c r="G1148" i="1"/>
  <c r="J1147" i="1"/>
  <c r="G1147" i="1"/>
  <c r="AL1146" i="1"/>
  <c r="J1146" i="1"/>
  <c r="G1146" i="1"/>
  <c r="AL1145" i="1"/>
  <c r="J1145" i="1"/>
  <c r="G1145" i="1"/>
  <c r="AL1144" i="1"/>
  <c r="J1144" i="1"/>
  <c r="G1144" i="1"/>
  <c r="AL1143" i="1"/>
  <c r="J1143" i="1"/>
  <c r="G1143" i="1"/>
  <c r="AL1142" i="1"/>
  <c r="J1142" i="1"/>
  <c r="G1142" i="1"/>
  <c r="AL1141" i="1"/>
  <c r="J1141" i="1"/>
  <c r="G1141" i="1"/>
  <c r="AL1140" i="1"/>
  <c r="P1140" i="1"/>
  <c r="J1140" i="1"/>
  <c r="G1140" i="1"/>
  <c r="AL1139" i="1"/>
  <c r="J1139" i="1"/>
  <c r="G1139" i="1"/>
  <c r="AL1138" i="1"/>
  <c r="P1138" i="1"/>
  <c r="J1138" i="1"/>
  <c r="G1138" i="1"/>
  <c r="AL1137" i="1"/>
  <c r="J1137" i="1"/>
  <c r="G1137" i="1"/>
  <c r="J1136" i="1"/>
  <c r="G1136" i="1"/>
  <c r="AL1135" i="1"/>
  <c r="J1135" i="1"/>
  <c r="G1135" i="1"/>
  <c r="J1134" i="1"/>
  <c r="G1134" i="1"/>
  <c r="AL1133" i="1"/>
  <c r="P1133" i="1"/>
  <c r="J1133" i="1"/>
  <c r="G1133" i="1"/>
  <c r="J1132" i="1"/>
  <c r="G1132" i="1"/>
  <c r="P1131" i="1"/>
  <c r="J1131" i="1"/>
  <c r="G1131" i="1"/>
  <c r="AL1130" i="1"/>
  <c r="P1130" i="1"/>
  <c r="J1130" i="1"/>
  <c r="G1130" i="1"/>
  <c r="AL1129" i="1"/>
  <c r="J1129" i="1"/>
  <c r="G1129" i="1"/>
  <c r="AL1128" i="1"/>
  <c r="J1128" i="1"/>
  <c r="G1128" i="1"/>
  <c r="AL1127" i="1"/>
  <c r="J1127" i="1"/>
  <c r="G1127" i="1"/>
  <c r="J1126" i="1"/>
  <c r="G1126" i="1"/>
  <c r="P1125" i="1"/>
  <c r="J1125" i="1"/>
  <c r="G1125" i="1"/>
  <c r="AL1124" i="1"/>
  <c r="P1124" i="1"/>
  <c r="J1124" i="1"/>
  <c r="G1124" i="1"/>
  <c r="AL1123" i="1"/>
  <c r="P1123" i="1"/>
  <c r="J1123" i="1"/>
  <c r="G1123" i="1"/>
  <c r="J1122" i="1"/>
  <c r="G1122" i="1"/>
  <c r="AL1121" i="1"/>
  <c r="J1121" i="1"/>
  <c r="G1121" i="1"/>
  <c r="AL1120" i="1"/>
  <c r="J1120" i="1"/>
  <c r="G1120" i="1"/>
  <c r="AL1119" i="1"/>
  <c r="P1119" i="1"/>
  <c r="J1119" i="1"/>
  <c r="G1119" i="1"/>
  <c r="P1118" i="1"/>
  <c r="J1118" i="1"/>
  <c r="G1118" i="1"/>
  <c r="AL1117" i="1"/>
  <c r="J1117" i="1"/>
  <c r="G1117" i="1"/>
  <c r="AL1116" i="1"/>
  <c r="P1116" i="1"/>
  <c r="J1116" i="1"/>
  <c r="G1116" i="1"/>
  <c r="J1115" i="1"/>
  <c r="G1115" i="1"/>
  <c r="P1114" i="1"/>
  <c r="J1114" i="1"/>
  <c r="G1114" i="1"/>
  <c r="AL1113" i="1"/>
  <c r="P1113" i="1"/>
  <c r="J1113" i="1"/>
  <c r="G1113" i="1"/>
  <c r="AL1112" i="1"/>
  <c r="J1112" i="1"/>
  <c r="G1112" i="1"/>
  <c r="AL1111" i="1"/>
  <c r="P1111" i="1"/>
  <c r="J1111" i="1"/>
  <c r="G1111" i="1"/>
  <c r="J1110" i="1"/>
  <c r="G1110" i="1"/>
  <c r="AL1109" i="1"/>
  <c r="P1109" i="1"/>
  <c r="J1109" i="1"/>
  <c r="G1109" i="1"/>
  <c r="J1108" i="1"/>
  <c r="G1108" i="1"/>
  <c r="J1107" i="1"/>
  <c r="G1107" i="1"/>
  <c r="J1106" i="1"/>
  <c r="G1106" i="1"/>
  <c r="AL1105" i="1"/>
  <c r="J1105" i="1"/>
  <c r="G1105" i="1"/>
  <c r="AL1104" i="1"/>
  <c r="J1104" i="1"/>
  <c r="G1104" i="1"/>
  <c r="J1103" i="1"/>
  <c r="G1103" i="1"/>
  <c r="AL1102" i="1"/>
  <c r="P1102" i="1"/>
  <c r="J1102" i="1"/>
  <c r="G1102" i="1"/>
  <c r="AL1101" i="1"/>
  <c r="P1101" i="1"/>
  <c r="J1101" i="1"/>
  <c r="G1101" i="1"/>
  <c r="AL1100" i="1"/>
  <c r="J1100" i="1"/>
  <c r="G1100" i="1"/>
  <c r="AL1099" i="1"/>
  <c r="J1099" i="1"/>
  <c r="G1099" i="1"/>
  <c r="AL1098" i="1"/>
  <c r="P1098" i="1"/>
  <c r="J1098" i="1"/>
  <c r="G1098" i="1"/>
  <c r="G1097" i="1"/>
  <c r="AL1096" i="1"/>
  <c r="P1096" i="1"/>
  <c r="J1096" i="1"/>
  <c r="G1096" i="1"/>
  <c r="AL1095" i="1"/>
  <c r="J1095" i="1"/>
  <c r="G1095" i="1"/>
  <c r="AL1094" i="1"/>
  <c r="J1094" i="1"/>
  <c r="G1094" i="1"/>
  <c r="AL1093" i="1"/>
  <c r="P1093" i="1"/>
  <c r="J1093" i="1"/>
  <c r="G1093" i="1"/>
  <c r="AL1092" i="1"/>
  <c r="J1092" i="1"/>
  <c r="G1092" i="1"/>
  <c r="AL1091" i="1"/>
  <c r="J1091" i="1"/>
  <c r="G1091" i="1"/>
  <c r="J1090" i="1"/>
  <c r="G1090" i="1"/>
  <c r="J1089" i="1"/>
  <c r="G1089" i="1"/>
  <c r="J1088" i="1"/>
  <c r="G1088" i="1"/>
  <c r="J1087" i="1"/>
  <c r="G1087" i="1"/>
  <c r="AL1086" i="1"/>
  <c r="P1086" i="1"/>
  <c r="J1086" i="1"/>
  <c r="G1086" i="1"/>
  <c r="AL1085" i="1"/>
  <c r="P1085" i="1"/>
  <c r="J1085" i="1"/>
  <c r="G1085" i="1"/>
  <c r="AL1084" i="1"/>
  <c r="P1084" i="1"/>
  <c r="J1084" i="1"/>
  <c r="G1084" i="1"/>
  <c r="AL1083" i="1"/>
  <c r="J1083" i="1"/>
  <c r="G1083" i="1"/>
  <c r="J1082" i="1"/>
  <c r="G1082" i="1"/>
  <c r="AL1081" i="1"/>
  <c r="J1081" i="1"/>
  <c r="G1081" i="1"/>
  <c r="AL1080" i="1"/>
  <c r="J1080" i="1"/>
  <c r="G1080" i="1"/>
  <c r="AL1079" i="1"/>
  <c r="J1079" i="1"/>
  <c r="G1079" i="1"/>
  <c r="AL1078" i="1"/>
  <c r="J1078" i="1"/>
  <c r="G1078" i="1"/>
  <c r="AL1077" i="1"/>
  <c r="J1077" i="1"/>
  <c r="G1077" i="1"/>
  <c r="AL1076" i="1"/>
  <c r="J1076" i="1"/>
  <c r="G1076" i="1"/>
  <c r="J1075" i="1"/>
  <c r="G1075" i="1"/>
  <c r="AL1074" i="1"/>
  <c r="J1074" i="1"/>
  <c r="G1074" i="1"/>
  <c r="J1073" i="1"/>
  <c r="G1073" i="1"/>
  <c r="AL1072" i="1"/>
  <c r="P1072" i="1"/>
  <c r="J1072" i="1"/>
  <c r="G1072" i="1"/>
  <c r="AL1071" i="1"/>
  <c r="J1071" i="1"/>
  <c r="G1071" i="1"/>
  <c r="AL1070" i="1"/>
  <c r="P1070" i="1"/>
  <c r="J1070" i="1"/>
  <c r="G1070" i="1"/>
  <c r="AL1069" i="1"/>
  <c r="P1069" i="1"/>
  <c r="J1069" i="1"/>
  <c r="G1069" i="1"/>
  <c r="AL1068" i="1"/>
  <c r="P1068" i="1"/>
  <c r="J1068" i="1"/>
  <c r="G1068" i="1"/>
  <c r="J1067" i="1"/>
  <c r="G1067" i="1"/>
  <c r="AL1066" i="1"/>
  <c r="J1066" i="1"/>
  <c r="G1066" i="1"/>
  <c r="J1065" i="1"/>
  <c r="G1065" i="1"/>
  <c r="P1064" i="1"/>
  <c r="G1064" i="1"/>
  <c r="AL1063" i="1"/>
  <c r="J1063" i="1"/>
  <c r="G1063" i="1"/>
  <c r="AL1062" i="1"/>
  <c r="P1062" i="1"/>
  <c r="J1062" i="1"/>
  <c r="G1062" i="1"/>
  <c r="J1061" i="1"/>
  <c r="G1061" i="1"/>
  <c r="J1060" i="1"/>
  <c r="G1060" i="1"/>
  <c r="J1059" i="1"/>
  <c r="G1059" i="1"/>
  <c r="AL1058" i="1"/>
  <c r="J1058" i="1"/>
  <c r="G1058" i="1"/>
  <c r="AL1057" i="1"/>
  <c r="P1057" i="1"/>
  <c r="J1057" i="1"/>
  <c r="G1057" i="1"/>
  <c r="J1056" i="1"/>
  <c r="G1056" i="1"/>
  <c r="AL1055" i="1"/>
  <c r="J1055" i="1"/>
  <c r="G1055" i="1"/>
  <c r="J1054" i="1"/>
  <c r="G1054" i="1"/>
  <c r="J1053" i="1"/>
  <c r="G1053" i="1"/>
  <c r="P1052" i="1"/>
  <c r="J1052" i="1"/>
  <c r="G1052" i="1"/>
  <c r="J1051" i="1"/>
  <c r="G1051" i="1"/>
  <c r="P1050" i="1"/>
  <c r="J1050" i="1"/>
  <c r="G1050" i="1"/>
  <c r="J1049" i="1"/>
  <c r="G1049" i="1"/>
  <c r="J1048" i="1"/>
  <c r="G1048" i="1"/>
  <c r="J1047" i="1"/>
  <c r="G1047" i="1"/>
  <c r="AL1046" i="1"/>
  <c r="J1046" i="1"/>
  <c r="G1046" i="1"/>
  <c r="J1045" i="1"/>
  <c r="G1045" i="1"/>
  <c r="J1044" i="1"/>
  <c r="G1044" i="1"/>
  <c r="AL1043" i="1"/>
  <c r="J1043" i="1"/>
  <c r="G1043" i="1"/>
  <c r="AL1042" i="1"/>
  <c r="J1042" i="1"/>
  <c r="G1042" i="1"/>
  <c r="AL1041" i="1"/>
  <c r="P1041" i="1"/>
  <c r="J1041" i="1"/>
  <c r="G1041" i="1"/>
  <c r="AL1040" i="1"/>
  <c r="P1040" i="1"/>
  <c r="J1040" i="1"/>
  <c r="G1040" i="1"/>
  <c r="AL1039" i="1"/>
  <c r="J1039" i="1"/>
  <c r="G1039" i="1"/>
  <c r="AL1038" i="1"/>
  <c r="P1038" i="1"/>
  <c r="J1038" i="1"/>
  <c r="G1038" i="1"/>
  <c r="J1037" i="1"/>
  <c r="G1037" i="1"/>
  <c r="AL1036" i="1"/>
  <c r="P1036" i="1"/>
  <c r="J1036" i="1"/>
  <c r="G1036" i="1"/>
  <c r="AL1035" i="1"/>
  <c r="P1035" i="1"/>
  <c r="J1035" i="1"/>
  <c r="G1035" i="1"/>
  <c r="J1034" i="1"/>
  <c r="G1034" i="1"/>
  <c r="J1033" i="1"/>
  <c r="G1033" i="1"/>
  <c r="J1032" i="1"/>
  <c r="G1032" i="1"/>
  <c r="AL1031" i="1"/>
  <c r="P1031" i="1"/>
  <c r="J1031" i="1"/>
  <c r="G1031" i="1"/>
  <c r="G1030" i="1"/>
  <c r="AL1029" i="1"/>
  <c r="J1029" i="1"/>
  <c r="G1029" i="1"/>
  <c r="AL1028" i="1"/>
  <c r="P1028" i="1"/>
  <c r="J1028" i="1"/>
  <c r="G1028" i="1"/>
  <c r="AL1027" i="1"/>
  <c r="P1027" i="1"/>
  <c r="J1027" i="1"/>
  <c r="G1027" i="1"/>
  <c r="AL1026" i="1"/>
  <c r="P1026" i="1"/>
  <c r="J1026" i="1"/>
  <c r="G1026" i="1"/>
  <c r="AL1025" i="1"/>
  <c r="P1025" i="1"/>
  <c r="J1025" i="1"/>
  <c r="G1025" i="1"/>
  <c r="J1024" i="1"/>
  <c r="G1024" i="1"/>
  <c r="AL1023" i="1"/>
  <c r="P1023" i="1"/>
  <c r="J1023" i="1"/>
  <c r="G1023" i="1"/>
  <c r="AL1022" i="1"/>
  <c r="J1022" i="1"/>
  <c r="G1022" i="1"/>
  <c r="AL1021" i="1"/>
  <c r="J1021" i="1"/>
  <c r="G1021" i="1"/>
  <c r="P1020" i="1"/>
  <c r="J1020" i="1"/>
  <c r="G1020" i="1"/>
  <c r="J1019" i="1"/>
  <c r="G1019" i="1"/>
  <c r="AL1018" i="1"/>
  <c r="P1018" i="1"/>
  <c r="J1018" i="1"/>
  <c r="G1018" i="1"/>
  <c r="AL1017" i="1"/>
  <c r="J1017" i="1"/>
  <c r="G1017" i="1"/>
  <c r="J1016" i="1"/>
  <c r="G1016" i="1"/>
  <c r="J1015" i="1"/>
  <c r="G1015" i="1"/>
  <c r="AL1014" i="1"/>
  <c r="J1014" i="1"/>
  <c r="G1014" i="1"/>
  <c r="J1013" i="1"/>
  <c r="G1013" i="1"/>
  <c r="AL1012" i="1"/>
  <c r="P1012" i="1"/>
  <c r="J1012" i="1"/>
  <c r="G1012" i="1"/>
  <c r="AL1011" i="1"/>
  <c r="P1011" i="1"/>
  <c r="J1011" i="1"/>
  <c r="G1011" i="1"/>
  <c r="AL1010" i="1"/>
  <c r="J1010" i="1"/>
  <c r="G1010" i="1"/>
  <c r="AL1009" i="1"/>
  <c r="P1009" i="1"/>
  <c r="J1009" i="1"/>
  <c r="G1009" i="1"/>
  <c r="J1008" i="1"/>
  <c r="G1008" i="1"/>
  <c r="J1007" i="1"/>
  <c r="G1007" i="1"/>
  <c r="AL1006" i="1"/>
  <c r="P1006" i="1"/>
  <c r="J1006" i="1"/>
  <c r="G1006" i="1"/>
  <c r="J1005" i="1"/>
  <c r="G1005" i="1"/>
  <c r="P1004" i="1"/>
  <c r="J1004" i="1"/>
  <c r="G1004" i="1"/>
  <c r="AL1003" i="1"/>
  <c r="P1003" i="1"/>
  <c r="J1003" i="1"/>
  <c r="G1003" i="1"/>
  <c r="AL1002" i="1"/>
  <c r="P1002" i="1"/>
  <c r="J1002" i="1"/>
  <c r="G1002" i="1"/>
  <c r="AL1001" i="1"/>
  <c r="J1001" i="1"/>
  <c r="G1001" i="1"/>
  <c r="J1000" i="1"/>
  <c r="G1000" i="1"/>
  <c r="AL999" i="1"/>
  <c r="P999" i="1"/>
  <c r="J999" i="1"/>
  <c r="G999" i="1"/>
  <c r="AL998" i="1"/>
  <c r="J998" i="1"/>
  <c r="G998" i="1"/>
  <c r="AL997" i="1"/>
  <c r="J997" i="1"/>
  <c r="G997" i="1"/>
  <c r="AL996" i="1"/>
  <c r="J996" i="1"/>
  <c r="G996" i="1"/>
  <c r="J995" i="1"/>
  <c r="G995" i="1"/>
  <c r="AL994" i="1"/>
  <c r="J994" i="1"/>
  <c r="G994" i="1"/>
  <c r="AL993" i="1"/>
  <c r="J993" i="1"/>
  <c r="G993" i="1"/>
  <c r="AL992" i="1"/>
  <c r="P992" i="1"/>
  <c r="J992" i="1"/>
  <c r="G992" i="1"/>
  <c r="AL991" i="1"/>
  <c r="J991" i="1"/>
  <c r="G991" i="1"/>
  <c r="J990" i="1"/>
  <c r="G990" i="1"/>
  <c r="AL989" i="1"/>
  <c r="P989" i="1"/>
  <c r="J989" i="1"/>
  <c r="G989" i="1"/>
  <c r="AL988" i="1"/>
  <c r="J988" i="1"/>
  <c r="G988" i="1"/>
  <c r="J987" i="1"/>
  <c r="G987" i="1"/>
  <c r="AL986" i="1"/>
  <c r="J986" i="1"/>
  <c r="G986" i="1"/>
  <c r="AL985" i="1"/>
  <c r="J985" i="1"/>
  <c r="G985" i="1"/>
  <c r="AL984" i="1"/>
  <c r="J984" i="1"/>
  <c r="G984" i="1"/>
  <c r="AL983" i="1"/>
  <c r="J983" i="1"/>
  <c r="G983" i="1"/>
  <c r="J982" i="1"/>
  <c r="G982" i="1"/>
  <c r="P981" i="1"/>
  <c r="J981" i="1"/>
  <c r="G981" i="1"/>
  <c r="AL980" i="1"/>
  <c r="P980" i="1"/>
  <c r="J980" i="1"/>
  <c r="G980" i="1"/>
  <c r="J979" i="1"/>
  <c r="G979" i="1"/>
  <c r="AL978" i="1"/>
  <c r="P978" i="1"/>
  <c r="J978" i="1"/>
  <c r="G978" i="1"/>
  <c r="AL977" i="1"/>
  <c r="P977" i="1"/>
  <c r="J977" i="1"/>
  <c r="G977" i="1"/>
  <c r="J976" i="1"/>
  <c r="G976" i="1"/>
  <c r="J975" i="1"/>
  <c r="G975" i="1"/>
  <c r="J974" i="1"/>
  <c r="G974" i="1"/>
  <c r="AL973" i="1"/>
  <c r="P973" i="1"/>
  <c r="J973" i="1"/>
  <c r="G973" i="1"/>
  <c r="P972" i="1"/>
  <c r="J972" i="1"/>
  <c r="G972" i="1"/>
  <c r="AL971" i="1"/>
  <c r="J971" i="1"/>
  <c r="G971" i="1"/>
  <c r="AL970" i="1"/>
  <c r="P970" i="1"/>
  <c r="J970" i="1"/>
  <c r="G970" i="1"/>
  <c r="AL969" i="1"/>
  <c r="P969" i="1"/>
  <c r="J969" i="1"/>
  <c r="G969" i="1"/>
  <c r="AL968" i="1"/>
  <c r="P968" i="1"/>
  <c r="J968" i="1"/>
  <c r="G968" i="1"/>
  <c r="J967" i="1"/>
  <c r="G967" i="1"/>
  <c r="AL966" i="1"/>
  <c r="P966" i="1"/>
  <c r="J966" i="1"/>
  <c r="G966" i="1"/>
  <c r="AL965" i="1"/>
  <c r="P965" i="1"/>
  <c r="J965" i="1"/>
  <c r="G965" i="1"/>
  <c r="AL964" i="1"/>
  <c r="P964" i="1"/>
  <c r="J964" i="1"/>
  <c r="G964" i="1"/>
  <c r="J963" i="1"/>
  <c r="G963" i="1"/>
  <c r="AL962" i="1"/>
  <c r="J962" i="1"/>
  <c r="G962" i="1"/>
  <c r="AL961" i="1"/>
  <c r="J961" i="1"/>
  <c r="G961" i="1"/>
  <c r="AL960" i="1"/>
  <c r="J960" i="1"/>
  <c r="G960" i="1"/>
  <c r="J959" i="1"/>
  <c r="G959" i="1"/>
  <c r="AL958" i="1"/>
  <c r="J958" i="1"/>
  <c r="G958" i="1"/>
  <c r="P957" i="1"/>
  <c r="J957" i="1"/>
  <c r="G957" i="1"/>
  <c r="AL956" i="1"/>
  <c r="P956" i="1"/>
  <c r="J956" i="1"/>
  <c r="G956" i="1"/>
  <c r="AL955" i="1"/>
  <c r="P955" i="1"/>
  <c r="J955" i="1"/>
  <c r="G955" i="1"/>
  <c r="AL954" i="1"/>
  <c r="P954" i="1"/>
  <c r="J954" i="1"/>
  <c r="G954" i="1"/>
  <c r="J953" i="1"/>
  <c r="G953" i="1"/>
  <c r="AL952" i="1"/>
  <c r="P952" i="1"/>
  <c r="J952" i="1"/>
  <c r="G952" i="1"/>
  <c r="AL951" i="1"/>
  <c r="P951" i="1"/>
  <c r="J951" i="1"/>
  <c r="G951" i="1"/>
  <c r="AL950" i="1"/>
  <c r="J950" i="1"/>
  <c r="G950" i="1"/>
  <c r="AL949" i="1"/>
  <c r="J949" i="1"/>
  <c r="G949" i="1"/>
  <c r="AL948" i="1"/>
  <c r="P948" i="1"/>
  <c r="J948" i="1"/>
  <c r="G948" i="1"/>
  <c r="AL947" i="1"/>
  <c r="J947" i="1"/>
  <c r="G947" i="1"/>
  <c r="AL946" i="1"/>
  <c r="J946" i="1"/>
  <c r="G946" i="1"/>
  <c r="J945" i="1"/>
  <c r="G945" i="1"/>
  <c r="J944" i="1"/>
  <c r="G944" i="1"/>
  <c r="J943" i="1"/>
  <c r="G943" i="1"/>
  <c r="AL942" i="1"/>
  <c r="P942" i="1"/>
  <c r="J942" i="1"/>
  <c r="G942" i="1"/>
  <c r="AL941" i="1"/>
  <c r="J941" i="1"/>
  <c r="G941" i="1"/>
  <c r="J940" i="1"/>
  <c r="G940" i="1"/>
  <c r="AL939" i="1"/>
  <c r="J939" i="1"/>
  <c r="G939" i="1"/>
  <c r="AL938" i="1"/>
  <c r="J938" i="1"/>
  <c r="G938" i="1"/>
  <c r="AL937" i="1"/>
  <c r="P937" i="1"/>
  <c r="J937" i="1"/>
  <c r="G937" i="1"/>
  <c r="P936" i="1"/>
  <c r="J936" i="1"/>
  <c r="G936" i="1"/>
  <c r="J935" i="1"/>
  <c r="G935" i="1"/>
  <c r="J934" i="1"/>
  <c r="G934" i="1"/>
  <c r="AL933" i="1"/>
  <c r="P933" i="1"/>
  <c r="J933" i="1"/>
  <c r="G933" i="1"/>
  <c r="AL932" i="1"/>
  <c r="P932" i="1"/>
  <c r="J932" i="1"/>
  <c r="G932" i="1"/>
  <c r="J931" i="1"/>
  <c r="G931" i="1"/>
  <c r="J930" i="1"/>
  <c r="G930" i="1"/>
  <c r="AL929" i="1"/>
  <c r="P929" i="1"/>
  <c r="J929" i="1"/>
  <c r="G929" i="1"/>
  <c r="J928" i="1"/>
  <c r="G928" i="1"/>
  <c r="AL927" i="1"/>
  <c r="P927" i="1"/>
  <c r="J927" i="1"/>
  <c r="G927" i="1"/>
  <c r="P926" i="1"/>
  <c r="J926" i="1"/>
  <c r="G926" i="1"/>
  <c r="AL925" i="1"/>
  <c r="J925" i="1"/>
  <c r="G925" i="1"/>
  <c r="J924" i="1"/>
  <c r="G924" i="1"/>
  <c r="P923" i="1"/>
  <c r="J923" i="1"/>
  <c r="G923" i="1"/>
  <c r="AL922" i="1"/>
  <c r="P922" i="1"/>
  <c r="J922" i="1"/>
  <c r="G922" i="1"/>
  <c r="J921" i="1"/>
  <c r="G921" i="1"/>
  <c r="AL920" i="1"/>
  <c r="P920" i="1"/>
  <c r="J920" i="1"/>
  <c r="G920" i="1"/>
  <c r="AL919" i="1"/>
  <c r="P919" i="1"/>
  <c r="J919" i="1"/>
  <c r="G919" i="1"/>
  <c r="J918" i="1"/>
  <c r="G918" i="1"/>
  <c r="AL917" i="1"/>
  <c r="P917" i="1"/>
  <c r="J917" i="1"/>
  <c r="G917" i="1"/>
  <c r="AL916" i="1"/>
  <c r="J916" i="1"/>
  <c r="G916" i="1"/>
  <c r="J915" i="1"/>
  <c r="G915" i="1"/>
  <c r="J914" i="1"/>
  <c r="G914" i="1"/>
  <c r="J913" i="1"/>
  <c r="G913" i="1"/>
  <c r="J912" i="1"/>
  <c r="G912" i="1"/>
  <c r="J911" i="1"/>
  <c r="G911" i="1"/>
  <c r="AL910" i="1"/>
  <c r="P910" i="1"/>
  <c r="J910" i="1"/>
  <c r="G910" i="1"/>
  <c r="J909" i="1"/>
  <c r="G909" i="1"/>
  <c r="P908" i="1"/>
  <c r="J908" i="1"/>
  <c r="G908" i="1"/>
  <c r="P907" i="1"/>
  <c r="J907" i="1"/>
  <c r="G907" i="1"/>
  <c r="AL906" i="1"/>
  <c r="P906" i="1"/>
  <c r="J906" i="1"/>
  <c r="G906" i="1"/>
  <c r="J905" i="1"/>
  <c r="G905" i="1"/>
  <c r="AL904" i="1"/>
  <c r="P904" i="1"/>
  <c r="J904" i="1"/>
  <c r="G904" i="1"/>
  <c r="J903" i="1"/>
  <c r="G903" i="1"/>
  <c r="J902" i="1"/>
  <c r="G902" i="1"/>
  <c r="AL901" i="1"/>
  <c r="P901" i="1"/>
  <c r="J901" i="1"/>
  <c r="G901" i="1"/>
  <c r="J900" i="1"/>
  <c r="G900" i="1"/>
  <c r="P899" i="1"/>
  <c r="J899" i="1"/>
  <c r="G899" i="1"/>
  <c r="J898" i="1"/>
  <c r="G898" i="1"/>
  <c r="AL897" i="1"/>
  <c r="J897" i="1"/>
  <c r="G897" i="1"/>
  <c r="AL896" i="1"/>
  <c r="J896" i="1"/>
  <c r="G896" i="1"/>
  <c r="P895" i="1"/>
  <c r="J895" i="1"/>
  <c r="G895" i="1"/>
  <c r="AL894" i="1"/>
  <c r="P894" i="1"/>
  <c r="J894" i="1"/>
  <c r="G894" i="1"/>
  <c r="J893" i="1"/>
  <c r="G893" i="1"/>
  <c r="J892" i="1"/>
  <c r="G892" i="1"/>
  <c r="J891" i="1"/>
  <c r="G891" i="1"/>
  <c r="J890" i="1"/>
  <c r="G890" i="1"/>
  <c r="J889" i="1"/>
  <c r="G889" i="1"/>
  <c r="J888" i="1"/>
  <c r="G888" i="1"/>
  <c r="AL887" i="1"/>
  <c r="P887" i="1"/>
  <c r="J887" i="1"/>
  <c r="G887" i="1"/>
  <c r="AL886" i="1"/>
  <c r="P886" i="1"/>
  <c r="J886" i="1"/>
  <c r="G886" i="1"/>
  <c r="AL885" i="1"/>
  <c r="P885" i="1"/>
  <c r="J885" i="1"/>
  <c r="G885" i="1"/>
  <c r="AL884" i="1"/>
  <c r="P884" i="1"/>
  <c r="J884" i="1"/>
  <c r="G884" i="1"/>
  <c r="J883" i="1"/>
  <c r="G883" i="1"/>
  <c r="J882" i="1"/>
  <c r="G882" i="1"/>
  <c r="AL881" i="1"/>
  <c r="J881" i="1"/>
  <c r="G881" i="1"/>
  <c r="AL880" i="1"/>
  <c r="P880" i="1"/>
  <c r="J880" i="1"/>
  <c r="G880" i="1"/>
  <c r="AL879" i="1"/>
  <c r="P879" i="1"/>
  <c r="J879" i="1"/>
  <c r="G879" i="1"/>
  <c r="AL878" i="1"/>
  <c r="P878" i="1"/>
  <c r="J878" i="1"/>
  <c r="G878" i="1"/>
  <c r="AL877" i="1"/>
  <c r="J877" i="1"/>
  <c r="G877" i="1"/>
  <c r="AL876" i="1"/>
  <c r="J876" i="1"/>
  <c r="G876" i="1"/>
  <c r="J875" i="1"/>
  <c r="G875" i="1"/>
  <c r="AL874" i="1"/>
  <c r="J874" i="1"/>
  <c r="G874" i="1"/>
  <c r="AL873" i="1"/>
  <c r="J873" i="1"/>
  <c r="G873" i="1"/>
  <c r="J872" i="1"/>
  <c r="G872" i="1"/>
  <c r="AL871" i="1"/>
  <c r="J871" i="1"/>
  <c r="G871" i="1"/>
  <c r="AL870" i="1"/>
  <c r="J870" i="1"/>
  <c r="G870" i="1"/>
  <c r="AL869" i="1"/>
  <c r="J869" i="1"/>
  <c r="G869" i="1"/>
  <c r="AL868" i="1"/>
  <c r="J868" i="1"/>
  <c r="G868" i="1"/>
  <c r="J867" i="1"/>
  <c r="G867" i="1"/>
  <c r="AL866" i="1"/>
  <c r="J866" i="1"/>
  <c r="G866" i="1"/>
  <c r="AL865" i="1"/>
  <c r="J865" i="1"/>
  <c r="G865" i="1"/>
  <c r="AL864" i="1"/>
  <c r="P864" i="1"/>
  <c r="J864" i="1"/>
  <c r="G864" i="1"/>
  <c r="P863" i="1"/>
  <c r="J863" i="1"/>
  <c r="G863" i="1"/>
  <c r="AL862" i="1"/>
  <c r="P862" i="1"/>
  <c r="J862" i="1"/>
  <c r="G862" i="1"/>
  <c r="AL861" i="1"/>
  <c r="P861" i="1"/>
  <c r="J861" i="1"/>
  <c r="G861" i="1"/>
  <c r="AL860" i="1"/>
  <c r="J860" i="1"/>
  <c r="G860" i="1"/>
  <c r="AL859" i="1"/>
  <c r="P859" i="1"/>
  <c r="J859" i="1"/>
  <c r="G859" i="1"/>
  <c r="AL858" i="1"/>
  <c r="J858" i="1"/>
  <c r="G858" i="1"/>
  <c r="J857" i="1"/>
  <c r="G857" i="1"/>
  <c r="AL856" i="1"/>
  <c r="P856" i="1"/>
  <c r="J856" i="1"/>
  <c r="G856" i="1"/>
  <c r="J855" i="1"/>
  <c r="G855" i="1"/>
  <c r="AL854" i="1"/>
  <c r="P854" i="1"/>
  <c r="J854" i="1"/>
  <c r="G854" i="1"/>
  <c r="AL853" i="1"/>
  <c r="J853" i="1"/>
  <c r="G853" i="1"/>
  <c r="AL852" i="1"/>
  <c r="P852" i="1"/>
  <c r="J852" i="1"/>
  <c r="G852" i="1"/>
  <c r="AL851" i="1"/>
  <c r="J851" i="1"/>
  <c r="G851" i="1"/>
  <c r="J850" i="1"/>
  <c r="G850" i="1"/>
  <c r="J849" i="1"/>
  <c r="G849" i="1"/>
  <c r="J848" i="1"/>
  <c r="G848" i="1"/>
  <c r="J847" i="1"/>
  <c r="G847" i="1"/>
  <c r="J846" i="1"/>
  <c r="G846" i="1"/>
  <c r="J845" i="1"/>
  <c r="G845" i="1"/>
  <c r="AL844" i="1"/>
  <c r="P844" i="1"/>
  <c r="J844" i="1"/>
  <c r="G844" i="1"/>
  <c r="AL843" i="1"/>
  <c r="P843" i="1"/>
  <c r="J843" i="1"/>
  <c r="G843" i="1"/>
  <c r="J842" i="1"/>
  <c r="G842" i="1"/>
  <c r="P841" i="1"/>
  <c r="J841" i="1"/>
  <c r="G841" i="1"/>
  <c r="AL840" i="1"/>
  <c r="P840" i="1"/>
  <c r="J840" i="1"/>
  <c r="G840" i="1"/>
  <c r="AL839" i="1"/>
  <c r="P839" i="1"/>
  <c r="J839" i="1"/>
  <c r="G839" i="1"/>
  <c r="AL838" i="1"/>
  <c r="P838" i="1"/>
  <c r="J838" i="1"/>
  <c r="G838" i="1"/>
  <c r="P837" i="1"/>
  <c r="J837" i="1"/>
  <c r="G837" i="1"/>
  <c r="P836" i="1"/>
  <c r="J836" i="1"/>
  <c r="G836" i="1"/>
  <c r="J835" i="1"/>
  <c r="G835" i="1"/>
  <c r="AL834" i="1"/>
  <c r="P834" i="1"/>
  <c r="J834" i="1"/>
  <c r="G834" i="1"/>
  <c r="J833" i="1"/>
  <c r="G833" i="1"/>
  <c r="J832" i="1"/>
  <c r="G832" i="1"/>
  <c r="J831" i="1"/>
  <c r="G831" i="1"/>
  <c r="J830" i="1"/>
  <c r="G830" i="1"/>
  <c r="J829" i="1"/>
  <c r="G829" i="1"/>
  <c r="AL828" i="1"/>
  <c r="P828" i="1"/>
  <c r="J828" i="1"/>
  <c r="G828" i="1"/>
  <c r="AL827" i="1"/>
  <c r="P827" i="1"/>
  <c r="J827" i="1"/>
  <c r="G827" i="1"/>
  <c r="AL826" i="1"/>
  <c r="P826" i="1"/>
  <c r="J826" i="1"/>
  <c r="G826" i="1"/>
  <c r="AL825" i="1"/>
  <c r="J825" i="1"/>
  <c r="G825" i="1"/>
  <c r="AL824" i="1"/>
  <c r="P824" i="1"/>
  <c r="J824" i="1"/>
  <c r="G824" i="1"/>
  <c r="AL823" i="1"/>
  <c r="P823" i="1"/>
  <c r="J823" i="1"/>
  <c r="G823" i="1"/>
  <c r="J822" i="1"/>
  <c r="G822" i="1"/>
  <c r="J821" i="1"/>
  <c r="G821" i="1"/>
  <c r="AL820" i="1"/>
  <c r="J820" i="1"/>
  <c r="G820" i="1"/>
  <c r="AL819" i="1"/>
  <c r="J819" i="1"/>
  <c r="G819" i="1"/>
  <c r="AL818" i="1"/>
  <c r="J818" i="1"/>
  <c r="G818" i="1"/>
  <c r="J817" i="1"/>
  <c r="G817" i="1"/>
  <c r="J816" i="1"/>
  <c r="G816" i="1"/>
  <c r="AL815" i="1"/>
  <c r="P815" i="1"/>
  <c r="J815" i="1"/>
  <c r="G815" i="1"/>
  <c r="AL814" i="1"/>
  <c r="P814" i="1"/>
  <c r="J814" i="1"/>
  <c r="G814" i="1"/>
  <c r="J813" i="1"/>
  <c r="G813" i="1"/>
  <c r="AL812" i="1"/>
  <c r="J812" i="1"/>
  <c r="G812" i="1"/>
  <c r="AL811" i="1"/>
  <c r="P811" i="1"/>
  <c r="J811" i="1"/>
  <c r="G811" i="1"/>
  <c r="AL810" i="1"/>
  <c r="J810" i="1"/>
  <c r="G810" i="1"/>
  <c r="J809" i="1"/>
  <c r="G809" i="1"/>
  <c r="AL808" i="1"/>
  <c r="J808" i="1"/>
  <c r="G808" i="1"/>
  <c r="AL807" i="1"/>
  <c r="P807" i="1"/>
  <c r="J807" i="1"/>
  <c r="G807" i="1"/>
  <c r="AL806" i="1"/>
  <c r="P806" i="1"/>
  <c r="J806" i="1"/>
  <c r="G806" i="1"/>
  <c r="AL805" i="1"/>
  <c r="J805" i="1"/>
  <c r="G805" i="1"/>
  <c r="J804" i="1"/>
  <c r="G804" i="1"/>
  <c r="J803" i="1"/>
  <c r="G803" i="1"/>
  <c r="AL802" i="1"/>
  <c r="P802" i="1"/>
  <c r="J802" i="1"/>
  <c r="G802" i="1"/>
  <c r="AL801" i="1"/>
  <c r="P801" i="1"/>
  <c r="J801" i="1"/>
  <c r="G801" i="1"/>
  <c r="J800" i="1"/>
  <c r="G800" i="1"/>
  <c r="AL799" i="1"/>
  <c r="J799" i="1"/>
  <c r="G799" i="1"/>
  <c r="J798" i="1"/>
  <c r="G798" i="1"/>
  <c r="AL797" i="1"/>
  <c r="P797" i="1"/>
  <c r="J797" i="1"/>
  <c r="G797" i="1"/>
  <c r="AL796" i="1"/>
  <c r="P796" i="1"/>
  <c r="J796" i="1"/>
  <c r="G796" i="1"/>
  <c r="AL795" i="1"/>
  <c r="J795" i="1"/>
  <c r="G795" i="1"/>
  <c r="P794" i="1"/>
  <c r="J794" i="1"/>
  <c r="G794" i="1"/>
  <c r="AL793" i="1"/>
  <c r="P793" i="1"/>
  <c r="J793" i="1"/>
  <c r="G793" i="1"/>
  <c r="J792" i="1"/>
  <c r="G792" i="1"/>
  <c r="J791" i="1"/>
  <c r="G791" i="1"/>
  <c r="AL790" i="1"/>
  <c r="P790" i="1"/>
  <c r="J790" i="1"/>
  <c r="G790" i="1"/>
  <c r="AL789" i="1"/>
  <c r="P789" i="1"/>
  <c r="J789" i="1"/>
  <c r="G789" i="1"/>
  <c r="AL788" i="1"/>
  <c r="P788" i="1"/>
  <c r="J788" i="1"/>
  <c r="G788" i="1"/>
  <c r="AL787" i="1"/>
  <c r="P787" i="1"/>
  <c r="J787" i="1"/>
  <c r="G787" i="1"/>
  <c r="AL786" i="1"/>
  <c r="P786" i="1"/>
  <c r="J786" i="1"/>
  <c r="G786" i="1"/>
  <c r="J785" i="1"/>
  <c r="G785" i="1"/>
  <c r="AL784" i="1"/>
  <c r="P784" i="1"/>
  <c r="J784" i="1"/>
  <c r="G784" i="1"/>
  <c r="J783" i="1"/>
  <c r="G783" i="1"/>
  <c r="J782" i="1"/>
  <c r="G782" i="1"/>
  <c r="AL781" i="1"/>
  <c r="P781" i="1"/>
  <c r="J781" i="1"/>
  <c r="G781" i="1"/>
  <c r="J780" i="1"/>
  <c r="G780" i="1"/>
  <c r="AL779" i="1"/>
  <c r="J779" i="1"/>
  <c r="G779" i="1"/>
  <c r="AL778" i="1"/>
  <c r="P778" i="1"/>
  <c r="J778" i="1"/>
  <c r="G778" i="1"/>
  <c r="AL777" i="1"/>
  <c r="P777" i="1"/>
  <c r="J777" i="1"/>
  <c r="G777" i="1"/>
  <c r="AL776" i="1"/>
  <c r="P776" i="1"/>
  <c r="J776" i="1"/>
  <c r="G776" i="1"/>
  <c r="P775" i="1"/>
  <c r="J775" i="1"/>
  <c r="G775" i="1"/>
  <c r="J774" i="1"/>
  <c r="G774" i="1"/>
  <c r="J773" i="1"/>
  <c r="G773" i="1"/>
  <c r="AL772" i="1"/>
  <c r="J772" i="1"/>
  <c r="G772" i="1"/>
  <c r="AL771" i="1"/>
  <c r="P771" i="1"/>
  <c r="J771" i="1"/>
  <c r="G771" i="1"/>
  <c r="AL770" i="1"/>
  <c r="J770" i="1"/>
  <c r="G770" i="1"/>
  <c r="AL769" i="1"/>
  <c r="P769" i="1"/>
  <c r="J769" i="1"/>
  <c r="G769" i="1"/>
  <c r="J768" i="1"/>
  <c r="G768" i="1"/>
  <c r="AL767" i="1"/>
  <c r="P767" i="1"/>
  <c r="J767" i="1"/>
  <c r="G767" i="1"/>
  <c r="J766" i="1"/>
  <c r="G766" i="1"/>
  <c r="J765" i="1"/>
  <c r="G765" i="1"/>
  <c r="J764" i="1"/>
  <c r="G764" i="1"/>
  <c r="AL763" i="1"/>
  <c r="J763" i="1"/>
  <c r="G763" i="1"/>
  <c r="AL762" i="1"/>
  <c r="P762" i="1"/>
  <c r="J762" i="1"/>
  <c r="G762" i="1"/>
  <c r="J761" i="1"/>
  <c r="G761" i="1"/>
  <c r="J760" i="1"/>
  <c r="G760" i="1"/>
  <c r="AL759" i="1"/>
  <c r="P759" i="1"/>
  <c r="J759" i="1"/>
  <c r="G759" i="1"/>
  <c r="J758" i="1"/>
  <c r="G758" i="1"/>
  <c r="AL757" i="1"/>
  <c r="J757" i="1"/>
  <c r="G757" i="1"/>
  <c r="J756" i="1"/>
  <c r="G756" i="1"/>
  <c r="J755" i="1"/>
  <c r="G755" i="1"/>
  <c r="AL754" i="1"/>
  <c r="P754" i="1"/>
  <c r="J754" i="1"/>
  <c r="G754" i="1"/>
  <c r="J753" i="1"/>
  <c r="G753" i="1"/>
  <c r="AL752" i="1"/>
  <c r="P752" i="1"/>
  <c r="J752" i="1"/>
  <c r="G752" i="1"/>
  <c r="J751" i="1"/>
  <c r="G751" i="1"/>
  <c r="AL750" i="1"/>
  <c r="P750" i="1"/>
  <c r="J750" i="1"/>
  <c r="G750" i="1"/>
  <c r="AL749" i="1"/>
  <c r="J749" i="1"/>
  <c r="G749" i="1"/>
  <c r="AL748" i="1"/>
  <c r="P748" i="1"/>
  <c r="J748" i="1"/>
  <c r="G748" i="1"/>
  <c r="J747" i="1"/>
  <c r="G747" i="1"/>
  <c r="J746" i="1"/>
  <c r="G746" i="1"/>
  <c r="J745" i="1"/>
  <c r="G745" i="1"/>
  <c r="AL744" i="1"/>
  <c r="J744" i="1"/>
  <c r="G744" i="1"/>
  <c r="AL743" i="1"/>
  <c r="P743" i="1"/>
  <c r="J743" i="1"/>
  <c r="G743" i="1"/>
  <c r="AL742" i="1"/>
  <c r="P742" i="1"/>
  <c r="J742" i="1"/>
  <c r="G742" i="1"/>
  <c r="AL741" i="1"/>
  <c r="P741" i="1"/>
  <c r="J741" i="1"/>
  <c r="G741" i="1"/>
  <c r="P740" i="1"/>
  <c r="J740" i="1"/>
  <c r="G740" i="1"/>
  <c r="J739" i="1"/>
  <c r="G739" i="1"/>
  <c r="AL738" i="1"/>
  <c r="P738" i="1"/>
  <c r="J738" i="1"/>
  <c r="G738" i="1"/>
  <c r="J737" i="1"/>
  <c r="G737" i="1"/>
  <c r="AL736" i="1"/>
  <c r="J736" i="1"/>
  <c r="G736" i="1"/>
  <c r="AL735" i="1"/>
  <c r="J735" i="1"/>
  <c r="G735" i="1"/>
  <c r="J734" i="1"/>
  <c r="G734" i="1"/>
  <c r="J733" i="1"/>
  <c r="G733" i="1"/>
  <c r="J732" i="1"/>
  <c r="G732" i="1"/>
  <c r="J731" i="1"/>
  <c r="G731" i="1"/>
  <c r="AL730" i="1"/>
  <c r="J730" i="1"/>
  <c r="G730" i="1"/>
  <c r="J729" i="1"/>
  <c r="G729" i="1"/>
  <c r="J728" i="1"/>
  <c r="G728" i="1"/>
  <c r="J727" i="1"/>
  <c r="G727" i="1"/>
  <c r="AL726" i="1"/>
  <c r="P726" i="1"/>
  <c r="J726" i="1"/>
  <c r="G726" i="1"/>
  <c r="J725" i="1"/>
  <c r="G725" i="1"/>
  <c r="J724" i="1"/>
  <c r="G724" i="1"/>
  <c r="J723" i="1"/>
  <c r="G723" i="1"/>
  <c r="J722" i="1"/>
  <c r="G722" i="1"/>
  <c r="AL721" i="1"/>
  <c r="J721" i="1"/>
  <c r="G721" i="1"/>
  <c r="AL720" i="1"/>
  <c r="J720" i="1"/>
  <c r="G720" i="1"/>
  <c r="AL719" i="1"/>
  <c r="P719" i="1"/>
  <c r="J719" i="1"/>
  <c r="G719" i="1"/>
  <c r="AL718" i="1"/>
  <c r="P718" i="1"/>
  <c r="J718" i="1"/>
  <c r="G718" i="1"/>
  <c r="AL717" i="1"/>
  <c r="J717" i="1"/>
  <c r="G717" i="1"/>
  <c r="J716" i="1"/>
  <c r="G716" i="1"/>
  <c r="AL715" i="1"/>
  <c r="P715" i="1"/>
  <c r="J715" i="1"/>
  <c r="G715" i="1"/>
  <c r="J714" i="1"/>
  <c r="G714" i="1"/>
  <c r="AL713" i="1"/>
  <c r="J713" i="1"/>
  <c r="G713" i="1"/>
  <c r="J712" i="1"/>
  <c r="G712" i="1"/>
  <c r="AL711" i="1"/>
  <c r="J711" i="1"/>
  <c r="G711" i="1"/>
  <c r="AL710" i="1"/>
  <c r="J710" i="1"/>
  <c r="G710" i="1"/>
  <c r="J709" i="1"/>
  <c r="G709" i="1"/>
  <c r="AL708" i="1"/>
  <c r="J708" i="1"/>
  <c r="G708" i="1"/>
  <c r="AL707" i="1"/>
  <c r="P707" i="1"/>
  <c r="J707" i="1"/>
  <c r="G707" i="1"/>
  <c r="AL706" i="1"/>
  <c r="P706" i="1"/>
  <c r="J706" i="1"/>
  <c r="G706" i="1"/>
  <c r="AL705" i="1"/>
  <c r="J705" i="1"/>
  <c r="G705" i="1"/>
  <c r="AL704" i="1"/>
  <c r="J704" i="1"/>
  <c r="G704" i="1"/>
  <c r="J703" i="1"/>
  <c r="G703" i="1"/>
  <c r="J702" i="1"/>
  <c r="G702" i="1"/>
  <c r="AL701" i="1"/>
  <c r="J701" i="1"/>
  <c r="G701" i="1"/>
  <c r="J700" i="1"/>
  <c r="G700" i="1"/>
  <c r="AL699" i="1"/>
  <c r="J699" i="1"/>
  <c r="G699" i="1"/>
  <c r="J698" i="1"/>
  <c r="G698" i="1"/>
  <c r="AL697" i="1"/>
  <c r="P697" i="1"/>
  <c r="J697" i="1"/>
  <c r="G697" i="1"/>
  <c r="J696" i="1"/>
  <c r="G696" i="1"/>
  <c r="J695" i="1"/>
  <c r="G695" i="1"/>
  <c r="AL694" i="1"/>
  <c r="J694" i="1"/>
  <c r="G694" i="1"/>
  <c r="AL693" i="1"/>
  <c r="J693" i="1"/>
  <c r="G693" i="1"/>
  <c r="J692" i="1"/>
  <c r="G692" i="1"/>
  <c r="AL691" i="1"/>
  <c r="J691" i="1"/>
  <c r="G691" i="1"/>
  <c r="AL690" i="1"/>
  <c r="J690" i="1"/>
  <c r="G690" i="1"/>
  <c r="J689" i="1"/>
  <c r="G689" i="1"/>
  <c r="J688" i="1"/>
  <c r="G688" i="1"/>
  <c r="J687" i="1"/>
  <c r="G687" i="1"/>
  <c r="AL686" i="1"/>
  <c r="J686" i="1"/>
  <c r="G686" i="1"/>
  <c r="AL685" i="1"/>
  <c r="J685" i="1"/>
  <c r="G685" i="1"/>
  <c r="AL684" i="1"/>
  <c r="J684" i="1"/>
  <c r="G684" i="1"/>
  <c r="J683" i="1"/>
  <c r="G683" i="1"/>
  <c r="AL682" i="1"/>
  <c r="J682" i="1"/>
  <c r="G682" i="1"/>
  <c r="J681" i="1"/>
  <c r="G681" i="1"/>
  <c r="AL680" i="1"/>
  <c r="P680" i="1"/>
  <c r="J680" i="1"/>
  <c r="G680" i="1"/>
  <c r="AL679" i="1"/>
  <c r="J679" i="1"/>
  <c r="G679" i="1"/>
  <c r="P678" i="1"/>
  <c r="J678" i="1"/>
  <c r="G678" i="1"/>
  <c r="P677" i="1"/>
  <c r="J677" i="1"/>
  <c r="G677" i="1"/>
  <c r="AL676" i="1"/>
  <c r="P676" i="1"/>
  <c r="J676" i="1"/>
  <c r="G676" i="1"/>
  <c r="AL675" i="1"/>
  <c r="J675" i="1"/>
  <c r="G675" i="1"/>
  <c r="AL674" i="1"/>
  <c r="J674" i="1"/>
  <c r="G674" i="1"/>
  <c r="J673" i="1"/>
  <c r="G673" i="1"/>
  <c r="AL672" i="1"/>
  <c r="P672" i="1"/>
  <c r="J672" i="1"/>
  <c r="G672" i="1"/>
  <c r="AL671" i="1"/>
  <c r="P671" i="1"/>
  <c r="J671" i="1"/>
  <c r="G671" i="1"/>
  <c r="AL670" i="1"/>
  <c r="P670" i="1"/>
  <c r="J670" i="1"/>
  <c r="G670" i="1"/>
  <c r="P669" i="1"/>
  <c r="J669" i="1"/>
  <c r="G669" i="1"/>
  <c r="AL668" i="1"/>
  <c r="P668" i="1"/>
  <c r="J668" i="1"/>
  <c r="G668" i="1"/>
  <c r="AL667" i="1"/>
  <c r="P667" i="1"/>
  <c r="J667" i="1"/>
  <c r="G667" i="1"/>
  <c r="P666" i="1"/>
  <c r="J666" i="1"/>
  <c r="G666" i="1"/>
  <c r="AL665" i="1"/>
  <c r="J665" i="1"/>
  <c r="G665" i="1"/>
  <c r="AL664" i="1"/>
  <c r="P664" i="1"/>
  <c r="J664" i="1"/>
  <c r="G664" i="1"/>
  <c r="J663" i="1"/>
  <c r="G663" i="1"/>
  <c r="AL662" i="1"/>
  <c r="J662" i="1"/>
  <c r="G662" i="1"/>
  <c r="J661" i="1"/>
  <c r="G661" i="1"/>
  <c r="J660" i="1"/>
  <c r="G660" i="1"/>
  <c r="J659" i="1"/>
  <c r="G659" i="1"/>
  <c r="J658" i="1"/>
  <c r="G658" i="1"/>
  <c r="J657" i="1"/>
  <c r="G657" i="1"/>
  <c r="J656" i="1"/>
  <c r="G656" i="1"/>
  <c r="AL655" i="1"/>
  <c r="J655" i="1"/>
  <c r="G655" i="1"/>
  <c r="J654" i="1"/>
  <c r="G654" i="1"/>
  <c r="J653" i="1"/>
  <c r="G653" i="1"/>
  <c r="AL652" i="1"/>
  <c r="P652" i="1"/>
  <c r="J652" i="1"/>
  <c r="G652" i="1"/>
  <c r="J651" i="1"/>
  <c r="G651" i="1"/>
  <c r="J650" i="1"/>
  <c r="G650" i="1"/>
  <c r="J649" i="1"/>
  <c r="G649" i="1"/>
  <c r="J648" i="1"/>
  <c r="G648" i="1"/>
  <c r="AL647" i="1"/>
  <c r="P647" i="1"/>
  <c r="J647" i="1"/>
  <c r="G647" i="1"/>
  <c r="J646" i="1"/>
  <c r="G646" i="1"/>
  <c r="J645" i="1"/>
  <c r="G645" i="1"/>
  <c r="AL644" i="1"/>
  <c r="J644" i="1"/>
  <c r="G644" i="1"/>
  <c r="J643" i="1"/>
  <c r="G643" i="1"/>
  <c r="AL642" i="1"/>
  <c r="J642" i="1"/>
  <c r="G642" i="1"/>
  <c r="AL641" i="1"/>
  <c r="J641" i="1"/>
  <c r="G641" i="1"/>
  <c r="AL640" i="1"/>
  <c r="P640" i="1"/>
  <c r="J640" i="1"/>
  <c r="G640" i="1"/>
  <c r="AL639" i="1"/>
  <c r="J639" i="1"/>
  <c r="G639" i="1"/>
  <c r="J638" i="1"/>
  <c r="G638" i="1"/>
  <c r="AL637" i="1"/>
  <c r="J637" i="1"/>
  <c r="G637" i="1"/>
  <c r="AL636" i="1"/>
  <c r="J636" i="1"/>
  <c r="G636" i="1"/>
  <c r="J635" i="1"/>
  <c r="G635" i="1"/>
  <c r="J634" i="1"/>
  <c r="G634" i="1"/>
  <c r="AL633" i="1"/>
  <c r="J633" i="1"/>
  <c r="G633" i="1"/>
  <c r="J632" i="1"/>
  <c r="G632" i="1"/>
  <c r="AL631" i="1"/>
  <c r="P631" i="1"/>
  <c r="J631" i="1"/>
  <c r="G631" i="1"/>
  <c r="AL630" i="1"/>
  <c r="P630" i="1"/>
  <c r="J630" i="1"/>
  <c r="G630" i="1"/>
  <c r="J629" i="1"/>
  <c r="G629" i="1"/>
  <c r="AL628" i="1"/>
  <c r="P628" i="1"/>
  <c r="J628" i="1"/>
  <c r="G628" i="1"/>
  <c r="AL627" i="1"/>
  <c r="P627" i="1"/>
  <c r="J627" i="1"/>
  <c r="G627" i="1"/>
  <c r="AL626" i="1"/>
  <c r="J626" i="1"/>
  <c r="G626" i="1"/>
  <c r="AL625" i="1"/>
  <c r="P625" i="1"/>
  <c r="J625" i="1"/>
  <c r="G625" i="1"/>
  <c r="J624" i="1"/>
  <c r="G624" i="1"/>
  <c r="AL623" i="1"/>
  <c r="J623" i="1"/>
  <c r="G623" i="1"/>
  <c r="J622" i="1"/>
  <c r="G622" i="1"/>
  <c r="J621" i="1"/>
  <c r="G621" i="1"/>
  <c r="AL620" i="1"/>
  <c r="P620" i="1"/>
  <c r="J620" i="1"/>
  <c r="G620" i="1"/>
  <c r="AL619" i="1"/>
  <c r="P619" i="1"/>
  <c r="J619" i="1"/>
  <c r="G619" i="1"/>
  <c r="J618" i="1"/>
  <c r="G618" i="1"/>
  <c r="J617" i="1"/>
  <c r="G617" i="1"/>
  <c r="AL616" i="1"/>
  <c r="J616" i="1"/>
  <c r="G616" i="1"/>
  <c r="AL615" i="1"/>
  <c r="J615" i="1"/>
  <c r="G615" i="1"/>
  <c r="J614" i="1"/>
  <c r="G614" i="1"/>
  <c r="AL613" i="1"/>
  <c r="P613" i="1"/>
  <c r="J613" i="1"/>
  <c r="G613" i="1"/>
  <c r="J612" i="1"/>
  <c r="G612" i="1"/>
  <c r="J611" i="1"/>
  <c r="G611" i="1"/>
  <c r="J610" i="1"/>
  <c r="G610" i="1"/>
  <c r="J609" i="1"/>
  <c r="G609" i="1"/>
  <c r="AL608" i="1"/>
  <c r="P608" i="1"/>
  <c r="J608" i="1"/>
  <c r="G608" i="1"/>
  <c r="AL607" i="1"/>
  <c r="P607" i="1"/>
  <c r="J607" i="1"/>
  <c r="G607" i="1"/>
  <c r="J606" i="1"/>
  <c r="G606" i="1"/>
  <c r="AL605" i="1"/>
  <c r="P605" i="1"/>
  <c r="J605" i="1"/>
  <c r="G605" i="1"/>
  <c r="AL604" i="1"/>
  <c r="P604" i="1"/>
  <c r="J604" i="1"/>
  <c r="G604" i="1"/>
  <c r="AL603" i="1"/>
  <c r="P603" i="1"/>
  <c r="J603" i="1"/>
  <c r="G603" i="1"/>
  <c r="J602" i="1"/>
  <c r="G602" i="1"/>
  <c r="J601" i="1"/>
  <c r="G601" i="1"/>
  <c r="J600" i="1"/>
  <c r="G600" i="1"/>
  <c r="AL599" i="1"/>
  <c r="P599" i="1"/>
  <c r="J599" i="1"/>
  <c r="G599" i="1"/>
  <c r="AL598" i="1"/>
  <c r="P598" i="1"/>
  <c r="J598" i="1"/>
  <c r="G598" i="1"/>
  <c r="J597" i="1"/>
  <c r="G597" i="1"/>
  <c r="J596" i="1"/>
  <c r="G596" i="1"/>
  <c r="AL595" i="1"/>
  <c r="P595" i="1"/>
  <c r="J595" i="1"/>
  <c r="G595" i="1"/>
  <c r="J594" i="1"/>
  <c r="G594" i="1"/>
  <c r="J593" i="1"/>
  <c r="G593" i="1"/>
  <c r="J592" i="1"/>
  <c r="G592" i="1"/>
  <c r="AL591" i="1"/>
  <c r="J591" i="1"/>
  <c r="G591" i="1"/>
  <c r="J590" i="1"/>
  <c r="G590" i="1"/>
  <c r="J589" i="1"/>
  <c r="G589" i="1"/>
  <c r="AL588" i="1"/>
  <c r="J588" i="1"/>
  <c r="G588" i="1"/>
  <c r="AL587" i="1"/>
  <c r="P587" i="1"/>
  <c r="J587" i="1"/>
  <c r="G587" i="1"/>
  <c r="J586" i="1"/>
  <c r="G586" i="1"/>
  <c r="J585" i="1"/>
  <c r="G585" i="1"/>
  <c r="AL584" i="1"/>
  <c r="P584" i="1"/>
  <c r="J584" i="1"/>
  <c r="G584" i="1"/>
  <c r="AL583" i="1"/>
  <c r="J583" i="1"/>
  <c r="G583" i="1"/>
  <c r="AL582" i="1"/>
  <c r="P582" i="1"/>
  <c r="J582" i="1"/>
  <c r="G582" i="1"/>
  <c r="AL581" i="1"/>
  <c r="J581" i="1"/>
  <c r="G581" i="1"/>
  <c r="P580" i="1"/>
  <c r="J580" i="1"/>
  <c r="G580" i="1"/>
  <c r="AL579" i="1"/>
  <c r="P579" i="1"/>
  <c r="J579" i="1"/>
  <c r="G579" i="1"/>
  <c r="AL578" i="1"/>
  <c r="P578" i="1"/>
  <c r="J578" i="1"/>
  <c r="G578" i="1"/>
  <c r="AL577" i="1"/>
  <c r="P577" i="1"/>
  <c r="J577" i="1"/>
  <c r="G577" i="1"/>
  <c r="AL576" i="1"/>
  <c r="P576" i="1"/>
  <c r="J576" i="1"/>
  <c r="G576" i="1"/>
  <c r="AL575" i="1"/>
  <c r="P575" i="1"/>
  <c r="J575" i="1"/>
  <c r="G575" i="1"/>
  <c r="AL574" i="1"/>
  <c r="P574" i="1"/>
  <c r="J574" i="1"/>
  <c r="G574" i="1"/>
  <c r="AL573" i="1"/>
  <c r="P573" i="1"/>
  <c r="J573" i="1"/>
  <c r="G573" i="1"/>
  <c r="J572" i="1"/>
  <c r="G572" i="1"/>
  <c r="AL571" i="1"/>
  <c r="J571" i="1"/>
  <c r="G571" i="1"/>
  <c r="J570" i="1"/>
  <c r="G570" i="1"/>
  <c r="J569" i="1"/>
  <c r="G569" i="1"/>
  <c r="AL568" i="1"/>
  <c r="J568" i="1"/>
  <c r="G568" i="1"/>
  <c r="J567" i="1"/>
  <c r="G567" i="1"/>
  <c r="J566" i="1"/>
  <c r="G566" i="1"/>
  <c r="J565" i="1"/>
  <c r="G565" i="1"/>
  <c r="J564" i="1"/>
  <c r="G564" i="1"/>
  <c r="J563" i="1"/>
  <c r="G563" i="1"/>
  <c r="AL562" i="1"/>
  <c r="J562" i="1"/>
  <c r="G562" i="1"/>
  <c r="J561" i="1"/>
  <c r="G561" i="1"/>
  <c r="AL560" i="1"/>
  <c r="P560" i="1"/>
  <c r="J560" i="1"/>
  <c r="G560" i="1"/>
  <c r="AL559" i="1"/>
  <c r="J559" i="1"/>
  <c r="G559" i="1"/>
  <c r="J558" i="1"/>
  <c r="G558" i="1"/>
  <c r="J557" i="1"/>
  <c r="G557" i="1"/>
  <c r="J556" i="1"/>
  <c r="G556" i="1"/>
  <c r="AL555" i="1"/>
  <c r="J555" i="1"/>
  <c r="G555" i="1"/>
  <c r="AL554" i="1"/>
  <c r="J554" i="1"/>
  <c r="G554" i="1"/>
  <c r="AL553" i="1"/>
  <c r="J553" i="1"/>
  <c r="G553" i="1"/>
  <c r="J552" i="1"/>
  <c r="G552" i="1"/>
  <c r="J551" i="1"/>
  <c r="G551" i="1"/>
  <c r="AL550" i="1"/>
  <c r="P550" i="1"/>
  <c r="J550" i="1"/>
  <c r="G550" i="1"/>
  <c r="AL549" i="1"/>
  <c r="P549" i="1"/>
  <c r="J549" i="1"/>
  <c r="G549" i="1"/>
  <c r="AL548" i="1"/>
  <c r="J548" i="1"/>
  <c r="G548" i="1"/>
  <c r="J547" i="1"/>
  <c r="G547" i="1"/>
  <c r="J546" i="1"/>
  <c r="G546" i="1"/>
  <c r="AL545" i="1"/>
  <c r="P545" i="1"/>
  <c r="J545" i="1"/>
  <c r="G545" i="1"/>
  <c r="P544" i="1"/>
  <c r="J544" i="1"/>
  <c r="G544" i="1"/>
  <c r="AL543" i="1"/>
  <c r="J543" i="1"/>
  <c r="G543" i="1"/>
  <c r="J542" i="1"/>
  <c r="G542" i="1"/>
  <c r="AL541" i="1"/>
  <c r="P541" i="1"/>
  <c r="J541" i="1"/>
  <c r="G541" i="1"/>
  <c r="AL540" i="1"/>
  <c r="J540" i="1"/>
  <c r="G540" i="1"/>
  <c r="J539" i="1"/>
  <c r="G539" i="1"/>
  <c r="AL538" i="1"/>
  <c r="P538" i="1"/>
  <c r="J538" i="1"/>
  <c r="G538" i="1"/>
  <c r="J537" i="1"/>
  <c r="G537" i="1"/>
  <c r="J536" i="1"/>
  <c r="G536" i="1"/>
  <c r="AL535" i="1"/>
  <c r="J535" i="1"/>
  <c r="G535" i="1"/>
  <c r="P534" i="1"/>
  <c r="G534" i="1"/>
  <c r="AL533" i="1"/>
  <c r="P533" i="1"/>
  <c r="J533" i="1"/>
  <c r="G533" i="1"/>
  <c r="J532" i="1"/>
  <c r="G532" i="1"/>
  <c r="J531" i="1"/>
  <c r="G531" i="1"/>
  <c r="J530" i="1"/>
  <c r="G530" i="1"/>
  <c r="J529" i="1"/>
  <c r="G529" i="1"/>
  <c r="J528" i="1"/>
  <c r="G528" i="1"/>
  <c r="AL527" i="1"/>
  <c r="P527" i="1"/>
  <c r="J527" i="1"/>
  <c r="G527" i="1"/>
  <c r="AL526" i="1"/>
  <c r="J526" i="1"/>
  <c r="G526" i="1"/>
  <c r="J525" i="1"/>
  <c r="G525" i="1"/>
  <c r="AL524" i="1"/>
  <c r="P524" i="1"/>
  <c r="J524" i="1"/>
  <c r="G524" i="1"/>
  <c r="AL523" i="1"/>
  <c r="J523" i="1"/>
  <c r="G523" i="1"/>
  <c r="J522" i="1"/>
  <c r="G522" i="1"/>
  <c r="J521" i="1"/>
  <c r="G521" i="1"/>
  <c r="AL520" i="1"/>
  <c r="J520" i="1"/>
  <c r="G520" i="1"/>
  <c r="AL519" i="1"/>
  <c r="J519" i="1"/>
  <c r="G519" i="1"/>
  <c r="AL518" i="1"/>
  <c r="J518" i="1"/>
  <c r="G518" i="1"/>
  <c r="AL517" i="1"/>
  <c r="J517" i="1"/>
  <c r="G517" i="1"/>
  <c r="J516" i="1"/>
  <c r="G516" i="1"/>
  <c r="AL515" i="1"/>
  <c r="J515" i="1"/>
  <c r="G515" i="1"/>
  <c r="J514" i="1"/>
  <c r="G514" i="1"/>
  <c r="J513" i="1"/>
  <c r="G513" i="1"/>
  <c r="J512" i="1"/>
  <c r="G512" i="1"/>
  <c r="J511" i="1"/>
  <c r="G511" i="1"/>
  <c r="J510" i="1"/>
  <c r="G510" i="1"/>
  <c r="J509" i="1"/>
  <c r="G509" i="1"/>
  <c r="J508" i="1"/>
  <c r="G508" i="1"/>
  <c r="J507" i="1"/>
  <c r="G507" i="1"/>
  <c r="J506" i="1"/>
  <c r="G506" i="1"/>
  <c r="AL505" i="1"/>
  <c r="J505" i="1"/>
  <c r="G505" i="1"/>
  <c r="J504" i="1"/>
  <c r="G504" i="1"/>
  <c r="AL503" i="1"/>
  <c r="J503" i="1"/>
  <c r="G503" i="1"/>
  <c r="J502" i="1"/>
  <c r="G502" i="1"/>
  <c r="P501" i="1"/>
  <c r="G501" i="1"/>
  <c r="AL500" i="1"/>
  <c r="P500" i="1"/>
  <c r="J500" i="1"/>
  <c r="G500" i="1"/>
  <c r="AL499" i="1"/>
  <c r="P499" i="1"/>
  <c r="J499" i="1"/>
  <c r="G499" i="1"/>
  <c r="G498" i="1"/>
  <c r="AL497" i="1"/>
  <c r="P497" i="1"/>
  <c r="J497" i="1"/>
  <c r="G497" i="1"/>
  <c r="AL496" i="1"/>
  <c r="P496" i="1"/>
  <c r="J496" i="1"/>
  <c r="G496" i="1"/>
  <c r="AL495" i="1"/>
  <c r="J495" i="1"/>
  <c r="G495" i="1"/>
  <c r="AL494" i="1"/>
  <c r="P494" i="1"/>
  <c r="J494" i="1"/>
  <c r="G494" i="1"/>
  <c r="AL493" i="1"/>
  <c r="P493" i="1"/>
  <c r="J493" i="1"/>
  <c r="G493" i="1"/>
  <c r="J492" i="1"/>
  <c r="G492" i="1"/>
  <c r="J491" i="1"/>
  <c r="G491" i="1"/>
  <c r="J490" i="1"/>
  <c r="G490" i="1"/>
  <c r="J489" i="1"/>
  <c r="G489" i="1"/>
  <c r="J488" i="1"/>
  <c r="G488" i="1"/>
  <c r="J487" i="1"/>
  <c r="G487" i="1"/>
  <c r="J486" i="1"/>
  <c r="G486" i="1"/>
  <c r="AL485" i="1"/>
  <c r="P485" i="1"/>
  <c r="J485" i="1"/>
  <c r="G485" i="1"/>
  <c r="AL484" i="1"/>
  <c r="J484" i="1"/>
  <c r="G484" i="1"/>
  <c r="J483" i="1"/>
  <c r="G483" i="1"/>
  <c r="J482" i="1"/>
  <c r="G482" i="1"/>
  <c r="J481" i="1"/>
  <c r="G481" i="1"/>
  <c r="J480" i="1"/>
  <c r="G480" i="1"/>
  <c r="AL479" i="1"/>
  <c r="J479" i="1"/>
  <c r="G479" i="1"/>
  <c r="J478" i="1"/>
  <c r="G478" i="1"/>
  <c r="J477" i="1"/>
  <c r="G477" i="1"/>
  <c r="AL476" i="1"/>
  <c r="J476" i="1"/>
  <c r="G476" i="1"/>
  <c r="AL475" i="1"/>
  <c r="J475" i="1"/>
  <c r="G475" i="1"/>
  <c r="AL474" i="1"/>
  <c r="J474" i="1"/>
  <c r="G474" i="1"/>
  <c r="J473" i="1"/>
  <c r="G473" i="1"/>
  <c r="J472" i="1"/>
  <c r="G472" i="1"/>
  <c r="J471" i="1"/>
  <c r="G471" i="1"/>
  <c r="J470" i="1"/>
  <c r="G470" i="1"/>
  <c r="AL469" i="1"/>
  <c r="J469" i="1"/>
  <c r="G469" i="1"/>
  <c r="P468" i="1"/>
  <c r="J468" i="1"/>
  <c r="G468" i="1"/>
  <c r="P467" i="1"/>
  <c r="J467" i="1"/>
  <c r="G467" i="1"/>
  <c r="J466" i="1"/>
  <c r="G466" i="1"/>
  <c r="J465" i="1"/>
  <c r="G465" i="1"/>
  <c r="J464" i="1"/>
  <c r="G464" i="1"/>
  <c r="J463" i="1"/>
  <c r="G463" i="1"/>
  <c r="J462" i="1"/>
  <c r="G462" i="1"/>
  <c r="J461" i="1"/>
  <c r="G461" i="1"/>
  <c r="J460" i="1"/>
  <c r="G460" i="1"/>
  <c r="J459" i="1"/>
  <c r="G459" i="1"/>
  <c r="J458" i="1"/>
  <c r="G458" i="1"/>
  <c r="J457" i="1"/>
  <c r="G457" i="1"/>
  <c r="J456" i="1"/>
  <c r="G456" i="1"/>
  <c r="AL455" i="1"/>
  <c r="J455" i="1"/>
  <c r="G455" i="1"/>
  <c r="AL454" i="1"/>
  <c r="P454" i="1"/>
  <c r="J454" i="1"/>
  <c r="G454" i="1"/>
  <c r="J453" i="1"/>
  <c r="G453" i="1"/>
  <c r="AL452" i="1"/>
  <c r="J452" i="1"/>
  <c r="G452" i="1"/>
  <c r="J451" i="1"/>
  <c r="G451" i="1"/>
  <c r="AL450" i="1"/>
  <c r="P450" i="1"/>
  <c r="J450" i="1"/>
  <c r="G450" i="1"/>
  <c r="P449" i="1"/>
  <c r="J449" i="1"/>
  <c r="G449" i="1"/>
  <c r="AL448" i="1"/>
  <c r="P448" i="1"/>
  <c r="J448" i="1"/>
  <c r="G448" i="1"/>
  <c r="AL447" i="1"/>
  <c r="J447" i="1"/>
  <c r="G447" i="1"/>
  <c r="J446" i="1"/>
  <c r="G446" i="1"/>
  <c r="AL445" i="1"/>
  <c r="J445" i="1"/>
  <c r="G445" i="1"/>
  <c r="AL444" i="1"/>
  <c r="P444" i="1"/>
  <c r="J444" i="1"/>
  <c r="G444" i="1"/>
  <c r="J443" i="1"/>
  <c r="G443" i="1"/>
  <c r="P442" i="1"/>
  <c r="J442" i="1"/>
  <c r="G442" i="1"/>
  <c r="AL441" i="1"/>
  <c r="J441" i="1"/>
  <c r="G441" i="1"/>
  <c r="AL440" i="1"/>
  <c r="P440" i="1"/>
  <c r="J440" i="1"/>
  <c r="G440" i="1"/>
  <c r="AL439" i="1"/>
  <c r="P439" i="1"/>
  <c r="J439" i="1"/>
  <c r="G439" i="1"/>
  <c r="J438" i="1"/>
  <c r="G438" i="1"/>
  <c r="J437" i="1"/>
  <c r="G437" i="1"/>
  <c r="J436" i="1"/>
  <c r="G436" i="1"/>
  <c r="J435" i="1"/>
  <c r="G435" i="1"/>
  <c r="AL434" i="1"/>
  <c r="P434" i="1"/>
  <c r="J434" i="1"/>
  <c r="G434" i="1"/>
  <c r="P433" i="1"/>
  <c r="J433" i="1"/>
  <c r="G433" i="1"/>
  <c r="P432" i="1"/>
  <c r="J432" i="1"/>
  <c r="G432" i="1"/>
  <c r="P431" i="1"/>
  <c r="J431" i="1"/>
  <c r="G431" i="1"/>
  <c r="AL430" i="1"/>
  <c r="J430" i="1"/>
  <c r="G430" i="1"/>
  <c r="J429" i="1"/>
  <c r="G429" i="1"/>
  <c r="AL428" i="1"/>
  <c r="J428" i="1"/>
  <c r="G428" i="1"/>
  <c r="J427" i="1"/>
  <c r="G427" i="1"/>
  <c r="AL426" i="1"/>
  <c r="P426" i="1"/>
  <c r="J426" i="1"/>
  <c r="G426" i="1"/>
  <c r="AL425" i="1"/>
  <c r="J425" i="1"/>
  <c r="G425" i="1"/>
  <c r="J424" i="1"/>
  <c r="G424" i="1"/>
  <c r="P423" i="1"/>
  <c r="J423" i="1"/>
  <c r="G423" i="1"/>
  <c r="AL422" i="1"/>
  <c r="P422" i="1"/>
  <c r="J422" i="1"/>
  <c r="G422" i="1"/>
  <c r="J421" i="1"/>
  <c r="G421" i="1"/>
  <c r="J420" i="1"/>
  <c r="G420" i="1"/>
  <c r="AL419" i="1"/>
  <c r="P419" i="1"/>
  <c r="J419" i="1"/>
  <c r="G419" i="1"/>
  <c r="J418" i="1"/>
  <c r="G418" i="1"/>
  <c r="J417" i="1"/>
  <c r="G417" i="1"/>
  <c r="AL416" i="1"/>
  <c r="J416" i="1"/>
  <c r="G416" i="1"/>
  <c r="AL415" i="1"/>
  <c r="J415" i="1"/>
  <c r="G415" i="1"/>
  <c r="AL414" i="1"/>
  <c r="J414" i="1"/>
  <c r="G414" i="1"/>
  <c r="J413" i="1"/>
  <c r="G413" i="1"/>
  <c r="P412" i="1"/>
  <c r="J412" i="1"/>
  <c r="G412" i="1"/>
  <c r="AL411" i="1"/>
  <c r="J411" i="1"/>
  <c r="G411" i="1"/>
  <c r="AL410" i="1"/>
  <c r="J410" i="1"/>
  <c r="G410" i="1"/>
  <c r="P409" i="1"/>
  <c r="J409" i="1"/>
  <c r="G409" i="1"/>
  <c r="AL408" i="1"/>
  <c r="P408" i="1"/>
  <c r="J408" i="1"/>
  <c r="G408" i="1"/>
  <c r="AL407" i="1"/>
  <c r="P407" i="1"/>
  <c r="J407" i="1"/>
  <c r="G407" i="1"/>
  <c r="J406" i="1"/>
  <c r="G406" i="1"/>
  <c r="J405" i="1"/>
  <c r="G405" i="1"/>
  <c r="J404" i="1"/>
  <c r="G404" i="1"/>
  <c r="AL403" i="1"/>
  <c r="J403" i="1"/>
  <c r="G403" i="1"/>
  <c r="AL402" i="1"/>
  <c r="P402" i="1"/>
  <c r="J402" i="1"/>
  <c r="G402" i="1"/>
  <c r="AL401" i="1"/>
  <c r="J401" i="1"/>
  <c r="G401" i="1"/>
  <c r="J400" i="1"/>
  <c r="G400" i="1"/>
  <c r="AL399" i="1"/>
  <c r="P399" i="1"/>
  <c r="J399" i="1"/>
  <c r="G399" i="1"/>
  <c r="P398" i="1"/>
  <c r="J398" i="1"/>
  <c r="G398" i="1"/>
  <c r="P397" i="1"/>
  <c r="J397" i="1"/>
  <c r="G397" i="1"/>
  <c r="J396" i="1"/>
  <c r="G396" i="1"/>
  <c r="P395" i="1"/>
  <c r="J395" i="1"/>
  <c r="G395" i="1"/>
  <c r="AL394" i="1"/>
  <c r="P394" i="1"/>
  <c r="J394" i="1"/>
  <c r="G394" i="1"/>
  <c r="AL393" i="1"/>
  <c r="P393" i="1"/>
  <c r="J393" i="1"/>
  <c r="G393" i="1"/>
  <c r="J392" i="1"/>
  <c r="G392" i="1"/>
  <c r="P391" i="1"/>
  <c r="J391" i="1"/>
  <c r="G391" i="1"/>
  <c r="P390" i="1"/>
  <c r="J390" i="1"/>
  <c r="G390" i="1"/>
  <c r="J389" i="1"/>
  <c r="G389" i="1"/>
  <c r="J388" i="1"/>
  <c r="G388" i="1"/>
  <c r="J387" i="1"/>
  <c r="G387" i="1"/>
  <c r="AL386" i="1"/>
  <c r="J386" i="1"/>
  <c r="G386" i="1"/>
  <c r="AL385" i="1"/>
  <c r="J385" i="1"/>
  <c r="G385" i="1"/>
  <c r="J384" i="1"/>
  <c r="G384" i="1"/>
  <c r="J383" i="1"/>
  <c r="G383" i="1"/>
  <c r="AL382" i="1"/>
  <c r="P382" i="1"/>
  <c r="J382" i="1"/>
  <c r="G382" i="1"/>
  <c r="J381" i="1"/>
  <c r="G381" i="1"/>
  <c r="J380" i="1"/>
  <c r="G380" i="1"/>
  <c r="J379" i="1"/>
  <c r="G379" i="1"/>
  <c r="J378" i="1"/>
  <c r="G378" i="1"/>
  <c r="J377" i="1"/>
  <c r="G377" i="1"/>
  <c r="AL376" i="1"/>
  <c r="P376" i="1"/>
  <c r="J376" i="1"/>
  <c r="G376" i="1"/>
  <c r="G375" i="1"/>
  <c r="G374" i="1"/>
  <c r="G373" i="1"/>
  <c r="AL372" i="1"/>
  <c r="P372" i="1"/>
  <c r="J372" i="1"/>
  <c r="G372" i="1"/>
  <c r="AL371" i="1"/>
  <c r="P371" i="1"/>
  <c r="J371" i="1"/>
  <c r="G371" i="1"/>
  <c r="AL370" i="1"/>
  <c r="P370" i="1"/>
  <c r="J370" i="1"/>
  <c r="G370" i="1"/>
  <c r="AL369" i="1"/>
  <c r="J369" i="1"/>
  <c r="G369" i="1"/>
  <c r="J368" i="1"/>
  <c r="G368" i="1"/>
  <c r="AL367" i="1"/>
  <c r="P367" i="1"/>
  <c r="J367" i="1"/>
  <c r="G367" i="1"/>
  <c r="J366" i="1"/>
  <c r="G366" i="1"/>
  <c r="P365" i="1"/>
  <c r="J365" i="1"/>
  <c r="G365" i="1"/>
  <c r="J364" i="1"/>
  <c r="G364" i="1"/>
  <c r="J363" i="1"/>
  <c r="G363" i="1"/>
  <c r="J362" i="1"/>
  <c r="G362" i="1"/>
  <c r="P361" i="1"/>
  <c r="J361" i="1"/>
  <c r="G361" i="1"/>
  <c r="AL360" i="1"/>
  <c r="J360" i="1"/>
  <c r="G360" i="1"/>
  <c r="J359" i="1"/>
  <c r="G359" i="1"/>
  <c r="AL358" i="1"/>
  <c r="P358" i="1"/>
  <c r="J358" i="1"/>
  <c r="G358" i="1"/>
  <c r="P357" i="1"/>
  <c r="J357" i="1"/>
  <c r="G357" i="1"/>
  <c r="J356" i="1"/>
  <c r="G356" i="1"/>
  <c r="P355" i="1"/>
  <c r="J355" i="1"/>
  <c r="G355" i="1"/>
  <c r="AL354" i="1"/>
  <c r="J354" i="1"/>
  <c r="G354" i="1"/>
  <c r="J353" i="1"/>
  <c r="G353" i="1"/>
  <c r="J352" i="1"/>
  <c r="G352" i="1"/>
  <c r="AL351" i="1"/>
  <c r="J351" i="1"/>
  <c r="G351" i="1"/>
  <c r="AL350" i="1"/>
  <c r="J350" i="1"/>
  <c r="G350" i="1"/>
  <c r="AL349" i="1"/>
  <c r="P349" i="1"/>
  <c r="J349" i="1"/>
  <c r="G349" i="1"/>
  <c r="AL348" i="1"/>
  <c r="P348" i="1"/>
  <c r="J348" i="1"/>
  <c r="G348" i="1"/>
  <c r="AL347" i="1"/>
  <c r="P347" i="1"/>
  <c r="J347" i="1"/>
  <c r="G347" i="1"/>
  <c r="J346" i="1"/>
  <c r="G346" i="1"/>
  <c r="AL345" i="1"/>
  <c r="P345" i="1"/>
  <c r="J345" i="1"/>
  <c r="G345" i="1"/>
  <c r="J344" i="1"/>
  <c r="G344" i="1"/>
  <c r="AL343" i="1"/>
  <c r="P343" i="1"/>
  <c r="J343" i="1"/>
  <c r="G343" i="1"/>
  <c r="J342" i="1"/>
  <c r="G342" i="1"/>
  <c r="P341" i="1"/>
  <c r="J341" i="1"/>
  <c r="G341" i="1"/>
  <c r="AL340" i="1"/>
  <c r="J340" i="1"/>
  <c r="G340" i="1"/>
  <c r="J339" i="1"/>
  <c r="G339" i="1"/>
  <c r="J338" i="1"/>
  <c r="G338" i="1"/>
  <c r="J337" i="1"/>
  <c r="G337" i="1"/>
  <c r="J336" i="1"/>
  <c r="G336" i="1"/>
  <c r="J335" i="1"/>
  <c r="G335" i="1"/>
  <c r="J334" i="1"/>
  <c r="G334" i="1"/>
  <c r="AL333" i="1"/>
  <c r="J333" i="1"/>
  <c r="G333" i="1"/>
  <c r="AL332" i="1"/>
  <c r="J332" i="1"/>
  <c r="G332" i="1"/>
  <c r="J331" i="1"/>
  <c r="G331" i="1"/>
  <c r="J330" i="1"/>
  <c r="G330" i="1"/>
  <c r="AL329" i="1"/>
  <c r="J329" i="1"/>
  <c r="G329" i="1"/>
  <c r="AL328" i="1"/>
  <c r="P328" i="1"/>
  <c r="J328" i="1"/>
  <c r="G328" i="1"/>
  <c r="J327" i="1"/>
  <c r="G327" i="1"/>
  <c r="AL326" i="1"/>
  <c r="J326" i="1"/>
  <c r="G326" i="1"/>
  <c r="J325" i="1"/>
  <c r="G325" i="1"/>
  <c r="J324" i="1"/>
  <c r="G324" i="1"/>
  <c r="J323" i="1"/>
  <c r="G323" i="1"/>
  <c r="AL322" i="1"/>
  <c r="J322" i="1"/>
  <c r="G322" i="1"/>
  <c r="AL321" i="1"/>
  <c r="P321" i="1"/>
  <c r="J321" i="1"/>
  <c r="G321" i="1"/>
  <c r="AL320" i="1"/>
  <c r="P320" i="1"/>
  <c r="J320" i="1"/>
  <c r="G320" i="1"/>
  <c r="J319" i="1"/>
  <c r="G319" i="1"/>
  <c r="AL318" i="1"/>
  <c r="P318" i="1"/>
  <c r="J318" i="1"/>
  <c r="G318" i="1"/>
  <c r="AL317" i="1"/>
  <c r="J317" i="1"/>
  <c r="G317" i="1"/>
  <c r="AL316" i="1"/>
  <c r="J316" i="1"/>
  <c r="G316" i="1"/>
  <c r="AL315" i="1"/>
  <c r="J315" i="1"/>
  <c r="G315" i="1"/>
  <c r="J314" i="1"/>
  <c r="G314" i="1"/>
  <c r="P313" i="1"/>
  <c r="J313" i="1"/>
  <c r="G313" i="1"/>
  <c r="J312" i="1"/>
  <c r="G312" i="1"/>
  <c r="AL311" i="1"/>
  <c r="J311" i="1"/>
  <c r="G311" i="1"/>
  <c r="J310" i="1"/>
  <c r="G310" i="1"/>
  <c r="AL309" i="1"/>
  <c r="J309" i="1"/>
  <c r="G309" i="1"/>
  <c r="J308" i="1"/>
  <c r="G308" i="1"/>
  <c r="AL307" i="1"/>
  <c r="P307" i="1"/>
  <c r="J307" i="1"/>
  <c r="G307" i="1"/>
  <c r="AL306" i="1"/>
  <c r="P306" i="1"/>
  <c r="J306" i="1"/>
  <c r="G306" i="1"/>
  <c r="J305" i="1"/>
  <c r="G305" i="1"/>
  <c r="AL304" i="1"/>
  <c r="P304" i="1"/>
  <c r="J304" i="1"/>
  <c r="G304" i="1"/>
  <c r="J303" i="1"/>
  <c r="G303" i="1"/>
  <c r="AL302" i="1"/>
  <c r="P302" i="1"/>
  <c r="J302" i="1"/>
  <c r="G302" i="1"/>
  <c r="AL301" i="1"/>
  <c r="J301" i="1"/>
  <c r="G301" i="1"/>
  <c r="AL300" i="1"/>
  <c r="J300" i="1"/>
  <c r="G300" i="1"/>
  <c r="J299" i="1"/>
  <c r="G299" i="1"/>
  <c r="J298" i="1"/>
  <c r="G298" i="1"/>
  <c r="P297" i="1"/>
  <c r="J297" i="1"/>
  <c r="G297" i="1"/>
  <c r="AL296" i="1"/>
  <c r="P296" i="1"/>
  <c r="J296" i="1"/>
  <c r="G296" i="1"/>
  <c r="J295" i="1"/>
  <c r="G295" i="1"/>
  <c r="AL294" i="1"/>
  <c r="J294" i="1"/>
  <c r="G294" i="1"/>
  <c r="J293" i="1"/>
  <c r="G293" i="1"/>
  <c r="J292" i="1"/>
  <c r="G292" i="1"/>
  <c r="J291" i="1"/>
  <c r="G291" i="1"/>
  <c r="AL290" i="1"/>
  <c r="P290" i="1"/>
  <c r="J290" i="1"/>
  <c r="G290" i="1"/>
  <c r="J289" i="1"/>
  <c r="G289" i="1"/>
  <c r="P288" i="1"/>
  <c r="J288" i="1"/>
  <c r="G288" i="1"/>
  <c r="AL287" i="1"/>
  <c r="J287" i="1"/>
  <c r="G287" i="1"/>
  <c r="AL286" i="1"/>
  <c r="P286" i="1"/>
  <c r="J286" i="1"/>
  <c r="G286" i="1"/>
  <c r="J285" i="1"/>
  <c r="G285" i="1"/>
  <c r="J284" i="1"/>
  <c r="G284" i="1"/>
  <c r="P283" i="1"/>
  <c r="J283" i="1"/>
  <c r="G283" i="1"/>
  <c r="AL282" i="1"/>
  <c r="P282" i="1"/>
  <c r="J282" i="1"/>
  <c r="G282" i="1"/>
  <c r="J281" i="1"/>
  <c r="G281" i="1"/>
  <c r="AL280" i="1"/>
  <c r="P280" i="1"/>
  <c r="J280" i="1"/>
  <c r="G280" i="1"/>
  <c r="J279" i="1"/>
  <c r="G279" i="1"/>
  <c r="P278" i="1"/>
  <c r="J278" i="1"/>
  <c r="G278" i="1"/>
  <c r="J277" i="1"/>
  <c r="G277" i="1"/>
  <c r="AL276" i="1"/>
  <c r="J276" i="1"/>
  <c r="G276" i="1"/>
  <c r="AL275" i="1"/>
  <c r="J275" i="1"/>
  <c r="G275" i="1"/>
  <c r="J274" i="1"/>
  <c r="G274" i="1"/>
  <c r="AL273" i="1"/>
  <c r="J273" i="1"/>
  <c r="G273" i="1"/>
  <c r="J272" i="1"/>
  <c r="G272" i="1"/>
  <c r="AL271" i="1"/>
  <c r="J271" i="1"/>
  <c r="G271" i="1"/>
  <c r="J270" i="1"/>
  <c r="G270" i="1"/>
  <c r="AL269" i="1"/>
  <c r="J269" i="1"/>
  <c r="G269" i="1"/>
  <c r="AL268" i="1"/>
  <c r="P268" i="1"/>
  <c r="J268" i="1"/>
  <c r="G268" i="1"/>
  <c r="AL267" i="1"/>
  <c r="J267" i="1"/>
  <c r="G267" i="1"/>
  <c r="J266" i="1"/>
  <c r="G266" i="1"/>
  <c r="J265" i="1"/>
  <c r="G265" i="1"/>
  <c r="AL264" i="1"/>
  <c r="J264" i="1"/>
  <c r="G264" i="1"/>
  <c r="J263" i="1"/>
  <c r="G263" i="1"/>
  <c r="J262" i="1"/>
  <c r="G262" i="1"/>
  <c r="J261" i="1"/>
  <c r="G261" i="1"/>
  <c r="AL260" i="1"/>
  <c r="J260" i="1"/>
  <c r="G260" i="1"/>
  <c r="J259" i="1"/>
  <c r="G259" i="1"/>
  <c r="AL258" i="1"/>
  <c r="J258" i="1"/>
  <c r="G258" i="1"/>
  <c r="J257" i="1"/>
  <c r="G257" i="1"/>
  <c r="J256" i="1"/>
  <c r="G256" i="1"/>
  <c r="AL255" i="1"/>
  <c r="P255" i="1"/>
  <c r="J255" i="1"/>
  <c r="G255" i="1"/>
  <c r="AL254" i="1"/>
  <c r="J254" i="1"/>
  <c r="G254" i="1"/>
  <c r="AL253" i="1"/>
  <c r="J253" i="1"/>
  <c r="G253" i="1"/>
  <c r="J252" i="1"/>
  <c r="G252" i="1"/>
  <c r="J251" i="1"/>
  <c r="G251" i="1"/>
  <c r="J250" i="1"/>
  <c r="G250" i="1"/>
  <c r="AL249" i="1"/>
  <c r="P249" i="1"/>
  <c r="J249" i="1"/>
  <c r="G249" i="1"/>
  <c r="J248" i="1"/>
  <c r="G248" i="1"/>
  <c r="P247" i="1"/>
  <c r="J247" i="1"/>
  <c r="G247" i="1"/>
  <c r="P246" i="1"/>
  <c r="J246" i="1"/>
  <c r="G246" i="1"/>
  <c r="AL245" i="1"/>
  <c r="P245" i="1"/>
  <c r="J245" i="1"/>
  <c r="G245" i="1"/>
  <c r="J244" i="1"/>
  <c r="G244" i="1"/>
  <c r="J243" i="1"/>
  <c r="G243" i="1"/>
  <c r="J242" i="1"/>
  <c r="G242" i="1"/>
  <c r="P241" i="1"/>
  <c r="J241" i="1"/>
  <c r="G241" i="1"/>
  <c r="AL240" i="1"/>
  <c r="P240" i="1"/>
  <c r="J240" i="1"/>
  <c r="G240" i="1"/>
  <c r="AL239" i="1"/>
  <c r="J239" i="1"/>
  <c r="G239" i="1"/>
  <c r="AL238" i="1"/>
  <c r="J238" i="1"/>
  <c r="G238" i="1"/>
  <c r="J237" i="1"/>
  <c r="G237" i="1"/>
  <c r="AL236" i="1"/>
  <c r="P236" i="1"/>
  <c r="J236" i="1"/>
  <c r="G236" i="1"/>
  <c r="J235" i="1"/>
  <c r="G235" i="1"/>
  <c r="AL234" i="1"/>
  <c r="J234" i="1"/>
  <c r="G234" i="1"/>
  <c r="AL233" i="1"/>
  <c r="P233" i="1"/>
  <c r="J233" i="1"/>
  <c r="G233" i="1"/>
  <c r="J232" i="1"/>
  <c r="G232" i="1"/>
  <c r="AL231" i="1"/>
  <c r="P231" i="1"/>
  <c r="J231" i="1"/>
  <c r="G231" i="1"/>
  <c r="J230" i="1"/>
  <c r="G230" i="1"/>
  <c r="J229" i="1"/>
  <c r="G229" i="1"/>
  <c r="J228" i="1"/>
  <c r="G228" i="1"/>
  <c r="AL227" i="1"/>
  <c r="J227" i="1"/>
  <c r="G227" i="1"/>
  <c r="J226" i="1"/>
  <c r="G226" i="1"/>
  <c r="J225" i="1"/>
  <c r="G225" i="1"/>
  <c r="J224" i="1"/>
  <c r="G224" i="1"/>
  <c r="AL223" i="1"/>
  <c r="J223" i="1"/>
  <c r="G223" i="1"/>
  <c r="AL222" i="1"/>
  <c r="J222" i="1"/>
  <c r="G222" i="1"/>
  <c r="AL221" i="1"/>
  <c r="J221" i="1"/>
  <c r="G221" i="1"/>
  <c r="AL220" i="1"/>
  <c r="J220" i="1"/>
  <c r="G220" i="1"/>
  <c r="AL219" i="1"/>
  <c r="P219" i="1"/>
  <c r="J219" i="1"/>
  <c r="G219" i="1"/>
  <c r="AL218" i="1"/>
  <c r="J218" i="1"/>
  <c r="G218" i="1"/>
  <c r="AL217" i="1"/>
  <c r="J217" i="1"/>
  <c r="G217" i="1"/>
  <c r="J216" i="1"/>
  <c r="G216" i="1"/>
  <c r="J215" i="1"/>
  <c r="G215" i="1"/>
  <c r="J214" i="1"/>
  <c r="G214" i="1"/>
  <c r="P213" i="1"/>
  <c r="J213" i="1"/>
  <c r="G213" i="1"/>
  <c r="AL212" i="1"/>
  <c r="P212" i="1"/>
  <c r="J212" i="1"/>
  <c r="G212" i="1"/>
  <c r="AL211" i="1"/>
  <c r="P211" i="1"/>
  <c r="J211" i="1"/>
  <c r="G211" i="1"/>
  <c r="AL210" i="1"/>
  <c r="J210" i="1"/>
  <c r="G210" i="1"/>
  <c r="J209" i="1"/>
  <c r="G209" i="1"/>
  <c r="AL208" i="1"/>
  <c r="P208" i="1"/>
  <c r="J208" i="1"/>
  <c r="G208" i="1"/>
  <c r="AL207" i="1"/>
  <c r="P207" i="1"/>
  <c r="J207" i="1"/>
  <c r="G207" i="1"/>
  <c r="AL206" i="1"/>
  <c r="P206" i="1"/>
  <c r="J206" i="1"/>
  <c r="G206" i="1"/>
  <c r="P205" i="1"/>
  <c r="J205" i="1"/>
  <c r="G205" i="1"/>
  <c r="AL204" i="1"/>
  <c r="P204" i="1"/>
  <c r="J204" i="1"/>
  <c r="G204" i="1"/>
  <c r="AL203" i="1"/>
  <c r="J203" i="1"/>
  <c r="G203" i="1"/>
  <c r="J202" i="1"/>
  <c r="G202" i="1"/>
  <c r="AL201" i="1"/>
  <c r="J201" i="1"/>
  <c r="G201" i="1"/>
  <c r="AL200" i="1"/>
  <c r="P200" i="1"/>
  <c r="J200" i="1"/>
  <c r="G200" i="1"/>
  <c r="AL199" i="1"/>
  <c r="P199" i="1"/>
  <c r="J199" i="1"/>
  <c r="G199" i="1"/>
  <c r="AL198" i="1"/>
  <c r="P198" i="1"/>
  <c r="J198" i="1"/>
  <c r="G198" i="1"/>
  <c r="AL197" i="1"/>
  <c r="J197" i="1"/>
  <c r="G197" i="1"/>
  <c r="AL196" i="1"/>
  <c r="P196" i="1"/>
  <c r="J196" i="1"/>
  <c r="G196" i="1"/>
  <c r="AL195" i="1"/>
  <c r="P195" i="1"/>
  <c r="J195" i="1"/>
  <c r="G195" i="1"/>
  <c r="AL194" i="1"/>
  <c r="P194" i="1"/>
  <c r="J194" i="1"/>
  <c r="G194" i="1"/>
  <c r="J193" i="1"/>
  <c r="G193" i="1"/>
  <c r="J192" i="1"/>
  <c r="G192" i="1"/>
  <c r="P191" i="1"/>
  <c r="J191" i="1"/>
  <c r="G191" i="1"/>
  <c r="AL190" i="1"/>
  <c r="P190" i="1"/>
  <c r="J190" i="1"/>
  <c r="G190" i="1"/>
  <c r="AL189" i="1"/>
  <c r="P189" i="1"/>
  <c r="J189" i="1"/>
  <c r="G189" i="1"/>
  <c r="AL188" i="1"/>
  <c r="P188" i="1"/>
  <c r="J188" i="1"/>
  <c r="G188" i="1"/>
  <c r="J187" i="1"/>
  <c r="G187" i="1"/>
  <c r="J186" i="1"/>
  <c r="G186" i="1"/>
  <c r="J185" i="1"/>
  <c r="G185" i="1"/>
  <c r="J184" i="1"/>
  <c r="G184" i="1"/>
  <c r="J183" i="1"/>
  <c r="G183" i="1"/>
  <c r="J182" i="1"/>
  <c r="G182" i="1"/>
  <c r="J181" i="1"/>
  <c r="G181" i="1"/>
  <c r="AL180" i="1"/>
  <c r="P180" i="1"/>
  <c r="J180" i="1"/>
  <c r="G180" i="1"/>
  <c r="AL179" i="1"/>
  <c r="P179" i="1"/>
  <c r="J179" i="1"/>
  <c r="G179" i="1"/>
  <c r="J178" i="1"/>
  <c r="G178" i="1"/>
  <c r="J177" i="1"/>
  <c r="G177" i="1"/>
  <c r="J176" i="1"/>
  <c r="G176" i="1"/>
  <c r="AL175" i="1"/>
  <c r="P175" i="1"/>
  <c r="J175" i="1"/>
  <c r="G175" i="1"/>
  <c r="J174" i="1"/>
  <c r="G174" i="1"/>
  <c r="AL173" i="1"/>
  <c r="J173" i="1"/>
  <c r="G173" i="1"/>
  <c r="AL172" i="1"/>
  <c r="P172" i="1"/>
  <c r="J172" i="1"/>
  <c r="G172" i="1"/>
  <c r="AL171" i="1"/>
  <c r="P171" i="1"/>
  <c r="J171" i="1"/>
  <c r="G171" i="1"/>
  <c r="J170" i="1"/>
  <c r="G170" i="1"/>
  <c r="AL169" i="1"/>
  <c r="P169" i="1"/>
  <c r="J169" i="1"/>
  <c r="G169" i="1"/>
  <c r="P168" i="1"/>
  <c r="J168" i="1"/>
  <c r="G168" i="1"/>
  <c r="J167" i="1"/>
  <c r="G167" i="1"/>
  <c r="AL166" i="1"/>
  <c r="J166" i="1"/>
  <c r="G166" i="1"/>
  <c r="AL165" i="1"/>
  <c r="P165" i="1"/>
  <c r="J165" i="1"/>
  <c r="G165" i="1"/>
  <c r="P164" i="1"/>
  <c r="J164" i="1"/>
  <c r="G164" i="1"/>
  <c r="G163" i="1"/>
  <c r="AL162" i="1"/>
  <c r="P162" i="1"/>
  <c r="J162" i="1"/>
  <c r="G162" i="1"/>
  <c r="AL161" i="1"/>
  <c r="P161" i="1"/>
  <c r="J161" i="1"/>
  <c r="G161" i="1"/>
  <c r="J160" i="1"/>
  <c r="G160" i="1"/>
  <c r="P159" i="1"/>
  <c r="J159" i="1"/>
  <c r="G159" i="1"/>
  <c r="J158" i="1"/>
  <c r="G158" i="1"/>
  <c r="J157" i="1"/>
  <c r="G157" i="1"/>
  <c r="AL156" i="1"/>
  <c r="P156" i="1"/>
  <c r="J156" i="1"/>
  <c r="G156" i="1"/>
  <c r="P155" i="1"/>
  <c r="J155" i="1"/>
  <c r="G155" i="1"/>
  <c r="J154" i="1"/>
  <c r="G154" i="1"/>
  <c r="P153" i="1"/>
  <c r="J153" i="1"/>
  <c r="G153" i="1"/>
  <c r="P152" i="1"/>
  <c r="J152" i="1"/>
  <c r="G152" i="1"/>
  <c r="P151" i="1"/>
  <c r="J151" i="1"/>
  <c r="G151" i="1"/>
  <c r="P150" i="1"/>
  <c r="J150" i="1"/>
  <c r="G150" i="1"/>
  <c r="AL149" i="1"/>
  <c r="P149" i="1"/>
  <c r="J149" i="1"/>
  <c r="G149" i="1"/>
  <c r="AL148" i="1"/>
  <c r="P148" i="1"/>
  <c r="J148" i="1"/>
  <c r="G148" i="1"/>
  <c r="AL147" i="1"/>
  <c r="P147" i="1"/>
  <c r="J147" i="1"/>
  <c r="G147" i="1"/>
  <c r="AL146" i="1"/>
  <c r="J146" i="1"/>
  <c r="G146" i="1"/>
  <c r="AL145" i="1"/>
  <c r="P145" i="1"/>
  <c r="J145" i="1"/>
  <c r="G145" i="1"/>
  <c r="AL144" i="1"/>
  <c r="P144" i="1"/>
  <c r="J144" i="1"/>
  <c r="G144" i="1"/>
  <c r="J143" i="1"/>
  <c r="G143" i="1"/>
  <c r="AL142" i="1"/>
  <c r="P142" i="1"/>
  <c r="J142" i="1"/>
  <c r="G142" i="1"/>
  <c r="AL141" i="1"/>
  <c r="J141" i="1"/>
  <c r="G141" i="1"/>
  <c r="AL140" i="1"/>
  <c r="P140" i="1"/>
  <c r="J140" i="1"/>
  <c r="G140" i="1"/>
  <c r="AL139" i="1"/>
  <c r="P139" i="1"/>
  <c r="J139" i="1"/>
  <c r="G139" i="1"/>
  <c r="AL138" i="1"/>
  <c r="P138" i="1"/>
  <c r="J138" i="1"/>
  <c r="G138" i="1"/>
  <c r="AL137" i="1"/>
  <c r="J137" i="1"/>
  <c r="G137" i="1"/>
  <c r="AL136" i="1"/>
  <c r="P136" i="1"/>
  <c r="J136" i="1"/>
  <c r="G136" i="1"/>
  <c r="AL135" i="1"/>
  <c r="P135" i="1"/>
  <c r="J135" i="1"/>
  <c r="G135" i="1"/>
  <c r="AL134" i="1"/>
  <c r="P134" i="1"/>
  <c r="J134" i="1"/>
  <c r="G134" i="1"/>
  <c r="AL133" i="1"/>
  <c r="P133" i="1"/>
  <c r="J133" i="1"/>
  <c r="G133" i="1"/>
  <c r="AL132" i="1"/>
  <c r="P132" i="1"/>
  <c r="J132" i="1"/>
  <c r="G132" i="1"/>
  <c r="AL131" i="1"/>
  <c r="J131" i="1"/>
  <c r="G131" i="1"/>
  <c r="AL130" i="1"/>
  <c r="J130" i="1"/>
  <c r="G130" i="1"/>
  <c r="J129" i="1"/>
  <c r="G129" i="1"/>
  <c r="P128" i="1"/>
  <c r="J128" i="1"/>
  <c r="G128" i="1"/>
  <c r="AL127" i="1"/>
  <c r="J127" i="1"/>
  <c r="G127" i="1"/>
  <c r="AL126" i="1"/>
  <c r="P126" i="1"/>
  <c r="J126" i="1"/>
  <c r="G126" i="1"/>
  <c r="AL125" i="1"/>
  <c r="P125" i="1"/>
  <c r="J125" i="1"/>
  <c r="G125" i="1"/>
  <c r="J124" i="1"/>
  <c r="G124" i="1"/>
  <c r="AL123" i="1"/>
  <c r="J123" i="1"/>
  <c r="G123" i="1"/>
  <c r="AL122" i="1"/>
  <c r="J122" i="1"/>
  <c r="G122" i="1"/>
  <c r="AL121" i="1"/>
  <c r="J121" i="1"/>
  <c r="G121" i="1"/>
  <c r="J120" i="1"/>
  <c r="G120" i="1"/>
  <c r="AL119" i="1"/>
  <c r="J119" i="1"/>
  <c r="G119" i="1"/>
  <c r="AL118" i="1"/>
  <c r="P118" i="1"/>
  <c r="J118" i="1"/>
  <c r="G118" i="1"/>
  <c r="AL117" i="1"/>
  <c r="J117" i="1"/>
  <c r="G117" i="1"/>
  <c r="AL116" i="1"/>
  <c r="P116" i="1"/>
  <c r="J116" i="1"/>
  <c r="G116" i="1"/>
  <c r="AL115" i="1"/>
  <c r="P115" i="1"/>
  <c r="J115" i="1"/>
  <c r="G115" i="1"/>
  <c r="AL114" i="1"/>
  <c r="P114" i="1"/>
  <c r="J114" i="1"/>
  <c r="G114" i="1"/>
  <c r="J113" i="1"/>
  <c r="G113" i="1"/>
  <c r="J112" i="1"/>
  <c r="G112" i="1"/>
  <c r="J111" i="1"/>
  <c r="G111" i="1"/>
  <c r="AL110" i="1"/>
  <c r="P110" i="1"/>
  <c r="J110" i="1"/>
  <c r="G110" i="1"/>
  <c r="P109" i="1"/>
  <c r="J109" i="1"/>
  <c r="G109" i="1"/>
  <c r="P108" i="1"/>
  <c r="J108" i="1"/>
  <c r="G108" i="1"/>
  <c r="J107" i="1"/>
  <c r="G107" i="1"/>
  <c r="AL106" i="1"/>
  <c r="J106" i="1"/>
  <c r="G106" i="1"/>
  <c r="J105" i="1"/>
  <c r="G105" i="1"/>
  <c r="P104" i="1"/>
  <c r="J104" i="1"/>
  <c r="G104" i="1"/>
  <c r="AL103" i="1"/>
  <c r="P103" i="1"/>
  <c r="J103" i="1"/>
  <c r="G103" i="1"/>
  <c r="AL102" i="1"/>
  <c r="P102" i="1"/>
  <c r="J102" i="1"/>
  <c r="G102" i="1"/>
  <c r="AL101" i="1"/>
  <c r="P101" i="1"/>
  <c r="J101" i="1"/>
  <c r="G101" i="1"/>
  <c r="J100" i="1"/>
  <c r="G100" i="1"/>
  <c r="J99" i="1"/>
  <c r="G99" i="1"/>
  <c r="J98" i="1"/>
  <c r="G98" i="1"/>
  <c r="AL97" i="1"/>
  <c r="P97" i="1"/>
  <c r="J97" i="1"/>
  <c r="G97" i="1"/>
  <c r="J96" i="1"/>
  <c r="G96" i="1"/>
  <c r="AL95" i="1"/>
  <c r="J95" i="1"/>
  <c r="G95" i="1"/>
  <c r="J94" i="1"/>
  <c r="G94" i="1"/>
  <c r="AL93" i="1"/>
  <c r="P93" i="1"/>
  <c r="J93" i="1"/>
  <c r="G93" i="1"/>
  <c r="AL92" i="1"/>
  <c r="P92" i="1"/>
  <c r="J92" i="1"/>
  <c r="G92" i="1"/>
  <c r="AL91" i="1"/>
  <c r="P91" i="1"/>
  <c r="J91" i="1"/>
  <c r="G91" i="1"/>
  <c r="AL90" i="1"/>
  <c r="P90" i="1"/>
  <c r="J90" i="1"/>
  <c r="G90" i="1"/>
  <c r="AL89" i="1"/>
  <c r="P89" i="1"/>
  <c r="J89" i="1"/>
  <c r="G89" i="1"/>
  <c r="AL88" i="1"/>
  <c r="J88" i="1"/>
  <c r="G88" i="1"/>
  <c r="J87" i="1"/>
  <c r="G87" i="1"/>
  <c r="J86" i="1"/>
  <c r="G86" i="1"/>
  <c r="AL85" i="1"/>
  <c r="P85" i="1"/>
  <c r="J85" i="1"/>
  <c r="G85" i="1"/>
  <c r="AL84" i="1"/>
  <c r="P84" i="1"/>
  <c r="J84" i="1"/>
  <c r="G84" i="1"/>
  <c r="J83" i="1"/>
  <c r="G83" i="1"/>
  <c r="J82" i="1"/>
  <c r="G82" i="1"/>
  <c r="AL81" i="1"/>
  <c r="P81" i="1"/>
  <c r="J81" i="1"/>
  <c r="G81" i="1"/>
  <c r="J80" i="1"/>
  <c r="G80" i="1"/>
  <c r="J79" i="1"/>
  <c r="G79" i="1"/>
  <c r="J78" i="1"/>
  <c r="G78" i="1"/>
  <c r="P77" i="1"/>
  <c r="J77" i="1"/>
  <c r="G77" i="1"/>
  <c r="AL76" i="1"/>
  <c r="J76" i="1"/>
  <c r="G76" i="1"/>
  <c r="J75" i="1"/>
  <c r="G75" i="1"/>
  <c r="J74" i="1"/>
  <c r="G74" i="1"/>
  <c r="J73" i="1"/>
  <c r="G73" i="1"/>
  <c r="J72" i="1"/>
  <c r="G72" i="1"/>
  <c r="J71" i="1"/>
  <c r="G71" i="1"/>
  <c r="J70" i="1"/>
  <c r="G70" i="1"/>
  <c r="AL69" i="1"/>
  <c r="P69" i="1"/>
  <c r="J69" i="1"/>
  <c r="G69" i="1"/>
  <c r="AL68" i="1"/>
  <c r="J68" i="1"/>
  <c r="G68" i="1"/>
  <c r="AL67" i="1"/>
  <c r="J67" i="1"/>
  <c r="G67" i="1"/>
  <c r="J66" i="1"/>
  <c r="G66" i="1"/>
  <c r="J65" i="1"/>
  <c r="G65" i="1"/>
  <c r="J64" i="1"/>
  <c r="G64" i="1"/>
  <c r="AL63" i="1"/>
  <c r="P63" i="1"/>
  <c r="J63" i="1"/>
  <c r="G63" i="1"/>
  <c r="AL62" i="1"/>
  <c r="P62" i="1"/>
  <c r="J62" i="1"/>
  <c r="G62" i="1"/>
  <c r="AL61" i="1"/>
  <c r="P61" i="1"/>
  <c r="J61" i="1"/>
  <c r="G61" i="1"/>
  <c r="AL60" i="1"/>
  <c r="J60" i="1"/>
  <c r="G60" i="1"/>
  <c r="AL59" i="1"/>
  <c r="P59" i="1"/>
  <c r="J59" i="1"/>
  <c r="G59" i="1"/>
  <c r="AL58" i="1"/>
  <c r="P58" i="1"/>
  <c r="J58" i="1"/>
  <c r="G58" i="1"/>
  <c r="J57" i="1"/>
  <c r="G57" i="1"/>
  <c r="J56" i="1"/>
  <c r="G56" i="1"/>
  <c r="J55" i="1"/>
  <c r="G55" i="1"/>
  <c r="AL54" i="1"/>
  <c r="P54" i="1"/>
  <c r="J54" i="1"/>
  <c r="G54" i="1"/>
  <c r="AL53" i="1"/>
  <c r="J53" i="1"/>
  <c r="G53" i="1"/>
  <c r="AL52" i="1"/>
  <c r="J52" i="1"/>
  <c r="G52" i="1"/>
  <c r="J51" i="1"/>
  <c r="G51" i="1"/>
  <c r="J50" i="1"/>
  <c r="G50" i="1"/>
  <c r="J49" i="1"/>
  <c r="G49" i="1"/>
  <c r="J48" i="1"/>
  <c r="G48" i="1"/>
  <c r="AL47" i="1"/>
  <c r="J47" i="1"/>
  <c r="G47" i="1"/>
  <c r="AL46" i="1"/>
  <c r="P46" i="1"/>
  <c r="J46" i="1"/>
  <c r="G46" i="1"/>
  <c r="AL45" i="1"/>
  <c r="P45" i="1"/>
  <c r="J45" i="1"/>
  <c r="G45" i="1"/>
  <c r="AL44" i="1"/>
  <c r="P44" i="1"/>
  <c r="J44" i="1"/>
  <c r="G44" i="1"/>
  <c r="AL43" i="1"/>
  <c r="P43" i="1"/>
  <c r="J43" i="1"/>
  <c r="G43" i="1"/>
  <c r="AL42" i="1"/>
  <c r="J42" i="1"/>
  <c r="G42" i="1"/>
  <c r="J41" i="1"/>
  <c r="G41" i="1"/>
  <c r="AL40" i="1"/>
  <c r="J40" i="1"/>
  <c r="G40" i="1"/>
  <c r="J39" i="1"/>
  <c r="G39" i="1"/>
  <c r="AL38" i="1"/>
  <c r="P38" i="1"/>
  <c r="J38" i="1"/>
  <c r="G38" i="1"/>
  <c r="AL37" i="1"/>
  <c r="P37" i="1"/>
  <c r="J37" i="1"/>
  <c r="G37" i="1"/>
  <c r="J36" i="1"/>
  <c r="G36" i="1"/>
  <c r="J35" i="1"/>
  <c r="G35" i="1"/>
  <c r="J34" i="1"/>
  <c r="G34" i="1"/>
  <c r="J33" i="1"/>
  <c r="G33" i="1"/>
  <c r="J32" i="1"/>
  <c r="G32" i="1"/>
  <c r="J31" i="1"/>
  <c r="G31" i="1"/>
  <c r="AL30" i="1"/>
  <c r="P30" i="1"/>
  <c r="J30" i="1"/>
  <c r="G30" i="1"/>
  <c r="J29" i="1"/>
  <c r="G29" i="1"/>
  <c r="J28" i="1"/>
  <c r="G28" i="1"/>
  <c r="J27" i="1"/>
  <c r="G27" i="1"/>
  <c r="AL26" i="1"/>
  <c r="J26" i="1"/>
  <c r="G26" i="1"/>
  <c r="J25" i="1"/>
  <c r="G25" i="1"/>
  <c r="J24" i="1"/>
  <c r="G24" i="1"/>
  <c r="J23" i="1"/>
  <c r="G23" i="1"/>
  <c r="J22" i="1"/>
  <c r="G22" i="1"/>
  <c r="J21" i="1"/>
  <c r="G21" i="1"/>
  <c r="J20" i="1"/>
  <c r="G20" i="1"/>
  <c r="AL19" i="1"/>
  <c r="P19" i="1"/>
  <c r="J19" i="1"/>
  <c r="G19" i="1"/>
  <c r="J18" i="1"/>
  <c r="G18" i="1"/>
  <c r="AL17" i="1"/>
  <c r="P17" i="1"/>
  <c r="J17" i="1"/>
  <c r="G17" i="1"/>
  <c r="AL16" i="1"/>
  <c r="J16" i="1"/>
  <c r="G16" i="1"/>
  <c r="J15" i="1"/>
  <c r="G15" i="1"/>
  <c r="AL14" i="1"/>
  <c r="P14" i="1"/>
  <c r="J14" i="1"/>
  <c r="G14" i="1"/>
  <c r="AL13" i="1"/>
  <c r="P13" i="1"/>
  <c r="J13" i="1"/>
  <c r="G13" i="1"/>
  <c r="AL12" i="1"/>
  <c r="P12" i="1"/>
  <c r="J12" i="1"/>
  <c r="G12" i="1"/>
  <c r="AL11" i="1"/>
  <c r="P11" i="1"/>
  <c r="J11" i="1"/>
  <c r="G11" i="1"/>
  <c r="J10" i="1"/>
  <c r="G10" i="1"/>
  <c r="J9" i="1"/>
  <c r="G9" i="1"/>
  <c r="J8" i="1"/>
  <c r="G8" i="1"/>
  <c r="AL7" i="1"/>
  <c r="P7" i="1"/>
  <c r="J7" i="1"/>
  <c r="G7" i="1"/>
  <c r="J6" i="1"/>
  <c r="G6" i="1"/>
  <c r="J5" i="1"/>
  <c r="G5" i="1"/>
  <c r="J4" i="1"/>
  <c r="G4" i="1"/>
  <c r="AL3" i="1"/>
  <c r="P3" i="1"/>
  <c r="J3" i="1"/>
  <c r="G3" i="1"/>
  <c r="J2" i="1"/>
  <c r="G2" i="1"/>
</calcChain>
</file>

<file path=xl/sharedStrings.xml><?xml version="1.0" encoding="utf-8"?>
<sst xmlns="http://schemas.openxmlformats.org/spreadsheetml/2006/main" count="77231" uniqueCount="15051">
  <si>
    <t>Date</t>
  </si>
  <si>
    <t>Time</t>
  </si>
  <si>
    <t>Saved at</t>
  </si>
  <si>
    <t>Title</t>
  </si>
  <si>
    <t>Text snippet</t>
  </si>
  <si>
    <t>Post type</t>
  </si>
  <si>
    <t>URL</t>
  </si>
  <si>
    <t>Sentiment</t>
  </si>
  <si>
    <t>Author</t>
  </si>
  <si>
    <t>Profile</t>
  </si>
  <si>
    <t>Subscribers</t>
  </si>
  <si>
    <t>Demography</t>
  </si>
  <si>
    <t>Age</t>
  </si>
  <si>
    <t>Source</t>
  </si>
  <si>
    <t>Publication place</t>
  </si>
  <si>
    <t>Publication place profile</t>
  </si>
  <si>
    <t>Publication place subscribers</t>
  </si>
  <si>
    <t>Resource type</t>
  </si>
  <si>
    <t>Country</t>
  </si>
  <si>
    <t>Regions</t>
  </si>
  <si>
    <t>City</t>
  </si>
  <si>
    <t>Notes</t>
  </si>
  <si>
    <t>Reactions</t>
  </si>
  <si>
    <t>Likes</t>
  </si>
  <si>
    <t>Love</t>
  </si>
  <si>
    <t>Haha</t>
  </si>
  <si>
    <t>Wow</t>
  </si>
  <si>
    <t>Sad</t>
  </si>
  <si>
    <t>Angry</t>
  </si>
  <si>
    <t>Dislikes</t>
  </si>
  <si>
    <t>Comments</t>
  </si>
  <si>
    <t>Reposts</t>
  </si>
  <si>
    <t>Views</t>
  </si>
  <si>
    <t>Rating</t>
  </si>
  <si>
    <t>Image brands</t>
  </si>
  <si>
    <t>Image objects</t>
  </si>
  <si>
    <t>Image scenes</t>
  </si>
  <si>
    <t>Image URL</t>
  </si>
  <si>
    <t>Assigned to</t>
  </si>
  <si>
    <t>Processed</t>
  </si>
  <si>
    <t>25.06.2019</t>
  </si>
  <si>
    <t>12:51</t>
  </si>
  <si>
    <t>25.06.2019 12:15</t>
  </si>
  <si>
    <t>Weiss Asset Management LP Invests $213,000 in PepsiCo, Inc. (NASDAQ:PEP)</t>
  </si>
  <si>
    <t>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</si>
  <si>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Post</t>
  </si>
  <si>
    <t>Neutral</t>
  </si>
  <si>
    <t>Bob Meade</t>
  </si>
  <si>
    <t>Male</t>
  </si>
  <si>
    <t>techknowbits.com</t>
  </si>
  <si>
    <t>Blog</t>
  </si>
  <si>
    <t>United States of America</t>
  </si>
  <si>
    <t/>
  </si>
  <si>
    <t>No</t>
  </si>
  <si>
    <t>12:22</t>
  </si>
  <si>
    <t>25.06.2019 12:24</t>
  </si>
  <si>
    <t>⠀⠀
Why your friends love you (and how to turn that into a business)⠀⠀
How to brainstorm new profitable ideas whenever you want⠀⠀
Who your perfect client is (BTW, she's waiting for you - like, right now)⠀⠀
The secret to claim and master your market (without being gross)⠀⠀
How to stay focused, even when you want to watch The Marvelous Mrs Maisel and eat Doritos⠀⠀
⠀⠀
OWN YOUR EXPERTISE. TRUST YOUR TALENT. LAUNCH YOUR BUSINESS.⠀⠀
⠀⠀
Sign up today by clicking the link in my bio to join me for "3 STEPS TO LAUNCHING A BUSINESS YOU'LL LOVE</t>
  </si>
  <si>
    <t>Sarah Walton</t>
  </si>
  <si>
    <t>Female</t>
  </si>
  <si>
    <t>instagram.com</t>
  </si>
  <si>
    <t>Social network</t>
  </si>
  <si>
    <t>12:20</t>
  </si>
  <si>
    <t>25.06.2019 12:21</t>
  </si>
  <si>
    <t>Set my alarm to wake up early and get my dishes and laundry done before work. I’m currently in my bed eating Doritos...</t>
  </si>
  <si>
    <t>Kylie Becca</t>
  </si>
  <si>
    <t>twitter.com</t>
  </si>
  <si>
    <t>Огайо</t>
  </si>
  <si>
    <t>Akron</t>
  </si>
  <si>
    <t>12:18</t>
  </si>
  <si>
    <t>25.06.2019 12:23</t>
  </si>
  <si>
    <t>Changing who I go to WrestleMania with now
Chip Power Ranking:
1) Zapps Voodoo 
2) Lays Jalapeño Cheddar Kettle Cooked 
3) Doritos Spicy Sweet Chili
4) Fritos Honey BBQ Flavor Twists
5) Sun Chips Harvest Cheddar
...
24) Chip The Ripper
25) Chip Kelly
...
196) Crunchy Cheetos
197) Salt and Vinegar</t>
  </si>
  <si>
    <t>Extended repost</t>
  </si>
  <si>
    <t>Michael Settle Jr</t>
  </si>
  <si>
    <t>Флорида</t>
  </si>
  <si>
    <t>Lake Wales</t>
  </si>
  <si>
    <t>12:13</t>
  </si>
  <si>
    <t>25.06.2019 12:22</t>
  </si>
  <si>
    <t>Chip Power Ranking:
1) Zapps Voodoo 
2) Lays Jalapeño Cheddar Kettle Cooked 
3) Doritos Spicy Sweet Chili
4) Fritos Honey BBQ Flavor Twists
5) Sun Chips Harvest Cheddar
...
24) Chip The Ripper
25) Chip Kelly
...
196) Crunchy Cheetos
197) Salt and Vinegar</t>
  </si>
  <si>
    <t>Dustin Franklin</t>
  </si>
  <si>
    <t>Небраска</t>
  </si>
  <si>
    <t>Friend</t>
  </si>
  <si>
    <t>12:12</t>
  </si>
  <si>
    <t>We came to score goals and eat Doritos #AYSO #priorities ☝⚽️</t>
  </si>
  <si>
    <t>Thomas Muellner</t>
  </si>
  <si>
    <t>Иллинойс</t>
  </si>
  <si>
    <t>Чикаго</t>
  </si>
  <si>
    <t>plant,vehicle,tree</t>
  </si>
  <si>
    <t>sports,race</t>
  </si>
  <si>
    <t>12:11</t>
  </si>
  <si>
    <t>25.06.2019 12:12</t>
  </si>
  <si>
    <t>How are spicy sweet chili Doritos so overlooked in this world</t>
  </si>
  <si>
    <t>Negative</t>
  </si>
  <si>
    <t>Joe Hansen</t>
  </si>
  <si>
    <t>25.06.2019 12:16</t>
  </si>
  <si>
    <t>@stu_f_1873 @Ben___97 I agree, but in defence of D&amp;D fans some are perfectly normal with families &amp; no creepy tendencies. As for the ones that send those tweets, their hands are indeed cheesy, but not from Doritos/Cheetos . Also, cyberstalkers who retweet, like &amp; reply to EVERY single tweet/photo</t>
  </si>
  <si>
    <t>Comment</t>
  </si>
  <si>
    <t>Marty</t>
  </si>
  <si>
    <t>United Kingdom of Great Britain and Northern Ireland</t>
  </si>
  <si>
    <t>Шотландия</t>
  </si>
  <si>
    <t>Airdrie</t>
  </si>
  <si>
    <t>12:10</t>
  </si>
  <si>
    <t>25.06.2019 12:13</t>
  </si>
  <si>
    <t>Estoy desayunando doritos</t>
  </si>
  <si>
    <t>yosseline</t>
  </si>
  <si>
    <t>12:09</t>
  </si>
  <si>
    <t>25.06.2019 12:19</t>
  </si>
  <si>
    <t>When your bestie knows your obsessed with Spidey and Marvel in general. Then snaps you. Then wonders what the hell is going on. Love ya bestie
-
-
-
-
-
#tomholland2013 #spiderman #tomholland #peterparker #spidermanfarfromhome #doritos</t>
  </si>
  <si>
    <t>Started 16/01/19</t>
  </si>
  <si>
    <t>Doritos</t>
  </si>
  <si>
    <t>poster,fictional character</t>
  </si>
  <si>
    <t>art</t>
  </si>
  <si>
    <t>12:08</t>
  </si>
  <si>
    <t>25.06.2019 12:14</t>
  </si>
  <si>
    <t>MC Apex LIVE</t>
  </si>
  <si>
    <t>MC Apex LIVE
Hi guys, my name is Magic_Cheetos and welcome to my channel! I'm 1/5 of a clan called the Magic Clan (It's a family clan, nothing professional). I've been owning this channel for a while now, but if you're a newcomer, I do vlogs and gaming! 
Check out my other clan members here!
SeriousCash: https://www.youtube.com/user/micahdude9
Magic_Doritos: https://www.youtube.com/channel/UCvOhfzy48qCYTkhUUXvXdLg
Magic_Afros: https://www.youtube.com/channel/UCBBmzw-houudcAyWl2gM0WA
Bamblakopz: https://www.youtube.com/user/BamblakopzGameGuides
Magic_Cheetos: Do I really have to explain this?</t>
  </si>
  <si>
    <t>Magic_Cheetos</t>
  </si>
  <si>
    <t>youtube.com</t>
  </si>
  <si>
    <t>12:07</t>
  </si>
  <si>
    <t>25.06.2019 12:09</t>
  </si>
  <si>
    <t>Doritos Power kkkkk
 #mazdarx7 #rotarymotor #Mazda</t>
  </si>
  <si>
    <t>JDM br</t>
  </si>
  <si>
    <t>vehicle,car</t>
  </si>
  <si>
    <t>Nice
#gaming #games #mario #sonic #luigi #pokemon #cod #callofduty #pc #ps4 #xbox #xboxone #meme #game #funny #blackops #stream #dank #lol #gamers #minecraft #minecrafters #pewdiepie #skyrim #pikachu #gamergirl #codmeme #mountaindew #doritos #egggang</t>
  </si>
  <si>
    <t>Tyler Fiore</t>
  </si>
  <si>
    <t>diagram,document</t>
  </si>
  <si>
    <t>12:05</t>
  </si>
  <si>
    <t>No se si me voy a morir manhana asi que hoy si le voy a bajar los doritos verdes a mi hermana.</t>
  </si>
  <si>
    <t>Manos de pancake Edd</t>
  </si>
  <si>
    <t>12:04</t>
  </si>
  <si>
    <t>25.06.2019 12:05</t>
  </si>
  <si>
    <t>Doritos, Max Strong or Sensations? RT + Reply with your favourite summer snack for the chance to #WIN an Amazon Echo or a case of crisps!  
Closes 25th June, T&amp;Cs: https://bit.ly/2ImAjqN</t>
  </si>
  <si>
    <t>Repost</t>
  </si>
  <si>
    <t>Candyfloss79</t>
  </si>
  <si>
    <t>12:03</t>
  </si>
  <si>
    <t>25.06.2019 12:04</t>
  </si>
  <si>
    <t>Treat yourself, Its #tuesday .
.
 Cubano with @doritos .
.
@Sandwichtimedeli #cravingsendhere .
#breakfast #lunch #texmex #tastethisnext #picoftheday #forkyeah #sandwichoftheday #njfoodie #foodprnshare #huffposttaste #foodbeast #instafood #yougottaeatthis #dine365 #greatamericansandwichtrail #huffposttaste #eatnj @jerseygirl_foodie_
@jerseybitcheats @middlesexcntynj @hiddengems_nj @njfoodieeee @bestnjfoods
@thrillist @njdotcom @thedailyplate @njmom @wanderouskaren @foodloversdiary @devourpower @nom_life @jersey.munchies @supportnjlocal @thisisinsiderfood @foodlikewhoa @topfoodnews.sandwiches @thisgirleatsny @queenofthecheatmeal @localish @dineinaflash @eatwithmarissa @lovingnjlocal @yelpcentraljersey</t>
  </si>
  <si>
    <t>Sandwich Time Deli &amp; Tex-Mex</t>
  </si>
  <si>
    <t>Нью-Джерси</t>
  </si>
  <si>
    <t>Woodbridge</t>
  </si>
  <si>
    <t>burrito,meal,appetizer,junk food,fast food,sandwich,food</t>
  </si>
  <si>
    <t>Con doritos
me comería 7 kilos de palta</t>
  </si>
  <si>
    <t>Gonzaleeeeeess</t>
  </si>
  <si>
    <t>Spain</t>
  </si>
  <si>
    <t>Кастилия и Леон</t>
  </si>
  <si>
    <t>Quintanilla del Molar</t>
  </si>
  <si>
    <t>25.06.2019 12:06</t>
  </si>
  <si>
    <t>When you try to get that Dorito but your mommy just won’t give in. 
.
.
.
.
.
#goldendoodle #doodle #doodletales #doodleselfie #goldendoodlesofinstagram #doodlepuppy #dailyfluff #puppiesofinstagram #woof #doodle #doodletales #doodleproblems #saycheese #pictureperfect #doodlelove #standardgoldendoodle #doodlepuppy #picoftheday #puppydogeyes #wetnose #doodlesunited #dog #doodlesofinstagram #mydoodleandi #america #chicagodoodles #treats #mommysgirl #doritos #whataboutme #gimme
@puppiesmakemehappy @goldendoodlesofinstagram @dailybarker @chicagogoldendoodles @puppiesofinstagram @chicagodoodles @boopmynose @dailyfluffmelb @doodlesunited @delightfulgoldendoodles</t>
  </si>
  <si>
    <t>Kennedy Roman</t>
  </si>
  <si>
    <t>fur,dog</t>
  </si>
  <si>
    <t>11:59</t>
  </si>
  <si>
    <t>Y’all tastebuds need help. Twizzlers and mustard, pb&amp;j with bbq chips and Doritos. Y’all need to be slapped</t>
  </si>
  <si>
    <t>Kalie</t>
  </si>
  <si>
    <t>Техас</t>
  </si>
  <si>
    <t>11:55</t>
  </si>
  <si>
    <t>@KYLE_DEVORE was it about doritos?</t>
  </si>
  <si>
    <t>Mike</t>
  </si>
  <si>
    <t>Germany</t>
  </si>
  <si>
    <t>25.06.2019 12:03</t>
  </si>
  <si>
    <t>We have the adored grand child with us. Per her instructions, I bought copious amounts of apple juice(organic, no sugar added) and Cheetos and Doritos. What her patents don't know, won't hurt them or her. Hey, it's only for a week‼️</t>
  </si>
  <si>
    <t>Paulette Smith Reeves</t>
  </si>
  <si>
    <t>Джорджия</t>
  </si>
  <si>
    <t>Мейкон</t>
  </si>
  <si>
    <t>25.06.2019 10:19</t>
  </si>
  <si>
    <t>Cerebellum GP LLC Buys Shares of 2,700 PepsiCo, Inc. (NASDAQ:PEP)</t>
  </si>
  <si>
    <t>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</si>
  <si>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11:54</t>
  </si>
  <si>
    <t>25.06.2019 11:58</t>
  </si>
  <si>
    <t>I missed free doritos taco day at taco bell I am sad</t>
  </si>
  <si>
    <t>toxic plants</t>
  </si>
  <si>
    <t>Род-Айленд</t>
  </si>
  <si>
    <t>11:53</t>
  </si>
  <si>
    <t>@Doritos Doritos gives me the imoortant superpower of eating @tacobell with no gastrointestinal repercussions. Knocks out that Diablo sauce no problem. Someone grab me more Doritos Locos! #IncognitoDoritos #Entry</t>
  </si>
  <si>
    <t>Andrew</t>
  </si>
  <si>
    <t>Калифорния</t>
  </si>
  <si>
    <t>11:52</t>
  </si>
  <si>
    <t>25.06.2019 11:53</t>
  </si>
  <si>
    <t>Cat</t>
  </si>
  <si>
    <t>Англия</t>
  </si>
  <si>
    <t>Lymm</t>
  </si>
  <si>
    <t>11:51</t>
  </si>
  <si>
    <t>25.06.2019 12:18</t>
  </si>
  <si>
    <t>Best Deals at Albertsons and Safeway ~ 6/26/19 – 7/2/19</t>
  </si>
  <si>
    <t>Best Deals at Albertsons and Safeway ~ 6/26/19 – 7/2/19 Best Deals at Albertsons and Safeway ~ 6/26/19 – 7/2/19 Gina Galeana June 25, 2019
Super deals this week ~ Gatorade 25¢, Sweet Baby Ray’s 42¢, mini watermelon 88¢, Dreyer’s, Haagen Dazs or Outshine $1.38, baby back ribs $1.77/lb and Coppertone $3.99. Friday only deals are good all weekend this week with awesome deals like huge bottles of ketchup, mustard or mayo $1, Doritos $1.25 and boneless New York steaks $5/lb.
The coupon match ups are now available for Beyond! members only. The full lists for grocery stores will be available to everyone else next Monday morning. You can join here if you want to view the match ups before sales begin.</t>
  </si>
  <si>
    <t>Gina Galeana</t>
  </si>
  <si>
    <t>bargainbeliever.com</t>
  </si>
  <si>
    <t>11:50</t>
  </si>
  <si>
    <t>25.06.2019 11:51</t>
  </si>
  <si>
    <t>-Oreo
-Nutella 
-Chips Ahoy
-Milka
-Froot loops
-Ruffles
-Doritos 
-Margarina
-Algunas palomitas (revisen ingredientes) 
-Ferrero Rocher
-Kinder 
-M&amp;M
-Kit Kat 
-Snickers 
-Twix
-Haagen Dazs: Caramel biscuit cream
-Maggi: caldo de pollo, cubitos de caldo ‘Original’</t>
  </si>
  <si>
    <t>La de las flores</t>
  </si>
  <si>
    <t>Holy See</t>
  </si>
  <si>
    <t>Ватикан</t>
  </si>
  <si>
    <t>11:49</t>
  </si>
  <si>
    <t>25.06.2019 11:59</t>
  </si>
  <si>
    <t>Pure people on holiday, while the only heat I’m getting is from the dual “heat burst” Doritos after BBQ</t>
  </si>
  <si>
    <t>Gypsy Enthusiast</t>
  </si>
  <si>
    <t>Манчестер</t>
  </si>
  <si>
    <t>25.06.2019 11:50</t>
  </si>
  <si>
    <t>When you realize you're so hungry that you feel like you could throw up and that bag of doritos in the cupboard is looking awfully good right now (and it would take absolutely no effort to eat those!), but #keto... So you whip up some deviled eggs, add some bacon and cheese and just like that! Brunch! #ketolife #extremeweightloss #campingonketo</t>
  </si>
  <si>
    <t>Shanan Anderson</t>
  </si>
  <si>
    <t>Миннесота</t>
  </si>
  <si>
    <t>Нью-Лондон</t>
  </si>
  <si>
    <t>appetizer,meal,fast food,junk food,food</t>
  </si>
  <si>
    <t>11:47</t>
  </si>
  <si>
    <t>25.06.2019 11:49</t>
  </si>
  <si>
    <t>any boy born after 1996 can’t fix a car . all they know is fortnite , post a tik tok , be an eboy , vans , eat doritos and lie</t>
  </si>
  <si>
    <t>uncle phil you got to kick that mans BUTT</t>
  </si>
  <si>
    <t>11:41</t>
  </si>
  <si>
    <t>25.06.2019 11:48</t>
  </si>
  <si>
    <t>@AnaPatrcia_APRB Doritos</t>
  </si>
  <si>
    <t>Ruif3r Villarroel</t>
  </si>
  <si>
    <t>Venezuela (Bolivarian Republic of)</t>
  </si>
  <si>
    <t>Сулия</t>
  </si>
  <si>
    <t>Ciudad Ojeda</t>
  </si>
  <si>
    <t>25.06.2019 11:45</t>
  </si>
  <si>
    <t>chilli doritos and sour cream dip is a vibe</t>
  </si>
  <si>
    <t>Positive</t>
  </si>
  <si>
    <t>CHARLEY</t>
  </si>
  <si>
    <t>25.06.2019 11:44</t>
  </si>
  <si>
    <t>I put my dick in a bag of Doritos 
 and make ya bitch suck the dust off the tip</t>
  </si>
  <si>
    <t>Z From Cloud 9</t>
  </si>
  <si>
    <t>25.06.2019 11:41</t>
  </si>
  <si>
    <t>@mclomaniac cheese doritos?</t>
  </si>
  <si>
    <t>Julian</t>
  </si>
  <si>
    <t>11:40</t>
  </si>
  <si>
    <t>25.06.2019 11:40</t>
  </si>
  <si>
    <t>Nagi</t>
  </si>
  <si>
    <t>Philippines</t>
  </si>
  <si>
    <t>Булакан</t>
  </si>
  <si>
    <t>Patubig</t>
  </si>
  <si>
    <t>11:38</t>
  </si>
  <si>
    <t>25.06.2019 11:43</t>
  </si>
  <si>
    <t>I have 30 bags of Doritos 
Ignore tags
#tiktok #chocolate #foodporn #bruh  ##bruhmoment #memes #memesdaily #cringe #dankmemes #dankmeme #meme #wshhfights #funny #funnyvideos #funnyvideomemes  #funnymemes #funnymeme #ouch #painfull  #zombie #russia #mario #food #jetfuelcanmeltsteelbeams #therock #watermelon #racist #offensive #cursedimages #bang</t>
  </si>
  <si>
    <t>MyMexicanHelper.7834</t>
  </si>
  <si>
    <t>electronics</t>
  </si>
  <si>
    <t>"I believe that everything happens for a reason. People change so that you can learn to let go, things go wrong so that you appreciate them when they're right, you believe lies so you eventually learn to trust no one but yourself, and sometimes good things fall apart so better things can fall together."
TUESDAY ! 
#k69 #ksixtynine#paintball #sports #nxlpaintball #luxe #luxenation #pushpaintball #wepzn #airups #airupsangels #snake #doritos #games #win #game #playing #active #airups #player #play #sport #action #team  #hydrafit #practice #training #followyourdreams #paintball #paintballgirl #lovepaintball</t>
  </si>
  <si>
    <t>Karla69/  FITNESS ▪️PAINTBALL</t>
  </si>
  <si>
    <t>Даллас</t>
  </si>
  <si>
    <t>helmet,clothing</t>
  </si>
  <si>
    <t>race,competition</t>
  </si>
  <si>
    <t>25.06.2019 11:38</t>
  </si>
  <si>
    <t>L M</t>
  </si>
  <si>
    <t>Costa Rica</t>
  </si>
  <si>
    <t>11:37</t>
  </si>
  <si>
    <t>When you are done eating Doritos...you become a manufacturer of Poopitos! 
#TuesdayThoughts #TuesdayMotivation
Seems legit.</t>
  </si>
  <si>
    <t>Manish V♠️</t>
  </si>
  <si>
    <t>Интернешнл-Фоллс</t>
  </si>
  <si>
    <t>11:36</t>
  </si>
  <si>
    <t>natsume we ran out of doritos and mountain dew</t>
  </si>
  <si>
    <t>sora</t>
  </si>
  <si>
    <t>11:31</t>
  </si>
  <si>
    <t>25.06.2019 11:32</t>
  </si>
  <si>
    <t>I don't believe in "the 5 second rule." Floor Doritos are nature's booster shots.</t>
  </si>
  <si>
    <t>Jodi Paige</t>
  </si>
  <si>
    <t>Южная Каролина</t>
  </si>
  <si>
    <t>Колумбия</t>
  </si>
  <si>
    <t>11:29</t>
  </si>
  <si>
    <t>25.06.2019 11:42</t>
  </si>
  <si>
    <t>#vanessamerrelledits #edit #vanessamerrell #vsco #like #twinnersarewinners #family #youtube
@thepaulmerrell @vanessamerrell @veronicamerrell @merrelltwins @tigerourdog @roni.nessa.twinners @ryan._.nash @tesneem_pixie @morenabraga26 @i.am.a.ness @hopefullyness @lazyron_merrell @doritos.merrell @rhodashakira @merrell_twins_fanedits @nessasdimples @merrelltwinz_squad @themerrelltwins123 @text_story_ronron @the_french_merrell</t>
  </si>
  <si>
    <t>TWINNER</t>
  </si>
  <si>
    <t>11:28</t>
  </si>
  <si>
    <t>25.06.2019 11:30</t>
  </si>
  <si>
    <t>All right, @athenahealth!!
Hope you’re ready for this........
Heat Of The Moment-fried buffalo chicken tenders topped w/ lettuce, tomatoes, sweet pickles, truckmade ranch &amp; cool ranch Doritos dusted bacon on a cheddar jalapeño Cheetos roll!
Now dig!
Hail &amp; Grill!
.
.
.
#bostonfoodies #foodtruck #igersboston #foodtrucklife #chef #foodie #supernatural #foodgram #burger #friedchicken #igers #foodgasm #winchesterboys #foodporn #cw #asia #lunch #lunchtime
@drvictorsaidso @cw_supernatural @athenahealth @jaredpadalecki @jensenackles</t>
  </si>
  <si>
    <t>Daddy's Bonetown Burgers</t>
  </si>
  <si>
    <t>Массачусетс</t>
  </si>
  <si>
    <t>Watertown</t>
  </si>
  <si>
    <t>junk food,sandwich,fast food,fried food,food</t>
  </si>
  <si>
    <t>HEALTHIER GUACAMOLE
This honestly tastes amazing, has almost 50% less fat and is lower in calories!  Peas are pretty bland so the taste is not compromised in any way! 
INGREDIENTS (makes 2 portions - 78 cal)
 1/2 avocado
 1/2 cup boiled peas
 1/4 tomato
 1/4 small yellow onion
 Lemon juice to taste
 Salt and Pepper to taste  In a small bowl, blend together the peas and avocado until creamy.
 Add in the chopped tomato, onion, pepper, salt and lemon.
 Mix well... and ENJOY 
I am having mine with doritos cool original flavour corn chips 
#healthyrecipe #eatwell #healthyguacamole #yummy #yummyfood #doritos #cooloriginal #delicious #lowfatdiet #healthy #happygut</t>
  </si>
  <si>
    <t>Priyanka Dhanjal</t>
  </si>
  <si>
    <t>fried food,food</t>
  </si>
  <si>
    <t>11:27</t>
  </si>
  <si>
    <t>25.06.2019 11:29</t>
  </si>
  <si>
    <t>I’m Doritos she’s chips ayeeeee || #likes #views #graduation #classof2023 #congratulations</t>
  </si>
  <si>
    <t>They Call Me Hollywood Sura</t>
  </si>
  <si>
    <t>sports</t>
  </si>
  <si>
    <t>11:26</t>
  </si>
  <si>
    <t>25.06.2019 11:28</t>
  </si>
  <si>
    <t>Want to score this Limited-Edition Doritos Spidey Suit? Tell us what super power Doritos gives you using #IncognitoDoritos #Entry for the chance to win! Rules @ https://bit.ly/2MXEpdc Be sure to check out #SpiderManFarFromHome, in theaters July 2!</t>
  </si>
  <si>
    <t>RazerQT</t>
  </si>
  <si>
    <t>25.06.2019 11:27</t>
  </si>
  <si>
    <t>I’d rather eat mud than cool ranch Doritos</t>
  </si>
  <si>
    <t>Julessss</t>
  </si>
  <si>
    <t>didn’t have time to stop for breakfast so here I am eating doritos  I’m disgusted with myself.</t>
  </si>
  <si>
    <t>WUSS BIGG SAWEETIIE?</t>
  </si>
  <si>
    <t>11:24</t>
  </si>
  <si>
    <t>One time I was so drunk I called the Doritos company and suggested they sell their seasoning in little bottles for people that want extra (aka me) and they added me to an email list.</t>
  </si>
  <si>
    <t>ℂ</t>
  </si>
  <si>
    <t>11:22</t>
  </si>
  <si>
    <t>25.06.2019 11:26</t>
  </si>
  <si>
    <t>@prostatepincher @grinzszsz the Doritos one served it to me the other week and now when I see one with bubbles in it I'm "like they cooked it too hot too quick"</t>
  </si>
  <si>
    <t>Skinty</t>
  </si>
  <si>
    <t>11:21</t>
  </si>
  <si>
    <t>25.06.2019 11:22</t>
  </si>
  <si>
    <t>@zicoroen @The_CrapGamer @NextGenPlayer Bitchslapping Real like I'm bitchslapping you.
 You are a worm, nothing more nothing less. Your 24 followers agree with me, you know nothing you post charts you know nothing about and then I come and bitchslap you with facts. Now go eat some doritos and play sea of piss.</t>
  </si>
  <si>
    <t>Gib Stranding</t>
  </si>
  <si>
    <t>11:20</t>
  </si>
  <si>
    <t>25.06.2019 11:21</t>
  </si>
  <si>
    <t>Another creative ad I enjoy.
Super Bowl commercials are often great.
The Doritos and Dew commercial with Busta Rhymes and MissyElliott tracks and Peter Dinklage and Morgan Freeman as the actors was brilliant.
Well done.
#Ad #Advertising #Commercial #Commercials #Advertisement</t>
  </si>
  <si>
    <t>Ice Master</t>
  </si>
  <si>
    <t>Korea (Republic of)</t>
  </si>
  <si>
    <t>Сеул</t>
  </si>
  <si>
    <t>performance</t>
  </si>
  <si>
    <t>#SpiderManFarFromHome #Doritos</t>
  </si>
  <si>
    <t>José-Ricardo Da Costa</t>
  </si>
  <si>
    <t>food,snack</t>
  </si>
  <si>
    <t>11:19</t>
  </si>
  <si>
    <t>25.06.2019 11:24</t>
  </si>
  <si>
    <t>@Doritos #IncognitoDoritos #entry #SpiderMan The powers of being a Spider-man because Being Spider-man is better than being Spiderman #hyphensmatter</t>
  </si>
  <si>
    <t>Rolondo</t>
  </si>
  <si>
    <t>25.06.2019 11:23</t>
  </si>
  <si>
    <t>@Doritos_Mx ¡Chócala ✋ Tío Doritos®️!</t>
  </si>
  <si>
    <t>Andy Velázquez</t>
  </si>
  <si>
    <t>11:15</t>
  </si>
  <si>
    <t>25.06.2019 11:18</t>
  </si>
  <si>
    <t>Another creative ad I enjoy.
Super Bowl commercials are often great.
The Doritos and Dew commercial with Busta Rhymes and MissyElliott tracks and Peter Dinklage and Morgan Freeman as the actors was brilliant.
Well done.
#Ad #Advertising #Commercial #Commercials #Advertis…</t>
  </si>
  <si>
    <t>Ashutosh P Singh</t>
  </si>
  <si>
    <t>India</t>
  </si>
  <si>
    <t>Уттар-Прадеш</t>
  </si>
  <si>
    <t>नोएडा</t>
  </si>
  <si>
    <t>25.06.2019 11:56</t>
  </si>
  <si>
    <t>#afterclasssnack #doritos #natcho #chipndip</t>
  </si>
  <si>
    <t>MissyTries</t>
  </si>
  <si>
    <t>junk food,food,snack</t>
  </si>
  <si>
    <t>11:14</t>
  </si>
  <si>
    <t>Easy peasy , crispy , yummy .
Crispy fish/chicken with soya dip:
Beat one egg with 4 tbsp milk, dip fish fillet in some flour then egg and than in oats..yes in oats u can try out with crushed doritos too..
.
U can try out with chicken fillets too
.
Soya dip:
Take 2 hung curd( dahi ko malmal k kapry may latka dain adha ghnta and let the water drain out) add 2 tsp mustard sauce, 1 tsp black pepper and a bit soya chopped( optional) .
I do not own music its from @shawnmendes @camila_cabello
senorita
.
which recipe u want me to</t>
  </si>
  <si>
    <t>Amna's kitchenette and Blog</t>
  </si>
  <si>
    <t>Pakistan</t>
  </si>
  <si>
    <t>Синд</t>
  </si>
  <si>
    <t>لانڍي</t>
  </si>
  <si>
    <t>25.06.2019 11:15</t>
  </si>
  <si>
    <t>UHH @Doritos WHERE IS MINE???  ILL SPONSER YALL FOR LIFE IF YOU GUYS GIVE ME A SPIDER-MAN SUIT AND BACKPACK PLEASE (I’m an adult small)  #SpiderManFarFromeHome
So I got a pretty ridiculous/great package in the mail—a Doritos bag that transforms into the Black &amp; Red Spider-Man suit from #SpiderManFarFromHome.</t>
  </si>
  <si>
    <t>Johan Casal</t>
  </si>
  <si>
    <t>clothing,backpack,bag</t>
  </si>
  <si>
    <t>11:10</t>
  </si>
  <si>
    <t>25.06.2019 11:12</t>
  </si>
  <si>
    <t>KFC FAKEAWAY. If you love a zinger burger you need to try this! Chicken breast coated in egg and half a bag or chilli heatwave Doritos (3.5 syns) with chips and 1.5 syns worth of sweet chilli sauce. INSANEEEE
•
•
•
#bblogger #change #diet #channelmum #instamama #babiesofinstagram #ig_motherhood #mummyblog #weightlosstransformation #weightlossjourney #weightlosmotivation #weightloss #slimmingworld #slimmingworldfood #slimmingworldjourney #newbaby #slimmingworldfamily #slimmingworlduk #fblogger #swuk  #swukfamily #pregnancy #foodiegram #blogger #beauty #babyweight</t>
  </si>
  <si>
    <t>Jessica | jessica20something</t>
  </si>
  <si>
    <t>meal,french fries,fast food,junk food,food,fried food</t>
  </si>
  <si>
    <t>11:09</t>
  </si>
  <si>
    <t>25.06.2019 11:14</t>
  </si>
  <si>
    <t>@dori7os_fd3s looking F7LTHY all dressed In white!!
• • • • • •
@pikerphoto 
#DORI7OS #Doritos #PoweredbyDoritos #Mazda #RX7 #FDRX7 #FD3S #FD3SNation #Efini #13B #13BREW #rotary #rotaryengine #rotarypower #wankel #turbo #twinturbo #RHD #RightHandDrive #JDM #SuperStreet #F7LTHY #CandSPerformance #mazdamonday</t>
  </si>
  <si>
    <t>F7LTHY</t>
  </si>
  <si>
    <t>sky</t>
  </si>
  <si>
    <t>11:07</t>
  </si>
  <si>
    <t>Vine a seguirrrr
•
•
•
•
•
#desﬂophere #desflopforfcs #desflopsantiners #likeforlike #subforsub #sofiasantino @sofiasantino @timesantino
@sofiasantino @timesantino @separando._.feedss @_sofia_santino_fan_club_ @doritos_da_santino @a_desativada_da_santino @encantadosda_santino @always.santiners</t>
  </si>
  <si>
    <t>Sofia Santino</t>
  </si>
  <si>
    <t>11:05</t>
  </si>
  <si>
    <t>I just wanna be at a pool getting a tan, eating a sandwich w ham and spicy Doritos</t>
  </si>
  <si>
    <t>natalie ⚡️</t>
  </si>
  <si>
    <t>11:03</t>
  </si>
  <si>
    <t>25.06.2019 11:04</t>
  </si>
  <si>
    <t>im eating a party size bag of doritos and a root beer at 3am
:D</t>
  </si>
  <si>
    <t>Kenny ツ</t>
  </si>
  <si>
    <t>Бостон</t>
  </si>
  <si>
    <t>Princeton Global Asset Management LLC Buys 1,180 Shares of PepsiCo, Inc. (NASDAQ:PEP)</t>
  </si>
  <si>
    <t>.65.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</si>
  <si>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Charles Blunt</t>
  </si>
  <si>
    <t>mayfieldrecorder.com</t>
  </si>
  <si>
    <t>Mass media</t>
  </si>
  <si>
    <t>11:01</t>
  </si>
  <si>
    <t>25.06.2019 11:06</t>
  </si>
  <si>
    <t>DOLLY</t>
  </si>
  <si>
    <t>Бирмингем</t>
  </si>
  <si>
    <t>11:00</t>
  </si>
  <si>
    <t>25.06.2019 11:05</t>
  </si>
  <si>
    <t>So I got a pretty ridiculous/great package in the mail—a Doritos bag that transforms into the Black &amp; Red Spider-Man suit from #SpiderManFarFromHome.</t>
  </si>
  <si>
    <t>Dave Trumbore</t>
  </si>
  <si>
    <t>Decatur</t>
  </si>
  <si>
    <t>10:58</t>
  </si>
  <si>
    <t>25.06.2019 10:59</t>
  </si>
  <si>
    <t>My son#tomholland #beyonce #gay #spider #spiderman #fllor #hiuse #nhs #doritos #pvz #me #thesons #arianagrande #beyonce #freddy #mercury #jayden #jj #finn
@tomholland2013</t>
  </si>
  <si>
    <t>The Holy Sons</t>
  </si>
  <si>
    <t>fruit,food</t>
  </si>
  <si>
    <t>10:57</t>
  </si>
  <si>
    <t>25.06.2019 10:57</t>
  </si>
  <si>
    <t>@scamgacha THAT'S LIKE 3 TIMES MORE #WHOA #WILD #MOUNTAINDEW #DORITOS</t>
  </si>
  <si>
    <t>Stopher</t>
  </si>
  <si>
    <t>10:53</t>
  </si>
  <si>
    <t>25.06.2019 11:03</t>
  </si>
  <si>
    <t>.@Doritos give me the superpower to pass all my finals :o
#IncognitoDoritos   #entry</t>
  </si>
  <si>
    <t>EJJTM @ Regents</t>
  </si>
  <si>
    <t>Нью-Йорк</t>
  </si>
  <si>
    <t>Just cruel and unusual punishment. I almost DIED doing Insanity and he in here eating Doritos. ‍♀️ #insanityworkout #Kids #GetOutOfHereWithSnacks #imdestinedtomakeit https://www.instagram.com/p/BzIwVA3FSiW/?igshid=1qjybt5vjif9v</t>
  </si>
  <si>
    <t>Antoinette Williams</t>
  </si>
  <si>
    <t>Миссисипи</t>
  </si>
  <si>
    <t>25.06.2019 11:02</t>
  </si>
  <si>
    <t>Doritos and coffee was a stupid combo. What the fuck is wrong with me? My breath could kill a person.</t>
  </si>
  <si>
    <t>Noah Mac</t>
  </si>
  <si>
    <t>France</t>
  </si>
  <si>
    <t>Иль-де-Франс</t>
  </si>
  <si>
    <t>Quincy-Voisins</t>
  </si>
  <si>
    <t>@niallwhyp_ Mix, solo por los Doritos</t>
  </si>
  <si>
    <t>Jime</t>
  </si>
  <si>
    <t>25.06.2019 10:56</t>
  </si>
  <si>
    <t>@SentinelHQ The winners are: Space Raiders... Doritos... Walkers... Wotsits.</t>
  </si>
  <si>
    <t>Plumbingwerx</t>
  </si>
  <si>
    <t>Лондон</t>
  </si>
  <si>
    <t>10:52</t>
  </si>
  <si>
    <t>If You're Cheating While Playing'Pokémon GO' Prepare For A Permanent Ban</t>
  </si>
  <si>
    <t>We all knew this day would come. Every since everyone started taking the piss with bots and the like, we had to know that the gravy train was soon going to stop.
To be fair, it's a game with the sole intention of getting you out and about in the world rather than sitting on your arse powerdrinking Red Bull and eating Doritos. Well, I guess it also wants to make money but let's ignore that for a second.
Anyway, Niantic (the people behind the game) are putting their collective feet down and sending a clear message to cheaters - fuck off</t>
  </si>
  <si>
    <t>Mel Ramsay</t>
  </si>
  <si>
    <t>theladbible.com</t>
  </si>
  <si>
    <t>British Royals Criticized for Rising Expenses, Cost of Harry and Meghan's Renovations</t>
  </si>
  <si>
    <t>I am sure you can get your money back and get a bag of Doritos instead.</t>
  </si>
  <si>
    <t>Bonobochick</t>
  </si>
  <si>
    <t>pajiba.com</t>
  </si>
  <si>
    <t>Pajiba</t>
  </si>
  <si>
    <t>10:48</t>
  </si>
  <si>
    <t>25.06.2019 10:49</t>
  </si>
  <si>
    <t>@TaReefKnockOut @callmehuie You still sleeping on them fam? You gotta get right. It'll change your Doritos ranking lol</t>
  </si>
  <si>
    <t>Henry</t>
  </si>
  <si>
    <t>Честер</t>
  </si>
  <si>
    <t>10:46</t>
  </si>
  <si>
    <t>25.06.2019 10:46</t>
  </si>
  <si>
    <t>POCKY SAMA HELLO PANDA MANA CIKINYA
Top 5 ciki indoma*ret :
- Hello panda
- Mie enaaaak
- Doritos
- Pocky
- Lays</t>
  </si>
  <si>
    <t>Ares.</t>
  </si>
  <si>
    <t>10:45</t>
  </si>
  <si>
    <t>Aulion</t>
  </si>
  <si>
    <t>Old Town</t>
  </si>
  <si>
    <t>Tunerfest 2019
#mazda #rx7 #brandshatch #tunerfest #sakuramedia #doritos</t>
  </si>
  <si>
    <t>Fawkham</t>
  </si>
  <si>
    <t>10:44</t>
  </si>
  <si>
    <t>25.06.2019 10:47</t>
  </si>
  <si>
    <t>@BryanM_KVUE @YvonneN_KVUE Don’t do it often but it actually is good. The salt and crunch really give the sandwich extra “zip”. Plain Lays and Doritos are best.</t>
  </si>
  <si>
    <t>I Watch VHS</t>
  </si>
  <si>
    <t>Остин</t>
  </si>
  <si>
    <t>10:39</t>
  </si>
  <si>
    <t>25.06.2019 10:40</t>
  </si>
  <si>
    <t>Top 5 ciki indoma*ret :
- Hello panda
- Mie enaaaak
- Doritos
- Pocky
- Lays</t>
  </si>
  <si>
    <t>Aina.</t>
  </si>
  <si>
    <t>25.06.2019 10:44</t>
  </si>
  <si>
    <t>‘ bateu aquela fome ! vai um  @doritosbrasil aí. #pride ✨.
.
.
#GoodMorning #rainbow #Brazil #SP #realizado #IphoneSE #instasize #instahappy #instacool #instashot #InstaTags #men #cuteboy #coolboy #handsome #boy #amazing #moment #niceboy #beautiful #photooftheday #picture #itboy #boycute #goodvibes #gaysp #gayhot #gay #instagay
@doritos @doritosbrasil</t>
  </si>
  <si>
    <t>☀️     Felipe Santos</t>
  </si>
  <si>
    <t>Brazil</t>
  </si>
  <si>
    <t>Сан-Паулу</t>
  </si>
  <si>
    <t>10:38</t>
  </si>
  <si>
    <t>street food from León (my city) some Mexicans from other regions  will found them really weird until they try them). “Gus” is the name of the must popular ones and I love that is super clean, in recent years they added Doritos to the recipe (I prefer the original ones ). .
Do you like street food from your city ?  #bourdainday #streetfood .
.
.
.
.
.
.
.
#simpsons #muralart #streetfood #popculture #leonguanajuato #mexicanculture #culturetrip #doyoutravel #acolorstory #springfield #sheisnotlost #letsflyawayto #streetart #latinablogger</t>
  </si>
  <si>
    <t>Susy Ayala ✨ Travel</t>
  </si>
  <si>
    <t>Mexico</t>
  </si>
  <si>
    <t>Гуанахуато</t>
  </si>
  <si>
    <t>Леон</t>
  </si>
  <si>
    <t>10:34</t>
  </si>
  <si>
    <t>25.06.2019 10:38</t>
  </si>
  <si>
    <t>I lost track of how many days I've been keto. I've lost weight, I get less brain fog, I'm pushing harder at the gym...but there's a bag of Doritos sitting on the office snack table a few feet away from me and I can't eat it. I'm healthier and happier...but at what cost</t>
  </si>
  <si>
    <t>julz</t>
  </si>
  <si>
    <t>Canada</t>
  </si>
  <si>
    <t>10:31</t>
  </si>
  <si>
    <t>25.06.2019 10:41</t>
  </si>
  <si>
    <t>@Doritos  #IncognitoDoritos #Entry  superpower of invisibility</t>
  </si>
  <si>
    <t>me</t>
  </si>
  <si>
    <t>10:30</t>
  </si>
  <si>
    <t>25.06.2019 10:31</t>
  </si>
  <si>
    <t>Sir....you had Voodoo chips to remind you this morning, and you haven’t deleted this blatant lie?
Nacho Cheese Doritos are the greatest chips on this planet</t>
  </si>
  <si>
    <t>suit,clothing</t>
  </si>
  <si>
    <t>business,news,conversation,television program,presentation,official,speech</t>
  </si>
  <si>
    <t>10:29</t>
  </si>
  <si>
    <t>25.06.2019 10:34</t>
  </si>
  <si>
    <t>it is done, as promised
#ultrarare #smug #smugface #animesmug #animeaccout #anime_girl #animewaifus #animeladies #animegirls #anime #waifu4laifu #waifus #ahegaowaifu #ecchihentai #ecchiboy #degenerates #degenerate #otaku #weebstuff #weeb #weeaboo #sexy #yes #yeah #thisisit #rarememes #coolranch #doritosgirl #doritos</t>
  </si>
  <si>
    <t>why am i here</t>
  </si>
  <si>
    <t>fictional character</t>
  </si>
  <si>
    <t>doritos or working out at the gym.
-
Might as well make the most of it!!
-
COMMENT below if you’re making it happen this week!
-
-
-
-
#easywins #motivation #healthyeating #mondaymotivation #motivationmonday #nutritiontips #nutritioncoach #diet #mealprep #macros #macrocounting #iifym #iifymgirls #jennycraig #carbs #zonediet #carbs #paleo #weightwatchers #weightwatchers #jennycraig #seattlefitness #flexibledieting #cleaneating #weightloss #fatloss #fatlosshelp #fatlossjourney</t>
  </si>
  <si>
    <t>Lisa Brown</t>
  </si>
  <si>
    <t>document</t>
  </si>
  <si>
    <t>10:28</t>
  </si>
  <si>
    <t>Just found these tasty Japanese sour cream and onion Doritos which are available for a limited time at #napajapan We also just restocked some other popular Frito Lay Japan snacks so please come by to check them out! Thanks☺ #Doritos #doritosjapan #japanesedoritos #fritolayjapan #fritolay #sourcreamonion #sourcreamandonion #sourcreamandoniondoritos #munchies #japanesesnacks #japanesetreats #japanesecandy #savory #sourcream #onion #limitededition #ilovejapan</t>
  </si>
  <si>
    <t>J-San at napaJapan</t>
  </si>
  <si>
    <t>convenience food,fast food,junk food,snack,food</t>
  </si>
  <si>
    <t>@doritos</t>
  </si>
  <si>
    <t>gucci king</t>
  </si>
  <si>
    <t>10:24</t>
  </si>
  <si>
    <t>Yeah, burnt Doritos are real delicious  @doritos #doritos
@doritos</t>
  </si>
  <si>
    <t>Bonnie</t>
  </si>
  <si>
    <t>fried food,fast food,junk food,food,snack</t>
  </si>
  <si>
    <t>25.06.2019 10:28</t>
  </si>
  <si>
    <t>How about.... Doritos for nachos instead of tortilla chips</t>
  </si>
  <si>
    <t>Isaac Ward</t>
  </si>
  <si>
    <t>10:19</t>
  </si>
  <si>
    <t>25.06.2019 10:26</t>
  </si>
  <si>
    <t>debra applegate</t>
  </si>
  <si>
    <t>Норидж</t>
  </si>
  <si>
    <t>10:18</t>
  </si>
  <si>
    <t>25.06.2019 10:23</t>
  </si>
  <si>
    <t>top 4 lines in Ed Sheeran's "Galway Girl":
1. "never heard Carrickfergus ever sung so sweet"
2. "She asked me, 'What does it mean, the Gaelic ink on your arm?'"
3. "they put Van on the jukebox, got up to dance"
4. "...she took me inside to finish some Doritos..."</t>
  </si>
  <si>
    <t>Keith Harris</t>
  </si>
  <si>
    <t>25.06.2019 10:24</t>
  </si>
  <si>
    <t>KARDEŞİMLE BİRLİKTE ACI DORİTOS CEZALI GÜLMEME CHALLENGE</t>
  </si>
  <si>
    <t>KARDEŞİMLE BİRLİKTE ACI DORİTOS CEZALI GÜLMEME CHALLENGE
EVET ARKADAŞLAR BU VİDEOADA KARDEŞİMİ 4-0 YENDİM GÜZEL BİR GÜLMEME CHALLENGE OLDU</t>
  </si>
  <si>
    <t>Arda Çetinkaya</t>
  </si>
  <si>
    <t>10:17</t>
  </si>
  <si>
    <t>25.06.2019 10:32</t>
  </si>
  <si>
    <t>Jonathan Bernstein</t>
  </si>
  <si>
    <t>Канзас</t>
  </si>
  <si>
    <t>Манхэттен</t>
  </si>
  <si>
    <t>Eating Doritos might not have been the best decision before I go talk to these folks lol</t>
  </si>
  <si>
    <t>ʝαуy</t>
  </si>
  <si>
    <t>10:16</t>
  </si>
  <si>
    <t>Game changer if you miss Doritos. Stay tuned for my Quest chip review on several flavors. Check out my YouTube channel. https://www.youtube.com/channel/UCnRbA9sIMZ5NJDsVrgy0L4Q
#questchips #nachos #keto #weightloss https://www.instagram.com/p/BzIsBkmg00L/?igshid=1uuxasctk6ijz</t>
  </si>
  <si>
    <t>Burnt Ginger</t>
  </si>
  <si>
    <t>Теннесси</t>
  </si>
  <si>
    <t>Ноксвилл</t>
  </si>
  <si>
    <t>10:15</t>
  </si>
  <si>
    <t>Game changer if you miss Doritos. Stay tuned for my Quest chip review on several flavors. Check out my YouTube channel. https://www.youtube.com/channel/UCnRbA9sIMZ5NJDsVrgy0L4Q
#questchips #nachos #keto #weightloss</t>
  </si>
  <si>
    <t>Jeanna M</t>
  </si>
  <si>
    <t>10:14</t>
  </si>
  <si>
    <t>Doritos chaleng (leer desc</t>
  </si>
  <si>
    <t>Doritos chaleng (leer desc
No hay parte 2</t>
  </si>
  <si>
    <t>Victor _XL9</t>
  </si>
  <si>
    <t>10:13</t>
  </si>
  <si>
    <t>25.06.2019 10:14</t>
  </si>
  <si>
    <t>controls.
PREP WITH WILLPOWER: Make your decisions when you still have willpower. Steer clear of the snack aisle so that you don’t have to resist the Doritos during your afternoon slump. Stick your gym clothes in your bag the night before you’re going to hit the gym.
REMINDERS: A “good old” reminder on your phone or a sticky note on your mirror may be the only thing you need to keep up with your habit. Place floss next to your toothbrush, if daily flossing is the habit you want to work on.
Task: Pick one thing you can do to make your habit</t>
  </si>
  <si>
    <t>Jenna</t>
  </si>
  <si>
    <t>tree,flower,plant</t>
  </si>
  <si>
    <t>I didn't realize how niche video games were until I got a job</t>
  </si>
  <si>
    <t>not hard to make friends when you're with other people.
I love videogames, but it's the same way I love Doritos and weed. I know they're bad. I know. I just don't care. At least sometimes. Sometimes I look at my videogame collection and think of the nose job I could have had with the money I spent on it, or the loves and friends I could have made, or the new things I could have learned and I cry a little bit. Click to expand... Click to shrink... Yea, what you said may sound harsh, especially for people in a dedicated gaming forum, but I think this nails how non-gamers see gaming.</t>
  </si>
  <si>
    <t>60fps</t>
  </si>
  <si>
    <t>resetera.com</t>
  </si>
  <si>
    <t>Gaming Forum | ResetEra</t>
  </si>
  <si>
    <t>Forum</t>
  </si>
  <si>
    <t>10:10</t>
  </si>
  <si>
    <t>25.06.2019 10:10</t>
  </si>
  <si>
    <t>Doritos or Budweiser always have the best commercials...overall...Geico continues to be the worse</t>
  </si>
  <si>
    <t>“i cant breathe” Out now</t>
  </si>
  <si>
    <t>Ecuador</t>
  </si>
  <si>
    <t>Гуаяс</t>
  </si>
  <si>
    <t>Texas</t>
  </si>
  <si>
    <t>10:08</t>
  </si>
  <si>
    <t>25.06.2019 10:09</t>
  </si>
  <si>
    <t>#DesbloqueemosElAmor con besitos sabor Doritos® Rainbow, ¿va?</t>
  </si>
  <si>
    <t>Fer Bondoni</t>
  </si>
  <si>
    <t>Ciudad de México</t>
  </si>
  <si>
    <t>Мехико</t>
  </si>
  <si>
    <t>10:06</t>
  </si>
  <si>
    <t>25.06.2019 10:07</t>
  </si>
  <si>
    <t>Interim General Secretary of the USSA</t>
  </si>
  <si>
    <t>25.06.2019 10:11</t>
  </si>
  <si>
    <t>New Logo and Identity for MAIF by W Agency</t>
  </si>
  <si>
    <t>If Doritos "literally pivoted" to insurance.</t>
  </si>
  <si>
    <t>Richie Beefwaffle</t>
  </si>
  <si>
    <t>underconsideration.com</t>
  </si>
  <si>
    <t>Brand New</t>
  </si>
  <si>
    <t>Бингемптон</t>
  </si>
  <si>
    <t>10:05</t>
  </si>
  <si>
    <t>25.06.2019 12:17</t>
  </si>
  <si>
    <t>Barcelona’s famed academy La Masia is in bad shape. Fewer players make it to first team, top talents leave for rivals every summer, President Bartomeu’s Masia 360 strategy from 2016 has already failed, academy areas for kids have turned into offices, the</t>
  </si>
  <si>
    <t>“Mes que un club” we also serve Doritos to our shitty players!</t>
  </si>
  <si>
    <t>rodfernandes</t>
  </si>
  <si>
    <t>reddit.com</t>
  </si>
  <si>
    <t>The back page of the internet</t>
  </si>
  <si>
    <t>10:00</t>
  </si>
  <si>
    <t>My R8 runs on Doritos, Beer, and Newports
Follow the team! 
@michelinusa
@xpeltech 
@carnucopia
@stillnahrich 
@bmw_mg_f82
@c2kmotorsports
@amguice
@darkknightm4
@omgt3
@gabe.design
@darksidem4
@munichmonster
@thecur8tor
@marvelous_d_s550
@dubsesd
@kleaperm3
@yasinparadise
@luvmybluesbb
@erikdietz
@vaderdriven
@f10m5er
@tanzanitemonster
@shannmcintosh
@omgt3 @sheepeyrace @detailersdomain @importdps @rome_staylow @life_of_danielh @stillnahrich @carnucopia @amguice @yasinparadise @tunertheory @f10m5er @stormtrooper_f80 @ar_motorwerkz @sheepeyexotics</t>
  </si>
  <si>
    <t>@tunertheory</t>
  </si>
  <si>
    <t>Лафкин</t>
  </si>
  <si>
    <t>machine,car,vehicle</t>
  </si>
  <si>
    <t>motorsport,transport</t>
  </si>
  <si>
    <t>How to Solve Your Biggest Summer Problems</t>
  </si>
  <si>
    <t>properties that help clean the grill! Lighter Fluid Substitution
If you run out of lighter fluid, you can use sugar instead. Something else that works well? Doritos. Keep Burgers from Breaking Up
Do your burgers fall apart on the grill? Keep this from happening by simply sticking burger patties in the freezer for 5 minutes before throwing them on the grill. For a Guacamole Emergency!
If you bought a whole bunch of avocados for your guacamole and one or two are still not ripe enough to use, try this tip—which isn’t ideal, but will do the trick</t>
  </si>
  <si>
    <t>Tue, 25 Jun 2019 10:00:02 -0400</t>
  </si>
  <si>
    <t>quickanddirtytips.com</t>
  </si>
  <si>
    <t>09:55</t>
  </si>
  <si>
    <t>25.06.2019 09:59</t>
  </si>
  <si>
    <t>Y’all that extra chicken sandwich w/ the large fry w/ a large ice cream on the side followed by a half dozen of cookies chased by some flamin hot Doritos topped off with some sour gummi worms really caught up to me over the years. Who would’ve thought?</t>
  </si>
  <si>
    <t>82%</t>
  </si>
  <si>
    <t>25.06.2019 10:00</t>
  </si>
  <si>
    <t>@Doritos #IncognitoDoritos#Entry my superpower uncontrollable eating power</t>
  </si>
  <si>
    <t>jsskeeter1</t>
  </si>
  <si>
    <t>09:53</t>
  </si>
  <si>
    <t>25.06.2019 09:57</t>
  </si>
  <si>
    <t>Skater girl
•
•
•
#purple #styleinspo #stylish #doritos #marshall #busy #vans #checkered #cute #vintage #vintageclothing #lookbook #80s #80sfashion</t>
  </si>
  <si>
    <t>09:51</t>
  </si>
  <si>
    <t>25.06.2019 10:33</t>
  </si>
  <si>
    <t>Day #2:
Salsa Verde Doritos
Verdict: 
Flavorful and rewarding... captures that slightly underripe bite of a tomatillo with a slight Cool Ranch undertone.</t>
  </si>
  <si>
    <t>Man With A Spleen</t>
  </si>
  <si>
    <t>fast food,junk food,snack,food</t>
  </si>
  <si>
    <t>09:46</t>
  </si>
  <si>
    <t>25.06.2019 09:47</t>
  </si>
  <si>
    <t>One day we're just like "Leave it to Beaver"
One day it's just a typical life
And then he's off on
A trip to Jamie-land
Staring catatonic out the window
Barely even breathing all the while
And then he'll smile
His eyes light up and deep within the ground
Without a sound
A moment comes to life
And I'm a part of that
I'm a part of that
I'm a part of that
Next day it's just like
It never happened
We're making dinners
We're making plans
Then he gets on the
Mule train to Jamie-land
Handful after handful of Doritos
Circling the apartment, logging</t>
  </si>
  <si>
    <t>˗ˋˏ ! ˎˊ˗</t>
  </si>
  <si>
    <t>teddy bear,toy</t>
  </si>
  <si>
    <t>Underrated opinions: snacks version
Me: LAYS SUPERESTIMADO, DORITOS MAIOR E MELHOR</t>
  </si>
  <si>
    <t>hele cONSEGUIU</t>
  </si>
  <si>
    <t>Ньюфаундленд и Лабрадор</t>
  </si>
  <si>
    <t>Heart's Delight-Islington</t>
  </si>
  <si>
    <t>event</t>
  </si>
  <si>
    <t>09:45</t>
  </si>
  <si>
    <t>25.06.2019 12:01</t>
  </si>
  <si>
    <t>KUSHA at home , came by to say hi  this morning, probably means she’s pregnant again ‍♂️ she comes and bulks up with almonds and Cool Ranch Doritos  @cammiebayy  #squirrelsquad #furchildren</t>
  </si>
  <si>
    <t>Skip  Sampson</t>
  </si>
  <si>
    <t>plant,cat</t>
  </si>
  <si>
    <t>25.06.2019 09:50</t>
  </si>
  <si>
    <t>PepsiCo (PEP) Up 27% In Six Months: Will The Momentum Last?</t>
  </si>
  <si>
    <t>%.
Let’s take a closer look at the aspects driving this Zacks Rank #2 (Buy) stock.
Snacking Category: Key Catalyst
PepsiCo has the competitive advantage of selling both snacks and beverages, which are complementary food categories. The complementary portfolio results in cost leverage, capability sharing, cross-category promotions and other commercial benefits. Notably, the company holds the number one position in the global snacks market with popular brands like Doritos, Cheetos and Lay’s. Just over half of PepsiCo's sales come from snacks</t>
  </si>
  <si>
    <t>Davide Campari</t>
  </si>
  <si>
    <t>investing.com</t>
  </si>
  <si>
    <t>Turkey</t>
  </si>
  <si>
    <t>sign</t>
  </si>
  <si>
    <t>09:44</t>
  </si>
  <si>
    <t>25.06.2019 09:51</t>
  </si>
  <si>
    <t>Big Gay</t>
  </si>
  <si>
    <t>09:43</t>
  </si>
  <si>
    <t>25.06.2019 09:45</t>
  </si>
  <si>
    <t>Put your Spidey-Sense to the test with our Doritos Spidey-Sense Challenge game. Play now at http://bit.ly/2J1decm, and see #SpiderManFarFromHome in theaters July 2.</t>
  </si>
  <si>
    <t>히찌피치️</t>
  </si>
  <si>
    <t>symmetry</t>
  </si>
  <si>
    <t>09:42</t>
  </si>
  <si>
    <t>25.06.2019 09:43</t>
  </si>
  <si>
    <t>@BenCartlidge80
The WOW item at Thursday's home opener is the 2-Foot-Long Doritos Mac and Cheese Dog 
#RNation #LetErRip</t>
  </si>
  <si>
    <t>Dan McKee</t>
  </si>
  <si>
    <t>Stoke</t>
  </si>
  <si>
    <t>09:41</t>
  </si>
  <si>
    <t>25.06.2019 09:46</t>
  </si>
  <si>
    <t>That Doritos hack. 
11 ridiculously smart car camping hacks https://driving.ca/features/feature-story/11-ridiculously-smart-car-camping-hacks?utm_term=Autofeed&amp;utm_medium=Social&amp;utm_source=Twitter#Echobox=1561468296</t>
  </si>
  <si>
    <t>HWMcNewbie</t>
  </si>
  <si>
    <t>plant,soil,tree,vehicle</t>
  </si>
  <si>
    <t>grass</t>
  </si>
  <si>
    <t>25.06.2019 09:41</t>
  </si>
  <si>
    <t>@EXOSuportBR @weareoneEXO My #TeenChoice for #ChoiceInternationalArtist is EXO @weareoneEXO Doritos</t>
  </si>
  <si>
    <t>Silvielly</t>
  </si>
  <si>
    <t>Мараньян</t>
  </si>
  <si>
    <t>Сан-Луис</t>
  </si>
  <si>
    <t>09:33</t>
  </si>
  <si>
    <t>DORITOS</t>
  </si>
  <si>
    <t>DORITOS
Check my cartoon animation made with #flipaclip</t>
  </si>
  <si>
    <t>Smart Tart</t>
  </si>
  <si>
    <t>09:32</t>
  </si>
  <si>
    <t>25.06.2019 09:58</t>
  </si>
  <si>
    <t>1 @mountaindew 20 oz. + 1 @doritos single serve = $2 for #twosday! Now that’s some math we can get behind. #snackattack #savings #goforgomart</t>
  </si>
  <si>
    <t>Go Mart</t>
  </si>
  <si>
    <t>25.06.2019 09:35</t>
  </si>
  <si>
    <t>Gino Medina</t>
  </si>
  <si>
    <t>25.06.2019 10:04</t>
  </si>
  <si>
    <t>Kyle Richards Explains Why She Wasn’t Surprised Lisa Vanderpump Quit the RHOBH, Plus She Dishes on Upcoming Reunion and Her Potential Season 10 Return</t>
  </si>
  <si>
    <t>I wonder if Vyle has already been iced out from the A-list crowd in Beverly Hills and Bel Air etc. and she’s stuck with social climbing gossip rag D-listers.  She does try too hard - she’s just a shallow gossiping conspicuous consumer.  It’s interesting except for LVP, Mohammed and Adrienne the current crop of houses don’t seem to compare with the properties being shown in Million $ Listings LA.  Well the 2 Brits trying to sell Doritos and PK’s house worked for Mauricio’s firm.  From what I remember the properties they were showing weren’t in the same range as the other houses on that show.  They often had to team up with the other brokers for the more impressive houses.  Maybe that’s an indicator for how well The Agency was doing.  It’ll be interesting to see what they’re selling on the new season of that show.</t>
  </si>
  <si>
    <t>LeftyRighty</t>
  </si>
  <si>
    <t>realityblurb.com</t>
  </si>
  <si>
    <t>Realityblurb</t>
  </si>
  <si>
    <t>25.06.2019 09:32</t>
  </si>
  <si>
    <t>M a r t i n a</t>
  </si>
  <si>
    <t>09:31</t>
  </si>
  <si>
    <t>See the Doritos bag and all trash near his bed while he just waits patiently for his moms to come home. I hope you had a nice breakfast Sam.</t>
  </si>
  <si>
    <t>♛</t>
  </si>
  <si>
    <t>Cameroon</t>
  </si>
  <si>
    <t>Северный регион</t>
  </si>
  <si>
    <t>You</t>
  </si>
  <si>
    <t>table,furniture,floor</t>
  </si>
  <si>
    <t>interior design,room</t>
  </si>
  <si>
    <t>09:30</t>
  </si>
  <si>
    <t>25.06.2019 09:39</t>
  </si>
  <si>
    <t>The other day Pete found a bag of Doritos on his hood as sabotage towards his Summer Meltdown Challenge... well the other day it looks like the weight loss gods took pity on Brad because his car only had a note and a big head of lettuce to which he quickly ate most of. Way to go!</t>
  </si>
  <si>
    <t>Peak Fitness</t>
  </si>
  <si>
    <t>car,vehicle</t>
  </si>
  <si>
    <t>25.06.2019 09:36</t>
  </si>
  <si>
    <t>The other day Pete found a bag of Doritos on his hood as sabotage towards his Summer Meltdown Challenge... well the other day it looks like the weight loss gods took pity on Brad because his car only had a note and a big head of lettuce to which he quickly ate most of. Way to take one for the team!!!     #weightloss #miramichi #fun #healthy #summermeltdown #peakfitness #fitness</t>
  </si>
  <si>
    <t>Community</t>
  </si>
  <si>
    <t>Нью-Брансуик</t>
  </si>
  <si>
    <t>Miramichi</t>
  </si>
  <si>
    <t>09:29</t>
  </si>
  <si>
    <t>25.06.2019 09:33</t>
  </si>
  <si>
    <t>If you’re a fan of pickles, then you’ll love this “Kinda Big Dill” Pizza @qc.pizza! It has a base layer of delicious garlic dill sauce, homemade Canadian bacon (made special for them and smoked for 48 hours), a layer of fresh pickles, lots of mozzarella cheese, another layer of pickles, and topped with fresh dill! It sounds unusual but it’s so good! Don’t knock it until you try it! Also shown in the video is the Bar Snack Pizza (made with beef sticks, cheese curds, and honey roasted peanuts) and Taco Pizza (topped with @doritos Taco flavored</t>
  </si>
  <si>
    <t>Lil Miss Foodie</t>
  </si>
  <si>
    <t>Матомидай</t>
  </si>
  <si>
    <t>food</t>
  </si>
  <si>
    <t>25.06.2019 09:29</t>
  </si>
  <si>
    <t>Finally, I can actually swim in water. -
-
-
-
#meme #memes #funny #lol #puppet #shark #sharkpuppet #haha #funnymemes #offensivememes #epic #epicmemes #music #tiktok #water #lakehouse #fortnite #fortnitememes #victoryroyale #cats #dogs #doggo #catto #pringles #doritos #hahaha #</t>
  </si>
  <si>
    <t>Shark</t>
  </si>
  <si>
    <t>vacation,horizon,sky,water,ocean,beach</t>
  </si>
  <si>
    <t>09:28</t>
  </si>
  <si>
    <t>25.06.2019 11:16</t>
  </si>
  <si>
    <t>Do you participate in Taco Tuesday? We do a version of it and usually make Doritos nachos instead! We layer Spicy Nacho Doritos with taco meat and cheese. We like them plain but you can throw whatever toppings on that you’d like too!</t>
  </si>
  <si>
    <t>Jaley</t>
  </si>
  <si>
    <t>09:26</t>
  </si>
  <si>
    <t>25.06.2019 09:31</t>
  </si>
  <si>
    <t>I don’t do well baking on the beach for too long but I’m really enjoying this while I eat my weight in Doritos and milka ☀️
.
.
.
#malagueta #beachreads #sunningmyself #currentlyreading #anamericanmarriage #malaga #playa</t>
  </si>
  <si>
    <t>Harriet</t>
  </si>
  <si>
    <t>Андалусия</t>
  </si>
  <si>
    <t>Малага</t>
  </si>
  <si>
    <t>09:24</t>
  </si>
  <si>
    <t>25.06.2019 09:24</t>
  </si>
  <si>
    <t>I told them at work I had dinner Saturday night with a chick who looked like Erin Gray. I didn’t say I ate Doritos in my pajamas while watching a #Silver Spoons marathon. #vss365</t>
  </si>
  <si>
    <t>Lɪʙʙʏ Dᴏʏʟᴇ</t>
  </si>
  <si>
    <t>Пенсильвания</t>
  </si>
  <si>
    <t>Филадельфия</t>
  </si>
  <si>
    <t>beauty</t>
  </si>
  <si>
    <t>25.06.2019 10:13</t>
  </si>
  <si>
    <t>What monster (doritos) you like #doritos#godzillakingofthemonsters#godzillakingofthemonsters</t>
  </si>
  <si>
    <t>Michael Thomas Alexander</t>
  </si>
  <si>
    <t>09:23</t>
  </si>
  <si>
    <t>Súper loncheras para las meriendas o esos antojos #meriendas #loncheras #antojitos #doritos #chucherias #papas</t>
  </si>
  <si>
    <t>Detodito</t>
  </si>
  <si>
    <t>Столичный округ</t>
  </si>
  <si>
    <t>Каракас</t>
  </si>
  <si>
    <t>09:22</t>
  </si>
  <si>
    <t>25.06.2019 09:22</t>
  </si>
  <si>
    <t>#tacos #food #fastfood #spicy #hotfood #photographer #eat #mexico #mayonaise #katchup # # #doritos</t>
  </si>
  <si>
    <t>Aziz Zina</t>
  </si>
  <si>
    <t>Tunisia</t>
  </si>
  <si>
    <t>قبلي</t>
  </si>
  <si>
    <t>قصر غيلان</t>
  </si>
  <si>
    <t>sandwich,appetizer,meal,junk food,fast food,food</t>
  </si>
  <si>
    <t>09:21</t>
  </si>
  <si>
    <t>25.06.2019 09:28</t>
  </si>
  <si>
    <t>Todos estos Doritos+Netflix+cerveza .. no se piensalo.</t>
  </si>
  <si>
    <t>Gonzalo.</t>
  </si>
  <si>
    <t>Argentina</t>
  </si>
  <si>
    <t>Буэнос-Айрес</t>
  </si>
  <si>
    <t>shoe,clothing</t>
  </si>
  <si>
    <t>@photos_vatrina_ #photos_vatrina_ #photography #photographer #photoshootideas #foodies #doritos #cheezein
@photos_vatrina_</t>
  </si>
  <si>
    <t>Photos</t>
  </si>
  <si>
    <t>fast food,sweetness,confectionery,convenience food,junk food,food,snack</t>
  </si>
  <si>
    <t>09:17</t>
  </si>
  <si>
    <t>Voy a salir CON LO FEO QUE ESTÁ solo para comer Doritos</t>
  </si>
  <si>
    <t>Viki Lacuesta</t>
  </si>
  <si>
    <t>Uruguay</t>
  </si>
  <si>
    <t>Монтевидео</t>
  </si>
  <si>
    <t>25.06.2019 09:19</t>
  </si>
  <si>
    <t>Are there any ladies out there who are finding themselves feeling meh this week  Finding it hard to focus and distracted easily 
Self doubt creeping in and confidence decreasing.... 
Girls I’m feeling you!
My coping strategies when I feel like this:
Journaling ✅
Yoga ✅
Running ✅
Normally one or a combination of these do the trick, but this week nope  
You know what did....
Dancing in my room to my favourite songs whilst eating my favourite Doritos 
Let me know what you beautiful women do during this time  #laughingandcrying #struggleweek #feelingallthefeels</t>
  </si>
  <si>
    <t>Kaitlyn Elise</t>
  </si>
  <si>
    <t>Winterburn</t>
  </si>
  <si>
    <t>junk food,food</t>
  </si>
  <si>
    <t>09:16</t>
  </si>
  <si>
    <t>25.06.2019 09:17</t>
  </si>
  <si>
    <t>Nerf this and Love dva!! .
.
.
#dva #hanasong #games #overwatchdvacosplay #overwatch #anime #manga #ps4 #omnic #dvacosplay #cosplay #cosplaydva #doritos #ahegaoface #aheago #ahegaovideo #emmacosplay #thepromisedneverland</t>
  </si>
  <si>
    <t>16 |  cosplayerin |</t>
  </si>
  <si>
    <t>09:15</t>
  </si>
  <si>
    <t>11 ridiculously smart car camping hacks</t>
  </si>
  <si>
    <t>you’ve got little people, cut up into dish towels or used to create shade when attached to surrounding trees and vehicles with sturdy clips.
Don’t be that sucker who spends a bunch of cash at the truck stop on an overpriced, plastic-wrapped fire starter. Instead, dip into the Doritos stash to get your campfire going. These corn chips are surprisingly flammable and their oily ingredients will get your kindle burning in no time.
If you’ve got kids of a certain age, you may have a surplus of foam puzzle pieces in a playroom. Assemble a bunch of them</t>
  </si>
  <si>
    <t>Lorraine Complains, More Columns, Hyundai Elantra</t>
  </si>
  <si>
    <t>driving.ca</t>
  </si>
  <si>
    <t>table,box</t>
  </si>
  <si>
    <t>09:14</t>
  </si>
  <si>
    <t>ÜRÜN ADI: Doritos Dip Pas
SATIN ALINAN YER: Macrocenter (Aqua Florya Awm)
Yeni nesil doritos dippass lari denediniz mi ?
Nefis Mexicana Salsa Dip Sos Mu?
Nefis Hot Spicy Dip Sos Mu?
Yeni nesil doritos dippass larda. Hangisini begendin 
Bizim tercihimiz Nefis Hot spicy dip sos oldu... #dippas #doritos #doritosdippas #macrocenter #florya #aquaflorya #hotspicy #mexicana #salsasos #cips #fastfood #aburcubur #yenilezzetler34</t>
  </si>
  <si>
    <t>yenilezzetler</t>
  </si>
  <si>
    <t>meal,snack,junk food,food,fast food</t>
  </si>
  <si>
    <t>25.06.2019 09:15</t>
  </si>
  <si>
    <t>Truly Sickening
But in all seriousness if you believe this is a real thing take a walk and reevaluate your priorities.
#shitpost #comedy #joke #gamers #videogames #doritos #mountaindew #piñata #sarcasm #humor #gamersriseup</t>
  </si>
  <si>
    <t>Ricky</t>
  </si>
  <si>
    <t>09:04</t>
  </si>
  <si>
    <t>25.06.2019 09:08</t>
  </si>
  <si>
    <t>For the first 20+ years of my life I was COMPLETELY oblivious as to how food was affecting my body and health. I never thought twice about my daily Mountain Dew, Doritos and mini chocolate donuts addiction ‍♀️
.
Surely getting pneumonia every year, getting sick for weeks at a time, not having a cycle, feeling tired round the clock, and brain fog had nothing to do with my crap diet ‍♀️
.
The problem with most diets is that they teach you how to still eat crap all while losing weight (seems too good to be true...because it IS!) They don’t</t>
  </si>
  <si>
    <t>Rachel-Brain Health Nutrition</t>
  </si>
  <si>
    <t>Колорадо</t>
  </si>
  <si>
    <t>Crested Butte</t>
  </si>
  <si>
    <t>salad,vegetable,food</t>
  </si>
  <si>
    <t>Canada Ruffles Sour Crean 'N Bacon &amp; Australia Doritos Southern Sticky Chicken</t>
  </si>
  <si>
    <t>I eat the sour cream and bacon too much XD</t>
  </si>
  <si>
    <t>Adyn Kolm</t>
  </si>
  <si>
    <t>WrecklessEating</t>
  </si>
  <si>
    <t>Matt and naader will make a beauitful couple</t>
  </si>
  <si>
    <t>Roland Mendoza</t>
  </si>
  <si>
    <t>09:03</t>
  </si>
  <si>
    <t>Naader turned amish?</t>
  </si>
  <si>
    <t>Sjengske Rebel</t>
  </si>
  <si>
    <t>First! Lol love this channel!!! ❤️❤️❤️</t>
  </si>
  <si>
    <t>EV Black</t>
  </si>
  <si>
    <t>09:01</t>
  </si>
  <si>
    <t>25.06.2019 09:05</t>
  </si>
  <si>
    <t>Random Twitter girl trying to sell her nudes for $5
Me, with a mouth full of Doritos "$6, tell that fucker you're worth $6."</t>
  </si>
  <si>
    <t>Man of Letters</t>
  </si>
  <si>
    <t>Нью-Гэмпшир</t>
  </si>
  <si>
    <t>Derry</t>
  </si>
  <si>
    <t>25.06.2019 08:16</t>
  </si>
  <si>
    <t>M/27/6'0" [425lbs &gt; 277lbs = 148lbs] ( 3 years) Working on losing another 60lbs )</t>
  </si>
  <si>
    <t>I’m not op, but I have done my own weight loss journeys. The secret is simple, Everyday you gotta eat good and just exercise. It’s a life style change you can’t eat Doritos and McDonald’s 3x a week and think that’s a normal thing</t>
  </si>
  <si>
    <t>CrazyPolarSquirrel</t>
  </si>
  <si>
    <t>progresspics - Show us your body transformations</t>
  </si>
  <si>
    <t>09:00</t>
  </si>
  <si>
    <t>Canada Ruffles Sour Crean 'N Bacon &amp; Australia Doritos Southern Sticky Chicken
Today on WE Shorts Matt Zion, Naader &amp; Kevin Ross check out Canada Ruffles Sour Crean 'N Bacon &amp; Australia Doritos Southern Sticky Chicken!
Check out the monthly food service MunchPak! https://munchpak.com/
Naader https://www.youtube.com/watch?v=Tz5h9UePV1c
Kevin https://www.youtube.com/watch?v=xfTZsT-0w7s&amp;t=1s
Support our Patreon - https://www.patreon.com/wrecklesseating
--
Check out our Instagram - https://www.instagram.com/mattzionwe/
--
Follow us on twitch</t>
  </si>
  <si>
    <t>fried food,fast food,snack,junk food,food</t>
  </si>
  <si>
    <t>08:59</t>
  </si>
  <si>
    <t>25.06.2019 08:14</t>
  </si>
  <si>
    <t>Diversified Trust Co Acquires 113 Shares of PepsiCo, Inc. (NASDAQ:PEP)</t>
  </si>
  <si>
    <t>, for a total value of $1,997,234.33. Following the transaction, the chairman now directly owns 232,394 shares in the company, valued at $30,078,755.42. The disclosure for this sale can be found here . Over the last ninety days, insiders have sold 48,494 shares of company stock worth $6,173,705. Corporate insiders own 0.28% of the company’s stock.
About PepsiCo
PepsiCo, Inc operates as a food and beverage company worldwide. The company's Frito-Lay North America segment offers branded dips; Cheetos cheese-flavored snacks; and Doritos tortilla</t>
  </si>
  <si>
    <t>08:57</t>
  </si>
  <si>
    <t>25.06.2019 08:57</t>
  </si>
  <si>
    <t>Bairstow looks like the fat sponging flat mate that never puts in his share for food, then eats all the Doritos when you're at work. #CWC19</t>
  </si>
  <si>
    <t>Boris Kilpatrick</t>
  </si>
  <si>
    <t>Australia</t>
  </si>
  <si>
    <t>Channeling my inner neckbeard.</t>
  </si>
  <si>
    <t>I smell Doritos &amp; Mountain Dew.</t>
  </si>
  <si>
    <t>ChromosomXYZ</t>
  </si>
  <si>
    <t>Barba non philisophum facit.</t>
  </si>
  <si>
    <t>08:56</t>
  </si>
  <si>
    <t>25.06.2019 08:56</t>
  </si>
  <si>
    <t>kapan y doritos promo beli 3 gratis 6 anj ak cinta doritos</t>
  </si>
  <si>
    <t>alina</t>
  </si>
  <si>
    <t>08:54</t>
  </si>
  <si>
    <t>25.06.2019 08:55</t>
  </si>
  <si>
    <t>Learn Colors with Pj Masks Wrong Heads, Pj Masks Balls and Beads with Coca Cola Surprise Bottles</t>
  </si>
  <si>
    <t>DAIRY MILK LICABLES VS GEMS SURPRISE BALL
           https://youtu.be/12M9XaHlT2M
BOX OF CHIPS | PRINGLES, DIAMOND RINGS, LAYS MAXX, BINGO, CHEETOS, ACTII NACHOS, DORITOS, KURKURE,CRAX ETC.  
            https://youtu.be/6fler_HIYsM
KINDER SURPRISE EGG WITH SURPRISE TOYS
            https://youtu.be/PXkvLY9qQes
#PjMasks #PjMaskswrongheads #Surprisetoys #CocaColabottles #PjMasksBeads #PjMasksBottles #LearnColorswithBalls #LearnColorsforKids #Bottles #Beads #PjMasksballs #PjMaskstoys #LearnColors #ColorsforKids #ForChildrens #ForToddlers #ForKids</t>
  </si>
  <si>
    <t>Peek A Boo TV</t>
  </si>
  <si>
    <t>CocaCola</t>
  </si>
  <si>
    <t>plant,plastic bottle,non-alcoholic beverage,bottle,drink,soft drink</t>
  </si>
  <si>
    <t>08:49</t>
  </si>
  <si>
    <t>25.06.2019 08:53</t>
  </si>
  <si>
    <t>Never going out of style
Dt @annieleblanc tagged, and Annie fandom
Ib @anniesdrizxy 
Ac ?
@annieleblanc @asherangel @annie__is_perfect @annies_little_doritos @annsxglows @softxnoir @annie._.asherrr @anniesdrizxy @moonyleblanc</t>
  </si>
  <si>
    <t>Annie Leblanc Fanpage ❤️</t>
  </si>
  <si>
    <t>25.06.2019 10:18</t>
  </si>
  <si>
    <t>PepsiCo (PEP) Up 27% in Six Months: Will the Momentum Last?</t>
  </si>
  <si>
    <t>of around 18%. Let’s take a closer look at the aspects driving this Zacks Rank #2 (Buy) stock. Snacking Category: Key Catalyst PepsiCo has the competitive advantage of selling both snacks and beverages, which are complementary food categories. The complementary portfolio results in cost leverage, capability sharing, cross-category promotions and other commercial benefits. Notably, the company holds the number one position in the global snacks market with popular brands like Doritos, Cheetos and Lay’s. Just over half of PepsiCo's sales come from</t>
  </si>
  <si>
    <t>finance.yahoo.com</t>
  </si>
  <si>
    <t>08:47</t>
  </si>
  <si>
    <t>I smell BO and Doritos.</t>
  </si>
  <si>
    <t>Snowdragondaddy</t>
  </si>
  <si>
    <t>08:46</t>
  </si>
  <si>
    <t>25.06.2019 09:04</t>
  </si>
  <si>
    <t>DORITOS !!!!! #doritos#offthetop#Freestyle#rap#rhyming#jacquezofficial</t>
  </si>
  <si>
    <t>Most Talented</t>
  </si>
  <si>
    <t>08:43</t>
  </si>
  <si>
    <t>25.06.2019 08:51</t>
  </si>
  <si>
    <t>Me: That's it. I'm going to lose weight and start eating healthy from now on.
My Doritos and pepsi lying right next to me:</t>
  </si>
  <si>
    <t>(M)EshA</t>
  </si>
  <si>
    <t>Lesotho</t>
  </si>
  <si>
    <t>Holy Cross</t>
  </si>
  <si>
    <t>25.06.2019 08:44</t>
  </si>
  <si>
    <t>T-Mobile Tuesday 6-25-19: Free medium latte at Dunkin, Free 1-night disc rental at Redbox, 40% off+free shipping at Reebok, 10c off per gallon at Shell, Free Nacho Cheese Doritos Locos Taco at Taco Bell, Free Pride Month water bottle in store, Exclusive MLB ticket deals …</t>
  </si>
  <si>
    <t>Miss Chrissy</t>
  </si>
  <si>
    <t>Nashua</t>
  </si>
  <si>
    <t>08:41</t>
  </si>
  <si>
    <t>An Easy Peasy History Of Mexico!</t>
  </si>
  <si>
    <t>I like Doritos in Mexico</t>
  </si>
  <si>
    <t>Carl Unbox</t>
  </si>
  <si>
    <t>Easy Peasy</t>
  </si>
  <si>
    <t>I tried the #Doritos spicy salsa today and o m g. Im normally not a brand snob but I think this is one label that deffo is worth it  v proud of myself for trying this as I had a challenging breakfast and things have been all round shit recently :(
-
-
-
-
#anorexiarecovery #veganinrecovery #vegan #veganrecovery #recovery #recoverywarrior #ed #edrecovery #recovering #recoveringanorexic #prorecovery #fuckanorexia #edwarrior #recoverywin #recoverycommunity #refeeding</t>
  </si>
  <si>
    <t>Heather</t>
  </si>
  <si>
    <t>junk food,meal,fast food,fried food,food</t>
  </si>
  <si>
    <t>08:40</t>
  </si>
  <si>
    <t>Hahahaha! Ikaw kaya nagtago nung malaking Doritos sa room mo @annecurtissmith 
Starting to have an addiction to Doritos after our trip to the states. To kasi si @VhongX44 kung Ano Ano binili kinakain!</t>
  </si>
  <si>
    <t>Yna jeminez</t>
  </si>
  <si>
    <t>25.06.2019 08:42</t>
  </si>
  <si>
    <t>Now it was all good with the hot Cheetos and Doritos but what yall doing to the takis - would you try this??
:
:
Follow @livinglife_black #explorepage #likeforlikes #followforfollow</t>
  </si>
  <si>
    <t>RIYA</t>
  </si>
  <si>
    <t>meal,snack,junk food,food</t>
  </si>
  <si>
    <t>08:37</t>
  </si>
  <si>
    <t>25.06.2019 08:40</t>
  </si>
  <si>
    <t>Remember: hobbies are supposed to be fun. Don't take it so seriously.
@pikerphoto @superstreet 
#DORI7OS #Doritos #PoweredbyDoritos #Mazda #RX7 #FDRX7 #FD3S #FD3SNation #Efini #13B #13BREW #rotary #rotaryengine #rotarypower #wankel #turbo #twinturbo #RHD #RightHandDrive #JDM #F7LTHY #CandSPerformance #SuperStreet
@superstreet @candsperformance @pikerphoto</t>
  </si>
  <si>
    <t>DORI7OS</t>
  </si>
  <si>
    <t>08:36</t>
  </si>
  <si>
    <t>25.06.2019 08:39</t>
  </si>
  <si>
    <t>Dell Poncet</t>
  </si>
  <si>
    <t>Learn To Make No Plans</t>
  </si>
  <si>
    <t>. My daughter finally said “ Can’t we just stay home” and I didn’t understand why she would want to stay home. It took me over a year to realize that my kids could care less about going places. They just wanted to spend time at home. They wanted to hang out, watch movies, play video games, have sleepovers, and destroy the living room with Doritos. They wanted to sleep in until 11 or stay up until midnight. They wanted to be comfortable and be a kid.
I am a planner and I LOVE to plan my day. I plan everything in my day…and this killed me to just</t>
  </si>
  <si>
    <t>staff</t>
  </si>
  <si>
    <t>theworkingsinglemom.com</t>
  </si>
  <si>
    <t>08:35</t>
  </si>
  <si>
    <t>Doritos Tangy Cheese even better with melted cheese on top! #doritos #tangycheese #cheese #meltedcheese #crisps #chips #snack #snacks #yummy</t>
  </si>
  <si>
    <t>Nika P</t>
  </si>
  <si>
    <t>08:31</t>
  </si>
  <si>
    <t>25.06.2019 08:33</t>
  </si>
  <si>
    <t>@Doritos My super power would be helping save the world  #IncognitoDoritos #Entry</t>
  </si>
  <si>
    <t>Mark Gilbert</t>
  </si>
  <si>
    <t>Миннеаполис</t>
  </si>
  <si>
    <t>25.06.2019 08:35</t>
  </si>
  <si>
    <t>Zavien</t>
  </si>
  <si>
    <t>Северная Каролина</t>
  </si>
  <si>
    <t>Роли</t>
  </si>
  <si>
    <t>08:30</t>
  </si>
  <si>
    <t>@HOT97 Harriet Tubman feet  my niggo pulled his feet out a cool ranch Doritos bag ! Moesah foot ! He can drink a Pepsi with his foot</t>
  </si>
  <si>
    <t>Way</t>
  </si>
  <si>
    <t>Justice Insight 2019 RC Response #pakrc2019</t>
  </si>
  <si>
    <t>Justice Insight 2019 RC Response #pakrc2019
Song Creds: Girl From Codeine City - L-Wiz
Follow my Instagram: @doritoz.pm
Follow my other Instagram account: @scorpion.reed (Irl Account)
Follow my beatboxing page on Instagram: @reedcanbeatbox
Follow my Twitter: @Doritoz PM</t>
  </si>
  <si>
    <t>Doritoz PM</t>
  </si>
  <si>
    <t>home</t>
  </si>
  <si>
    <t>Wishing I was back on the beach with these two being hand fed Doritos by Harley and not commuting in the rain. Come on, summer!
@ohmyhorrorx @disboomie</t>
  </si>
  <si>
    <t>Shelby Anderson</t>
  </si>
  <si>
    <t>Seaside Heights</t>
  </si>
  <si>
    <t>leisure,beach,water,summer,vacation</t>
  </si>
  <si>
    <t>08:27</t>
  </si>
  <si>
    <t>25.06.2019 08:30</t>
  </si>
  <si>
    <t>You look beautiful Drita!
#I’m currently pushing 150 which means I’m a #heavyweight so I’d be careful if I was u.. I tossed people around at 118...now I’ll put your ass throw a wall while I eat my #doritos and #oreos I’m kidding but not… https://www.instagram.com/p/BzGul1PFyqL/?igshid=1mj1kz43m5rfv</t>
  </si>
  <si>
    <t>JoAnn Burzo</t>
  </si>
  <si>
    <t>08:26</t>
  </si>
  <si>
    <t>25.06.2019 08:34</t>
  </si>
  <si>
    <t>all i want is a racist misogynistic homophobic gamer bf who beats me every time we lose bot lane and smells of doritos and mountain dew. is this too much to ask?</t>
  </si>
  <si>
    <t>connor</t>
  </si>
  <si>
    <t>Romania</t>
  </si>
  <si>
    <t>Сату-Маре</t>
  </si>
  <si>
    <t>Șandra</t>
  </si>
  <si>
    <t>08:25</t>
  </si>
  <si>
    <t>25.06.2019 08:28</t>
  </si>
  <si>
    <t>08:23</t>
  </si>
  <si>
    <t>25.06.2019 08:27</t>
  </si>
  <si>
    <t>i wan't a sandwich with ham, cheese, mayonnaise, mustard and doritos crushed up inside of it.</t>
  </si>
  <si>
    <t>lejla</t>
  </si>
  <si>
    <t>08:22</t>
  </si>
  <si>
    <t>25.06.2019 08:37</t>
  </si>
  <si>
    <t>@Wolfzies I mean I live right in the middle of America. I travel as well. Never had taco bell, chipotle, burger king, Doritos, Cheetos, mountain dew, energy drinks of any kind. XD so I mean, you are not as bad lol</t>
  </si>
  <si>
    <t>StickDog</t>
  </si>
  <si>
    <t>25.06.2019 08:29</t>
  </si>
  <si>
    <t>@IrazuZaval Ya probaste las de doritos nacho de cinepolis?</t>
  </si>
  <si>
    <t>Jason-B.E</t>
  </si>
  <si>
    <t>08:20</t>
  </si>
  <si>
    <t>@SaltyShunty Only Asian markets will carry em. All sorts too. Loads of different Doritos, Pringles, Lays, etc. Americans just get the boring shit, man... Like pizza flavor. How sad</t>
  </si>
  <si>
    <t>NJOverclocked</t>
  </si>
  <si>
    <t>25.06.2019 08:31</t>
  </si>
  <si>
    <t>This #macandcheese has #doritos on top! #macaroniandcheese #cheese #pulledpork #comfortfood #yum #foodporn</t>
  </si>
  <si>
    <t>Hungry Jill</t>
  </si>
  <si>
    <t>pasta,food</t>
  </si>
  <si>
    <t>08:19</t>
  </si>
  <si>
    <t>25.06.2019 08:32</t>
  </si>
  <si>
    <t>I was a zombie for a dorito commercial challenge! Uuuuuhhhhhhhh....
.
.
.
#makeup #zombie #doritos #acting #actorslife #stunts #stuntlife #murfolk #murfolkstunts #zombiecosplay #cosplayersofinstagram</t>
  </si>
  <si>
    <t>Murry Ko Haithcock</t>
  </si>
  <si>
    <t>tree</t>
  </si>
  <si>
    <t>08:18</t>
  </si>
  <si>
    <t>25.06.2019 08:45</t>
  </si>
  <si>
    <t>Do you ever think back and wonder “why were people in so much better shape in the roaring 20’s etc...??” Well it’s because twinkies weren’t around, or Doritos, or SODA... Reverting our digestive system to focus on a keto based diet is the ultimate way to get that energy back, get the drive to do more, and simply to have better focus and cognitive strength. We all want that...we just don’t all KNOW IT...yet. 
You can get all the support you can imagine out there in the social media world. There’s groups upon groups to join that have recipe</t>
  </si>
  <si>
    <t>Jenna Fry</t>
  </si>
  <si>
    <t>convenience food,meal,snack,fast food,junk food,food</t>
  </si>
  <si>
    <t>08:14</t>
  </si>
  <si>
    <t>25.06.2019 08:43</t>
  </si>
  <si>
    <t>POLL RESULTS: What is the Best Pixar Movie?</t>
  </si>
  <si>
    <t>, now it's only interest is consumer comestibles. Junk food for the unknowing, the unthinking, the uninterested. There was a time when one could compare the creators at Pixar to Ozu or Kurosawa or Jones or Avery.
Not anymore. Now one compares them to Doritos or Coke or Apple or...
That's why you see all the really awful Dismal Pixar junk at the bottom(with the exception of Coco) and the least infected films at the top of the list.
Also, if you believe everything Dismal, Marble and all the other studios tell you about budgets, box office etc, you</t>
  </si>
  <si>
    <t>Joe</t>
  </si>
  <si>
    <t>comingsoon.net</t>
  </si>
  <si>
    <t>Comingsoon</t>
  </si>
  <si>
    <t>25.06.2019 08:18</t>
  </si>
  <si>
    <t>My first flight I sat next to the coolest guy and we sat at the emergency exit so we had a lot of room and now on our second flight I’m sitting between the two largest men ever super squished and one smells like Doritos so</t>
  </si>
  <si>
    <t>Sel</t>
  </si>
  <si>
    <t>Taiwan, Province of China</t>
  </si>
  <si>
    <t>Тайнань</t>
  </si>
  <si>
    <t>08:13</t>
  </si>
  <si>
    <t>25.06.2019 08:15</t>
  </si>
  <si>
    <t>@daisythejones One packet of crisps a week, which I think is the explanation for my doritos addiction now.</t>
  </si>
  <si>
    <t>Adam Bly</t>
  </si>
  <si>
    <t>08:10</t>
  </si>
  <si>
    <t>Justice Insight 2019 RC Response #pakrc2019
Song Creds: Hot Groove - Kaze
Follow my Instagram: @doritoz.pm
Follow my other Instagram account: @scorpion.reed (Irl Account)
Follow my beatboxing page on Instagram: @reedcanbeatbox
Follow my Twitter: @Doritoz PM</t>
  </si>
  <si>
    <t>08:06</t>
  </si>
  <si>
    <t>Spidey Spice Doritos. I havent seem the spiderman movie, but id assume these are only available a limited time. I had to at least try these. I've heard different opinions from anonymous sources ranging from that these have a mexicam flavor all the way to them being referred as hot cheetos lite.
If i were to compare them to anything itd be takis, the ones in purple bag. They got similar color dusting, heavy on that lime flavor on the front end, finished w a light spice of chili flavor. If ya like purple bag takis and missem cuz you live in</t>
  </si>
  <si>
    <t>tim</t>
  </si>
  <si>
    <t>08:05</t>
  </si>
  <si>
    <t>The Thumbnail for the kids flying through the roof for Doritos wasn't doing it so we changed it. Let us know what you think. 
Copy &amp; Paste URL or visit our bio.
https://www.youtube.com/watch?v=o2TBgjZeez4
#supergirl #superboy #superkids #superherokids #doritos #kidyoutuber #youtubelife #supergirledit #flyingkids #aftereffectsedit #specialeffects</t>
  </si>
  <si>
    <t>#ToyReviews  Anjali Says</t>
  </si>
  <si>
    <t>08:04</t>
  </si>
  <si>
    <t>CatJamison</t>
  </si>
  <si>
    <t>08:02</t>
  </si>
  <si>
    <t>25.06.2019 08:09</t>
  </si>
  <si>
    <t>Plump and sweet. Simmered in 2 types of wine‍♂️Did I cook this pork belly or did the pork belly cook me? ⁣
—-⁣
“”    (2/3) ⁣
⁣
This is one of those recipes I put together last min when my friend decided to swing by. ItsIt’s “Chashu” because it’s my Korean twist on Japanese chashu pork. It’s a lot quicker and hell of a lot easier to whip up when you realize you don’t have any Doritos to serve a hungry fren. This recipe uses shaoxing wine (Chinese) and plum extract (korean). It’s also only uses 1</t>
  </si>
  <si>
    <t>gloria 애영</t>
  </si>
  <si>
    <t>soup,vegetable,meal,food</t>
  </si>
  <si>
    <t>Yes I do agree #chips #potatochips #food #snacks #hoodsnacks #cheesedoodles #cheetos #pringles #lays #doritos #foodmeme</t>
  </si>
  <si>
    <t>EmEssKay</t>
  </si>
  <si>
    <t>07:57</t>
  </si>
  <si>
    <t>25.06.2019 08:04</t>
  </si>
  <si>
    <t>Doritos, Doritos, Doritos! I love Doritos and Mauntain Dew! :D
THX for helping in made this photo @maxpakharev
.
.
. 
Tegs:
#PIXELWORLDSGAME #PIXELWORLDS #FREIND #FREINDS #GAME #GAMES #PW #EVARIN #EVARINPW #LOL #Doritos #mauntaindew #lmg #Love #loveit #Good #cool #pro #NOOB #energy #fun #Hot #GoodDay
@doritos</t>
  </si>
  <si>
    <t>evarin_pw</t>
  </si>
  <si>
    <t>fast food,food,junk food,snack</t>
  </si>
  <si>
    <t>07:54</t>
  </si>
  <si>
    <t>25.06.2019 08:01</t>
  </si>
  <si>
    <t>Zacks Rank #2 (Buy) stock.
Snacking Category: Key Catalyst
PepsiCo has the competitive advantage of selling both snacks and beverages, which are complementary food categories. The complementary portfolio results in cost leverage, capability sharing, cross-category promotions and other commercial benefits. Notably, the company holds the number one position in the global snacks market with popular brands like Doritos, Cheetos and Lay’s. Just over half of PepsiCo's sales come from snacks, while the remainder is contributed by beverages.
The company</t>
  </si>
  <si>
    <t>Zacks Investment Research</t>
  </si>
  <si>
    <t>zacks.com</t>
  </si>
  <si>
    <t>document,diagram</t>
  </si>
  <si>
    <t>07:53</t>
  </si>
  <si>
    <t>25.06.2019 07:55</t>
  </si>
  <si>
    <t>@PINKYFANG once they gave me 8 giant bags of doritos for literally no reason it was ridiculous. maybe we r special</t>
  </si>
  <si>
    <t>hikikomoriana grande</t>
  </si>
  <si>
    <t>Auvergne-Rhône-Alpes</t>
  </si>
  <si>
    <t>Flat</t>
  </si>
  <si>
    <t>07:52</t>
  </si>
  <si>
    <t>25.06.2019 08:00</t>
  </si>
  <si>
    <t>Pepsico (PEP) Holder Capital Advisors Increased Holding; Reinsurance Grp Of America I (RGA) Shareholder Legacy Private Trust Has Trimmed Position by $552,720 as Stock Value Rose</t>
  </si>
  <si>
    <t>Line with 2017 2.3%; 26/04/2018 – PEPSICO SEES 2018 ORGANIC REV GROWTH TO BE AT LEAST IN LINE WITH 2017 GROWTH RATE OF 2.3 PCT; 25/04/2018 – Summer’s fizziest accessory: the return of the Rolex `Pepsi’; 25/05/2018 – Pepsi to buy fruit and vegetable snack maker Bare Foods for less than $200 million; 16/03/2018 – PEPSICO CEO NOOYI’S 2017 TOTAL COMPENSATION ROSE 4.4% TO $31.1M; 26/04/2018 – PepsiCo Sees 2018 Adj EPS $5.70; 19/03/2018 – Scores of Big Apple convenience stores have run out of Doritos, Cheetos and other Frito-Lay products â€” and snack</t>
  </si>
  <si>
    <t>Davis Scott</t>
  </si>
  <si>
    <t>cryptocoinstribune.com</t>
  </si>
  <si>
    <t>07:51</t>
  </si>
  <si>
    <t>25.06.2019 07:57</t>
  </si>
  <si>
    <t>Fajita night!
•
#eatinginchongqing #mexicanfood #guacamole #salsa #fajitanight #nachos #doritos #yum #fajitas #fajita #guac #smashedavo #nachocheese #veggiefajitas #veggiefood #vegetarian #flexitarian #parttimeveggie #meatfree #nomeat #tasty #food #yum</t>
  </si>
  <si>
    <t>Em &amp; Ash</t>
  </si>
  <si>
    <t>China</t>
  </si>
  <si>
    <t>Чунцин</t>
  </si>
  <si>
    <t>fried food,appetizer,meal,food</t>
  </si>
  <si>
    <t>07:49</t>
  </si>
  <si>
    <t>25.06.2019 06:07</t>
  </si>
  <si>
    <t>Our highschool LAN parties, 2004 : gaming</t>
  </si>
  <si>
    <t>Doritos. Check.</t>
  </si>
  <si>
    <t>MatticusXII</t>
  </si>
  <si>
    <t>reddit: the front page of the internet</t>
  </si>
  <si>
    <t>07:48</t>
  </si>
  <si>
    <t>We like backroads The road we travel, to where we go fishing at camp, well it can be a bit rough, but sooooo much fun!
P.s- Dont mind the Kleenex, I was eating doritos, and I had to throw it on the dash before getting out of the truck, because my dad almost ran over a baby partridge, thank god the cute fker ran before we did squish him.</t>
  </si>
  <si>
    <t>ⱤɆĐ</t>
  </si>
  <si>
    <t>plant,tree</t>
  </si>
  <si>
    <t>reflection,vegetation,asphalt,lane,water,nature,path,road</t>
  </si>
  <si>
    <t>25.06.2019 07:56</t>
  </si>
  <si>
    <t>My daily treats seperated up! 
25g of doritos flame grilled steak for 6 syns❤️
#shreddingforthewedding #eatinghealthy #slimmingworldarmy #sw #healthylifestyle #syns #onplan #foodoptomising #loosingweight #icandothis #slimmingworlduk #slimmingworldfamily #slimmingworld18 #weightloss #weightlossjourney #swmafia #swfamilyuk #swfamily #swinsta #slimmingworld #slimmingworldfamily #motivation #weightlosssupport #healthy</t>
  </si>
  <si>
    <t>charlotte morley</t>
  </si>
  <si>
    <t>25.06.2019 08:19</t>
  </si>
  <si>
    <t>Os presento a Eros... Marqués de la casa 
#doritos #eritos #doglover #doggy</t>
  </si>
  <si>
    <t>Budito y Eritos</t>
  </si>
  <si>
    <t>dog</t>
  </si>
  <si>
    <t>07:47</t>
  </si>
  <si>
    <t>@Doritos hey can you bring back 3D doritos, I don't know what that is but my mom wants it back so can you bring them back my mom would be happy</t>
  </si>
  <si>
    <t>Nick79867</t>
  </si>
  <si>
    <t>07:46</t>
  </si>
  <si>
    <t>25.06.2019 07:53</t>
  </si>
  <si>
    <t>the real cowards are the ones not eating this sandwich
recipe for a coward sandwich:
ham
cheese
mayonnaise 
mustard
crushed up doritos</t>
  </si>
  <si>
    <t>paula</t>
  </si>
  <si>
    <t>Oakengates</t>
  </si>
  <si>
    <t>07:44</t>
  </si>
  <si>
    <t>#Doritos</t>
  </si>
  <si>
    <t>Otakuqimzir</t>
  </si>
  <si>
    <t>Saudi Arabia</t>
  </si>
  <si>
    <t>Мекка</t>
  </si>
  <si>
    <t>Джидда</t>
  </si>
  <si>
    <t>07:43</t>
  </si>
  <si>
    <t>Doritos Hot salsa, Milo Salsa , Medium Salsa •
•
#poaussie #poaustralia #openpoaussie #openpoaustralia #jastipaussie #jastipaustralia #preorderaustralia #preorderaussie #doritos #openjastipaussie #openjastipaustralia</t>
  </si>
  <si>
    <t>Open PO Aussie</t>
  </si>
  <si>
    <t>fast food,food</t>
  </si>
  <si>
    <t>07:30</t>
  </si>
  <si>
    <t>25.06.2019 06:05</t>
  </si>
  <si>
    <t>Do we live in an ideal world or no?</t>
  </si>
  <si>
    <t>motherfu€kers so they love grown women who are mothers and elderly women. White females are boyfriend stealers and husband snatchers plus they do it on purpose too. They want to look elegant, etiquette, and medieval like in royal fairy tales so that everyone else will look poor and beneath them. Hispanics are dirty spicks and they eat rice and beans, plantains, tortillas, nachos, doritos, they drink tampico and pina colada so their belly is big. Their taco bell and chipotle Mexican grill restaurants are rats infested and their food is</t>
  </si>
  <si>
    <t>Queenstar</t>
  </si>
  <si>
    <t>answers.yahoo.com</t>
  </si>
  <si>
    <t>Philosophy | Yahoo Answers</t>
  </si>
  <si>
    <t>07:24</t>
  </si>
  <si>
    <t>25.06.2019 07:25</t>
  </si>
  <si>
    <t>This soccer camper carrying a half eaten bag of Cool Ranch Doritos, an orange Gatorade, pouring chocolate milk over his Cinnamon Toast Crunch at 7:20am is some kind of mood</t>
  </si>
  <si>
    <t>Matt Williams</t>
  </si>
  <si>
    <t>Newark</t>
  </si>
  <si>
    <t>25.06.2019 07:24</t>
  </si>
  <si>
    <t>@YvonneN_KVUE @Doritos @BryanM_KVUE @AnavidReyesKVUE @AndrewWilsonWX Mostly on Tuna Fish Salad...potato chips :)</t>
  </si>
  <si>
    <t>Janice Nebgen</t>
  </si>
  <si>
    <t>Johnson City</t>
  </si>
  <si>
    <t>07:21</t>
  </si>
  <si>
    <t>25.06.2019 07:23</t>
  </si>
  <si>
    <t>1.Estel Reyn Noche
2.Mag-memed akooo hihi
3.15
4.sobrang init+sobrang alikabok
5.@/nicole jayms, rome
6.secret lang clue HAHAHA
7. no sorry :&lt;
8.good grades 
9. no
10.Doritos</t>
  </si>
  <si>
    <t>eunoia⚡️</t>
  </si>
  <si>
    <t>Rogue's Alley</t>
  </si>
  <si>
    <t>07:20</t>
  </si>
  <si>
    <t>Rnc Capital Management Cut Its Position in Blackrock (BLK) by $403,088 as Share Value Rose; Old Republic International Has Boosted Holding in Pepsico (PEP) by $1.83 Million</t>
  </si>
  <si>
    <t>Foods; 30/04/2018 – Gatorade Launches “Everything Changes” Global Football Campaign Featuring Football Superstars Lionel Messi, Luis Suárez, And; 26/04/2018 – PepsiCo 1Q Frito-Lay North America Rev $3.62B; 19/03/2018 – Scores of Big Apple convenience stores have run out of Doritos, Cheetos and other Frito-Lay products â€” and snack fans can blame PepsiCo Chief Executive Indra Nooyi for their less crunchy lunches; 25/05/2018 – PEPSICO INC – UPON CLOSING, BARE SNACKS WILL CONTINUE TO OPERATE INDEPENDENTLY FROM ITS HEADQUARTERS IN SAN FRANCISCO</t>
  </si>
  <si>
    <t>Crypto Coins Tribune</t>
  </si>
  <si>
    <t>07:18</t>
  </si>
  <si>
    <t>Cristyne Loquero</t>
  </si>
  <si>
    <t>25.06.2019 07:20</t>
  </si>
  <si>
    <t>Noge za igranje spremne, buket na glavi namontiran, decki postavljaju stage, a ja zasluzeno chillam uz Doritose. 
Murska sobota, Slovenija, krece show⚡️ @doritos.hrvatska 
#ontour #chilling #concert #murskasobota #singer #doritos #ad</t>
  </si>
  <si>
    <t>Idaprester</t>
  </si>
  <si>
    <t>Slovenia</t>
  </si>
  <si>
    <t>Мурска-Собота</t>
  </si>
  <si>
    <t>clothing,shoe</t>
  </si>
  <si>
    <t>beauty,fashion</t>
  </si>
  <si>
    <t>25.06.2019 07:18</t>
  </si>
  <si>
    <t>Coleen Allison</t>
  </si>
  <si>
    <t>Лидс</t>
  </si>
  <si>
    <t>07:13</t>
  </si>
  <si>
    <t>25.06.2019 07:21</t>
  </si>
  <si>
    <t>$1.50 EPS Expected for PepsiCo, Inc. (PEP)</t>
  </si>
  <si>
    <t>. About 2.48 million shares traded. PepsiCo, Inc. (NASDAQ:PEP) has risen 33.14% since June 25, 2018 and is uptrending. It has outperformed by 28.71% the S&amp;P500.
PepsiCo, Inc. operates as a food and beverage firm worldwide. The company has market cap of $188.04 billion. The Company’s Frito-Lay North America segment offers Lay??s and Ruffles potato chips; Doritos, Tostitos, and Santitas tortilla chips; and Cheetos cheese-flavored snacks, branded dips, and Fritos corn chips. It has a 15.14 P/E ratio. The company??s Quaker Foods North America</t>
  </si>
  <si>
    <t>Thomas Moralez</t>
  </si>
  <si>
    <t>investtribune.com</t>
  </si>
  <si>
    <t>07:11</t>
  </si>
  <si>
    <t>25.06.2019 07:12</t>
  </si>
  <si>
    <t>Abby May</t>
  </si>
  <si>
    <t>07:08</t>
  </si>
  <si>
    <t>25.06.2019 07:10</t>
  </si>
  <si>
    <t>Gloria Groove as doritos; a thread</t>
  </si>
  <si>
    <t>tata :)</t>
  </si>
  <si>
    <t>07:07</t>
  </si>
  <si>
    <t>25.06.2019 07:09</t>
  </si>
  <si>
    <t>Stoners coming out – beyond the marijuana monster myths | David Schmader... https://youtu.be/mfXGpVi-YRs via @YouTube Bloody funny, insightful and remarkably thought provoking. Now gotta grab me some Doritos…#safeaccess #marijuanajustice #speakoutforweed ##marijuanaconvictionsspent</t>
  </si>
  <si>
    <t>Guna Suppiah</t>
  </si>
  <si>
    <t>07:01</t>
  </si>
  <si>
    <t>25.06.2019 07:01</t>
  </si>
  <si>
    <t>One time, somebody offered me Doritos and I said no. I think about this often.</t>
  </si>
  <si>
    <t>Lloyd Rang</t>
  </si>
  <si>
    <t>Онтарио</t>
  </si>
  <si>
    <t>07:00</t>
  </si>
  <si>
    <t>25.06.2019 07:06</t>
  </si>
  <si>
    <t>sagittariuses born after 1996 can’t actually travel. all they know is look up plane prices, look out the window in cars, day dream about going on trips, search for apartment prices in another country, eat doritos and lie</t>
  </si>
  <si>
    <t>ₐₗᵧ??</t>
  </si>
  <si>
    <t>06:59</t>
  </si>
  <si>
    <t>25.06.2019 07:02</t>
  </si>
  <si>
    <t>Doritos, this game is dangerous
Drop a pic of the person you’re crazy about tag and tell them how you feel
Eg. Hey @ThabsieSA “Ngiyazfela ngawe ntombi” 
Don’t forget to hashtag #NgiyazfelaVideo 
I wanna see something quick</t>
  </si>
  <si>
    <t>ntsikelelocalvinntsika</t>
  </si>
  <si>
    <t>South Africa</t>
  </si>
  <si>
    <t>Гаутенг</t>
  </si>
  <si>
    <t>Йоханнесбург</t>
  </si>
  <si>
    <t>06:55</t>
  </si>
  <si>
    <t>25.06.2019 07:00</t>
  </si>
  <si>
    <t>@_woojien should i buy you doritos?</t>
  </si>
  <si>
    <t>⋆ nyako! ⋆</t>
  </si>
  <si>
    <t>Uzbekistan</t>
  </si>
  <si>
    <t>Джизакская область</t>
  </si>
  <si>
    <t>Галляарал</t>
  </si>
  <si>
    <t>06:54</t>
  </si>
  <si>
    <t>25.06.2019 06:57</t>
  </si>
  <si>
    <t>anna heath</t>
  </si>
  <si>
    <t>25.06.2019 06:55</t>
  </si>
  <si>
    <t>‍</t>
  </si>
  <si>
    <t>06:48</t>
  </si>
  <si>
    <t>25.06.2019 06:51</t>
  </si>
  <si>
    <t>Macho Macho Mac, I want to eat a Macho Mac!  .
.
.
.
.
#themacpot #machos #macandcheese #doritos #jalepenos #sourcream #mexicanmac #macaroni #macaroniandcheese #salsa #STREETFOOD #foodtruck #comfortfood #foodies #nachos #maclovers #foodies #foodblogger</t>
  </si>
  <si>
    <t>The Mac Pot</t>
  </si>
  <si>
    <t>Ипсуич</t>
  </si>
  <si>
    <t>french fries,dessert,meal,fast food,fried food,junk food,food</t>
  </si>
  <si>
    <t>06:46</t>
  </si>
  <si>
    <t>25.06.2019 06:52</t>
  </si>
  <si>
    <t>@kasinduuu Go to rumokoro there is one uncompleted building beside the roundabout  there, you can't miss it... Its blue and white. ask for scorpion... He sells doritos all flavours.</t>
  </si>
  <si>
    <t>Kasindu</t>
  </si>
  <si>
    <t>06:42</t>
  </si>
  <si>
    <t>25.06.2019 06:47</t>
  </si>
  <si>
    <t>- M U S H R O O M  S A L A D -
.
Well the husband wasn't to happy about this meal haha!
But it was way to hot to make a full crazy meal yesterday.
We sautéed some mushrooms in chilli garlic homemade paste and whacked a quick salad together. Only dressing we used was extra Virgin olive oil and lemon. Sometimes that's all you need.
.
#foodbuddyz #gujarati #guju #indianfood #indianfoodrecipie #foodie #vegetarianfriendly #vegetarianrecipes #veganrecipies #veganfood #vegan #detox #doritos
.
@doritos lime are the best invention ever as a side if you want a little extra crunch. As they are made from corn flour it's healthy too!</t>
  </si>
  <si>
    <t>Food Buddyz</t>
  </si>
  <si>
    <t>meal,appetizer,garnish,vegetable,salad,food</t>
  </si>
  <si>
    <t>@Nate_McMurray In the famous words of Doritos, 
“Crunch all you want, we’ll make more”.</t>
  </si>
  <si>
    <t>Armed Realtor Jack of all, Master of most</t>
  </si>
  <si>
    <t>Liberia</t>
  </si>
  <si>
    <t>Grand Gedeh County</t>
  </si>
  <si>
    <t>Zleh Town</t>
  </si>
  <si>
    <t>furniture</t>
  </si>
  <si>
    <t>06:36</t>
  </si>
  <si>
    <t>25.06.2019 06:36</t>
  </si>
  <si>
    <t>@chrisgb002000 @BryanM_KVUE Never done a plain chip sandwich. Doritos? Lays?</t>
  </si>
  <si>
    <t>Yvonne Nava</t>
  </si>
  <si>
    <t>06:34</t>
  </si>
  <si>
    <t>25.06.2019 06:46</t>
  </si>
  <si>
    <t>Do you ever feel unproductive,  unmotivated or suck in a crappy mood? Like, you’ve had back-to-back nights, you gave ALL your energy to your patients and have nothing to give yourself when you get home? 
Where’s my mental wellness at?? Coz it’s probably not in the fridge, on Netflix’s or in a bag or supreme cheese Doritos.
Cue @moonturtlenz !!! Omg a friend at work m told me about this wee 28 day guided daily mood journal. It works by way of indicators/prompts you can colour in or jot down. These indicators act like mini goals/small wins</t>
  </si>
  <si>
    <t>thatnursehannah</t>
  </si>
  <si>
    <t>06:30</t>
  </si>
  <si>
    <t>25.06.2019 06:34</t>
  </si>
  <si>
    <t>@YvonneN_KVUE @Doritos @BryanM_KVUE @AnavidReyesKVUE @AndrewWilsonWX Potato chips are excellent in a tuna sandwich. Plain are good, but sour cream and onion are delicious!</t>
  </si>
  <si>
    <t>Gretchen Doyle</t>
  </si>
  <si>
    <t>06:27</t>
  </si>
  <si>
    <t>25.06.2019 06:28</t>
  </si>
  <si>
    <t>I normally have chips with my sandwich, @YvonneN_KVUE puts 'em in her sandwich, you guys do this? #DaybreakATX
Curious how many of you put chips in your sandwich to add that extra crunch? I sometimes do @Doritos  Do YOU do this and what's your chip of choice? @BryanM_KVUE @AnavidReyesKVUE @AndrewWilsonWX #DaybreakATX</t>
  </si>
  <si>
    <t>Bryan Mays</t>
  </si>
  <si>
    <t>06:24</t>
  </si>
  <si>
    <t>25.06.2019 06:33</t>
  </si>
  <si>
    <t>I PUT MY DICK IN A BAG OF DORITOS</t>
  </si>
  <si>
    <t>⛈</t>
  </si>
  <si>
    <t>06:20</t>
  </si>
  <si>
    <t>the most strange and funny trailers in the world</t>
  </si>
  <si>
    <t>the most strange and funny trailers in the world
like and subscribe for more Doritos</t>
  </si>
  <si>
    <t>aboodyhunter 22</t>
  </si>
  <si>
    <t>06:19</t>
  </si>
  <si>
    <t>"Bad Food",</t>
  </si>
  <si>
    <t>"I am so disappointed because I love Mochachos chip. This time I bought chips and they turned out to be Doritos in a different shape. The chips were so extra extra crispy that I couldn’t even eat them and had to throw them away. ",</t>
  </si>
  <si>
    <t>t21man</t>
  </si>
  <si>
    <t>hellopeter.com</t>
  </si>
  <si>
    <t>Reviews</t>
  </si>
  <si>
    <t>06:17</t>
  </si>
  <si>
    <t>25.06.2019 06:20</t>
  </si>
  <si>
    <t>It's 5:15 AM and I broke into the doritos. Someone PlEaSe stop me.</t>
  </si>
  <si>
    <t>Blair Dean</t>
  </si>
  <si>
    <t>Harris Teeter Deals 6/26-7/2</t>
  </si>
  <si>
    <t>Crocker Fruit Snacks $2.99($1.49) SAVE 50¢ ON TWOwhen you buy TWO BOXES any flavor/variety Betty Crocker™ Fruit Shapes, Fruit by the Foot™, Fruit Gushers™ =.99
White Castle Burgers 7-11 oz $4.99($2.49)1/1 or ½ SS 4/28=$1.49
Ocean Spray Cranberry Juice 64 oz $3.99($1.99)
LaCroix Water 12 pk $5.99($2.99)
Doritos Or Lays Chips 8-16 oz $4.29($2.14)
Kraft Singles 10.7-12 oz $3.99($1.99)
Mt. Olive Pickles 24 oz $2.69($1.34)
HT Tea 128 oz $2.39($1.19)
HT Orange Juice 64 oz $1.99(.99)
Cheez -It Crackers 7-15 oz $4.99($2.49)
Birds Eye Steamfresh</t>
  </si>
  <si>
    <t>Sisterssavingucents (noreply@blogger.com)</t>
  </si>
  <si>
    <t>sisterssavingucents.com</t>
  </si>
  <si>
    <t>06:13</t>
  </si>
  <si>
    <t>25.06.2019 06:19</t>
  </si>
  <si>
    <t>the most strange and funny trailers in the world
do not hear me in this vidio for more Doritos</t>
  </si>
  <si>
    <t>25.06.2019 06:15</t>
  </si>
  <si>
    <t>1 hora en Monster Jam: Steel Titans. Doritos, mermelada, risas... pero poco juego</t>
  </si>
  <si>
    <t>¿Te gusta la mermela... -da de monstruos?</t>
  </si>
  <si>
    <t>Fernando Otero</t>
  </si>
  <si>
    <t>Heikki360ES</t>
  </si>
  <si>
    <t>06:10</t>
  </si>
  <si>
    <t>Guauuuu</t>
  </si>
  <si>
    <t>FREDY ALEJANDRO CALDERON BERNAL</t>
  </si>
  <si>
    <t>25.06.2019 06:18</t>
  </si>
  <si>
    <t>Iskandar, pulling four bags of Doritos and an 8pk of Mountain Dew out of a grocery bag: Tonight, we shall feast as kings!</t>
  </si>
  <si>
    <t>「Fusselfurz」</t>
  </si>
  <si>
    <t>Саксония</t>
  </si>
  <si>
    <t>Каменц</t>
  </si>
  <si>
    <t>Tartumaa Suvemängud 2019 PDGA C tier competition is in the history books and I can ☑️ another competition as a TD!
Big thanks to all competitors and supporters!
Special thanks to
@prosawood @discsporteurope @lays @hotelltartu
@cramoestonia
@redbullestonia @doritos_eesti @klubimaasikas @tartumaaspordiliit
@haaslavavald
@tartudiscgolfiklubi
@playdiscgolfevents @silver_saks 
#workhard #havefun #makeadifference</t>
  </si>
  <si>
    <t>Kullovic</t>
  </si>
  <si>
    <t>06:08</t>
  </si>
  <si>
    <t>25.06.2019 06:13</t>
  </si>
  <si>
    <t>@Doritos  #IncognitoDoritos #Entry the superpower to taste delicious food!</t>
  </si>
  <si>
    <t>Shawn Stover</t>
  </si>
  <si>
    <t>25.06.2019 06:12</t>
  </si>
  <si>
    <t>@Doritos #IncognitoDoritos #Entry Super Strength</t>
  </si>
  <si>
    <t>Cherrysife</t>
  </si>
  <si>
    <t>25.06.2019 06:10</t>
  </si>
  <si>
    <t>Antojo de doritos incognitx:C, salvajón.</t>
  </si>
  <si>
    <t>Everything is musical,the musical</t>
  </si>
  <si>
    <t>Wall</t>
  </si>
  <si>
    <t>Posted by dritadavanzoladyboss: #I’m currently pushing 150 which means I’m a #heavyweight so I’d be careful if I was u.. I tossed people around at 118...now I’ll put your ass throw a wall while I eat my #doritos and #oreos I’m kidding but not really.. 
https://www.instagram.com/p/BzGul1PFyqL/</t>
  </si>
  <si>
    <t>carol lake</t>
  </si>
  <si>
    <t>Adidas</t>
  </si>
  <si>
    <t>hat,fashion accessory,clothing</t>
  </si>
  <si>
    <t>06:05</t>
  </si>
  <si>
    <t>25.06.2019 06:06</t>
  </si>
  <si>
    <t>dua lipa as doritos: a thread</t>
  </si>
  <si>
    <t>Huda</t>
  </si>
  <si>
    <t>snack,food</t>
  </si>
  <si>
    <t>06:03</t>
  </si>
  <si>
    <t>[✎] — she is definitely my favourite mukbanger her audio is so clear and her food always looks presentable ⁣⁣
⁣
[©] @asmrphan ⁣
[♡] they’re eating doritos locos tacos and cheese sauce</t>
  </si>
  <si>
    <t>sandwich,appetizer,fast food,junk food,food</t>
  </si>
  <si>
    <t>25.06.2019 06:08</t>
  </si>
  <si>
    <t>Brendan McCarthy</t>
  </si>
  <si>
    <t>05:59</t>
  </si>
  <si>
    <t>25.06.2019 06:00</t>
  </si>
  <si>
    <t>so anyway i found out that fish can be depressed and now im crying into my doritos</t>
  </si>
  <si>
    <t>zane :((</t>
  </si>
  <si>
    <t>Venus</t>
  </si>
  <si>
    <t>25.06.2019 06:04</t>
  </si>
  <si>
    <t>WE ARE OUT OF DORITOS KAREN</t>
  </si>
  <si>
    <t>purple friend</t>
  </si>
  <si>
    <t>fur,cat</t>
  </si>
  <si>
    <t>05:58</t>
  </si>
  <si>
    <t>@Dani98843873 @Evitagreen82 @elaadgaf @Placedalia1 @FJavi86 @MissManias_ @___BodanKPN Comprales mejor doritos</t>
  </si>
  <si>
    <t>Dominó</t>
  </si>
  <si>
    <t>Эстремадура</t>
  </si>
  <si>
    <t>Campo Lugar</t>
  </si>
  <si>
    <t>05:47</t>
  </si>
  <si>
    <t>25.06.2019 05:49</t>
  </si>
  <si>
    <t>구피메론</t>
  </si>
  <si>
    <t>05:46</t>
  </si>
  <si>
    <t>25.06.2019 05:47</t>
  </si>
  <si>
    <t>T-Mobile Tuesday 6-25-19: Free medium latte at Dunkin, Free 1-night disc rental at Redbox, 40% off+free shipping at Reebok, 10c off per gallon at Shell, Free Nacho Cheese Doritos Locos Taco at Taco Bell, Free Pride Month water bottle in store, Exclusive … http://bit.ly/2Y9SbuF</t>
  </si>
  <si>
    <t>FreebiesBot</t>
  </si>
  <si>
    <t>25.06.2019 05:51</t>
  </si>
  <si>
    <t>@KingOfDoritos @ThePrinceHollie @jordokream @LeonBlade @dndsrac1 @Xx_Doge69_xX @ApBlammy @AbsoluteMystic @Etika @KEEMSTAR I think it’s ironic how you’re sat here saying you can’t take other people seriously meanwhile your fucking name is king of Doritos, you live in Dorito castle, meanwhile spreading misinformation about mental illness.</t>
  </si>
  <si>
    <t>Dora</t>
  </si>
  <si>
    <t>05:44</t>
  </si>
  <si>
    <t>chloe</t>
  </si>
  <si>
    <t>Лос-Анджелес</t>
  </si>
  <si>
    <t>05:43</t>
  </si>
  <si>
    <t>25.06.2019 05:52</t>
  </si>
  <si>
    <t>Rebecca Townsend</t>
  </si>
  <si>
    <t>Виргиния</t>
  </si>
  <si>
    <t>Suffolk</t>
  </si>
  <si>
    <t>05:42</t>
  </si>
  <si>
    <t>25.06.2019 05:44</t>
  </si>
  <si>
    <t>@Doritos give me the power to keep my kids happy and quiet on summer road trips!   #IncognitoDoritos #Entry</t>
  </si>
  <si>
    <t>CammyK</t>
  </si>
  <si>
    <t>05:41</t>
  </si>
  <si>
    <t>25.06.2019 05:43</t>
  </si>
  <si>
    <t>1am and the deadline is looming. Forget midnight oil. Doritos is the only fuel that is being burned in this office. While all the rest of Philadelphia sleeps this poor programming team works hard.</t>
  </si>
  <si>
    <t>Snufalafagus</t>
  </si>
  <si>
    <t>05:40</t>
  </si>
  <si>
    <t>Can man</t>
  </si>
  <si>
    <t>05:35</t>
  </si>
  <si>
    <t>Dumb
#asian#ass#assholes#dumb#dumbsmash#jacksonwang#jackass#lilpump#doritos#chips#cheetos#420#69#dank#africa#beerfest#headshots#360waves#food#ps4#xbox#gucci#supreme</t>
  </si>
  <si>
    <t>Going dicko mode</t>
  </si>
  <si>
    <t>05:28</t>
  </si>
  <si>
    <t>25.06.2019 05:30</t>
  </si>
  <si>
    <t>Ryan Phoenix</t>
  </si>
  <si>
    <t>@Doritos @Doritos  #IncognitoDoritos #Entry Doritos gives me the power to walk a mile</t>
  </si>
  <si>
    <t>JF Wilson</t>
  </si>
  <si>
    <t>05:23</t>
  </si>
  <si>
    <t>25.06.2019 05:35</t>
  </si>
  <si>
    <t>Deb Gillard</t>
  </si>
  <si>
    <t>05:22</t>
  </si>
  <si>
    <t>25.06.2019 04:02</t>
  </si>
  <si>
    <t>Buckhead Capital Management LLC Grows Position in PepsiCo, Inc. (NASDAQ:PEP)</t>
  </si>
  <si>
    <t>, ten have assigned a hold rating, twelve have assigned a buy rating and one has assigned a strong buy rating to the company’s stock. The stock currently has an average rating of “Buy” and a consensus price target of $124.65.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</si>
  <si>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Frank Smitson</t>
  </si>
  <si>
    <t>05:16</t>
  </si>
  <si>
    <t>25.06.2019 05:21</t>
  </si>
  <si>
    <t>She found a little ball of cooler ranch seasoning at the bottom of her bag of Doritos. SCORE!</t>
  </si>
  <si>
    <t>R O G E R S.</t>
  </si>
  <si>
    <t>@Doritos #IncognitoDoritos #Entry gives me the ability to seek out and help people who are afraid to ask for it.</t>
  </si>
  <si>
    <t>Harry Avers</t>
  </si>
  <si>
    <t>Берлин</t>
  </si>
  <si>
    <t>25.06.2019 05:20</t>
  </si>
  <si>
    <t>dachele</t>
  </si>
  <si>
    <t>25.06.2019 05:16</t>
  </si>
  <si>
    <t>paul jackson</t>
  </si>
  <si>
    <t>Nottinghamshire</t>
  </si>
  <si>
    <t>05:13</t>
  </si>
  <si>
    <t>@thenoelmiller I wish my son @babyandcool was this well behaved  all the boy will bloody eat is blimmin doritos! He needs a right smacking! Yeah yeah, call me an abuser all u want, you’ll never catch me in the act</t>
  </si>
  <si>
    <t>british bill</t>
  </si>
  <si>
    <t>05:12</t>
  </si>
  <si>
    <t>reupload cause the first one wasn’t censored : insaneparents</t>
  </si>
  <si>
    <t>I can understand normalizing periods, because they happen every month, but DONT JUST BLEED ON PEOPLE YA NASTY there is a reason why anything that touches blood in a hospital is discarted in a different way versus a bag of fucking doritos</t>
  </si>
  <si>
    <t>HeatherFaerber</t>
  </si>
  <si>
    <t>Because sometimes everything is just awful</t>
  </si>
  <si>
    <t>25.06.2019 02:04</t>
  </si>
  <si>
    <t>If You Want Your Product Failing, Extend Your Name On It</t>
  </si>
  <si>
    <t>stylus. Coincidently, iPad is different enough from iPod and iPhone to not entirely be considered a name extended product. The iPad was able to exist on its own, without the name of Apple entirely backing it, unlike the Apple Watch.
Consider Decentralized Brands Did you know FritoLay owns the brand property of Doritos? Did you know they owned Cheetos? Did you know they owned Sun Chips? These products all are different enough to represent different categories within the chips market. They do well within the mind of consumers because to them, they</t>
  </si>
  <si>
    <t>Edson Ayllon</t>
  </si>
  <si>
    <t>medium.com</t>
  </si>
  <si>
    <t>05:10</t>
  </si>
  <si>
    <t>25.06.2019 12:10</t>
  </si>
  <si>
    <t>WEIRD FOOD COMBINATIONS | Sarah Hubner</t>
  </si>
  <si>
    <t>WEIRD FOOD COMBINATIONS | Sarah Hubner
Thankyou for watching this video, loved making this one so give it a thumbs up if you want to see a Part 2! Subscribe and stay tuned for more xx
Camera Used - Canon 1300d</t>
  </si>
  <si>
    <t>Sarah Hubner</t>
  </si>
  <si>
    <t>05:09</t>
  </si>
  <si>
    <t>25.06.2019 05:18</t>
  </si>
  <si>
    <t>Legal weed’s a growing danger to dogs, so keep your canine out of your cannabis</t>
  </si>
  <si>
    <t>vet, joked about what he used to tell pet owners: “We’re gonna take your dog in, we’re gonna put him in a quiet room. We’re gonna play some Led Zeppelin for him and give him some Doritos, and you can pick him up in the morning.”How much does treating your dog cost?While my own vet bill put us out $300, veterinarian John de Jong, president of the American Veterinary Medical Association, said interventions like bloodwork and IV fluids could cost up to $1,000.
What About Cats?
It seems to be rarer for cats to ingest marijuana. Black said she has</t>
  </si>
  <si>
    <t>Laura Klivans</t>
  </si>
  <si>
    <t>lasvegassun.com</t>
  </si>
  <si>
    <t>05:08</t>
  </si>
  <si>
    <t>25.06.2019 05:10</t>
  </si>
  <si>
    <t>This was honestly so yummy  Its the pinch of nom KFC style zinger burger using chilli heatwave Doritos!  - 2 syns for Doritos &amp; spice mix
- Hexb for gluten free ciabatta roll
- 1 syn for squeeze of light mayo
- 2.5 syns for 100g mcains sweet potato fries
#pinchofnom #kfczingerburger #slimmingworldrecipes #slimmingworld #slimmingworldideas #foodoptimising #extraeasyplan #foodie #foodporn #foodspam #yummy #treat #weightloss</t>
  </si>
  <si>
    <t>Emma B</t>
  </si>
  <si>
    <t>meal,sandwich,french fries,fried food,junk food,fast food,food</t>
  </si>
  <si>
    <t>05:07</t>
  </si>
  <si>
    <t>25.06.2019 00:30</t>
  </si>
  <si>
    <t>I can smell the armpits and doritos from here</t>
  </si>
  <si>
    <t>keyboardbuddhist</t>
  </si>
  <si>
    <t>05:06</t>
  </si>
  <si>
    <t>25.06.2019 05:08</t>
  </si>
  <si>
    <t>Ke ba jela di Doritos, baskatlo di fetesa mo pilaka 
WABA JELA 
          OR
 BAGO JELA?</t>
  </si>
  <si>
    <t>Man's Mabena</t>
  </si>
  <si>
    <t>Претория</t>
  </si>
  <si>
    <t>25.06.2019 05:07</t>
  </si>
  <si>
    <t>@Doritos  gives me the super power of living #IncognitoDoritos #Entry</t>
  </si>
  <si>
    <t>Book Dev</t>
  </si>
  <si>
    <t>05:05</t>
  </si>
  <si>
    <t>25.06.2019 05:09</t>
  </si>
  <si>
    <t>@abdo_alsi  hahah fuck you haha  #chips #snack #food #doritos #yum #spicy #spicymemes #spickychips #yummy #snacks #munich #munchies  #haha
@abdo_alsi</t>
  </si>
  <si>
    <t>Klaire</t>
  </si>
  <si>
    <t>Night gaymerzzz. Remember, don't overdose on mountain dew and doritos. Stay 1337. Rek all the scrubs and n00bs and tell em how you f*cked their mums. 2cool4skool. 3EPIC5PCMR #yoloswag #420blazeit #rekt #plugged #gay #twink #femboy</t>
  </si>
  <si>
    <t>Kidcouturexx</t>
  </si>
  <si>
    <t>05:04</t>
  </si>
  <si>
    <t>Bawls Energy drinks and more than one open bag of Doritos. MAN THAT LOOKS LIKE SO MUCH FUN!</t>
  </si>
  <si>
    <t>kavantrapenur</t>
  </si>
  <si>
    <t>05:01</t>
  </si>
  <si>
    <t>♡ gigi｜seeing mx + twice in chicago ♡</t>
  </si>
  <si>
    <t>Ghana</t>
  </si>
  <si>
    <t>Вольта</t>
  </si>
  <si>
    <t>Have</t>
  </si>
  <si>
    <t>25.06.2019 05:02</t>
  </si>
  <si>
    <t>Gonna change the background color because all I see is a dorito  but here’s some snek  -
Tentatively dipping my toes back into IG. I feel like I got a little obsessed with the numbers and had to take a break for a while.
#watercolor #snake #doritos #art #artist #drawing #instaart #painting #lining #ink #boa #originalart #etsy #society6 #artblock #goddess #etsyseller #seminude</t>
  </si>
  <si>
    <t>Hilal Sertkayaoğlu</t>
  </si>
  <si>
    <t>fictional character,drawing</t>
  </si>
  <si>
    <t>visual arts,painting,artwork,art</t>
  </si>
  <si>
    <t>05:00</t>
  </si>
  <si>
    <t>25.06.2019 05:00</t>
  </si>
  <si>
    <t>Doritos burada da en iyi cips. Daha iyisini görmedim hala.</t>
  </si>
  <si>
    <t>Rıdvan Demir</t>
  </si>
  <si>
    <t>Switzerland</t>
  </si>
  <si>
    <t>Цюрих</t>
  </si>
  <si>
    <t>04:58</t>
  </si>
  <si>
    <t>25.06.2019 04:59</t>
  </si>
  <si>
    <t>I'M DORITOS AF RN TBH FFS SMH I'M SIMPLY SAYING. MCR SAYS THEY AREN'T EMO, NOR POP PUNK. IT'S BEEN ROBBED YAINT GOT NO I</t>
  </si>
  <si>
    <t>Frank</t>
  </si>
  <si>
    <t>Green Tree</t>
  </si>
  <si>
    <t>04:57</t>
  </si>
  <si>
    <t>@Doritos Why does the UK have to miss out on the #SpiderManFarFromeHome dorito bags?! @SpiderManMovie</t>
  </si>
  <si>
    <t>Declan</t>
  </si>
  <si>
    <t>Уэльс</t>
  </si>
  <si>
    <t>04:55</t>
  </si>
  <si>
    <t>SASHA XX</t>
  </si>
  <si>
    <t>04:53</t>
  </si>
  <si>
    <t>25.06.2019 04:54</t>
  </si>
  <si>
    <t>Y'all clowns for eating your tangy fucking cheese Doritos. You absolute losers</t>
  </si>
  <si>
    <t>Phoebe</t>
  </si>
  <si>
    <t>#ASMR. #Doritos #ichiocha</t>
  </si>
  <si>
    <t>#ASMR. #Doritos #ichiocha
Plis Like
And Subscribe</t>
  </si>
  <si>
    <t>Kawaui Squishy Chanel</t>
  </si>
  <si>
    <t>Doritos check. Bawls check.</t>
  </si>
  <si>
    <t>124kt</t>
  </si>
  <si>
    <t>04:52</t>
  </si>
  <si>
    <t>25.06.2019 04:53</t>
  </si>
  <si>
    <t>IM NOT A NONCE FOR EATING COOL DORITOS bruh</t>
  </si>
  <si>
    <t>25.06.2019 04:52</t>
  </si>
  <si>
    <t>@duashines @DUALIPA @Doritos Please do this for @florencemachine</t>
  </si>
  <si>
    <t>Goon ❤️</t>
  </si>
  <si>
    <t>Zimbabwe</t>
  </si>
  <si>
    <t>Manicaland</t>
  </si>
  <si>
    <t>Mayfield Estate</t>
  </si>
  <si>
    <t>04:51</t>
  </si>
  <si>
    <t>25.06.2019 04:56</t>
  </si>
  <si>
    <t>Vincent Flores</t>
  </si>
  <si>
    <t>Рисаль</t>
  </si>
  <si>
    <t>Angono</t>
  </si>
  <si>
    <t>04:50</t>
  </si>
  <si>
    <t>2 minutes and 45 seconds of me eating doritos ft. The Badlands and my aunt</t>
  </si>
  <si>
    <t>2 minutes and 45 seconds of me eating doritos ft. The Badlands and my aunt
Hi
Its 3:47 AM right now
I cant sleep
I got back from Colorado like 2 hours ago 
So yeah
Goodnight lovelies</t>
  </si>
  <si>
    <t>MaddiMae531</t>
  </si>
  <si>
    <t>04:44</t>
  </si>
  <si>
    <t>25.06.2019 04:48</t>
  </si>
  <si>
    <t>@NisaLocally Doritos and Hummous</t>
  </si>
  <si>
    <t>lynn neal</t>
  </si>
  <si>
    <t>Кеттеринг</t>
  </si>
  <si>
    <t>04:36</t>
  </si>
  <si>
    <t>25.06.2019 04:38</t>
  </si>
  <si>
    <t>Baby burrito wants daddy's @doritos. 15 weeks old today 2 and a half months to go chillipepper
.
.
.
#baby #babyburrito #burritodoritos #babyboy #learning #exploring #play #fathwrandson #dadofboys #mumofboys #babiesofinstagram #instababy #babyofinstagram #momsbelike #alfiedaily #dailypics</t>
  </si>
  <si>
    <t>Raising Humans</t>
  </si>
  <si>
    <t>04:34</t>
  </si>
  <si>
    <t>25.06.2019 04:41</t>
  </si>
  <si>
    <t>jordan nathaniel</t>
  </si>
  <si>
    <t>Сонора</t>
  </si>
  <si>
    <t>Universa Mining and Constructions S.A. de C.V.</t>
  </si>
  <si>
    <t>04:33</t>
  </si>
  <si>
    <t>25.06.2019 04:35</t>
  </si>
  <si>
    <t>She buy the doritos from amirica</t>
  </si>
  <si>
    <t>She buy the doritos from amirica
Udidbdoshfkdgwogdodbsodhdodbskdidj</t>
  </si>
  <si>
    <t>Hi-Lite Studio &amp; Advertising Cagayan de Oro City</t>
  </si>
  <si>
    <t>25.06.2019 04:44</t>
  </si>
  <si>
    <t>He really had doritos with him guys hes cool i dont think i seen anyone do this in their videos❤️❤️ go check out his tiktoks#viral #explore #getjiggywithit #tiktok #funny @tiktok @jiggygreen2x @jiggygreen
@jiggygreen</t>
  </si>
  <si>
    <t>Jiggy green lover &amp; supporter</t>
  </si>
  <si>
    <t>25.06.2019 04:33</t>
  </si>
  <si>
    <t>What is a healthy, yet still desirable meal(s) for a teen or someone in their college years? Writing this since I think my diet of doritos, mountain dew, shrimp and hot pockets isnt very good for me lol.</t>
  </si>
  <si>
    <t>TimmyDoesGFX</t>
  </si>
  <si>
    <t>04:32</t>
  </si>
  <si>
    <t>25.06.2019 04:42</t>
  </si>
  <si>
    <t>bestcataccount: WE ARE OUT OF DORITOS KAREN</t>
  </si>
  <si>
    <t>اللي يبي اجرهم</t>
  </si>
  <si>
    <t>04:31</t>
  </si>
  <si>
    <t>out of state anaesthetic</t>
  </si>
  <si>
    <t>Окситания</t>
  </si>
  <si>
    <t>Saint-Guilhem-le-Désert</t>
  </si>
  <si>
    <t>25.06.2019 04:40</t>
  </si>
  <si>
    <t>@DUALIPA dua, you would make me very happy if you see this thread that I did a few days ago
dua lipa as doritos: a thread</t>
  </si>
  <si>
    <t>jimena ᵈˡ²</t>
  </si>
  <si>
    <t>Нижняя Саксония</t>
  </si>
  <si>
    <t>Plate</t>
  </si>
  <si>
    <t>04:30</t>
  </si>
  <si>
    <t>25.06.2019 04:37</t>
  </si>
  <si>
    <t>Guydudeman?</t>
  </si>
  <si>
    <t>Italy</t>
  </si>
  <si>
    <t>Ломбардия</t>
  </si>
  <si>
    <t>San Latino</t>
  </si>
  <si>
    <t>25.06.2019 00:29</t>
  </si>
  <si>
    <t>Can I please have some Doritos</t>
  </si>
  <si>
    <t>wumbledun</t>
  </si>
  <si>
    <t>04:29</t>
  </si>
  <si>
    <t>25.06.2019 04:30</t>
  </si>
  <si>
    <t>i put my dick in a bag of doritos</t>
  </si>
  <si>
    <t>benjamin counter</t>
  </si>
  <si>
    <t>Эмилия-Романья</t>
  </si>
  <si>
    <t>Località I Botti, Morfasso (Pc) (Italy)</t>
  </si>
  <si>
    <t>Ghuraba ∞</t>
  </si>
  <si>
    <t>04:26</t>
  </si>
  <si>
    <t>Nigga thats the best part
This is why I don’t fw vending machines. I always get robbed. Doritos really gave me a bag of straight dust. I’m tight</t>
  </si>
  <si>
    <t>Angelo ‍♂️</t>
  </si>
  <si>
    <t>Markinch</t>
  </si>
  <si>
    <t>04:25</t>
  </si>
  <si>
    <t>25.06.2019 04:26</t>
  </si>
  <si>
    <t>This is why I don’t fw vending machines. I always get robbed. Doritos really gave me a bag of straight dust. I’m tight</t>
  </si>
  <si>
    <t>rye!</t>
  </si>
  <si>
    <t>Ла-Риоха</t>
  </si>
  <si>
    <t>Ángulos</t>
  </si>
  <si>
    <t>25.06.2019 04:25</t>
  </si>
  <si>
    <t>#whatsnew #doritos #instagramers #crackersanddip ##instagram #instapic  #instaclean #shopnew #crackers  #shopnew #nz #nznew</t>
  </si>
  <si>
    <t>ShopLoveNZ</t>
  </si>
  <si>
    <t>convenience food,fast food,junk food,food,snack</t>
  </si>
  <si>
    <t>04:24</t>
  </si>
  <si>
    <t>PepsiCo, Inc. (NASDAQ:PEP) Shares Sold by Sapphire Star Partners LP</t>
  </si>
  <si>
    <t>stock.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</si>
  <si>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Shanna Eddington</t>
  </si>
  <si>
    <t>04:21</t>
  </si>
  <si>
    <t>#lituania #candy #fanta #doritos #carries</t>
  </si>
  <si>
    <t>gerda_SDT</t>
  </si>
  <si>
    <t>04:20</t>
  </si>
  <si>
    <t>173/365 NEW!!..Doritos Chips with Spider Man “Far From Home”.
#snack #doritos #chips #snacktime #yummy #ngemil #cemilan #snacking #potatochips #ilovesnacks #snacklover #bestsnack #food #foodie #foodgasm #happysnacking #happytummy #makananringan #makan #spiderman #instafood #instafoodie #snackstagram</t>
  </si>
  <si>
    <t>Dina Hartoyo</t>
  </si>
  <si>
    <t>04:19</t>
  </si>
  <si>
    <t>25.06.2019 04:22</t>
  </si>
  <si>
    <t>fried lettuce</t>
  </si>
  <si>
    <t>What's your favorite flavor of Doritos? (Yes, as I'm snacking ...)</t>
  </si>
  <si>
    <t>Louisa Bacio</t>
  </si>
  <si>
    <t>Денизли</t>
  </si>
  <si>
    <t>Çal</t>
  </si>
  <si>
    <t>I was half sleep until this dumbass got out of bed and came back with a damn bowl of doritos now hes crunching</t>
  </si>
  <si>
    <t>Kelicia Evil</t>
  </si>
  <si>
    <t>25.06.2019 04:20</t>
  </si>
  <si>
    <t>Being sunburnt is the definition of silent but violent, my bum is so burnt looks like two spicy Doritos</t>
  </si>
  <si>
    <t>caisss</t>
  </si>
  <si>
    <t>Ireland</t>
  </si>
  <si>
    <t>Tallaght</t>
  </si>
  <si>
    <t>Lula</t>
  </si>
  <si>
    <t>Валенсия</t>
  </si>
  <si>
    <t>Аликанте</t>
  </si>
  <si>
    <t>04:17</t>
  </si>
  <si>
    <t>25.06.2019 04:24</t>
  </si>
  <si>
    <t>Thom B</t>
  </si>
  <si>
    <t>25.06.2019 04:17</t>
  </si>
  <si>
    <t>Spider-Man : far from home teaser for Doritos #spidermanfarfromhome #spiderman #farfromhome #mysterio #chameleon #moltenman #hydroman #sandman #scorpion #shocker #vulture #terribletinkerer #nickfury #mariahill #happyhogan #marvel #marvelstudios #comic #comicbook #movie #sony #sonypictures #spidermanfarfromhome #farfromhome #sony #sonypictures #mcu #doritos
@tomholland2013 @marvel @doritos @jonfavreau @marisatomei @marvelstudios @jnwtts @games__art @jakegyllenhaal @avengers</t>
  </si>
  <si>
    <t>mohammad_comic_fan</t>
  </si>
  <si>
    <t>04:15</t>
  </si>
  <si>
    <t>25.06.2019 04:15</t>
  </si>
  <si>
    <t>Imogen Edwards</t>
  </si>
  <si>
    <t>04:14</t>
  </si>
  <si>
    <t>25.06.2019 04:14</t>
  </si>
  <si>
    <t>@haleyykinnzz I do a buffalo chicken dip that I will also make sliders with. My secret is instead of ranch I use cream of chicken soup and then on the sliders I make a mix of crushed Doritos and crushed croutons and top with melted aged sharp white cheddar. They’re a shockingly versatile tool.</t>
  </si>
  <si>
    <t>yburyug</t>
  </si>
  <si>
    <t>04:13</t>
  </si>
  <si>
    <t>25.06.2019 04:13</t>
  </si>
  <si>
    <t>phantom hag</t>
  </si>
  <si>
    <t>04:12</t>
  </si>
  <si>
    <t>KelzzBelzz</t>
  </si>
  <si>
    <t>Sud-Ouest</t>
  </si>
  <si>
    <t>Middle Bonjongo</t>
  </si>
  <si>
    <t>No copeo.</t>
  </si>
  <si>
    <t>❦❁ miranda ❁❦</t>
  </si>
  <si>
    <t>25.06.2019 04:12</t>
  </si>
  <si>
    <t>xionu reeves ️‍</t>
  </si>
  <si>
    <t>04:11</t>
  </si>
  <si>
    <t>@haleyykinnzz Youre a wise lady. That actually sounds amazing &amp; we have some lol. One time I had all my local watering hole friends over and we crushed a ton of Doritos and used them to replace flour deep frying things. My favorite was pesto dipped mozzarella balls. 5 star far kid experience.</t>
  </si>
  <si>
    <t>04:08</t>
  </si>
  <si>
    <t>25.06.2019 04:08</t>
  </si>
  <si>
    <t>@LezzyBeanVR Fkn brownies and cookies,as well as Doritos</t>
  </si>
  <si>
    <t>影 Thefrozenfew#A.L.Abtw ♡</t>
  </si>
  <si>
    <t>Юта</t>
  </si>
  <si>
    <t>American Fork</t>
  </si>
  <si>
    <t>04:06</t>
  </si>
  <si>
    <t>25.06.2019 04:10</t>
  </si>
  <si>
    <t>doritos cheetos or fritos</t>
  </si>
  <si>
    <t>nigbybot</t>
  </si>
  <si>
    <t>04:04</t>
  </si>
  <si>
    <t>25.06.2019 04:04</t>
  </si>
  <si>
    <t>@calamityqanon @AnthonyJMuniz @makeitsnowondem @beetwagonSA @rat_liker @HotelSoap68 @weedgrimace69 @AnAngryOpossum @ChrisTweetLLC @BobooTobian @transitionfiend @therealsweetmax @Your_Pal_Billy @TheHojer @hi_im_barb @Edmond_Estrada @LumpyLouish @beallyoucanbop @thesportsjunk @_sansculottes_ @Nagles_A_Fraud @blanddisplay @MuellerDad69 @MDingwick @evren__7 @tacticaldipshit @FendersonGote @BRAINIACx_ @EliChanpu @ChrisxNemo @HbKusoneko @xoraaah @SoludM @Vokul1 @SchwayGoose @_HappyHanabi @SmugVespaWoman @biasbe @MBNHedger @PandasAndGaming @Blaugast @truther_dare @wrenchyboi @WanderingNepNep @NoBuddyNow @Mr_Cryonic @TSM @Styx666Official Tones out here tweeting with one hand in a doritos packet for sure</t>
  </si>
  <si>
    <t>Passion Pop Socialist</t>
  </si>
  <si>
    <t>Mountain</t>
  </si>
  <si>
    <t>04:02</t>
  </si>
  <si>
    <t>25.06.2019 04:05</t>
  </si>
  <si>
    <t>Grabbing them Doritos gon have u on yo tippy toes
Sipping gold peak like I'm the king of the hill</t>
  </si>
  <si>
    <t>JeauxieUchiha®~</t>
  </si>
  <si>
    <t>24.06.2019 21:13</t>
  </si>
  <si>
    <t>Breakfast, lunch, dinner ideas</t>
  </si>
  <si>
    <t>IF (and this is a big IF) i can stay awake past the kids tonight, I'm going to make me some guac! Those avacodos are calling my name!!! With Doritos!</t>
  </si>
  <si>
    <t>DCmomOf5</t>
  </si>
  <si>
    <t>community.babycenter.com</t>
  </si>
  <si>
    <t>September 2019 Birth Club - BabyCenter</t>
  </si>
  <si>
    <t>04:01</t>
  </si>
  <si>
    <t>25.06.2019 04:01</t>
  </si>
  <si>
    <t>@CIAnderson3 @ReSista_Babs @roseymelhill @jamnspoon2 @LilCox2627 @PollyPapaya @richones1 @GrownUpsWanted @ladyred1956 @whitesteven3377 @RebeccaIsby @Ziggiezaggie @michelle_spenc @Maltomash @BobA1959 @Cdubey_Texas @thewebbix @7brdgesroad @LisaSwartz8 @h8Wankmaggot45 @GhostOfLuv3 @warrior_4_good @BernieMamorbor @NortJohnny @TalkToMeForReal @AussieDebBell @Kewlbearhelloki @phyllisj1003 @JerryCann1 @og_dbl_lo_g @D_resists @JustClaudia3 @Eathbound420 Thank you Ms. C!!
Song Shoot to Thrill - AC/DC
Food: Always Nacho Cheese Doritos 
8 friends 
@FireGoddessB 
@bleudawn7 
@power2she 
@DetroitLove88 
@AngryandAsian 
@__elDuderino_ 
@Gr3Te4rights 
@ccbandit4resist</t>
  </si>
  <si>
    <t>JustClaudia#AgainstFascism</t>
  </si>
  <si>
    <t>04:00</t>
  </si>
  <si>
    <t>Doritos Lady Gaga</t>
  </si>
  <si>
    <t>Doritos Lady Gaga
DCC Film YouTube Kanalına Abone Olun: http://bit.do/eRRJq
#DCCFilm #dcc #reklamlar</t>
  </si>
  <si>
    <t>DCC FILM</t>
  </si>
  <si>
    <t>building</t>
  </si>
  <si>
    <t>tourism,sky</t>
  </si>
  <si>
    <t>03:59</t>
  </si>
  <si>
    <t>25.06.2019 04:06</t>
  </si>
  <si>
    <t>crunchwrap supreme</t>
  </si>
  <si>
    <t>Poland</t>
  </si>
  <si>
    <t>from home would be my comfort food. Ranch dressing, coffee, raisin bran, cinnamon raisin bagels, and cool ranch doritos to name a few!⠀
.⠀
. ⠀
In today's selfish world, it is very difficult to depend on others because everyone is so into themselves and how it benefits them. They are less likely to offer to help because they have too much to do or whatever reason. It is very hard to find true friends that think selflessly. Luckily, I have a couple.  Learn to depend on yourself and you'll never be disappointed. Then when someone does help, you'll be pleasantly surprised!⠀
.⠀
#selfcare #vacation #recharge #TimeOut #youarespecial #youareworthit #Mindset #PositiveVibes #PositiveMentalAttitude #friendship #family #cravings</t>
  </si>
  <si>
    <t>Christine</t>
  </si>
  <si>
    <t>Belgium</t>
  </si>
  <si>
    <t>Фландрия</t>
  </si>
  <si>
    <t>Тервюрен</t>
  </si>
  <si>
    <t>03:58</t>
  </si>
  <si>
    <t>Doritos, Podcasts, Sprite y Apex =</t>
  </si>
  <si>
    <t>Vaquero Sadboy</t>
  </si>
  <si>
    <t>Colombia</t>
  </si>
  <si>
    <t>Касанар</t>
  </si>
  <si>
    <t>Monterrey</t>
  </si>
  <si>
    <t>03:56</t>
  </si>
  <si>
    <t>SUMMERVIBES  #friends #goodtimes #goodvibes #sun #quecalor #bécasinenotrepiscine #summer #çapromet #sangriatime</t>
  </si>
  <si>
    <t>Isalyne</t>
  </si>
  <si>
    <t>plastic</t>
  </si>
  <si>
    <t>03:55</t>
  </si>
  <si>
    <t>25.06.2019 04:19</t>
  </si>
  <si>
    <t>Boys4life #boys #homies #doritos #chilly
@matt_joness @caitrobertron @roberto.difabio</t>
  </si>
  <si>
    <t>Mitchell Luchterhand</t>
  </si>
  <si>
    <t>Квинсленд</t>
  </si>
  <si>
    <t>Брисбен</t>
  </si>
  <si>
    <t>03:54</t>
  </si>
  <si>
    <t>#funny #baby #webstagram #followback @top.tags #foodporn #tweegram #hot #makeup #instasize #ootd #my #iphonesia #black #instapic #instacool #pink #blue #yummy #instafollow #toptags #instalove #igdaily #healthy #likes #wcw #model #red #awesome #gym #sweet</t>
  </si>
  <si>
    <t>junk food,drink,food,snack</t>
  </si>
  <si>
    <t>03:52</t>
  </si>
  <si>
    <t>25.06.2019 03:56</t>
  </si>
  <si>
    <t>Michael O'Sullivan</t>
  </si>
  <si>
    <t>03:50</t>
  </si>
  <si>
    <t>25.06.2019 03:55</t>
  </si>
  <si>
    <t>Wall-Spider</t>
  </si>
  <si>
    <t>25.06.2019 03:54</t>
  </si>
  <si>
    <t>@tinacohendang who needs Doritos when you can have cool ranch toritos</t>
  </si>
  <si>
    <t>tori</t>
  </si>
  <si>
    <t>03:49</t>
  </si>
  <si>
    <t>25.06.2019 03:53</t>
  </si>
  <si>
    <t>@NisaLocally Doritos</t>
  </si>
  <si>
    <t>Sandra Fortune</t>
  </si>
  <si>
    <t>Шеффилд</t>
  </si>
  <si>
    <t>25.06.2019 03:50</t>
  </si>
  <si>
    <t>03:47</t>
  </si>
  <si>
    <t>25.06.2019 00:28</t>
  </si>
  <si>
    <t>Doritos and Bawls. That party was LIT! The good ol days.</t>
  </si>
  <si>
    <t>LaserTycoon27</t>
  </si>
  <si>
    <t>03:46</t>
  </si>
  <si>
    <t>25.06.2019 03:46</t>
  </si>
  <si>
    <t>Im so #high i thought doritos dipped in water was really good</t>
  </si>
  <si>
    <t>Halloweed</t>
  </si>
  <si>
    <t>03:44</t>
  </si>
  <si>
    <t>amazing pic. our LAN parties were set up for Quake 2 and then Quake 3. Headshots using the rail gun on Q3DM17 was THE thing. And we did Dr pepper back then, went surprisingly well with them doritos! lol</t>
  </si>
  <si>
    <t>stuckinteh90s</t>
  </si>
  <si>
    <t>03:43</t>
  </si>
  <si>
    <t>Pizza (on a wrap) for tea.....after a fair few sweet chilli Doritos! 
.
.
.
.
#slimmingworldfollowers #slimmingworldblog #slimmingworlddiary #slimmingworldblogger #slimmingworldmeals #slimmingworldmafia #slimmingworldideas #slimmingworldjourney #slimmingworlddiary #slimmingworldinspiration #slimmingworldlife #slimmingworld #slimmingworlduk #slimmingworldpregnancy #slimmingworldpregnancyplan #extraeasy #onplan #swfam #swmafia #swfamily #swukfood #swlife #swinsta #slimmingworldinsta #swpregnancy #swpregnant #swpregnancyplan #week37</t>
  </si>
  <si>
    <t>Becky Hatton</t>
  </si>
  <si>
    <t>appetizer,pizza,vegetable,salad,food</t>
  </si>
  <si>
    <t>25.06.2019 03:45</t>
  </si>
  <si>
    <t>comrade uuuu</t>
  </si>
  <si>
    <t>03:42</t>
  </si>
  <si>
    <t>25.06.2019 03:42</t>
  </si>
  <si>
    <t>michelle thompson</t>
  </si>
  <si>
    <t>St Helens</t>
  </si>
  <si>
    <t>03:40</t>
  </si>
  <si>
    <t>Seems like many people are putting their fingers into their mouths and I don’t get it</t>
  </si>
  <si>
    <t>To lick off the dorito residue Click to expand... I like to taste the food that my fingers just touched. Click to expand... My family does this when they haven’t been eating Click to expand... Maybe they had Doritos a few days ago and didn't wash their hands so they had some cheese left over on their fingers that they had saved for later Click to expand...</t>
  </si>
  <si>
    <t>-PJ- (invalid@example.com)</t>
  </si>
  <si>
    <t>ign.com</t>
  </si>
  <si>
    <t>IGN Boards</t>
  </si>
  <si>
    <t>03:38</t>
  </si>
  <si>
    <t>25.06.2019 03:40</t>
  </si>
  <si>
    <t>ANTIGAMENTE COM 2 REAIS EU VOLTAVA DO MERCADO COM ,4 DORITOS , 2 COCA COLA DE 2 LITROS , 5 PACOTES DE BISCOITOS E BARRAS DE CHOCOLATES MAIS AGORA . . . BOTARAM CÂMERA‍♂️</t>
  </si>
  <si>
    <t>Menor D</t>
  </si>
  <si>
    <t>Nigeria</t>
  </si>
  <si>
    <t>Огун</t>
  </si>
  <si>
    <t>Dende</t>
  </si>
  <si>
    <t>Bahl &amp; Gaynor Inc. Buys 638,298 Shares of PepsiCo, Inc. (NASDAQ:PEP)</t>
  </si>
  <si>
    <t>report on Wednesday, March 27th. One equities research analyst has rated the stock with a sell rating, ten have given a hold rating, twelve have given a buy rating and one has issued a strong buy rating to the company. PepsiCo currently has an average rating of “Buy” and an average price target of $124.65.
About PepsiCo
PepsiCo, Inc operates as a food and beverage company worldwide. The company's Frito-Lay North America segment offers branded dips; Cheetos cheese-flavored snacks; and Doritos tortilla, Fritos corn, Lay's potato, Ruffles potato</t>
  </si>
  <si>
    <t>Brian Wu</t>
  </si>
  <si>
    <t>Aviva PLC Has $76.31 Million Stake in PepsiCo, Inc. (NASDAQ:PEP)</t>
  </si>
  <si>
    <t>,676.28. The disclosure for this sale can be found here . Insiders sold 48,494 shares of company stock valued at $6,173,705 in the last ninety days. Corporate insiders own 0.28% of the company’s stock.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</si>
  <si>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03:37</t>
  </si>
  <si>
    <t>Blue Bawls and Doritos.. Noice.</t>
  </si>
  <si>
    <t>HotelYoungblood</t>
  </si>
  <si>
    <t>03:36</t>
  </si>
  <si>
    <t>25.06.2019 03:38</t>
  </si>
  <si>
    <t>The superior flavour. The blue ones of course.
Bout to have the best Doritos. Which flavour am I talking about?</t>
  </si>
  <si>
    <t>Naledi the goat</t>
  </si>
  <si>
    <t>03:35</t>
  </si>
  <si>
    <t>25.06.2019 10:30</t>
  </si>
  <si>
    <t>I just wake up every morning like this .
.
.
.
.
The stickers are found on telegram
Give them some love and add them 
https://t.me/addstickers/cozyyote 、
、 、
、 、
、
、
、
、
、
、
。
、
、、
、 、
、、
、、、、
、。、
#memes #furry #gayfurry #gfur #yiff #furrymemes #furryfandom #furriesforever #furries #photooftheday #instagood #happy #cute #picoftheday #art #like4like #instalike #l4l #furry_irl #furryart #fursona #furrys #dankmemes #anthro #anthroart</t>
  </si>
  <si>
    <t>Lüdo Wolf</t>
  </si>
  <si>
    <t>03:31</t>
  </si>
  <si>
    <t>25.06.2019 03:35</t>
  </si>
  <si>
    <t>@Doritos_Mx Me encanta que jotees, Doritos</t>
  </si>
  <si>
    <t>charlie</t>
  </si>
  <si>
    <t>アドゴニ</t>
  </si>
  <si>
    <t>25.06.2019 03:39</t>
  </si>
  <si>
    <t>Hello Panda Kiloan
.
Kemasan 250 gram
Exp. 2020
.
Harga Promo Rp 17.000
Harga Normal Rp 22.000
.
More Info &amp; Order :
WA : 082126755755
.
#silverqueen #chunkybar #coklat #coklatkiloan #coklatmurah #coklatdelfi #delfialmond #delficashew #chacha #chachamilk #chachapeanut #chicchoc #maltitos #lagie #harsheys #toblerone #matchagreentea #snackkiloan #jajananmurah #jetz #cheetos #lays #chikiball #doritos #hellopanda #nabati #suppliercoklat #agencoklat</t>
  </si>
  <si>
    <t>Chocolicious</t>
  </si>
  <si>
    <t>convenience food,vegetable,confectionery,fruit,natural foods,snack,food</t>
  </si>
  <si>
    <t>03:30</t>
  </si>
  <si>
    <t>25.06.2019 03:51</t>
  </si>
  <si>
    <t>Frito Lay Incognito Doritos Sweepstakes - Win Suit Bag
Eligibility: 50 US, DC 18+
This Sweepstakes Ends on June 30th, 2019.
#Sweepstakes #IncognitoDoritos #FritoLay #WinSuitBag
Frito Lay Incognito Doritos Sweepstakes - Win Suit Bag - GiveawayNsweepstakes
https://www.giveawaynsweepstakes.com/frito-lay-incognito-doritos-sweepstakes-win-suit-bag/</t>
  </si>
  <si>
    <t>Becky Williams</t>
  </si>
  <si>
    <t>vk.com</t>
  </si>
  <si>
    <t>Сан-Франциско</t>
  </si>
  <si>
    <t>03:28</t>
  </si>
  <si>
    <t>25.06.2019 03:34</t>
  </si>
  <si>
    <t>#29 and most thankful for this amazing person who insisted on staying up til midnight to be the first to say happy birthday. Even though he kept falling asleep and I urged him to go to bed, he made it long enough to give me a midnight birthday kiss and tell me I smell like Doritos  I'd say it's safe to call that #truelove 
#birthdaygirl</t>
  </si>
  <si>
    <t>Sisi Chavez</t>
  </si>
  <si>
    <t>sky,beach,water,vacation,ocean</t>
  </si>
  <si>
    <t>taco bell post falls</t>
  </si>
  <si>
    <t>chain and now .
taco bell owner beats on top and bottom line falls short of key .
taco bell free taco deal how to get free doritos locos taco money .
taco bell brought back nacho fries january 2019 .
taco shop official taco bell merchandise apparel and accessories .
the rundown of retired taco bell favorites what the bell happened .
what time does taco bell start serving lunch .
review taco bell doritos locos taco the bald gourmet .
taco bell grubhub is here but man the fees tacobell .
taco bell franchise is heading back to albert lea austin daily</t>
  </si>
  <si>
    <t>apkhook.com</t>
  </si>
  <si>
    <t>lgbt doritos</t>
  </si>
  <si>
    <t>doritos rainbow chips for lgbt pride it gets better project time .
doritos supports lgbt community with doritos rainbows .
go buy a bag of these doritos rainbows to support lgbt causes .
these new rainbow doritos are raising awareness for the lgbt community .
doritos to launch lgbt themed tortilla chips youtube .
new doritos rainbows to support lgbt community abc news .
doritos rainbows to support lgbt causes popsugar food .
doritos supports lgbt by going more rainbow than nyan cat newsy .
doritos .
taste test we ate the fabulous rainbow</t>
  </si>
  <si>
    <t>euiv expansions</t>
  </si>
  <si>
    <t>russian expansion was a fun game eu4 .
europa universalis iv dharma review gamewatcher .
brandenburg 1444 to 1821 my first complete game of euiv .
europa universalis iv dlc guide strategy gamer .
mountain dew vs doritos using europa universalis iv s expansion to .
europa universalis iv on steam .
euiv dharma expansion out september rock paper shotgun .
europa universalis iv getting another expansion rule britannia .
what s next for eu4 in 2019 the midknight watch .
mountain dew vs doritos using europa universalis iv s expansion to .
eu4 hre</t>
  </si>
  <si>
    <t>03:26</t>
  </si>
  <si>
    <t>25.06.2019 03:27</t>
  </si>
  <si>
    <t>Guys ada yg lupa aku kasi rate yg thaimilktea 8/10,yg doritos 7/10</t>
  </si>
  <si>
    <t>Guys ada yg lupa aku kasi rate yg thaimilktea 8/10,yg doritos 7/10
Created by VideoShow:http://videoshowapp.com/free</t>
  </si>
  <si>
    <t>Zes play</t>
  </si>
  <si>
    <t>Indonesia</t>
  </si>
  <si>
    <t>Бантен</t>
  </si>
  <si>
    <t>Poris Plawad Utara</t>
  </si>
  <si>
    <t>03:25</t>
  </si>
  <si>
    <t>I like Pringles and Doritos. What I don't like is the 50% of air in the packaging</t>
  </si>
  <si>
    <t>MASEGO</t>
  </si>
  <si>
    <t>25.06.2019 03:30</t>
  </si>
  <si>
    <t>Im I’m at my most full when I’m full of myself &amp; after a row of Oreos, a bag of Doritos &amp; a bowl of ice cream.</t>
  </si>
  <si>
    <t>03:24</t>
  </si>
  <si>
    <t>25.06.2019 03:28</t>
  </si>
  <si>
    <t>i want somebody to get me a carton of doritos</t>
  </si>
  <si>
    <t>Lirpa</t>
  </si>
  <si>
    <t>@kfc I think you were trying to find your own Doritos los Tacos and I think you've failed spectacularly.</t>
  </si>
  <si>
    <t>HR$</t>
  </si>
  <si>
    <t>Алабама</t>
  </si>
  <si>
    <t>Hobson City</t>
  </si>
  <si>
    <t>Confession.. I only eat the super cheesy Doritos and throw the naked ones back in the bag.</t>
  </si>
  <si>
    <t>Mindy Linvell</t>
  </si>
  <si>
    <t>Арканзас</t>
  </si>
  <si>
    <t>Литл-Рок</t>
  </si>
  <si>
    <t>25.06.2019 03:29</t>
  </si>
  <si>
    <t>SPIDER MAN FAR FROM HOME Peter Makes His Own Suit Scene Trailer (NEW 2019) Superhero Movie HD</t>
  </si>
  <si>
    <t>-man far from home cast interview,
spider man far from home c,
spider man far from home trailer c,
spider-man far from home deadpool,
spider-man far from home download,
spider-man far from home doritos,
spider-man far from home drawing
#spider-man #spider-manmovie #movie #movietrailer #trend #top10 #trends #movies #spider-mantrailer #newmovies</t>
  </si>
  <si>
    <t>yusuf tanriverdi</t>
  </si>
  <si>
    <t>Wasabi Doritos are a transcendent drinking snack</t>
  </si>
  <si>
    <t>Andrew Ferguson</t>
  </si>
  <si>
    <t>Мэриленд</t>
  </si>
  <si>
    <t>College Park</t>
  </si>
  <si>
    <t>25.06.2019 03:25</t>
  </si>
  <si>
    <t>I don’t know what $BTC is doing currently and I’m so very very hungry.
Doritos won’t cut it.</t>
  </si>
  <si>
    <t>Imtiyaz Ansari</t>
  </si>
  <si>
    <t>03:20</t>
  </si>
  <si>
    <t>25.06.2019 03:24</t>
  </si>
  <si>
    <t>Ailsa Ritchie</t>
  </si>
  <si>
    <t>Эдинбург</t>
  </si>
  <si>
    <t>25.06.2019 03:23</t>
  </si>
  <si>
    <t>Marco@LIN | love you 3000</t>
  </si>
  <si>
    <t>03:19</t>
  </si>
  <si>
    <t>25.06.2019 03:22</t>
  </si>
  <si>
    <t>lil bit of ice cream*
I real life aint eat today wit the exception of a couple doritos</t>
  </si>
  <si>
    <t>ghetto wh*te girl</t>
  </si>
  <si>
    <t>03:15</t>
  </si>
  <si>
    <t>Evakz</t>
  </si>
  <si>
    <t>03:14</t>
  </si>
  <si>
    <t>25.06.2019 03:19</t>
  </si>
  <si>
    <t>@askmenfess tanggo cheese x doritos</t>
  </si>
  <si>
    <t>sya•̀ᴗ•̀</t>
  </si>
  <si>
    <t>Only two bags of Doritos? Newbz.</t>
  </si>
  <si>
    <t>AnarkistBrewing</t>
  </si>
  <si>
    <t>Cool er Ranch Doritos :)</t>
  </si>
  <si>
    <t>BleepBloop87</t>
  </si>
  <si>
    <t>03:13</t>
  </si>
  <si>
    <t>25.06.2019 03:20</t>
  </si>
  <si>
    <t>Mountain Dew, Doritos
 Broken hearts falling like leaves
 1v1 me m8</t>
  </si>
  <si>
    <t>Sean sux</t>
  </si>
  <si>
    <t>03:12</t>
  </si>
  <si>
    <t>25.06.2019 03:14</t>
  </si>
  <si>
    <t>.
.
❤
.
#cheetos #snackkiloan #oreo #snackmurah #coklat #jetz #goodtime #doritos #chikiballs #coklatkiloan #nissinwafer #nissinwaffle #chikimurah #taro #chitato #snackoriginal #snackcurahsolo #mondeeggball #snackmurahsolo #snackkiloansolo #makananringan #cemilanmurah #cemilancurah #mondeeggroll #snacklebaran #slaiolay #snackcurah #timtam #cemilansolo #bhfyp</t>
  </si>
  <si>
    <t>jojobillys</t>
  </si>
  <si>
    <t>toy,frozen food,confectionery,food,junk food,snack,convenience food</t>
  </si>
  <si>
    <t>market,bazaar,marketplace,supermarket</t>
  </si>
  <si>
    <t>03:11</t>
  </si>
  <si>
    <t>25.06.2019 10:25</t>
  </si>
  <si>
    <t>Granny 1.3.2 Gameplay (With Voice)</t>
  </si>
  <si>
    <t>Pizzabird</t>
  </si>
  <si>
    <t>I can smell this picture sweat and Doritos... sniffs the air sweet sweet Cool Ranch Doritos</t>
  </si>
  <si>
    <t>Zo_2016</t>
  </si>
  <si>
    <t>03:07</t>
  </si>
  <si>
    <t>Archie</t>
  </si>
  <si>
    <t>Utopia</t>
  </si>
  <si>
    <t>03:06</t>
  </si>
  <si>
    <t>Bawls ✓
Doritos ✓
Huge CRT monitors ✓
CDs ✓
Yep, it's a 2004 LAN party</t>
  </si>
  <si>
    <t>oN3xM</t>
  </si>
  <si>
    <t>03:04</t>
  </si>
  <si>
    <t>3D Doritos. Don’t miss those</t>
  </si>
  <si>
    <t>profporks</t>
  </si>
  <si>
    <t>02:59</t>
  </si>
  <si>
    <t>FOOD TASTING,DORITOS,BBQ FALVOUR</t>
  </si>
  <si>
    <t>PUBG Serial Killer</t>
  </si>
  <si>
    <t>25.06.2019 03:15</t>
  </si>
  <si>
    <t>i PuT mY dIcK iN a BaG oF dOrItOs</t>
  </si>
  <si>
    <t>zachary</t>
  </si>
  <si>
    <t>02:57</t>
  </si>
  <si>
    <t>25.06.2019 03:08</t>
  </si>
  <si>
    <t>мастурбация и буддизм</t>
  </si>
  <si>
    <t>Mongolia</t>
  </si>
  <si>
    <t>25.06.2019 03:41</t>
  </si>
  <si>
    <t>Glorious heads #doritos
@matildapeate</t>
  </si>
  <si>
    <t>Tommy</t>
  </si>
  <si>
    <t>02:56</t>
  </si>
  <si>
    <t>25.06.2019 03:00</t>
  </si>
  <si>
    <t>hecmek</t>
  </si>
  <si>
    <t>02:47</t>
  </si>
  <si>
    <t>25.06.2019 02:52</t>
  </si>
  <si>
    <t>Short Instagram Captions Poll Questions</t>
  </si>
  <si>
    <t>? Have you ever been unfaithful? Lady Gaga or Beyoncé? Mother or father? Coffee or tea? Cheetos or Doritos? Pizza or ice cream? Attacked by a bear or by a swarm of bees? Sight or hearing? Pizza on pineapple? Money or free time? TV or Book? Morning or night? Netflix or party? Beach or mountain? Beach or cinema? Ugly and intelligent or stupid and beautiful? Summer or winter? What is worse: a fake smile or a grumpy face? Day or cause of death? Wine or beer? WhatsApp or Facebook? Short Instagram Captions &amp; Poll Question Short Instagram Captions &amp; Poll Questions Short Instagram Captions &amp; Poll Questionss
The post Short Instagram Captions &amp; Poll Questions appeared first on Dennis G. Zill.</t>
  </si>
  <si>
    <t>Babab.net</t>
  </si>
  <si>
    <t>babab.net</t>
  </si>
  <si>
    <t>Malaysia</t>
  </si>
  <si>
    <t>02:46</t>
  </si>
  <si>
    <t>ure sub &amp; it shows
Does anyone else suck their fingers after eating doritos? No................ just me... Ok</t>
  </si>
  <si>
    <t>Capiz</t>
  </si>
  <si>
    <t>Switch</t>
  </si>
  <si>
    <t>02:44</t>
  </si>
  <si>
    <t>25.06.2019 02:45</t>
  </si>
  <si>
    <t>Enjoy Mr. 5’s &amp; Mr. 8’s @doritos_aus @doritos impromptu Taste Test Challenge! .
Today’s flavours: Spidey Spice &amp; Nacho Cheese. 
I found the Spidey Spice to be tangy at first than having a real spicy finish . Nacho Cheese was fine. Slightly cheesy but nothing too different from the original!
.
#seedoeatreview #doritos #chips #taste #test #challenge #food #snack #spicy #nachos #instafood #foodblogger #blogger #foodporn #family #friends #kids #adelaide #see #do #eat #review #like #love #live #followme #enjoy #life</t>
  </si>
  <si>
    <t>See Do Eat Review</t>
  </si>
  <si>
    <t>fast food,snack,junk food,food</t>
  </si>
  <si>
    <t>02:43</t>
  </si>
  <si>
    <t>25.06.2019 04:46</t>
  </si>
  <si>
    <t>Brayden Wasnie</t>
  </si>
  <si>
    <t>MasterAxxx</t>
  </si>
  <si>
    <t>02:42</t>
  </si>
  <si>
    <t>25.06.2019 02:42</t>
  </si>
  <si>
    <t>Susie Wilkinson</t>
  </si>
  <si>
    <t>Boston</t>
  </si>
  <si>
    <t>02:40</t>
  </si>
  <si>
    <t>25.06.2019 02:41</t>
  </si>
  <si>
    <t>Needs more doritos
I drank so many of these the night I first played through the campaign with my brothers.  Good times. #Halo3</t>
  </si>
  <si>
    <t>Jon</t>
  </si>
  <si>
    <t>drink</t>
  </si>
  <si>
    <t>Aah yes, Cool Ranch Doritos and Bawls energy drink, exquisite taste. 2004 was a fine year</t>
  </si>
  <si>
    <t>3149</t>
  </si>
  <si>
    <t>02:38</t>
  </si>
  <si>
    <t>25.06.2019 02:43</t>
  </si>
  <si>
    <t>@Michelle_R_B Me with white cheddar cheetos, spicy sweet chili Doritos, the list goes on</t>
  </si>
  <si>
    <t>°dream-badger° ᘛ⁐̤ᕐᐷ</t>
  </si>
  <si>
    <t>Greece</t>
  </si>
  <si>
    <t>Эгейских островов</t>
  </si>
  <si>
    <t>Эксогония. Art Space Argyros Canava- популярная винодельня</t>
  </si>
  <si>
    <t>BrØcÇÓLi</t>
  </si>
  <si>
    <t>Guyana</t>
  </si>
  <si>
    <t>Demerara-Mahaica</t>
  </si>
  <si>
    <t>Handsome Tree</t>
  </si>
  <si>
    <t>25.06.2019 02:40</t>
  </si>
  <si>
    <t>@OceanGirl790 @HamillHimself @NutsPlus Spicy Sweet Chili Doritos, dipped in sour cream! (My drug)</t>
  </si>
  <si>
    <t>Torkins</t>
  </si>
  <si>
    <t>02:37</t>
  </si>
  <si>
    <t>25.06.2019 02:38</t>
  </si>
  <si>
    <t>Captain Marvel</t>
  </si>
  <si>
    <t>@iirviy I said “ eating some Doritos , u ?”</t>
  </si>
  <si>
    <t>C-dorbs</t>
  </si>
  <si>
    <t>Луизиана</t>
  </si>
  <si>
    <t>Новый Орлеан</t>
  </si>
  <si>
    <t>02:36</t>
  </si>
  <si>
    <t>25.06.2019 02:47</t>
  </si>
  <si>
    <t>morgs</t>
  </si>
  <si>
    <t>https://halaal.recipes/recipes/details/12178/potato-bake-with-spicy-wings-doritos
Potato Bake With Spicy Wings Dorito's recipe by Shaheema Khan
Potato Bake With Spicy Wings Dorito's recipe by Shaheema Khan posted on 24 Jun 2019 . Recipe has a rating of 5.0 by 1 members and the recipe belongs in the Snacks, Sweets recipes category</t>
  </si>
  <si>
    <t>Halaal Recipes</t>
  </si>
  <si>
    <t>facebook.com</t>
  </si>
  <si>
    <t>junk food,pizza,food</t>
  </si>
  <si>
    <t>02:35</t>
  </si>
  <si>
    <t>25.06.2019 02:39</t>
  </si>
  <si>
    <t>Vegan potato chips:
•Doritos: spicy sweet chili/blaze
•Fritos: original
•Sun Chips: original
•Cape Cod: original/salt &amp; vinegar/jalapeño/BBQ
•Lay’s: classic/pickle/salt &amp; vinegar
•Pringle’s: original/BBQ
•Hippeas: white cheddar/BBQ/sriracha
•Ruffle’s: original
Pls add!</t>
  </si>
  <si>
    <t>Jess</t>
  </si>
  <si>
    <t>Вулвергемптон</t>
  </si>
  <si>
    <t>25.06.2019 02:36</t>
  </si>
  <si>
    <t>turn off the flash you fucking moron</t>
  </si>
  <si>
    <t>Palestine</t>
  </si>
  <si>
    <t>02:34</t>
  </si>
  <si>
    <t>I hope this will be in the movie lol
.
.
.
.
.
.
.
. .
.
.
.
@tomholland2013
@lifeisaloha @zendaya #tomholland #holland #spiderman #spidermanhomecoming #peterparker #marvel #spidermanfarfromhome #avengers #captainmarvel #stanlee #tomh #spidyman #avengersinfinitywar #avengersendgame #ironman #marvelcomics #captainamerica #zendaya #falcon #blackwidow #sebastianstan #anthonymackie #robertdowneyjr #scarlettjohansson</t>
  </si>
  <si>
    <t>ˢᵃᵇʳⁱⁿᵃ</t>
  </si>
  <si>
    <t>car</t>
  </si>
  <si>
    <t>02:33</t>
  </si>
  <si>
    <t>2019 Summer Football Discussion Thread v4 - England Are Going To Win The World Cup! Edition | Page 51</t>
  </si>
  <si>
    <t>Kaybee said: ↑ Maybe they got Chiarelli to run things in the background; Ducks could nab him for a package deal around Carter Rowney and a bag of Doritos. Click to expand... Kesler for Aho straight up trade. Totally fair and realistic</t>
  </si>
  <si>
    <t>Rawex</t>
  </si>
  <si>
    <t>forums.sherdog.com</t>
  </si>
  <si>
    <t>Sports Bar | Sherdog Forums | UFC, MMA &amp; Boxing Discussion</t>
  </si>
  <si>
    <t>02:31</t>
  </si>
  <si>
    <t>25.06.2019 02:34</t>
  </si>
  <si>
    <t>86. chitato, lays, cheetos, garret popcorn, cookies famous amos, doritos, pringles</t>
  </si>
  <si>
    <t>kolonel rapnef đwn.</t>
  </si>
  <si>
    <t>02:30</t>
  </si>
  <si>
    <t>"Ebony Anal"??
The only bag of Doritos that matter</t>
  </si>
  <si>
    <t>THE KING IN THE SOUTH</t>
  </si>
  <si>
    <t>Риверс</t>
  </si>
  <si>
    <t>Порт-Харкорт</t>
  </si>
  <si>
    <t>25.06.2019 02:49</t>
  </si>
  <si>
    <t>V. important 2:30 a.m. news.
https://www.delish.com/food-news/a22593429/pickle-flavored-doritos/?fbclid=IwAR0ChMPR6Pk1NxMIZbwlBvMgplVybdDEquXwnX9Tt6rxuVaj87xHrt284Kw
Pickle Fans: Here’s Where You Can Get Pickle-Flavored Doritos
Apparently they're "the cadillac of dill pickle flavored salty-snacks."</t>
  </si>
  <si>
    <t>Cleveland 19 News</t>
  </si>
  <si>
    <t>02:29</t>
  </si>
  <si>
    <t>25.06.2019 02:33</t>
  </si>
  <si>
    <t>@FatherBluechi @lite_matoi Mercedes also eat beans and Doritos smh</t>
  </si>
  <si>
    <t>the petty king</t>
  </si>
  <si>
    <t>Дейтона-Бич</t>
  </si>
  <si>
    <t>25.06.2019 02:32</t>
  </si>
  <si>
    <t>ⓖⓨⓟⓢⓨ</t>
  </si>
  <si>
    <t>25.06.2019 02:31</t>
  </si>
  <si>
    <t>@SaucySalah Chicken triple from Morrison’s, Doritos or cheese and onion walkers and a coke or Fanta fruit twist</t>
  </si>
  <si>
    <t>Noah Woodland</t>
  </si>
  <si>
    <t>Cheltenham</t>
  </si>
  <si>
    <t>25.06.2019 02:30</t>
  </si>
  <si>
    <t>Destin</t>
  </si>
  <si>
    <t>02:28</t>
  </si>
  <si>
    <t>AVISO IMPORTANTE: MI PRIMER VIDEO  - Dora Arellano</t>
  </si>
  <si>
    <t>La doritos</t>
  </si>
  <si>
    <t>Carlos Lopez</t>
  </si>
  <si>
    <t>Dora Arellano</t>
  </si>
  <si>
    <t>Rawex said: ↑ What the hell are Hurricanes doing, offered 6m a year and 8 years to Aho. Granted he will be RFA in July, Murray better get him to Ducks. Click to expand... Maybe they got Chiarelli to run things in the background; Ducks could nab him for a package deal around Carter Rowney and a bag of Doritos.</t>
  </si>
  <si>
    <t>Kaybee</t>
  </si>
  <si>
    <t>02:27</t>
  </si>
  <si>
    <t>25.06.2019 03:32</t>
  </si>
  <si>
    <t>NUEVOS TAZOS PRISMATIC ABRIENDO SABRITAS/CHEETOS /RUFFLES/DORITOS/ADOBADAS DRAGON BALL SUPER 2019</t>
  </si>
  <si>
    <t>Cómo le ago para regalarte codigos</t>
  </si>
  <si>
    <t>DIEGO 360</t>
  </si>
  <si>
    <t>XxRacconcitaxX</t>
  </si>
  <si>
    <t>25.06.2019 09:12</t>
  </si>
  <si>
    <t>Movie nights don’t get better than this  #movienights #catering #food #junk #popcorn #hoytsgotnothingonthis #love #food #foodie #melbourne #patries #xox</t>
  </si>
  <si>
    <t>Racha’s &amp; Yasmines Kitchen</t>
  </si>
  <si>
    <t>junk food,snack,food</t>
  </si>
  <si>
    <t>02:25</t>
  </si>
  <si>
    <t>25.06.2019 02:26</t>
  </si>
  <si>
    <t>Janina Kopeczky</t>
  </si>
  <si>
    <t>Austria</t>
  </si>
  <si>
    <t>02:23</t>
  </si>
  <si>
    <t>25.06.2019 02:27</t>
  </si>
  <si>
    <t>@Doritos Double Dust. Make it happen.</t>
  </si>
  <si>
    <t>Michael ☁️</t>
  </si>
  <si>
    <t>doritos y vos</t>
  </si>
  <si>
    <t>Gabb</t>
  </si>
  <si>
    <t>González Catán</t>
  </si>
  <si>
    <t>02:22</t>
  </si>
  <si>
    <t>@DareReq_ Homie, when I’m I dying your hair, again? I got the plane ticket don’t worry  but for real you’re on the road with the homies, you get to a pit stop. Go to snacks, it could be (chip, drink, and candy) one of each, what are you getting? I got Doritos, Coca Cola, and M&amp;Ms</t>
  </si>
  <si>
    <t>I look like bae</t>
  </si>
  <si>
    <t>02:21</t>
  </si>
  <si>
    <t>25.06.2019 03:31</t>
  </si>
  <si>
    <t>NIGHTMARE: The Wyoming Pringles Incident (62419C)</t>
  </si>
  <si>
    <t>NIGHTMARE: The Wyoming Pringles Incident (62419C)
*Inspired by PilotRedSun and Jonrev*
A pretty thing from Wyoming has come to pitch his potato chip product in a can. And if you decide to buy Doritos instead, then you are ill. But, we just want to fix you with Pringles.
WARNING: DO NOT watch in a dark room or late at night. This video is very, very creepy. Especially don't watch if you feel like you have to poop really really bad.
#WyomingIncident #Nightmare #333333333
62419C</t>
  </si>
  <si>
    <t>The Incredible World Of Elkinsinboxinc</t>
  </si>
  <si>
    <t>02:18</t>
  </si>
  <si>
    <t>NUEVOS TAZOS PRISMATIC ABRIENDO SABRITAS/CHEETOS /RUFFLES/DORITOS/ADOBADAS DRAGON BALL SUPER 2019
Nueva apertura de Sabritas de 130g y 200g, muchas gracias por ver mis videos, no olviden SUSCRIBIRSE.
Aqui: https://www.youtube.com/channel/UCgflyJrmyVJRdzSAT5V6u0Q/featured?view_as=subscriber
gracias a mi mami por el regalo, te quiero mami!
MIS REDES SOCIALES:
INSTAGRAM: https://www.instagram.com/Haylin_deep
FACEBOOK: https://www.facebook.com/Racconcita-2698079183595737/</t>
  </si>
  <si>
    <t>Lays</t>
  </si>
  <si>
    <t>25.06.2019 02:22</t>
  </si>
  <si>
    <t>Never Just Whelmed</t>
  </si>
  <si>
    <t>02:15</t>
  </si>
  <si>
    <t>25.06.2019 02:20</t>
  </si>
  <si>
    <t>KFC Set to Launch New Cheetos Sandwich on July 1, 2019 | Brand Eating</t>
  </si>
  <si>
    <t>If you guys think this is boring let me tell you about the time Mcdonald's in Mexico once offered a "Doritos Quarter Pounder" which also had a flammin hot version, it was just a quarter pounder with the tiniest amount of guacamole and a tiny little bag of crushed up doritos for you to pour on it and they bumped up the price from $1.50 to $3, not trying to defend it or anything but at least they put some sort of special sauce on it.</t>
  </si>
  <si>
    <t>carlos de leon</t>
  </si>
  <si>
    <t>brandeating.com</t>
  </si>
  <si>
    <t>Brand Eating</t>
  </si>
  <si>
    <t>25.06.2019 04:09</t>
  </si>
  <si>
    <t>KFC Set to Launch New Cheetos Sandwich on July 1, 2019</t>
  </si>
  <si>
    <t>02:14</t>
  </si>
  <si>
    <t>25.06.2019 02:19</t>
  </si>
  <si>
    <t>COOL DRAW BROTHER!
This art made by @kaeden_draws and he is was children of pearl voice actor! @deedeemagnohallofficial and @seahaul (her husband)
•
•
•
Cc:
@kaeden_draws
Repost with:
@get_repost
•
•
•
#stevenuniverse#rosequartz#pinkdiamond#pearl#amethyst#garnet#peridot#lapislazuli#bismuth#yellowdiamond#bluediamond#yellowpearl#bluepearl#whitediamond#whitepearl#pinkpearl#cartoonnetwork#stevenuniversethemovie#sapphire#ruby#topaz#aquamarine#doritos#smolperi#clod</t>
  </si>
  <si>
    <t>&lt;Little D-O-R-I-T-O-S&gt;</t>
  </si>
  <si>
    <t>02:13</t>
  </si>
  <si>
    <t>25.06.2019 02:16</t>
  </si>
  <si>
    <t>Doritos Collisions Blaze Ultimate Cheddar↩️</t>
  </si>
  <si>
    <t>food,junk food,snack</t>
  </si>
  <si>
    <t>02:12</t>
  </si>
  <si>
    <t>25.06.2019 02:13</t>
  </si>
  <si>
    <t>@AnaPatrcia_APRB Doritos, oreo y chocolates el que sea.</t>
  </si>
  <si>
    <t>Koko</t>
  </si>
  <si>
    <t>25.06.2019 02:12</t>
  </si>
  <si>
    <t>Doritos White Wild Nachos and Smokin' cheddar BBQ↩️</t>
  </si>
  <si>
    <t>confectionery,convenience food,junk food,food,snack</t>
  </si>
  <si>
    <t>02:09</t>
  </si>
  <si>
    <t>rebecca and the partner collaborations with dove @dove
•
•
•
Cc:
@chromospherestudio
And my preety artist i ever know @rebeccasugar @cartoonnetworkofficial
Search from:
YOUTUBE▶️
•
•
•
#stevenuniverse#rosequartz#pinkdiamond#pearl#amethyst#garnet#peridot#lapislazuli#bismuth#yellowdiamond#bluediamond#yellowpearl#bluepearl#whitediamond#whitepearl#pinkpearl#cartoonnetwork#stevenuniversethemovie#sapphire#ruby#topaz#aquamarine#doritos#smolperi#clod</t>
  </si>
  <si>
    <t>02:08</t>
  </si>
  <si>
    <t>24.06.2019 22:38</t>
  </si>
  <si>
    <t>Our highschool LAN parties, 2004 gaming</t>
  </si>
  <si>
    <t>I was looking for the Doritos... did not disappoint</t>
  </si>
  <si>
    <t>3kgtjunkie</t>
  </si>
  <si>
    <t>Nostalgia</t>
  </si>
  <si>
    <t>02:05</t>
  </si>
  <si>
    <t>just PUBG things</t>
  </si>
  <si>
    <t>just PUBG things
Thanks for watching the video. Subscribe for more videos!
Music used:
MACKLEMORE &amp; RYAN LEWIS - CAN'T HOLD US
- https://www.youtube.com/watch?v=2zNSgSzhBfM</t>
  </si>
  <si>
    <t>jebuenoTV</t>
  </si>
  <si>
    <t>02:04</t>
  </si>
  <si>
    <t>GETTING TO KNOW YOU 
1. Diana Angelica I. Bauzon 
2. grade 9 pero med student in the future ‍⚕️
3. 14
4. waley
5. madami
6. maybe
7. yes
8. sana di na matakot si ate sa ipis
9. pwede na
10. doritos + coke or chocolate</t>
  </si>
  <si>
    <t>Гавайи</t>
  </si>
  <si>
    <t>Charlotte</t>
  </si>
  <si>
    <t>02:03</t>
  </si>
  <si>
    <t>25.06.2019 02:09</t>
  </si>
  <si>
    <t>@LuciSpangenberg Quiero doritos YA</t>
  </si>
  <si>
    <t>Maru</t>
  </si>
  <si>
    <t>02:01</t>
  </si>
  <si>
    <t>"BoRIng TrEeS", "BoRIng TReEs, bUt tHeY'rE NoT rEalLY BoRiNg ThEy gIvE uS OXygEn", "eVeN ThOuGh wE cAn BrEaThE WitHoUt oxYgEn- (2013) 
#tiktok #chicken #chicks #chickens #chick #famous #yeet #meme #memes #vape #juul #vapetricks  #instagram #explore #explorepage #funny #humor #arianagrande  #bts #tea #followme #slime #asmr #food #comedy #like #strangerthings #Doritos #nature #youtube</t>
  </si>
  <si>
    <t>Chicken Is Everything</t>
  </si>
  <si>
    <t>plant,tree,bird</t>
  </si>
  <si>
    <t>spring,leaf,autumn,livestock,grass,wildlife</t>
  </si>
  <si>
    <t>25.06.2019 02:01</t>
  </si>
  <si>
    <t>Paul</t>
  </si>
  <si>
    <t>Peacehaven</t>
  </si>
  <si>
    <t>julia</t>
  </si>
  <si>
    <t>02:00</t>
  </si>
  <si>
    <t>25.06.2019 02:02</t>
  </si>
  <si>
    <t>️‍⚡️blockiana</t>
  </si>
  <si>
    <t>L'Albère</t>
  </si>
  <si>
    <t>01:56</t>
  </si>
  <si>
    <t>Red doritos with sour cream and onion dip .... BOMB
Whats a weird food combo that yall like?</t>
  </si>
  <si>
    <t>Boobie.</t>
  </si>
  <si>
    <t>“I used to watch vampire diaries team Damon”
“I dipped my dick in a bag of Doritos and let a nigga bitch suck the dust off the tip”</t>
  </si>
  <si>
    <t>JJ the somewhat glad Laker Fan</t>
  </si>
  <si>
    <t>El Fresno</t>
  </si>
  <si>
    <t>01:55</t>
  </si>
  <si>
    <t>25.06.2019 01:58</t>
  </si>
  <si>
    <t>hannainthehizzy</t>
  </si>
  <si>
    <t>25.06.2019 01:55</t>
  </si>
  <si>
    <t>@babylonrbx @BloxburgNews @RBX_Coeptus @FroggyHopz_RBLX Put doritos on it then you will see</t>
  </si>
  <si>
    <t>Mr. slash</t>
  </si>
  <si>
    <t>Norway</t>
  </si>
  <si>
    <t>Ругаланн</t>
  </si>
  <si>
    <t>Høle</t>
  </si>
  <si>
    <t>24.06.2019 21:09</t>
  </si>
  <si>
    <t>Oregon lawmakers sign 2 laws to deal with massive marijuana surplus | Fox News</t>
  </si>
  <si>
    <t>To get rid of all of that excess pot I would typically suggest a big party. But then that might bankrupt the State of Oregon by having to buy all of those bags of Doritos and chilli dogs. Makes my eyes red just thinking about it...</t>
  </si>
  <si>
    <t>F150Pilot</t>
  </si>
  <si>
    <t>foxnews.com</t>
  </si>
  <si>
    <t>01:53</t>
  </si>
  <si>
    <t>Im craving nacho Doritos and dominos pepperoni pizza</t>
  </si>
  <si>
    <t>fraire__</t>
  </si>
  <si>
    <t>Хьюстон</t>
  </si>
  <si>
    <t>01:52</t>
  </si>
  <si>
    <t>25.06.2019 01:52</t>
  </si>
  <si>
    <t>Hahahaha RT @professy92 : Your jokes hold no water like your
teeth.. “ @owen_ngcobo : @professy92 your nose shaped like a
Doritos chip”</t>
  </si>
  <si>
    <t>The Scooter Guy</t>
  </si>
  <si>
    <t>Sweden</t>
  </si>
  <si>
    <t>01:48</t>
  </si>
  <si>
    <t>25.06.2019 01:51</t>
  </si>
  <si>
    <t>I put my dick in a bag of Doritos and made this nigga bitch suck the dust off the tip</t>
  </si>
  <si>
    <t>X</t>
  </si>
  <si>
    <t>Нэшвилл</t>
  </si>
  <si>
    <t>01:47</t>
  </si>
  <si>
    <t>25.06.2019 01:57</t>
  </si>
  <si>
    <t>냉면 craver</t>
  </si>
  <si>
    <t>24.06.2019 22:39</t>
  </si>
  <si>
    <t>I was just handed this for dinner</t>
  </si>
  <si>
    <t>Doritos on the side please. Pass the hot sauce. Id eat for sure.</t>
  </si>
  <si>
    <t>dbtucky</t>
  </si>
  <si>
    <t>shittyfoodporn</t>
  </si>
  <si>
    <t>Before memes gamers could eat Doritos safely.</t>
  </si>
  <si>
    <t>Jaymongous</t>
  </si>
  <si>
    <t>01:44</t>
  </si>
  <si>
    <t>25.06.2019 01:53</t>
  </si>
  <si>
    <t>Jane Green</t>
  </si>
  <si>
    <t>Kirkgunzeon</t>
  </si>
  <si>
    <t>Doritos cool ranch é o sabor superior</t>
  </si>
  <si>
    <t>manoela</t>
  </si>
  <si>
    <t>Рио-де-Жанейро</t>
  </si>
  <si>
    <t>25.06.2019 01:47</t>
  </si>
  <si>
    <t>pieces of nacho cheese doritos and fajitas falling into your mouth.... i’ll just take making out ma’am
y’all don’t spit in each others mouths during sex?????? lame</t>
  </si>
  <si>
    <t>★彡 lilah 彡★</t>
  </si>
  <si>
    <t>25.06.2019 01:44</t>
  </si>
  <si>
    <t>What a week, Aus v Eng and Hanrahan to debut on in the MCG Saturday arvo, could be the best week of your life!  #worst2kmrunnerever
It’s Australia v England  tonight at Lords... and I’m already getting real funny looks from the couch and the packet of Doritos #CWC2019</t>
  </si>
  <si>
    <t>John Donohoe</t>
  </si>
  <si>
    <t>01:43</t>
  </si>
  <si>
    <t>25.06.2019 01:45</t>
  </si>
  <si>
    <t>A cup noddle with sum Valentina and Mexican cheese sound bomb asf Rn with a side of tortilla chips or Doritos</t>
  </si>
  <si>
    <t>beanberto</t>
  </si>
  <si>
    <t>01:42</t>
  </si>
  <si>
    <t>BzyX</t>
  </si>
  <si>
    <t>25.06.2019 01:43</t>
  </si>
  <si>
    <t>Here’s a thread of Joe Jonas as Doritos ✨</t>
  </si>
  <si>
    <t>torres</t>
  </si>
  <si>
    <t>Myanmar</t>
  </si>
  <si>
    <t>Сикайн</t>
  </si>
  <si>
    <t>တမူး</t>
  </si>
  <si>
    <t>25.06.2019 01:42</t>
  </si>
  <si>
    <t>Me contemplating murder for some cool ranch Doritos Rn</t>
  </si>
  <si>
    <t>KH ♋️</t>
  </si>
  <si>
    <t>01:41</t>
  </si>
  <si>
    <t>@thelindsayellis The other three sound like actual work is involved while "influencer" immediately conjures images of an Instagram model who posts a few pictures of herself in a bikini every week and somehow is now paid $100k a post to talk about Doritos or whatever Yum! Wants to sell.</t>
  </si>
  <si>
    <t>Travis DeCoster</t>
  </si>
  <si>
    <t>01:40</t>
  </si>
  <si>
    <t>25.06.2019 01:40</t>
  </si>
  <si>
    <t>vegetables: 
-boring 
-flavorless
- most of em are just crunchy water 
doritos: 
- extreme
- go great with everything (except vegetables)
- enough flavor in one chip to blow up the fucking moon</t>
  </si>
  <si>
    <t>• freklez •</t>
  </si>
  <si>
    <t>01:37</t>
  </si>
  <si>
    <t>25.06.2019 01:39</t>
  </si>
  <si>
    <t>Tristy Medina</t>
  </si>
  <si>
    <t>peach</t>
  </si>
  <si>
    <t>01:36</t>
  </si>
  <si>
    <t>25.06.2019 01:37</t>
  </si>
  <si>
    <t>I jacked some Doritos from Brits car for a late night snack. Now i can't find em. Karma</t>
  </si>
  <si>
    <t>Christine Maldonado</t>
  </si>
  <si>
    <t>Moreno Valley</t>
  </si>
  <si>
    <t>Some Doritos w tapatío &amp; limón sounds bomb</t>
  </si>
  <si>
    <t>kitty</t>
  </si>
  <si>
    <t>25.06.2019 01:36</t>
  </si>
  <si>
    <t>For sho ... I once went hard on Doritos &amp; Wellington's sweet chilli sauce
First time eating this combo, I was high tho ‍♂️</t>
  </si>
  <si>
    <t>SlyzaKing️</t>
  </si>
  <si>
    <t>01:33</t>
  </si>
  <si>
    <t>25.06.2019 01:33</t>
  </si>
  <si>
    <t>☀ Brenda ☀</t>
  </si>
  <si>
    <t>Оксфорд</t>
  </si>
  <si>
    <t>01:31</t>
  </si>
  <si>
    <t>25.06.2019 01:32</t>
  </si>
  <si>
    <t>Late dinner  so I’m keeping it light!
.
.
.
My grandma would always say “I could make that!” Whenever we would go to fast food and tonight? I did the same thing!! My son asked for subway and I said.... .
.
.   ...... I could make that!!! .
.
.
Smoked turkey and Swiss hoagie sandwiches FULL of veggies sides with clam chowder and flamin hot  @doritos .
.
.
And it was GOOOOD  soup/sandwich and chips! Simple and quick .
.
.
#monday #mealprep #veggies #soupandsandwich #sandwich #homemade #icook #lightdinner #dinner #healthyfood #kinda #delicious #simple #sacramento #yummy #nomnom # #healthylifestyle #goodnight</t>
  </si>
  <si>
    <t>Pursuit Of Healthiness w/Leah</t>
  </si>
  <si>
    <t>meal,fried food,meat,junk food,sandwich,fast food,food</t>
  </si>
  <si>
    <t>01:30</t>
  </si>
  <si>
    <t>“I dipped my dick in a bag of Doritos and let a nigga bitch suck the dust off the tip”</t>
  </si>
  <si>
    <t>storm</t>
  </si>
  <si>
    <t>Stagecoach</t>
  </si>
  <si>
    <t>01:29</t>
  </si>
  <si>
    <t>Gin&amp;ToniQ</t>
  </si>
  <si>
    <t>Pretoria</t>
  </si>
  <si>
    <t>☆.｡.:* ιѕαвєℓℓє .｡.:*☆</t>
  </si>
  <si>
    <t>read lenin!!! ☭️‍</t>
  </si>
  <si>
    <t>@heshmane Valentina + Doritos Nacho flavored the hardest combo.</t>
  </si>
  <si>
    <t>Davie T</t>
  </si>
  <si>
    <t>@unsaltysaltines @emtothea @emily_andras You and your ketchup doritos</t>
  </si>
  <si>
    <t>Briana(WCC) IS SAD</t>
  </si>
  <si>
    <t>Шарлотт</t>
  </si>
  <si>
    <t>25.06.2019 01:30</t>
  </si>
  <si>
    <t>ZackFox:
“I dipped my dick in a bag of Doritos and let a nigga bitch suck the dust off the tip”</t>
  </si>
  <si>
    <t>6'7 Suck a Black Titty</t>
  </si>
  <si>
    <t>01:27</t>
  </si>
  <si>
    <t>25.06.2019 02:07</t>
  </si>
  <si>
    <t>#Doritos old school bag</t>
  </si>
  <si>
    <t>Kiss77</t>
  </si>
  <si>
    <t>01:26</t>
  </si>
  <si>
    <t>25.06.2019 01:56</t>
  </si>
  <si>
    <t>Doritos (test 2)</t>
  </si>
  <si>
    <t>Doritos (test 2)
Cartoon I made with flipaclip about doritos being stolen as a test for what fps I should use and how long this amount of frames will be</t>
  </si>
  <si>
    <t>epic zebra55</t>
  </si>
  <si>
    <t>drawing</t>
  </si>
  <si>
    <t>25.06.2019 01:26</t>
  </si>
  <si>
    <t>Ive been doing this with Doritos for a long time now. Y’all ain’t special.
Special announcement: I am finger lickin’ thrilled to bring the KFC Cheetos Sandwich to KFC locations nationwide on July 1.</t>
  </si>
  <si>
    <t>ℎ, ℎ ℎ</t>
  </si>
  <si>
    <t>Бранденбург</t>
  </si>
  <si>
    <t>Boitzenburger Land</t>
  </si>
  <si>
    <t>french fries,fried food,sandwich,food,junk food,fast food</t>
  </si>
  <si>
    <t>A high soaring night! ✈️⚾️️‍ Las Vegas takes the final game of the series against the San Francisco Giants triple-a affiliate Sacramento River Cats.
Post-Flight Perks: fans can redeem tonight's game ticket for a free Terrible Herbst car wash, a free regular or Doritos Locos taco from Taco Bell, or a 2-for-1 buffet at any Station Casinos.
https://www.milb.com/gameday/river-cats-vs-aviators/2019/06/24/579666#game_state=final,game_tab=,game=579666
River Cats vs. Aviators Wrapup | 06/24/19
The Official Site of Minor League Baseball web site includes features, news, rosters, statistics, schedules, teams, live game radio broadcasts, and video clips.</t>
  </si>
  <si>
    <t>Las Vegas Aviators Baseball Team</t>
  </si>
  <si>
    <t>t-shirt,clothing</t>
  </si>
  <si>
    <t>25.06.2019 01:27</t>
  </si>
  <si>
    <t>Binny's treat stamp of approval:
Nacho cheese, pop tart breading, Doritos #dog #puppy #chihuahua #dogsofinsta #doggo</t>
  </si>
  <si>
    <t>Binnington the Chihuahua</t>
  </si>
  <si>
    <t>25.06.2019 04:03</t>
  </si>
  <si>
    <t>dorito chip</t>
  </si>
  <si>
    <t>dorito chip appreciation thread off topic dayzrp .
1 dorito chip sticker by fugufish redbubble .
dorito chip roblox .
doritos jacked and what it means to be a crunchy chip serious eats .
taste test nacho cheese tortilla chips food the guardian .
doritos nacho cheese flavored tortilla chips .
dorito chip png transparent dorito chip png image free download .
doritos jacked and what it means to be a crunchy chip serious eats .
phineas doritos chip youtube .
doritos chips taco bell sides .
doritos were originally disneyland trash business insider</t>
  </si>
  <si>
    <t>01:25</t>
  </si>
  <si>
    <t>Wasabi @doritos - Smash or Pass?
I haven’t seen these outside of Hawai’i, but I would love to be wrong - these were addicting!!
@thrillist @foodlandhi @foodbeast @munchies @hypefeast @huffposttaste @buzzfeedfood @hawaiifoodreviews @doritos @fritolay @justeathawaii @hawaiifoodieclub @junk.food @instafood_lover @spoon_hawaii @hiletsgoeat @unlokt_hi</t>
  </si>
  <si>
    <t>Ranae ‍♀️</t>
  </si>
  <si>
    <t>Waikoloa Beach Resort</t>
  </si>
  <si>
    <t>snack,junk food,food</t>
  </si>
  <si>
    <t>01:23</t>
  </si>
  <si>
    <t>25.06.2019 08:02</t>
  </si>
  <si>
    <t>Stop by 7/11 in Perris and grab your #bangenergydrink to start your day! #bang #bangenergy #thx4bangin 
@bangenergy.ceo 
@bangenergy
@bangenergy.ceo @bangenergy</t>
  </si>
  <si>
    <t>Ontario Bangsters</t>
  </si>
  <si>
    <t>Perris</t>
  </si>
  <si>
    <t>supermarket</t>
  </si>
  <si>
    <t>01:22</t>
  </si>
  <si>
    <t>Try Doritos and cottage cheese yummy</t>
  </si>
  <si>
    <t>Alonzo Lerone</t>
  </si>
  <si>
    <t>01:20</t>
  </si>
  <si>
    <t>25.06.2019 01:25</t>
  </si>
  <si>
    <t>@RapnzlRavenhair @techybitch @telljer @Katriiiinnnaa @Tally_yikes @KylePlantEmoji Cottage cheese and nacho cheese Doritos. Life changing I promise</t>
  </si>
  <si>
    <t>Ashleyyyyyy.</t>
  </si>
  <si>
    <t>01:19</t>
  </si>
  <si>
    <t>Wilberth Hernández</t>
  </si>
  <si>
    <t>Табаско</t>
  </si>
  <si>
    <t>25.06.2019 01:19</t>
  </si>
  <si>
    <t>Luis Alejandro.</t>
  </si>
  <si>
    <t>Фалькон</t>
  </si>
  <si>
    <t>Punto Fijo</t>
  </si>
  <si>
    <t>01:17</t>
  </si>
  <si>
    <t>25.06.2019 01:20</t>
  </si>
  <si>
    <t>I put in $1.50 to get Doritos and they got stuck on the edge of the vending machine. My sister had to give me another dollar to get it out.</t>
  </si>
  <si>
    <t>Kristina {Voice Acting Commissions Open!}</t>
  </si>
  <si>
    <t>speech</t>
  </si>
  <si>
    <t>01:16</t>
  </si>
  <si>
    <t>25.06.2019 01:18</t>
  </si>
  <si>
    <t>Aborted Fetus(he/him)</t>
  </si>
  <si>
    <t>01:15</t>
  </si>
  <si>
    <t>25.06.2019 01:21</t>
  </si>
  <si>
    <t>Boyfriend is gone tonight, and something about these granny panties and the 3 bags of differently flavored Doritos in front of me tell me I’m gonna take this opportunity to push non-sexiness to new limits</t>
  </si>
  <si>
    <t>whatever</t>
  </si>
  <si>
    <t>01:10</t>
  </si>
  <si>
    <t>25.06.2019 01:15</t>
  </si>
  <si>
    <t>Peru</t>
  </si>
  <si>
    <t>Куско</t>
  </si>
  <si>
    <t>P.s Kcauri</t>
  </si>
  <si>
    <t>25.06.2019 01:12</t>
  </si>
  <si>
    <t>MabenaOfLight3</t>
  </si>
  <si>
    <t>Lenasia South</t>
  </si>
  <si>
    <t>25.06.2019 01:11</t>
  </si>
  <si>
    <t>Tax Jelnax</t>
  </si>
  <si>
    <t>01:09</t>
  </si>
  <si>
    <t>25.06.2019 01:10</t>
  </si>
  <si>
    <t>comorbid &amp; disorderly</t>
  </si>
  <si>
    <t>01:06</t>
  </si>
  <si>
    <t>25.06.2019 01:07</t>
  </si>
  <si>
    <t>@T3chJ3t yeah I could probably spend less like $4 for doritos</t>
  </si>
  <si>
    <t>Actually Not Hayden</t>
  </si>
  <si>
    <t>Nepal</t>
  </si>
  <si>
    <t>Восточный регион</t>
  </si>
  <si>
    <t>Change</t>
  </si>
  <si>
    <t>juliana  ☭</t>
  </si>
  <si>
    <t>01:00</t>
  </si>
  <si>
    <t>25.06.2019 01:00</t>
  </si>
  <si>
    <t>Over the last 3 years, I spent all of Rodrick's college fund at Taco Bell. Nothing says your child is a failure quite like a good ol' fashioned Doritos Locos taco!</t>
  </si>
  <si>
    <t>CleetusChan</t>
  </si>
  <si>
    <t>Калабрия</t>
  </si>
  <si>
    <t>Drapia</t>
  </si>
  <si>
    <t>00:59</t>
  </si>
  <si>
    <t>chels '^'</t>
  </si>
  <si>
    <t>Свентокшиское воеводство</t>
  </si>
  <si>
    <t>Кельце</t>
  </si>
  <si>
    <t>25.06.2019 01:03</t>
  </si>
  <si>
    <t>@NevaCoblan @TrumpJordyn @TrkWilson @n_shinen @Manni_syd @Leigh95907624 @AmVcore @hoppinmama5 @SandiPresident @fortressfin @QmagaMike @luluHru @MAGAgirly @Silentwoo @BlueStateSOS LOL! Love it! I would buy only doritos if they actually put this on their chip bags!</t>
  </si>
  <si>
    <t>Zach Frost</t>
  </si>
  <si>
    <t>00:58</t>
  </si>
  <si>
    <t>25.06.2019 00:58</t>
  </si>
  <si>
    <t>this was the picture. i honestly dont know how you can spread that kind of a rumor off of this. we were super high &amp; as you can see there was mad pizza &amp; doritos. i cant see anything but maybe i have crumbs on my face? i really dont know. all i could do is laugh at this point.</t>
  </si>
  <si>
    <t>❤️</t>
  </si>
  <si>
    <t>00:55</t>
  </si>
  <si>
    <t>25.06.2019 00:59</t>
  </si>
  <si>
    <t>Rashed I</t>
  </si>
  <si>
    <t>Kuwait</t>
  </si>
  <si>
    <t>00:54</t>
  </si>
  <si>
    <t>25.06.2019 00:55</t>
  </si>
  <si>
    <t>UFUK</t>
  </si>
  <si>
    <t>Whattt!!!!!! Doritos X Spider-Man 
Want to score this Limited-Edition Doritos Spidey Suit? Tell us what super power Doritos gives you using #IncognitoDoritos #Entry for the chance to win! Rules @ https://bit.ly/2MXEpdc</t>
  </si>
  <si>
    <t>HangOut Indo</t>
  </si>
  <si>
    <t>Daerah Khusus Ibukota Jakarta</t>
  </si>
  <si>
    <t>Джакарта</t>
  </si>
  <si>
    <t>00:53</t>
  </si>
  <si>
    <t>Cunts on the train next to me, smashing Oreo donuts &amp; cheese Doritos already. It’s fucking 10 to 6</t>
  </si>
  <si>
    <t>Dale</t>
  </si>
  <si>
    <t>00:52</t>
  </si>
  <si>
    <t>25.06.2019 00:54</t>
  </si>
  <si>
    <t>GETTING TO KNOW YOU 
1. Felcea Carene Gayle Nastor Rosete
2. Grade 11 - STEM
3. 16 yrs old
4. Yep, chicken, egg and dust
5. my friends
6. Yes of course
7. No.
8. Makauwi na ng tarlac hehe
9. Yeah so much
10. uhm hotdog and doritos hehe
like this and i'll send u the questions</t>
  </si>
  <si>
    <t>25.06.2019 00:53</t>
  </si>
  <si>
    <t>jacey</t>
  </si>
  <si>
    <t>I stick my dick in a bag of doritos
#art #myart #traditionalart #myoc #oc #littledevil #cute #style #pencildrawing #love</t>
  </si>
  <si>
    <t>Heybrunch</t>
  </si>
  <si>
    <t>fictional character,sketch,drawing</t>
  </si>
  <si>
    <t>artwork,portrait,art</t>
  </si>
  <si>
    <t>00:51</t>
  </si>
  <si>
    <t>25.06.2019 01:08</t>
  </si>
  <si>
    <t>@Doritos #IncognitoDoritos #Entry Doritos gives me the 'Ritos Touch - the power to turn anything I touch into Doritos.  Those delicious bad guys wont stand a chance!</t>
  </si>
  <si>
    <t>American Giraffe</t>
  </si>
  <si>
    <t>00:50</t>
  </si>
  <si>
    <t>25.06.2019 00:51</t>
  </si>
  <si>
    <t>Brokerages Set PepsiCo, Inc. (NASDAQ:PEP) Price Target at $124.65</t>
  </si>
  <si>
    <t>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</si>
  <si>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Danessa Lincoln</t>
  </si>
  <si>
    <t>themarketsdaily.com</t>
  </si>
  <si>
    <t>Panama</t>
  </si>
  <si>
    <t>Pepsi</t>
  </si>
  <si>
    <t>00:48</t>
  </si>
  <si>
    <t>Damn bird stole my chips!!!  
#doritos#coolranch #seagulls#thieves#coronadoisland#afternoon18#naturdays#bob</t>
  </si>
  <si>
    <t>Jon Kay</t>
  </si>
  <si>
    <t>Coronado</t>
  </si>
  <si>
    <t>plant,lawn</t>
  </si>
  <si>
    <t>agriculture,yard,land lot,farm,meadow,field,grassland,pasture,grass,sports</t>
  </si>
  <si>
    <t>00:45</t>
  </si>
  <si>
    <t>isabella</t>
  </si>
  <si>
    <t>25.06.2019 00:49</t>
  </si>
  <si>
    <t>my dick                                  in a bag
                                        of doritos</t>
  </si>
  <si>
    <t>Victoria Kindle</t>
  </si>
  <si>
    <t>Миссури</t>
  </si>
  <si>
    <t>25.06.2019 00:48</t>
  </si>
  <si>
    <t>bring back baked doritos</t>
  </si>
  <si>
    <t>le</t>
  </si>
  <si>
    <t>25.06.2019 00:47</t>
  </si>
  <si>
    <t>corallaws</t>
  </si>
  <si>
    <t>00:44</t>
  </si>
  <si>
    <t>25.06.2019 00:46</t>
  </si>
  <si>
    <t>kate</t>
  </si>
  <si>
    <t>Clute</t>
  </si>
  <si>
    <t>00:42</t>
  </si>
  <si>
    <t>25.06.2019 00:44</t>
  </si>
  <si>
    <t>When the pre workout kicks in and you dominate your workout. Adrian 100 Gym 0. Definitely ending this Monday on a great note.  ♉ #work #monday #greatday #orangecounty #focus #eyeontheprize #beefy #ham #doritos #cinnamongummybears</t>
  </si>
  <si>
    <t>Adrian Salas</t>
  </si>
  <si>
    <t>cravings! and more</t>
  </si>
  <si>
    <t>laughs at me) and last night after the chili i ate a whole bag of sweet chili heat doritos!! was so happy after.
anyone else craving spice??
 2 Posts
BritLavon
I did all the time with my firstborn. A boy. I ate buffalo wings and hot sauce on everything.
Now I crave sweets. Hoping it means girl.</t>
  </si>
  <si>
    <t>community.whattoexpect.com</t>
  </si>
  <si>
    <t>January 2020 Babies | Forums | What to Expect</t>
  </si>
  <si>
    <t>00:37</t>
  </si>
  <si>
    <t>25.06.2019 00:37</t>
  </si>
  <si>
    <t>Finger Lick'in Flicks
Snipe of The NITE! 
I can go for some Doritos rite now...maybe will hit some more later too
#SnipeoftheNite #Fortniteclips #Fortnite #sniper</t>
  </si>
  <si>
    <t>Smeggal</t>
  </si>
  <si>
    <t>video game software</t>
  </si>
  <si>
    <t>00:36</t>
  </si>
  <si>
    <t>Spider-Man Doritos should come with a free fire blanket!</t>
  </si>
  <si>
    <t>Andrew Hardwick</t>
  </si>
  <si>
    <t>New Zealand</t>
  </si>
  <si>
    <t>Wellington</t>
  </si>
  <si>
    <t>Аппер-Хатт</t>
  </si>
  <si>
    <t>25.06.2019 00:42</t>
  </si>
  <si>
    <t>@Doritos My #entry for  #incognitodoritos is for my short momma for whos ability to hang glide on your fine nacho  cheesed triangles is both breathtaking and monumental!</t>
  </si>
  <si>
    <t>Kid Capricorn</t>
  </si>
  <si>
    <t>00:35</t>
  </si>
  <si>
    <t>Dorito Casserole is one meal my whole family loves!
Recipe: https://www.spendwithpennies.com/layered-doritos-casserole/
https://www.facebook.com/homecookedrecipes/videos/1949222091867045/
Home Cooked Recipes
Dorito Casserole is one meal my whole family loves!
https://www.spendwithpennies.com/layered-doritos-casserole/</t>
  </si>
  <si>
    <t>Spend With Pennies</t>
  </si>
  <si>
    <t>junk food,fried food,food</t>
  </si>
  <si>
    <t>00:33</t>
  </si>
  <si>
    <t>25.06.2019 00:40</t>
  </si>
  <si>
    <t>Mountain Dew, Doritos
 Please hold It together, friend
 1v1 me m8</t>
  </si>
  <si>
    <t>00:30</t>
  </si>
  <si>
    <t>25.06.2019 00:33</t>
  </si>
  <si>
    <t>Caíque Aimoré</t>
  </si>
  <si>
    <t>Suzano</t>
  </si>
  <si>
    <t>25.06.2019 00:32</t>
  </si>
  <si>
    <t>#Dinner Chicken nachos... and Paris insist that I took a picture of hers she made her own plate tonight LOL #momlife dinner for two @cooking_with_lala  #food #foodie #foodporn #chef #cheflife #recipe #bestfood #soulfood #foodcoma #foodislife #eat #dinnerideas #dinner #lunch  #foodforthesoul #yummy #cookingwithlala #cheflala #lalarecipes #yum #mmmm #nachos #chicken #doritos</t>
  </si>
  <si>
    <t>lala</t>
  </si>
  <si>
    <t>vegetable,appetizer,garnish,food</t>
  </si>
  <si>
    <t>00:29</t>
  </si>
  <si>
    <t>25.06.2019 00:31</t>
  </si>
  <si>
    <t>Trying this new face mask and it stinks. And so does the Doritos this special someone sitting next to me is so loudly chewing in my face.</t>
  </si>
  <si>
    <t>Marisol Ramirez</t>
  </si>
  <si>
    <t>Большой восточный</t>
  </si>
  <si>
    <t>Elsenheim</t>
  </si>
  <si>
    <t>00:28</t>
  </si>
  <si>
    <t>Pelosi, Dem leaders seek to quell liberal revolt over border bill</t>
  </si>
  <si>
    <t>because XBox and Doritos
Obama's legacy.</t>
  </si>
  <si>
    <t>Henry Bowers</t>
  </si>
  <si>
    <t>thehill.com</t>
  </si>
  <si>
    <t>The Hill</t>
  </si>
  <si>
    <t>Harry's Town</t>
  </si>
  <si>
    <t>00:25</t>
  </si>
  <si>
    <t>What do you like to put in your popcorn? Nacho cheese Doritos is my fave! 
#popcorn
#nachocheese
#doritos
#snacktime
#ofcourseitshealthy</t>
  </si>
  <si>
    <t>Susan Larson</t>
  </si>
  <si>
    <t>fried food,snack,food</t>
  </si>
  <si>
    <t>00:24</t>
  </si>
  <si>
    <t>First Long Island Investors LLC Purchases 989 Shares of PepsiCo, Inc. (NASDAQ:PEP)</t>
  </si>
  <si>
    <t>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</si>
  <si>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Elija Maina</t>
  </si>
  <si>
    <t>00:23</t>
  </si>
  <si>
    <t>25.06.2019 00:24</t>
  </si>
  <si>
    <t>You haven’t lived until you’ve had a tuna fish sandwich with Doritos on it</t>
  </si>
  <si>
    <t>Rivera.</t>
  </si>
  <si>
    <t>00:20</t>
  </si>
  <si>
    <t>25.06.2019 00:21</t>
  </si>
  <si>
    <t>@jack  I want to place an order for Doritos and ice cream whipped topping some chocolate marshmallows gummy bears maybe a small sandwich just because and a grilled cheese with bacon and a burger with an egg and bacon with a pickle and curly fries with a milk  to be continued.</t>
  </si>
  <si>
    <t>Travon brown</t>
  </si>
  <si>
    <t>Hart's Location</t>
  </si>
  <si>
    <t>glasses,clothing</t>
  </si>
  <si>
    <t>official</t>
  </si>
  <si>
    <t>Is bunny hopping around
₍₎..⃗.Vmat
₍₎..⃗.Deviantart
══════ ∘◦❁◦∘ ═══════
『』￤Like/Comment/Share
『』￤Follow the @xTokkidvax For more
══════ ∘◦❁◦∘ ═══════
[Tags] #dva #overwatch #Cute #Gamer #Love #Fanart #Overwatchdva #dvacosplay #Bunnies #Dvafanart #Doritos #Pcgamer #Progamer #Starcraft #Positive #Heroes
Thank you for visitingପ( •̤ᴗ•̤ )੭⁾⁾.｡.:✽・ﾟ＋</t>
  </si>
  <si>
    <t>ฅ(^ &gt; ω &lt; ^)ฅ</t>
  </si>
  <si>
    <t>'salty and savory'
.
.
.
.
.
#anime #manga #otaku #weeb #animeme #weebmeme #meme #doritos #animepanties #animegirl #kawaii #wholesomeanime #cuteanime #cuteanimegirls</t>
  </si>
  <si>
    <t>♡</t>
  </si>
  <si>
    <t>00:19</t>
  </si>
  <si>
    <t>Y una coca de vidrio
Alg que me traiga doritos</t>
  </si>
  <si>
    <t>clarisa</t>
  </si>
  <si>
    <t>Throughout my whole 2 hours in class....all I could think about were my Doritos
Teacher: pay attention this is really important 
My brain:</t>
  </si>
  <si>
    <t>Dae‍♀️</t>
  </si>
  <si>
    <t>00:18</t>
  </si>
  <si>
    <t>matty emo king</t>
  </si>
  <si>
    <t>Portugal</t>
  </si>
  <si>
    <t>Алентежу</t>
  </si>
  <si>
    <t>Casa Branca</t>
  </si>
  <si>
    <t>김말랑</t>
  </si>
  <si>
    <t>That Doritos commercial with @backstreetboys  had me</t>
  </si>
  <si>
    <t>Maria Elize</t>
  </si>
  <si>
    <t>que ganas de comer doritos</t>
  </si>
  <si>
    <t>camila</t>
  </si>
  <si>
    <t>25.06.2019 00:20</t>
  </si>
  <si>
    <t>a tu chat lo abro mas rapido que a un paquete de doritos</t>
  </si>
  <si>
    <t>lucas barbosa</t>
  </si>
  <si>
    <t>Междуречье</t>
  </si>
  <si>
    <t>Gualeguaychú</t>
  </si>
  <si>
    <t>25.06.2019 00:19</t>
  </si>
  <si>
    <t>Doritos are best chips for when u drunk ... smack too hard</t>
  </si>
  <si>
    <t>AL</t>
  </si>
  <si>
    <t>Тампа</t>
  </si>
  <si>
    <t>00:17</t>
  </si>
  <si>
    <t>25.06.2019 00:18</t>
  </si>
  <si>
    <t>nicole!</t>
  </si>
  <si>
    <t>Which one your favorites Monster (Doritos) #godzilla#meme#doritos#godzillakingofthemonsters</t>
  </si>
  <si>
    <t>00:15</t>
  </si>
  <si>
    <t>25.06.2019 00:26</t>
  </si>
  <si>
    <t>@Evolving_Ego If you can meet any of these goals in the next 4 hours Doritos/TurboTax will be generously matching the prize money.</t>
  </si>
  <si>
    <t>Kyle Smeby</t>
  </si>
  <si>
    <t>00:13</t>
  </si>
  <si>
    <t>25.06.2019 00:17</t>
  </si>
  <si>
    <t>Priscilla</t>
  </si>
  <si>
    <t>25.06.2019 00:15</t>
  </si>
  <si>
    <t>Me traes Doritos ??
Enviar.</t>
  </si>
  <si>
    <t>Mili</t>
  </si>
  <si>
    <t>Кордова</t>
  </si>
  <si>
    <t>Villa Carlos Paz</t>
  </si>
  <si>
    <t>Nikki W ₪·ø·III·o</t>
  </si>
  <si>
    <t>@trishapaytas That’s a shit ton of Doritos locos tacos i can order! So please do not hesitate to give me that please</t>
  </si>
  <si>
    <t>Abe</t>
  </si>
  <si>
    <t>00:12</t>
  </si>
  <si>
    <t>25.06.2019 00:13</t>
  </si>
  <si>
    <t>The superpower @Doritos gives me is the power to make it all the way from lunch to dinner!!  #IncognitoDoritos #Entry</t>
  </si>
  <si>
    <t>SeedSurfer</t>
  </si>
  <si>
    <t>25.06.2019 00:14</t>
  </si>
  <si>
    <t>Doritos are the best road trip snack</t>
  </si>
  <si>
    <t>Tina Louise</t>
  </si>
  <si>
    <t>Mount Vernon</t>
  </si>
  <si>
    <t>00:10</t>
  </si>
  <si>
    <t>Aksheit Kakani (2d Artist Animator)</t>
  </si>
  <si>
    <t>Телангана</t>
  </si>
  <si>
    <t>Greater Hyderabad Municipal Corporation</t>
  </si>
  <si>
    <t>00:07</t>
  </si>
  <si>
    <t>25.06.2019 00:10</t>
  </si>
  <si>
    <t>Tengo doritos y queso cheddar falta la gorda nomas</t>
  </si>
  <si>
    <t>benja</t>
  </si>
  <si>
    <t>25.06.2019 00:09</t>
  </si>
  <si>
    <t>Thanks @LilCox2627 !  
Song currently in my head:  Shotgun Rider 
Food I’m craving:  Doritos 
8 peeps
@PollyPapaya 
@richones1 
@GrownUpsWanted 
@roseymelhill 
@ladyred1956 
@whitesteven3377 
@RebeccaIsby 
@Ziggiezaggie
@istheharlequin @CantStand45 @tired_oftrump @pinata1138 @thunderbella @RebelArmyScum @Annendil @PatriotNoTrump @cmerfy @shannongailmc @taryngracia1 @ToeShoeMonkey @CircleSky73 @jose_fiasco @goWithGoley @TashaHeadrick @djogrolyo @flyaway_k @thebossofitall @GringoinCuenca @fxstguy @Mongo1950 @Kathy1008555 @tlccourville</t>
  </si>
  <si>
    <t>Fuzzy #Resists #impeachmentInquiryNow!</t>
  </si>
  <si>
    <t>ja.hil</t>
  </si>
  <si>
    <t>Папуа</t>
  </si>
  <si>
    <t>Kimi</t>
  </si>
  <si>
    <t>00:06</t>
  </si>
  <si>
    <t>25.06.2019 00:07</t>
  </si>
  <si>
    <t>Idk if i want icecream or Doritos</t>
  </si>
  <si>
    <t>hady</t>
  </si>
  <si>
    <t>00:04</t>
  </si>
  <si>
    <t>25.06.2019 00:05</t>
  </si>
  <si>
    <t>#memes #dank #Doritos #cowboy #dance #dankmemes</t>
  </si>
  <si>
    <t>Meme King 109</t>
  </si>
  <si>
    <t>Taco Casserole
Ingredients:
1 7oz. bag Nacho Cheese Doritos, crushed
1 lb. hamburger, browned
Full Recipe ➡️   http://bit.ly/2C3N0nU
http://www.icookieat.com/taco-casserole-4/
Taco Casserole
Taco Casserole</t>
  </si>
  <si>
    <t>Top Chef Recipes</t>
  </si>
  <si>
    <t>cookware and bakeware,food</t>
  </si>
  <si>
    <t>Super Cooking Ideas</t>
  </si>
  <si>
    <t>Recipes</t>
  </si>
  <si>
    <t>00:03</t>
  </si>
  <si>
    <t>That moment when you remember there's half a bag of Doritos in the cupboard.
.
.
.
.
.
.
.
#Munchies #Snacks #Chips #Andy #AndyDwyer #ParksAndRec #Doritos #CoolRanch #HighLife</t>
  </si>
  <si>
    <t>Josh</t>
  </si>
  <si>
    <t>business,speech,official</t>
  </si>
  <si>
    <t>Top Chefs Recipes</t>
  </si>
  <si>
    <t>00:00</t>
  </si>
  <si>
    <t>DORITOS CHICKEN CASSEROLE! My kids would love this!
RECIPE - 
http://www.bunsinmyoven.com/2014/10/23/dorito-chicken-casserole/
https://www.facebook.com/snappygourmet/videos/10154508570273456/
Snappy Gourmet
Doritos Chicken Casserole, yes please! :)
RECIPE: http://www.bunsinmyoven.com/2014/10/23/dorito-chicken-casserole/</t>
  </si>
  <si>
    <t>Snappy Gourmet</t>
  </si>
  <si>
    <t>junk food,pasta,chinese noodles,spaghetti,food</t>
  </si>
  <si>
    <t>24.06.2019</t>
  </si>
  <si>
    <t>23:57</t>
  </si>
  <si>
    <t>25.06.2019 00:23</t>
  </si>
  <si>
    <t>What the highest-ever VO2max tells us about genetics and cycling success</t>
  </si>
  <si>
    <t>I've heard the theory that to be a great cyclist there is no point being a well adjusted personality - apart from a high VO2 max it pays to have a chip on your shoulder. In Cadel's case of course, it was more like a full bag of Doritos.</t>
  </si>
  <si>
    <t>slartiblartfast</t>
  </si>
  <si>
    <t>cyclingtips.com</t>
  </si>
  <si>
    <t>CyclingTips</t>
  </si>
  <si>
    <t>25.06.2019 00:00</t>
  </si>
  <si>
    <t>@iSpotYouDrop Guy was probably a 24 pack of monster deep and Doritos for breakfast lunch and dinner all while in the middle of his 5th juul pod pack smfh</t>
  </si>
  <si>
    <t>Ric</t>
  </si>
  <si>
    <t>Essequibo Islands-West Demerara</t>
  </si>
  <si>
    <t>Klien Pouderoyen-Best Local Government District</t>
  </si>
  <si>
    <t>painting,artwork,art</t>
  </si>
  <si>
    <t>23:56</t>
  </si>
  <si>
    <t>25.06.2019 00:03</t>
  </si>
  <si>
    <t>Just my mom supporting me hehe 
.
.
#meekodorito #doritos #hamster #cuddle #adorbs #hamsterlove #hamsterdaily #mondays #love #cute #pacificnorthwest #hamstersofinstagram #fluffy #petsofinstagram #instapet #instagood #instagold #hammy #hammylove #furbaby #animalover #animalsofinsta #instadaily #potd #instapets #furry #kuji #kujicam #instalove #memes
@doritos @nasa</t>
  </si>
  <si>
    <t>meeko.dorito</t>
  </si>
  <si>
    <t>nail,fish</t>
  </si>
  <si>
    <t>23:55</t>
  </si>
  <si>
    <t>24.06.2019 23:58</t>
  </si>
  <si>
    <t>Because your #AviatorsLV scored 7 runs tonight, fans can redeem their game ticket for a free regular or Doritos Locos taco from @TacoBell ⚾️</t>
  </si>
  <si>
    <t>Rose</t>
  </si>
  <si>
    <t>Мадрид</t>
  </si>
  <si>
    <t>Aranjuez</t>
  </si>
  <si>
    <t>23:54</t>
  </si>
  <si>
    <t>honey soy boy chicken advances
DORITOS = ❤️
PRINGLES = 
https://www.facebook.com/ihatelittlefatlamb/photos/a.968338146666797/1231896023644340/?type=3</t>
  </si>
  <si>
    <t>I Hate Little Fat Lamb</t>
  </si>
  <si>
    <t>24.06.2019 23:59</t>
  </si>
  <si>
    <t>me:
them: Soooo don’t come back here? Ok don’t look back here. I spilled a LOT of Doritos</t>
  </si>
  <si>
    <t>slabby slimson</t>
  </si>
  <si>
    <t>@Abadon00 Y los pvtos Doritos Nachos. Asco.</t>
  </si>
  <si>
    <t>Azz Culapio ️‍⃠</t>
  </si>
  <si>
    <t>25.06.2019 07:03</t>
  </si>
  <si>
    <t>Two types of summer girls lazy or productive which one are you??__________________________________
stay tuned for part two productive starter pack!
COMMENT MORE NICHE MEME IDEAS!
——————————————————————-
apps:
- @yada.land - phonto - PicsArt 
#phonto#picsart#yada#niche#meme#nichememes#hydroflask#kanken#carmex#metalstraw#savetheturtles#burtsbees#vans#firstnichepost#nichepost#instagram#apps#vsco#vscogirlstarterpack#aesthetic#elastics#hair#birkenstock#crocs#trendy#trending
@yada.land</t>
  </si>
  <si>
    <t>~threads~</t>
  </si>
  <si>
    <t>Doritos,Apple</t>
  </si>
  <si>
    <t>Cynthia  #FightForWynonnaEarp</t>
  </si>
  <si>
    <t>Madagascar</t>
  </si>
  <si>
    <t>Diana</t>
  </si>
  <si>
    <t>Анциранана</t>
  </si>
  <si>
    <t>Que ganas de doritos con chedar</t>
  </si>
  <si>
    <t>D҉E҉L҉F҉I҉</t>
  </si>
  <si>
    <t>24.06.2019 23:57</t>
  </si>
  <si>
    <t>@TxghtsFN @theangel1127 Doritos locos tacos are the BEST</t>
  </si>
  <si>
    <t>Jonas</t>
  </si>
  <si>
    <t>Denmark</t>
  </si>
  <si>
    <t>Южная Дания</t>
  </si>
  <si>
    <t>Over Holluf</t>
  </si>
  <si>
    <t>Las Vegas Aviators</t>
  </si>
  <si>
    <t>Невада</t>
  </si>
  <si>
    <t>Лас-Вегас</t>
  </si>
  <si>
    <t>Fucking yeah... just remembered that I have Doritos in my kitchen</t>
  </si>
  <si>
    <t>Martin Uchiha</t>
  </si>
  <si>
    <t>24.06.2019 23:56</t>
  </si>
  <si>
    <t>that being said if youve never had a doritos locos taco sub meat w rice youre not living the way god intended</t>
  </si>
  <si>
    <t>sweetergal</t>
  </si>
  <si>
    <t>23:53</t>
  </si>
  <si>
    <t>24.06.2019 23:55</t>
  </si>
  <si>
    <t>anyone wanna play doritos crash course w me and percent</t>
  </si>
  <si>
    <t>taunt</t>
  </si>
  <si>
    <t>Нижняя Австрия</t>
  </si>
  <si>
    <t>Санкт-Пёльтен</t>
  </si>
  <si>
    <t>23:52</t>
  </si>
  <si>
    <t>Ur gurl got her spiderman ffh tickets oof •
•
•
•
Annoying Tags:
#tomholland #tomhiddleston #tomhollandshirtless #hotshit #tomhollandedit #harrisonosterfield #cute #iconic #cuteguys #ilovehim #sis #tea #thisisitcheif #spiderman #marvel #dude #hollander #marvel #avengers #spidermanffh #avengersiw #avengersendgame #rdj #robertdowneyjr #zendaya #doritos
@tomholland2013 @doritos @spidermanmovie</t>
  </si>
  <si>
    <t>Novalee ☁️</t>
  </si>
  <si>
    <t>Оттава</t>
  </si>
  <si>
    <t>23:51</t>
  </si>
  <si>
    <t>I just made nachos with tapatio Doritos.... Life changing</t>
  </si>
  <si>
    <t>hailey</t>
  </si>
  <si>
    <t>Im so weak; i couldn’t resist a bag of Doritos drenched in Salsa Valentina 
#cualpinchedieta</t>
  </si>
  <si>
    <t>cynthia oyervides</t>
  </si>
  <si>
    <t>Denton</t>
  </si>
  <si>
    <t>I don’t even care man I’m totally getting Doritos and sour cream after this today was ROUGH.  #backday #emotionaleater #traps #mondaymotivation #gymshark #irontherapy #bodybuilding #progressisprogress
@gymsharkwomen</t>
  </si>
  <si>
    <t>Teresa Moore</t>
  </si>
  <si>
    <t>weights,exercise machine,exercise equipment</t>
  </si>
  <si>
    <t>gym,sports</t>
  </si>
  <si>
    <t>23:49</t>
  </si>
  <si>
    <t>Poniéndole Valentina a mis Doritos flaming hot
https://www.facebook.com/tumamaeshombreyeah/videos/456554874922894/</t>
  </si>
  <si>
    <t>Página que te recuerda las pendejadas que te gustaban</t>
  </si>
  <si>
    <t>24.06.2019 23:52</t>
  </si>
  <si>
    <t>@Doritos #IncognitoDoritos #Entry “Tell us what super power Doritos gives you!” - invincibility. i think so anyway</t>
  </si>
  <si>
    <t>Brad</t>
  </si>
  <si>
    <t>23:48</t>
  </si>
  <si>
    <t>24.06.2019 23:49</t>
  </si>
  <si>
    <t>@SagazLuna @schala__ Rescate: 3 paquetes de Doritos</t>
  </si>
  <si>
    <t>Alex Wragge</t>
  </si>
  <si>
    <t>@sandropacheco71 Nacho Cheese Doritos</t>
  </si>
  <si>
    <t>Kauff</t>
  </si>
  <si>
    <t>Солт-Лейк-Сити</t>
  </si>
  <si>
    <t>24.06.2019 23:50</t>
  </si>
  <si>
    <t>GRAD Dance  It Was So Much Fun .
.
.
#graduation #grad #grad2019 #2019grad
@doritos @dannyduncan69 @emmagottschalkk @mylapereiraa @_emilygervais @haileyroberrts @mari._.lx @j.e.s.t.i.n.e @finn.moore @livvrodgers @avaadamczykk @demon_slayer919 @phinhas_ @fume_rzz @everbadx @nya.xxvi @serop_18 @skaburtchulain @hannahcrosdale @atthatj4cod789 @2tben_810</t>
  </si>
  <si>
    <t>Rafi</t>
  </si>
  <si>
    <t>performance,friendship,party,audience,nightclub,event</t>
  </si>
  <si>
    <t>23:47</t>
  </si>
  <si>
    <t>Doritos
DoritosvDoritosDoritosDoritosDoritosDoritosDoritosDoritosDoritosDoritosDoritosDoritosDoritosDoritosDoritosDoritosDoritosDoritosDoritosDoritosDoritosDoritosDoritosDoritosDoritosDoritosDoritosDoritosDoritosDoritosDoritosDoritosDoritosDoritosDoritosDoritosDoritosDoritosDoritos</t>
  </si>
  <si>
    <t>Hunter Rhodes</t>
  </si>
  <si>
    <t>window</t>
  </si>
  <si>
    <t>room,interior design</t>
  </si>
  <si>
    <t>23:46</t>
  </si>
  <si>
    <t>NQT - ASMR ll Doritos</t>
  </si>
  <si>
    <t>NQT - ASMR ll Doritos
Today I will be trying three different flavors of doritos : Nacho Cheese, Poppin Jalopeno, and Cool Ranch.</t>
  </si>
  <si>
    <t>NQT - ASMR</t>
  </si>
  <si>
    <t>23:45</t>
  </si>
  <si>
    <t>@Doritos The ultimate power of LIFE! Transforming into energy to propel me through this dark timeline :) #IncognitoDoritos #Entry</t>
  </si>
  <si>
    <t>Anastasia_Fall</t>
  </si>
  <si>
    <t>23:44</t>
  </si>
  <si>
    <t>#dankmemes #memes #meme #dank #funny #memesdaily #funnymemes #edgymemes #lol #fortnite #offensivememes #dankmeme #edgy #lmao #anime #cringe #follow #comedy #gay #offensive #like #humor #love #f #sad #fun #instagram #bhfyp #art #bhfyp</t>
  </si>
  <si>
    <t>imagine eating this in the morning .</t>
  </si>
  <si>
    <t>snack,drink,junk food,food</t>
  </si>
  <si>
    <t>23:43</t>
  </si>
  <si>
    <t>24.06.2019 23:46</t>
  </si>
  <si>
    <t>Does anyone else suck their fingers after eating doritos? No................ just me... Ok</t>
  </si>
  <si>
    <t>angelboy</t>
  </si>
  <si>
    <t>Трёнделаг</t>
  </si>
  <si>
    <t>Hell</t>
  </si>
  <si>
    <t>23:42</t>
  </si>
  <si>
    <t>24.06.2019 23:44</t>
  </si>
  <si>
    <t>@AnaPatrcia_APRB DORITOS, SON MI DROGA</t>
  </si>
  <si>
    <t>23:41</t>
  </si>
  <si>
    <t>@mrscrankshaft To be fair, 8 minutes before this you mentioned dropping chocolate down your boobs. You could just tell people you have no nipples,but instead a badass stash of whatever you deem appropriate. I'm gonna do that now,and say I have Doritos tacos to make myself seem spicier.</t>
  </si>
  <si>
    <t>Joelski</t>
  </si>
  <si>
    <t>Аякучо</t>
  </si>
  <si>
    <t>Arizona</t>
  </si>
  <si>
    <t>ConsumersÃ¢â‚¬â„¢ Preferences for Coca Cola and Pepsi Essay</t>
  </si>
  <si>
    <t>and not products that can cause ill health. Pepsi not only distributes nonalcoholic beverages but it also distributes snacks such as Lays chips, Doritos, Fritos to list a few. These snacks are considered un estimable and I think that they should expend in innovative ways to come up with healthy snacks to the health conscience consumer. In recent years consumers have sued corporations for distributing food products that have lead to forgetful health. Therefore, with the threat of say-so lawsuits Pepsi needs to address this issue and provide a</t>
  </si>
  <si>
    <t>Jane (noreply@blogger.com)</t>
  </si>
  <si>
    <t>blogspot.com</t>
  </si>
  <si>
    <t>23:37</t>
  </si>
  <si>
    <t>24.06.2019 23:40</t>
  </si>
  <si>
    <t>Dior and Kaws. Cool Ranch Doritos and Hershey's Cookies and Cream. I've seen a lotttt of combos lately--what about you? Drop a comment with the weirdest combination/collab you've seen lately.
@vancityvogue @dior @redditstreetwear @vancouversneakerheadsgroup @vancouverstreetwear @mattcanacari @yyjphotographers @vancitywears @vancouver</t>
  </si>
  <si>
    <t>Hunter</t>
  </si>
  <si>
    <t>t-shirt,shoe,clothing</t>
  </si>
  <si>
    <t>23:35</t>
  </si>
  <si>
    <t>24.06.2019 23:41</t>
  </si>
  <si>
    <t>Tengo ganas de comer doritos</t>
  </si>
  <si>
    <t>Miliiii</t>
  </si>
  <si>
    <t>24.06.2019 23:39</t>
  </si>
  <si>
    <t>@AndrewDixonSo The year is 2083
Gender no longer exists 
We all identify as different flavours of doritos as per our mood swings</t>
  </si>
  <si>
    <t>V</t>
  </si>
  <si>
    <t>conversation,job</t>
  </si>
  <si>
    <t>23:34</t>
  </si>
  <si>
    <t>Taehyung wants my D... 
Well I’m sorry sweetheart I have some news for you  I share my Doritos with no man
Type ”Taehyung wants my” and tap the middle Word on your keyboard.</t>
  </si>
  <si>
    <t>Samantha ️‍</t>
  </si>
  <si>
    <t>24.06.2019 23:35</t>
  </si>
  <si>
    <t>#I’m currently pushing 150 which means I’m a #heavyweight so I’d be careful if I was u.. I tossed people around at 118...now I’ll put your ass throw a wall while I eat my #doritos and #oreos I’m kidding but not… https://www.instagram.com/p/BzGul1PFyqL/?igshid=1mj1kz43m5rfv</t>
  </si>
  <si>
    <t>RENEE ANNE</t>
  </si>
  <si>
    <t>Hollywood</t>
  </si>
  <si>
    <t>23:33</t>
  </si>
  <si>
    <t>24.06.2019 23:33</t>
  </si>
  <si>
    <t>@ChloeCondon @listonb @Doritos @Forever21 When they make one for Moon Pies, I’m in.</t>
  </si>
  <si>
    <t>Thomas Lewis</t>
  </si>
  <si>
    <t>Вашингтон</t>
  </si>
  <si>
    <t>Сиэтл</t>
  </si>
  <si>
    <t>23:27</t>
  </si>
  <si>
    <t>New Mexico has the whole flaming hot flavored chip thing locked down! #flaminhotdoritos #flaminhotcheetos #tapatio #chile</t>
  </si>
  <si>
    <t>KatrinaStacy</t>
  </si>
  <si>
    <t>Нью-Мексико</t>
  </si>
  <si>
    <t>Санта-Фе</t>
  </si>
  <si>
    <t>Doritos,Lays</t>
  </si>
  <si>
    <t>convenience food,food,junk food,snack</t>
  </si>
  <si>
    <t>24.06.2019 23:51</t>
  </si>
  <si>
    <t>Doritos nacho chips with ground beef, tomatoes, onions, lettuce, queso fresco, guacamole, sour cream #yummyformytummy #foodporn #delicious #doritos</t>
  </si>
  <si>
    <t>Carolina Ibarra</t>
  </si>
  <si>
    <t>salad,vegetable,flower,food</t>
  </si>
  <si>
    <t>Johnson Financial Group Inc. Sells 845 Shares of PepsiCo, Inc. (NASDAQ:PEP)</t>
  </si>
  <si>
    <t>issued a hold rating, twelve have given a buy rating and one has given a strong buy rating to the company’s stock. The company currently has a consensus rating of “Buy” and a consensus price target of $124.65.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</si>
  <si>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Sean Solarzano</t>
  </si>
  <si>
    <t>23:26</t>
  </si>
  <si>
    <t>24.06.2019 23:26</t>
  </si>
  <si>
    <t>Jimena Vargas</t>
  </si>
  <si>
    <t>25.06.2019 06:43</t>
  </si>
  <si>
    <t>UberEats’ “couch food” to deliver lollies 24 hours a day</t>
  </si>
  <si>
    <t>We all know the feeling. You’re sitting in front of the TV after a couple of beers and suddenly you’ll do anything for a bag of chips or a bar of chocolate.
But, you’ve had too many drinks to drive and it’s been a while since your last grocery shop.
Well, now UberEats could be about to come to the rescue.
The takeaway delivery service has expanded its Perth offering to include “couch food”, meaning you can get small treats like chocolate bars, chips, popcorn and TimTams delivered to your door.
The food is delivered from local BP service stations and also include milk and bread (handy for when you return from a holiday), pastries and instant noodle cups.
You can even get Butter Menthols or Soothers for those sick days when you can’t bring yourself to leave home.
But, the service comes at a price.
As with all UberEats orders, a $5 delivery fee is added to the order.
While it may not sound like much, that means your $4.20 carton of milk (they are servo prices, after all) ends up costing $9.20, while a box of BBQ Shapes will set you back a total of $9.50.
But, in good news for shift workers and night owls, most servos are open 24 hours, making it one of the only UberEats offerings to run all hours of the day. Anyone fancy a 1am box of Pringles?
UberEats’ “couch food”..</t>
  </si>
  <si>
    <t>Perth Now</t>
  </si>
  <si>
    <t>perthnow.com.au</t>
  </si>
  <si>
    <t>fast food,snack,meal,junk food,food</t>
  </si>
  <si>
    <t>23:23</t>
  </si>
  <si>
    <t>24.06.2019 23:24</t>
  </si>
  <si>
    <t>all kind of doritos is good it would be nice to have doritos for lunch that sound good</t>
  </si>
  <si>
    <t>XxX_PAUL_XxX</t>
  </si>
  <si>
    <t>24.06.2019 23:29</t>
  </si>
  <si>
    <t>‍♂️‍♂️‍♂️ this guy!
#doritos #fritolay #kids #kidsfunnies #funnyvideos #putitback #itsabovemenow #crazykids #funnykids #children 
@aprilbrownmusic  smh</t>
  </si>
  <si>
    <t>MBP Sound</t>
  </si>
  <si>
    <t>Irvington</t>
  </si>
  <si>
    <t>23:21</t>
  </si>
  <si>
    <t>24.06.2019 23:31</t>
  </si>
  <si>
    <t>Rodrigo Alvarado</t>
  </si>
  <si>
    <t>23:19</t>
  </si>
  <si>
    <t>After I found Cheetos I stop eating Doritos.
#colors #shapes #whatsart #keepgoing</t>
  </si>
  <si>
    <t>elarteestaenlascalles:(</t>
  </si>
  <si>
    <t>23:18</t>
  </si>
  <si>
    <t>24.06.2019 23:36</t>
  </si>
  <si>
    <t>OMG! These @doritos were 
 do you like spicy foods?
@doritos</t>
  </si>
  <si>
    <t>’</t>
  </si>
  <si>
    <t>fashion</t>
  </si>
  <si>
    <t>23:17</t>
  </si>
  <si>
    <t>24.06.2019 23:21</t>
  </si>
  <si>
    <t>I know I’m trying to lose weight but damn I’m so tired of healthy snacks. I don’t want pita crackers with Swiss cheese bitch I want Doritos</t>
  </si>
  <si>
    <t>Maggs</t>
  </si>
  <si>
    <t>Doritos lendario</t>
  </si>
  <si>
    <t>꧁༒canal do jack༒꧂</t>
  </si>
  <si>
    <t>23:16</t>
  </si>
  <si>
    <t>25.06.2019 06:41</t>
  </si>
  <si>
    <t>Contestant : Bianca DellaFancy
Category is : Theme Inspired
Critiques : I like this look but it’s really underwhelming compared to the rest of the girls this season. I mean i know she doesn’t have some major look like that but i wish you would’ve done instead of this.
#rupaul #dragrace #dragqueens #queen #rupaulsdragrace #allstars #rpdr #rpdrallstars4 #rpdrseason11 #edits #fashion #makeup #art #gay #lgbt #likeforlikes #followforfollowback
@divas.fashion.race</t>
  </si>
  <si>
    <t>Chris' Runway Rush</t>
  </si>
  <si>
    <t>23:15</t>
  </si>
  <si>
    <t>24.06.2019 23:16</t>
  </si>
  <si>
    <t>Sometimes damn near eating a BIG ass bag of Cool Ranch Doritos in a single sesh is not the biz</t>
  </si>
  <si>
    <t>Qu@n-Qu@n</t>
  </si>
  <si>
    <t>23:14</t>
  </si>
  <si>
    <t>24.06.2019 23:15</t>
  </si>
  <si>
    <t>dk07</t>
  </si>
  <si>
    <t>24.06.2019 23:19</t>
  </si>
  <si>
    <t>i deadass was gonna eat the whole bag of doritos but they’re too spicy</t>
  </si>
  <si>
    <t>sŧᵾᵽɨđ</t>
  </si>
  <si>
    <t>Flaming hot Doritos is an automatic cop  passing up the chips at the gas station</t>
  </si>
  <si>
    <t>Ruben Ferrer</t>
  </si>
  <si>
    <t>Pasadena</t>
  </si>
  <si>
    <t>24.06.2019 23:18</t>
  </si>
  <si>
    <t>cool ranch doritos
This pup is named after the last thing you ate.  What is the pups name?</t>
  </si>
  <si>
    <t>puffin</t>
  </si>
  <si>
    <t>fur,cat,dog</t>
  </si>
  <si>
    <t>If only the mouse in my dorm cleaned up all my shit instead of eating my Doritos smh
Every morning, 72 year-old Stephen Mckears kept finding his tools that he'd left on his workbench the day before—stored back in his toolbox. He put a camera on his workbench overnight and it revealed a mouse that spent two hours every night putting everything back in the toolbox!</t>
  </si>
  <si>
    <t>BREEZIE</t>
  </si>
  <si>
    <t>Гонолулу</t>
  </si>
  <si>
    <t>@BadassBowden @TinkerSec @NotTinkerSec @hacks4pancakes @marcusjcarey @SwiftOnSecurity @HackingDave Aldis 99 cent Doritos for the win!</t>
  </si>
  <si>
    <t>JediMammoth</t>
  </si>
  <si>
    <t>@Doritos My power would be to control Dorito Dust! #IncognitoDoritos #Entry  #SpiderManFarFromHome</t>
  </si>
  <si>
    <t>Johnny</t>
  </si>
  <si>
    <t>Middle Valley</t>
  </si>
  <si>
    <t>23:13</t>
  </si>
  <si>
    <t>25.06.2019 06:35</t>
  </si>
  <si>
    <t>#Pride ️‍</t>
  </si>
  <si>
    <t>Kevilyn Alves</t>
  </si>
  <si>
    <t>23:09</t>
  </si>
  <si>
    <t>24.06.2019 23:13</t>
  </si>
  <si>
    <t>Andréa</t>
  </si>
  <si>
    <t>Квебек</t>
  </si>
  <si>
    <t>Монреаль</t>
  </si>
  <si>
    <t>Satya Chandra Reddy</t>
  </si>
  <si>
    <t>23:08</t>
  </si>
  <si>
    <t>24.06.2019 23:10</t>
  </si>
  <si>
    <t>@lindaV19 @Luna_Marulanda Mas doritos pli</t>
  </si>
  <si>
    <t>Génesis Rodríguez</t>
  </si>
  <si>
    <t>24.06.2019 23:09</t>
  </si>
  <si>
    <t>Carly Glez♥</t>
  </si>
  <si>
    <t>Purple Doritos are the best and you a hooligan if you think otherwise ‍⚖️</t>
  </si>
  <si>
    <t>Señor Steal Ya Girl</t>
  </si>
  <si>
    <t>Willingboro Township</t>
  </si>
  <si>
    <t>@vaIenrodr 3 doritos despues JAJAJAJA</t>
  </si>
  <si>
    <t>Aladeen</t>
  </si>
  <si>
    <t>23:07</t>
  </si>
  <si>
    <t>24.06.2019 23:08</t>
  </si>
  <si>
    <t>#summer #summerbod #fit #tall #yeet #yeetgang #bruh #memer #tiktok #r6 #fitness #gamer #doritos #mountaindew #water #ugly #thicc #gym #hashtag</t>
  </si>
  <si>
    <t>Richie</t>
  </si>
  <si>
    <t>23:06</t>
  </si>
  <si>
    <t>24.06.2019 23:07</t>
  </si>
  <si>
    <t>Los Angeles Donuts 
Miami Muffins 
Milwaukee Bananas 
Minnesota Twinkies 
New York Yokes
New York Meatballs 
Oakland Oreos
Pittsburgh Peanuts 
Philadelphia Parsnips 
San Diego Doritos 
San Francisco Fritos
Seattle Slim Jim's
St. Louis Corndogs 
Tampa Bay Tangerine</t>
  </si>
  <si>
    <t>Connor Miller</t>
  </si>
  <si>
    <t>Lenexa</t>
  </si>
  <si>
    <t>Frito-Lay Incognito Doritos Sweepstakes (Twitter) 6/30/19</t>
  </si>
  <si>
    <t>m/social-m...cial-rules The Sweepstakes is open only to legal residents of the fifty (50) United States and the District of Columbia who are eighteen (18) years of age or older at the time of entry. Sweepstakes begins at 12:00:00 a.m. Central Time ("CT") on June 19, 2019 and ends at 11:59:59 p.m. CT on June 30, 2019 ("Sweepstakes Period"). TO ENTER: Sponsor invites eligible individuals to respond to "Tell us what super power Doritos gives you!" using @Doritos with the hashtags #IncognitoDoritos #Entry via Twitter ("Entry") to receive one (1) entry into the random drawing. No photos, videos or retweets allowed. Entries will not be judged. Limit one (1) entry per person. Prizes (15): Each winner will receive an "Incognito Doritos" suit- bag (one size). Approximate Retail Value ("ARV") of each prize: $500.00.</t>
  </si>
  <si>
    <t>ondenc</t>
  </si>
  <si>
    <t>slickdeals.net</t>
  </si>
  <si>
    <t>Thumb Score: 0 rules: https://www.fritolay.com/social-m...cial-rules
The Sweepstakes is open only to legal residents of the fifty (50) United States and the District of Columbia who are eighteen (18) years of age or older at the time of entry.
Sweepstakes begins at 12:00:00 a.m. Central Time ("CT") on June 19, 2019 and ends at 11:59:59 p.m. CT on June 30, 2019 ("Sweepstakes Period").
TO ENTER: Sponsor invites eligible individuals to respond to "Tell us what super power Doritos gives you!" using @Doritos with the hashtags #IncognitoDoritos #Entry via Twitter ("Entry") to receive one (1) entry into the random drawing. No photos, videos or retweets allowed. Entries will not be judged.</t>
  </si>
  <si>
    <t>23:05</t>
  </si>
  <si>
    <t>24.06.2019 23:05</t>
  </si>
  <si>
    <t>I'd Advise You To Deactivate  Your Account Kaore O Tweeta Motete Fela Rangwane
This girl she drank my beers, ate my hot wings (12) and now she's eating my Doritos but says she's not ready for sex.. Any advice please because I am taken for a fool here..</t>
  </si>
  <si>
    <t>Njandin</t>
  </si>
  <si>
    <t>23:00</t>
  </si>
  <si>
    <t>~ doritos and naps ~ #jackrussellterrier #dogsofinstagram</t>
  </si>
  <si>
    <t>Sammy</t>
  </si>
  <si>
    <t>dog,fur</t>
  </si>
  <si>
    <t>22:59</t>
  </si>
  <si>
    <t>24.06.2019 22:59</t>
  </si>
  <si>
    <t>@nudes4pizza @Doritos I was in line to check out at Cermak, looked behind me at the chips wall, saw the flamas and just salivated like the hot chip animal I am</t>
  </si>
  <si>
    <t>chicago doll</t>
  </si>
  <si>
    <t>que ganas de ahogarme en doritos la puta madre</t>
  </si>
  <si>
    <t>⑉Felΐ¢Ꭵτaˢ⑉</t>
  </si>
  <si>
    <t>money making mil</t>
  </si>
  <si>
    <t>Que lindo está para las pelis y los doritos</t>
  </si>
  <si>
    <t>HOTTIE</t>
  </si>
  <si>
    <t>Villa del Tránsito</t>
  </si>
  <si>
    <t>22:58</t>
  </si>
  <si>
    <t>24.06.2019 23:06</t>
  </si>
  <si>
    <t>Ella Mai can pour a whole bag of Doritos in her mouth</t>
  </si>
  <si>
    <t>Antonio</t>
  </si>
  <si>
    <t>Атланта</t>
  </si>
  <si>
    <t>Lmaoooooo
Ella Mai can pour a whole bag of Doritos in her mouth</t>
  </si>
  <si>
    <t>24.06.2019 23:02</t>
  </si>
  <si>
    <t>Rosario del Tala</t>
  </si>
  <si>
    <t>Excited to try and get the @Doritos #IncognitoDoritos spider suit which would give me the super power of keeping Doritos dust off of my fingers...... or would the gloves just do that?  With great powder come great crunchability!</t>
  </si>
  <si>
    <t>John Houser III</t>
  </si>
  <si>
    <t>Балтимор</t>
  </si>
  <si>
    <t>22:57</t>
  </si>
  <si>
    <t>24.06.2019 23:00</t>
  </si>
  <si>
    <t>@rezonedzach @Doritos For me it’s the sight of them that really does it lmao</t>
  </si>
  <si>
    <t>❁ H. Elizabeth ❁</t>
  </si>
  <si>
    <t>Синалоа</t>
  </si>
  <si>
    <t>Louisiana</t>
  </si>
  <si>
    <t>22:56</t>
  </si>
  <si>
    <t>24.06.2019 22:56</t>
  </si>
  <si>
    <t>No one is his “type”. That’s why he feels entitled to force his slob-ass on any woman he sees. No self-respecting human would go near that evolutionary failure. He’s a narcissistic moron whose head is like a basketball covered in scrotum skin dusted with Doritos. #BelieveWomen
Trump's actual denial of the allegations from E. Jean Carroll: "I’ll say it with great respect: No. 1, she’s not my type. No. 2, it never happened. It never happened, OK?" https://thehill.com/homenews/administration/450116-trump-vehemently-denies-e-jean-carroll-allegation-shes-not-my-type</t>
  </si>
  <si>
    <t>Joe Turowski</t>
  </si>
  <si>
    <t>22:55</t>
  </si>
  <si>
    <t>25.06.2019 06:32</t>
  </si>
  <si>
    <t>BP is trialling home delivery from its petrol and convenience stores via Couchfood, a new service available from Uber Eats.
.
.
.
@ubereats #bpservicesstation #bp #couchfood #snackattack #convenienceworldmagazine
@bp_plc</t>
  </si>
  <si>
    <t>Convenience World Magazine</t>
  </si>
  <si>
    <t>Новый Южный Уэльс</t>
  </si>
  <si>
    <t>Сидней</t>
  </si>
  <si>
    <t>Pepsi,Doritos</t>
  </si>
  <si>
    <t>meal,fast food,snack,junk food,food</t>
  </si>
  <si>
    <t>22:54</t>
  </si>
  <si>
    <t>24.06.2019 22:57</t>
  </si>
  <si>
    <t>Sophia</t>
  </si>
  <si>
    <t>24.06.2019 21:10</t>
  </si>
  <si>
    <t>‘We have no other choice’: as China erodes democracy Hong Kong citizens prepare to leave</t>
  </si>
  <si>
    <t>Interesting choices. Taiwan is an obvious choice, as it's an independent democracy based in Chinese culture, though Cantonese seems to not be widely used there so they might need to adapt to the local dialects. Canada and Australia must be popular because of both being former British colonies, like Hong Kong was, and thus having familiar cultural and political standards. Plus both have sizable Asian immigrant populations, so there will at least be some familiar faces and culture floating around. And many Hong Kong people know English, so they wouldn't have much of a language barrier to deal with.
A bag of Doritos cost $1.98 at your local Hy-Vee.</t>
  </si>
  <si>
    <t>SupplimentalDevice</t>
  </si>
  <si>
    <t>World News</t>
  </si>
  <si>
    <t>22:51</t>
  </si>
  <si>
    <t>24.06.2019 22:52</t>
  </si>
  <si>
    <t>#food#delicious#ilovefood#eat#taipei#eattaipei#burgerlover#foodlover#instafood#instafoodies#instacake#cakestagram#foodstagram#ximen#ximending#milktea#blueberryjuice#skinfood#cheese#icecream#stroberry#stroberrycake#doritos</t>
  </si>
  <si>
    <t>EatEat</t>
  </si>
  <si>
    <t>soup,cookware and bakeware,meal,food</t>
  </si>
  <si>
    <t>22:50</t>
  </si>
  <si>
    <t>Ceviche  #sogood #ceviche #foodporn #hotoutside #mexicanfood #dabest #doritos #tapatio</t>
  </si>
  <si>
    <t>Jerry  Garcia</t>
  </si>
  <si>
    <t>&amp;#8216;This Is the Truth&amp;#8217;: Ocasio-Cortez Likens Migrant Detention Centers to &amp;#8216;Torture Facilities&amp;#8217;</t>
  </si>
  <si>
    <t>"fighting to not give children toothpaste or soap"
I would give them all a bag of Doritos, and bottle of water, and send them back home.</t>
  </si>
  <si>
    <t>Centurion</t>
  </si>
  <si>
    <t>breitbart.com</t>
  </si>
  <si>
    <t>Breitbart News Network</t>
  </si>
  <si>
    <t>22:49</t>
  </si>
  <si>
    <t>24.06.2019 22:50</t>
  </si>
  <si>
    <t>•Drag kings and queens run on Doritos, coffee, and drama. We all know it•
-
Qotd: have you ever done drag makeup? Also if you have watched RuPaul’s drag race is it worth watching?
-
#drag #dragqueen #dragking #memes #dankmemes #dragmakeup #makeup #mua #makeupartist #amateurmua #muasofinstagram #muasofig #cosplay #cosplayer #cosplayers #cosplayersofig #cosplayersofinsta #cosplayersofinstagram #postoftheday #iputmydickinabagofdoritos #doritos #doritosshouldsponsorme #tagdoritosinthecommentsifyouseethis</t>
  </si>
  <si>
    <t>Sky</t>
  </si>
  <si>
    <t>Thought this said “SPIDY NACHO” at first. Talk about missed opportunities...
#doritos #spiderman #viralmarketing</t>
  </si>
  <si>
    <t>Ben</t>
  </si>
  <si>
    <t>Ричмонд</t>
  </si>
  <si>
    <t>22:48</t>
  </si>
  <si>
    <t>Rap about Sam sung kid!!!! Don’t like it got off it fat Doritos chewing JIT!!!!</t>
  </si>
  <si>
    <t>JKermitTheFrog</t>
  </si>
  <si>
    <t>If we’re being honest Cool Ranch at the bottom of the list if we’re ranking Doritos.. and that’s factoring in those baked kettle cooked clean eating zero calorie whateverthefucks</t>
  </si>
  <si>
    <t>AJ</t>
  </si>
  <si>
    <t>22:47</t>
  </si>
  <si>
    <t>24.06.2019 22:49</t>
  </si>
  <si>
    <t>@JeffreeStar You darling are absolutely gorgeous, fabulous,  stunning, some doritos, a snickers, a red bull and a bag of oreos all mixed into one!!</t>
  </si>
  <si>
    <t>Kim</t>
  </si>
  <si>
    <t>Западная Виргиния</t>
  </si>
  <si>
    <t>24.06.2019 22:48</t>
  </si>
  <si>
    <t>They were a big hit in my concession that night. Yum yum
The @REDBLACKS are back in action tonight and you won't go hungry, #RNation, with this Two-Foot-Long @Doritos Mac and Cheese Hot Dog we're doing @TD_Place! https://www.instagram.com/p/By6E3irl-ty/ #LetErRip</t>
  </si>
  <si>
    <t>Patrick Kay</t>
  </si>
  <si>
    <t>Gatineau</t>
  </si>
  <si>
    <t>22:45</t>
  </si>
  <si>
    <t>24.06.2019 22:45</t>
  </si>
  <si>
    <t>Even Spock knew what was up 
#RX7 #RX8 #RCTV5.2 #MAZDA #BrapBox #Rotary #RotaryBum #Rx3 #Rx4 #RX2 #R100 #Wankel #Doritos #StopTheSwap #COMPTEST #12a #13b #20b #26b #Apexi #Boosted #FEED #KOYO #Mishimoto #PLX #Greedy #SSR #shineauto #Momo</t>
  </si>
  <si>
    <t>Mr. Miracle</t>
  </si>
  <si>
    <t>Индиана</t>
  </si>
  <si>
    <t>Mishawaka</t>
  </si>
  <si>
    <t>22:43</t>
  </si>
  <si>
    <t>My 16 Shots Meme as a Meme or a Vine | XD</t>
  </si>
  <si>
    <t>Spleedadoo I HAS BOUGHT ALL DE DORITOS IN DE WORLD AND U CAN’T HAVE SOME MUHAHHAHAHA</t>
  </si>
  <si>
    <t>Yuna&amp;Kara_ Gacha</t>
  </si>
  <si>
    <t>Spleedadoo</t>
  </si>
  <si>
    <t>22:42</t>
  </si>
  <si>
    <t>25.06.2019 03:09</t>
  </si>
  <si>
    <t>JJ Abrams' SON Gets Whatever He Wants, Including A Spider-man Title.</t>
  </si>
  <si>
    <t>Doritos arnt keto fat head lol</t>
  </si>
  <si>
    <t>heath s</t>
  </si>
  <si>
    <t>Donnie Thumbanfist</t>
  </si>
  <si>
    <t>24.06.2019 22:42</t>
  </si>
  <si>
    <t>@MistahElloo @Doritos @Drake
Go get me my "Chips With The Dip! @SnoopDogg @Drake @OVOSound @MarthaStewart @Raptors #ChipsWithTheDip #Raptors #NBA #NBAChamps2019 #Trophies #6God</t>
  </si>
  <si>
    <t>Gangi - Zero Killed</t>
  </si>
  <si>
    <t>Extrême-Nord</t>
  </si>
  <si>
    <t>Here</t>
  </si>
  <si>
    <t>22:40</t>
  </si>
  <si>
    <t>Whats for Dinner - \\Ravioli-Doritos Casserole//</t>
  </si>
  <si>
    <t>Whats for Dinner - \\Ravioli-Doritos Casserole//
Hello Yall!! on today's whats for dinner i'm making a delicious, budget friendly meal that the whole family will LOVE!!! 
What you will need for Ravioli-Doritos casserole
- Raviolis( I used 2 large cans of the mini Great Value)
- 1 bag of nacho cheese Doritos
- 1 lb of ground beef
- about 2 cups of shredded cheese (your favorite kind will work)
THATS IT!!!
Pre-heat oven to 425, bake until top is browned and cheese is melted!
My Instagram-https://www.instagram.com/simplysteph...
If you are</t>
  </si>
  <si>
    <t>Simply Stephanie</t>
  </si>
  <si>
    <t>24.06.2019 22:47</t>
  </si>
  <si>
    <t>So like, still can’t stop eating blazé doritos.</t>
  </si>
  <si>
    <t>Champagne Dill</t>
  </si>
  <si>
    <t>Como assim ele foi garoto Doritos?
#Supernatural #SPNFamily
Bringing this back:) @dicksp8jr</t>
  </si>
  <si>
    <t>Lanna Nascimento</t>
  </si>
  <si>
    <t>Риу-Гранди-ду-Норти</t>
  </si>
  <si>
    <t>Натал</t>
  </si>
  <si>
    <t>Okay so hear me out...
A Doritos Locos Taco from @tacobell but with a Takis shell.</t>
  </si>
  <si>
    <t>hannah</t>
  </si>
  <si>
    <t>Rosemead</t>
  </si>
  <si>
    <t>22:39</t>
  </si>
  <si>
    <t>$</t>
  </si>
  <si>
    <t>Stone Fruit</t>
  </si>
  <si>
    <t>24.06.2019 22:43</t>
  </si>
  <si>
    <t>Bueno,alguien me trae doritos ?</t>
  </si>
  <si>
    <t>Agustina</t>
  </si>
  <si>
    <t>DALE TRAEME DORITOS</t>
  </si>
  <si>
    <t>Martin </t>
  </si>
  <si>
    <t>Ate healthy all day today, went to the gym had a real good workout and the best cardio sesh ever, ended up eating an ENTIRE family size doritos bag. Byeeeee</t>
  </si>
  <si>
    <t>₳lma</t>
  </si>
  <si>
    <t>San Juan</t>
  </si>
  <si>
    <t>24.06.2019 22:41</t>
  </si>
  <si>
    <t>Larry Fitzgerald</t>
  </si>
  <si>
    <t>soyaʕ •ᴥ•ʔ</t>
  </si>
  <si>
    <t>22:37</t>
  </si>
  <si>
    <t>I just told my younger brother that Pot is not cute and to me it smells like Insolence and Doritos.
And then I paused and yelled at the kids to get off my lawn.  
#whatishappeningtome #justnotcool #passmethewine</t>
  </si>
  <si>
    <t>Jennifer Piacenti</t>
  </si>
  <si>
    <t>22:34</t>
  </si>
  <si>
    <t>24.06.2019 22:34</t>
  </si>
  <si>
    <t>id put my dick in a bag of doritos anyday for u</t>
  </si>
  <si>
    <t>horcrux △⃒⃘ ⚯͛ misses bts</t>
  </si>
  <si>
    <t>conversation</t>
  </si>
  <si>
    <t>sgtlaughter30</t>
  </si>
  <si>
    <t>22:33</t>
  </si>
  <si>
    <t>24.06.2019 22:37</t>
  </si>
  <si>
    <t>@SwansonRand @morganisawizard That's kinda her choice, someone's personality can only carry them so far. Someone who carries extra doritos in their neck rolls may be her deal breaker... don't worry someone out there would like that particular quirk.</t>
  </si>
  <si>
    <t>Sincitymachinist</t>
  </si>
  <si>
    <t>22:31</t>
  </si>
  <si>
    <t>Agustín me va a pagar unos Doritos</t>
  </si>
  <si>
    <t>SAVAGE EATING/FLAMING HOT DORITO'S CHILI CHEESE HOTDOGS| SOCIAL EATING | EATING SHOW</t>
  </si>
  <si>
    <t>SAVAGE EATING/FLAMING HOT DORITO'S CHILI CHEESE HOTDOGS| SOCIAL EATING | EATING SHOW
GUYS TODAYS VIDEO IS *SUPER SAVAGE*
SUPER CHEESY CHILI DOGS SMOTHERED IN FLAMING HOT DORITO'S
LETS GRUB!!!!!!!!!!!!!!!!!!!!!!!!!!!!
CASH APP :: $sexycee7221
PAYPAL ME  :: https://www.paypal.me/CDECLOUTTE
✨✨✨✨✨✨✨✨✨✨✨✨✨✨✨✨✨✨
MY DAUGHTERS INSTAGRAM:MUA : https://www.instagram.com/chadaymarie/
TO BOOK :: HER INSTAGRAM CHARMED BY CHADAY: https://www.instagram.com/charmbychaday/
✨✨✨✨✨✨✨✨✨✨✨✨✨✨✨✨✨✨
 I FINALLY GOT A P.O. BOX
       TIME TO GRUB WITH CHERICE 
                 P.O. BOX 1991
              SULPHUR LOUISIANA 
                   70664-1991
FOLLOW ME ON ALL MY SOCIAL MEDIAS
✨✨✨✨✨✨✨✨✨✨✨✨✨✨
 FACEBOOK:: @ TIME TO GRUB WITH CHERICE ::      https://m.facebook.com/TimetoGrubwithCherice/?ref=bookmarks   
✨✨✨✨✨✨✨✨✨✨✨✨✨✨✨✨✨✨✨✨✨✨✨                                                                                                                                      
SNAPCHAT :: SEXYCEE7221
✨✨✨✨✨✨✨✨✨✨
INSTAGRAM :: https://www.instagram.com/time_withcherice/
✨✨✨✨✨✨✨✨✨✨✨✨✨✨✨✨✨✨✨✨✨✨
TWITTER :: https://mobile.twitter.com/CDecloutte
✨✨✨✨✨✨✨✨✨
CHECK OUT MY OTHER CHANNELS ❤️❤️❤️
❤️❤️❤️❤️❤️❤️❤️❤️❤️❤️❤️❤️
CRAZY LITTLE CHURCH LADY ::
https://www.youtube.com/channel/UCzTaRa29vJTpj77Y902St4g
❤️❤️❤️❤️❤️❤️❤️❤️❤️❤️❤️❤️
BIG GIRLS DONT CRY WE SLAY::
https://www.youtube.com/channel/UCVgEjFKlk4ncgjkZdhqTCag
❤️❤️❤️❤️❤️❤️❤️❤️❤️❤️❤️❤️
 FOR BUISNESS INQUIRYS EMAIL ME AT :: SEXYCEE7221@GMAIL.COM
❤️❤️❤️❤️❤️❤️❤️❤️❤️❤️❤️❤️
#Savageeating
#timetogrub
#healthymukbang
#healthymukbanger
#soulfoodsunday
#Timetogrubwithcherice
#seafoodboil
#Timetogrubwithchericeseafoodboil
#seafoodmukbang
#sloppyeating
#messyeating
#boiledshrimpmukbang</t>
  </si>
  <si>
    <t>TIME WITH CHERICE</t>
  </si>
  <si>
    <t>fast food,food,junk food</t>
  </si>
  <si>
    <t>22:29</t>
  </si>
  <si>
    <t>24.06.2019 22:33</t>
  </si>
  <si>
    <t>Doritos Releases Rainbow-Colored Chips to Celebrate LGBT Pride http://time.com/4038837/doritos-rainbow-chips-pride-lgbt/?utm_source=facebook.com&amp;utm_medium=social&amp;utm_campaign=social-share-article&amp;utm_content=20190411</t>
  </si>
  <si>
    <t>MICHELE SHEARER</t>
  </si>
  <si>
    <t>Питтсбург</t>
  </si>
  <si>
    <t>22:28</t>
  </si>
  <si>
    <t>24.06.2019 22:31</t>
  </si>
  <si>
    <t>Doritos
They didn't have to do Shaq like that...
#NBAAwards</t>
  </si>
  <si>
    <t>Big Mook</t>
  </si>
  <si>
    <t>Дорчестер</t>
  </si>
  <si>
    <t>official,audience,event</t>
  </si>
  <si>
    <t>24.06.2019 22:30</t>
  </si>
  <si>
    <t>@CamilleFrench12 How bout the hottest in the spicy Doritos</t>
  </si>
  <si>
    <t>Kayley Huskonen</t>
  </si>
  <si>
    <t>22:27</t>
  </si>
  <si>
    <t>East Markie</t>
  </si>
  <si>
    <t>22:26</t>
  </si>
  <si>
    <t>24.06.2019 22:29</t>
  </si>
  <si>
    <t>@ItsMeganAsteria Smh who degraded you .. a 45 year old virgin playing call of duty when he lives off of Doritos. People are just pathetic</t>
  </si>
  <si>
    <t>Mr. SARCASTIKX</t>
  </si>
  <si>
    <t>Mirar pelis y comer mil doritos dijo el Paulo Londra</t>
  </si>
  <si>
    <t>I'm Bri</t>
  </si>
  <si>
    <t>Росарио</t>
  </si>
  <si>
    <t>22:24</t>
  </si>
  <si>
    <t>24.06.2019 22:28</t>
  </si>
  <si>
    <t>A⚡️</t>
  </si>
  <si>
    <t>22:23</t>
  </si>
  <si>
    <t>Myles.</t>
  </si>
  <si>
    <t>Округ Колумбия</t>
  </si>
  <si>
    <t>—&gt;    
—&gt; espero que gostem
—&gt; tags: #selfcare#igdeselfcare#igdeutilidades #utilidades#instagram#vcso#picsart#utilidadepublica#photos#photogram#twitter#autoestima#mood#threads#like4like#inspiração#color #fotos #dicas#aesthetic #skincaretips #selfcareth #motivation #skincare #selfcarematters</t>
  </si>
  <si>
    <t>22:22</t>
  </si>
  <si>
    <t>25.06.2019 10:50</t>
  </si>
  <si>
    <t>I hadn't watched this in years, but here's the commercial Steve Paul and John Allen Moore did for Crash the Superbowl in 2011.  Thanks for making me laugh all over again Richard Houghton.
https://www.youtube.com/attribution_link?a=p1Fux-bCb64&amp;u=%2Fwatch%3Fv%3D4Stmz0tAoUw%26feature%3Dshare
Doritos Commercial - "It's Beneath Us"
For Crash the SuperBowl 2011</t>
  </si>
  <si>
    <t>Channel 69</t>
  </si>
  <si>
    <t>food,snack,junk food</t>
  </si>
  <si>
    <t>22:21</t>
  </si>
  <si>
    <t>24.06.2019 22:22</t>
  </si>
  <si>
    <t>Huncho LAMES</t>
  </si>
  <si>
    <t>24.06.2019 22:21</t>
  </si>
  <si>
    <t>Taco Bell just for they 5 layers and Doritos nacho tacos
• taco bell
• taco cabana
• el pollo loco</t>
  </si>
  <si>
    <t>Jaz ‍♀️</t>
  </si>
  <si>
    <t>24.06.2019 22:26</t>
  </si>
  <si>
    <t>K E N I A</t>
  </si>
  <si>
    <t>24.06.2019 22:25</t>
  </si>
  <si>
    <t>Sour cream and onion chips w/ketchup. Nacho Doritos w/ sour cream. Mac &amp; Cheese /BBQ Sauce.
19. what’s a weird food combination you love?</t>
  </si>
  <si>
    <t>Bourgogne-Franche-Comté</t>
  </si>
  <si>
    <t>Дижон</t>
  </si>
  <si>
    <t>22:20</t>
  </si>
  <si>
    <t>Kevin</t>
  </si>
  <si>
    <t>@CMRabbitt96 @wilcharters @KylePlantEmoji @swishbthagod I take a bag of plain chips or Doritos, a bottle of tobasco, pour the tobasco into the chips, shake it up real good, and eat. Don’t know how weird that is, but it sure is good.</t>
  </si>
  <si>
    <t>cigarmike</t>
  </si>
  <si>
    <t>Мемфис</t>
  </si>
  <si>
    <t>Easy Bake Burrito Casserole
. . . . .
I like layer casseroles almost as much as I like sweet potatoes. Which is to say... eh?
If you have a liquidy thing that goes on top of another liquidy thing, how are you supposed to layer it without mixing them dang it.
. . . . .
So this is one I’m not sure if I’ll make again for meal prep. It would be so easy to halve and do as a pie style so I could do like minis and bake as I wanted, but it doesn’t reheat well.  It came out with a lovely crisped tortilla top but that went south after cooling. Good taste but I’m sad about the no crunch. Also, I wonder what would happen if you added #Doritos...
. . . . .
#MealPrep #EasyBakeBurritoCasserole #burrito #casserole #cheese #tortilla #texmex #amtrying</t>
  </si>
  <si>
    <t>PineappEl</t>
  </si>
  <si>
    <t>fried food,pie,baked goods,food</t>
  </si>
  <si>
    <t>22:19</t>
  </si>
  <si>
    <t>24.06.2019 22:20</t>
  </si>
  <si>
    <t>Wine, sweet chili Doritos, and animal crossing. Happy Monday</t>
  </si>
  <si>
    <t>kylea ☼</t>
  </si>
  <si>
    <t>Café, doritos, lechera, quínoa, manzanas</t>
  </si>
  <si>
    <t>Cacher Colombia</t>
  </si>
  <si>
    <t>Asmr grilled cheese and doritos mukbang</t>
  </si>
  <si>
    <t>Asmr grilled cheese and doritos mukbang
hi</t>
  </si>
  <si>
    <t>1prince</t>
  </si>
  <si>
    <t>22:17</t>
  </si>
  <si>
    <t>These are two Ancient Aliens names Gib and Gab. They built the pyramids and eat Doritos on the moon
•
•
((Make Sure To Turn On Post Notifications So You Don’t Miss Anything))
#instagood #instagram #instadaily #instalike #instatraveling #art #artistsoninstagram #artist #drawing #draw #netflix #meme #originalcharacter #cute #kawaii #instaart #gay #oc #18 #epic #me #nsfw #anime #memes #view #video #pride #furry #drawthisinyourstyle
@resenteddrop58</t>
  </si>
  <si>
    <t>Mr. Horror</t>
  </si>
  <si>
    <t>space,sky,art</t>
  </si>
  <si>
    <t>22:15</t>
  </si>
  <si>
    <t>bea</t>
  </si>
  <si>
    <t>24.06.2019 22:19</t>
  </si>
  <si>
    <t>This cat is built like #Godzilla.
WE ARE OUT OF DORITOS KAREN</t>
  </si>
  <si>
    <t>ora ora ora !!!</t>
  </si>
  <si>
    <t>@Doritos why did you make the bag of flamin hot look so similar to the nacho cheese.</t>
  </si>
  <si>
    <t>GoHawks!</t>
  </si>
  <si>
    <t>@KaRaRacn75 That sounds amazing. I love crunching up Sweet and Spicey Doritos and throwing them in the fried chicken breading. It's</t>
  </si>
  <si>
    <t>Jimmy Lippitt</t>
  </si>
  <si>
    <t>24.06.2019 22:17</t>
  </si>
  <si>
    <t>On a more serious note, the two highlights of my weekend were making super cheesy nachos using @Doritos ~spicy nacho~ flavored chips. Twice.</t>
  </si>
  <si>
    <t>Voltairine Declare</t>
  </si>
  <si>
    <t>24.06.2019 22:15</t>
  </si>
  <si>
    <t>how’re yous eatin liquid blue doritos</t>
  </si>
  <si>
    <t>ci ୨୧</t>
  </si>
  <si>
    <t>أريانة</t>
  </si>
  <si>
    <t>Арьяна</t>
  </si>
  <si>
    <t>22:10</t>
  </si>
  <si>
    <t>24.06.2019 22:13</t>
  </si>
  <si>
    <t>After a Photoshoot, You get hungry ♡
#mondaymotivation #mylife #target
#huntingtonbeach
#Lupescreations #latina 
#naturalbeauty
#mydaughterisgorgeous
#candidslumber 
#candidchildhood 
#fatherhood 
#bestofmom#mom_hub
#mytinymoments
#ig_motherhood
#motherhood 
#motherhoodsimplified 
#pixel_kids #childhood 
#childhoodsimplified 
#simplychildren 
#honestlyparents
#momswithcameras 
#memoirsofmotherhood 
#my_magical_moments 
#magicofchildhood 
#Theeverydayportrait #theartofchildhood
#mytinyhuman 
#amotherisgodintheeyesofachild
@homedepot @target @doritos @lupescreations</t>
  </si>
  <si>
    <t>J.A.V.A</t>
  </si>
  <si>
    <t>24.06.2019 22:14</t>
  </si>
  <si>
    <t>valentina ♥️</t>
  </si>
  <si>
    <t>@Doritos @SpiderManMovie Brilliant VR game</t>
  </si>
  <si>
    <t>Aadit Agrawal</t>
  </si>
  <si>
    <t>Западная Австралия</t>
  </si>
  <si>
    <t>Marvel Loch</t>
  </si>
  <si>
    <t>22:09</t>
  </si>
  <si>
    <t>Que ganas de ahogarme en doritos</t>
  </si>
  <si>
    <t>Cande</t>
  </si>
  <si>
    <t>24.06.2019 22:10</t>
  </si>
  <si>
    <t>M O R T Y</t>
  </si>
  <si>
    <t>24.06.2019 22:12</t>
  </si>
  <si>
    <t>Plaza San Francisco</t>
  </si>
  <si>
    <t>Feferico. ♂</t>
  </si>
  <si>
    <t>Alto antojo de doritos y sanguchitos de miga y coca, ah no pedia nada la laka</t>
  </si>
  <si>
    <t>Antonella</t>
  </si>
  <si>
    <t>22:06</t>
  </si>
  <si>
    <t>Isela 7/27</t>
  </si>
  <si>
    <t>22:05</t>
  </si>
  <si>
    <t>24.06.2019 22:09</t>
  </si>
  <si>
    <t>R.</t>
  </si>
  <si>
    <t>24.06.2019 22:08</t>
  </si>
  <si>
    <t>@AttractiveOtaku And out of nowhere, a bag of nacho cheese Doritos and  large bottle of Mountain Dew appears next to her. A bit of magic wouldn't hurt, it's to help a CC</t>
  </si>
  <si>
    <t>Ragnarok/Jay</t>
  </si>
  <si>
    <t>22:03</t>
  </si>
  <si>
    <t>24.06.2019 22:05</t>
  </si>
  <si>
    <t>Fr tho *
*
#memes #mlg #doritos #lol #lmao #drake #michaeljackson #jordans #selenagomez #justinbieber #fortnite #bo4 #minecraftonly #overwatch #movies</t>
  </si>
  <si>
    <t>avAcodo poop</t>
  </si>
  <si>
    <t>@Doritos if I could have a super power it would be invisibility. #IncognitoDoritos #Entry</t>
  </si>
  <si>
    <t>Darthux</t>
  </si>
  <si>
    <t>I think the floating fox mask wants your Doritos...</t>
  </si>
  <si>
    <t>iiCall Meh Kandi-Nya!-ii</t>
  </si>
  <si>
    <t>22:02</t>
  </si>
  <si>
    <t>24.06.2019 22:04</t>
  </si>
  <si>
    <t>We’ve all done it  #nosleep#allnighter#doritos#summer#mondayvibes#monday#emoji#picsart#tea#arizonatea#netflix#pillow#pink#apple#laptop#computer#benandjerrys#icecream#spotify#aesthetic#texts#ig#instagram#post</t>
  </si>
  <si>
    <t>r e l a t e a b l e</t>
  </si>
  <si>
    <t>22:00</t>
  </si>
  <si>
    <t>24.06.2019 22:01</t>
  </si>
  <si>
    <t>Adventure Runs on D&amp;D: Dungeons &amp; Doritos!
.
.
.
.
#dnd #dungeonsanddragons #dungeonmaster #gamemaster #nerd #nerdy #nerdyshirt #nerdshirt #nerdtshirt #dndshirt #dndapparel #nerdapparel #dungeons #dragons #rpg #geek #geeky #dungeonsanddragons5e #doritos #Dungeons #Nerd4Life #NerdLife #NerdStuff #Nerdtastic</t>
  </si>
  <si>
    <t>Sexy Hackers</t>
  </si>
  <si>
    <t>Висконсин</t>
  </si>
  <si>
    <t>Oak Creek</t>
  </si>
  <si>
    <t>clothing,t-shirt</t>
  </si>
  <si>
    <t>21:59</t>
  </si>
  <si>
    <t>24.06.2019 22:00</t>
  </si>
  <si>
    <t>Shit they can dance better than me 
.
.
.
Follow me for more 
@jager_da_toxic_master .
.
.
Follow my partners
@r6muty .
.
.
@rainbowsbandit .
.
.
Follow these epic gamers 
@sledge_da_jdm_master 
@demihoax_ 
@__lil_doritos__ 
@lilcaillou_14 
@kuran_xd 
@cav_da_interro_master 
@randy_da_raccoon 
@viperriggsmartinez artinez .
.
Follow my twitch channel 
Twitch.tv / jager_da_toxic_master_
.
.
.
Ignore tags
#rainbowsixsiege #rainbowsixsiegememes #rainbowsixsiegememe #rainbowsixsiegegame #rainbowsixsiegexboxone
#dankmemes #wholesomememes</t>
  </si>
  <si>
    <t>Normal Jäger Main</t>
  </si>
  <si>
    <t>21:57</t>
  </si>
  <si>
    <t>Mizan</t>
  </si>
  <si>
    <t>24.06.2019 21:57</t>
  </si>
  <si>
    <t>Quiero doritos con cheddar</t>
  </si>
  <si>
    <t>Bruno</t>
  </si>
  <si>
    <t>21:56</t>
  </si>
  <si>
    <t>24.06.2019 21:58</t>
  </si>
  <si>
    <t>@velvjihope i put my dick in a bag of doritos xoxo— gossip girl</t>
  </si>
  <si>
    <t>➷ ᴢɪᴢɪ ❦ღ</t>
  </si>
  <si>
    <t>24.06.2019 21:59</t>
  </si>
  <si>
    <t>Vir</t>
  </si>
  <si>
    <t>21:55</t>
  </si>
  <si>
    <t>MK11 with my bros</t>
  </si>
  <si>
    <t>MK11 with my bros
Enjoy</t>
  </si>
  <si>
    <t>VBAD SPORTS</t>
  </si>
  <si>
    <t>ashley s.</t>
  </si>
  <si>
    <t>Carolina Beach</t>
  </si>
  <si>
    <t>21:54</t>
  </si>
  <si>
    <t>24.06.2019 21:56</t>
  </si>
  <si>
    <t>Full on  superhero. Yes, this is me playing dress up as @spiderman.
@doritos @spidermanmovie @spiderman</t>
  </si>
  <si>
    <t>Olivia Smith</t>
  </si>
  <si>
    <t>room</t>
  </si>
  <si>
    <t>21:53</t>
  </si>
  <si>
    <t>24.06.2019 21:55</t>
  </si>
  <si>
    <t>So they where in line and I was like y’all ready for lunch. All the kids where like “YEAHHHH!” And one kid in the back was like I want Doritos and instinctively I go “ you look like Doritos” I thought it was funny the kid put his head down and the teacher started giggling lmao</t>
  </si>
  <si>
    <t>Don Jimmy</t>
  </si>
  <si>
    <t>Гейнсвилл</t>
  </si>
  <si>
    <t>21:52</t>
  </si>
  <si>
    <t>New snack for Squeaky Man. Doritos ✔ #mrsqueakers #squeakyman #paiges2019 #squirrelrescue #doritos #squirrelsofinstagram</t>
  </si>
  <si>
    <t>Paige Oakley-Anderson</t>
  </si>
  <si>
    <t>21:50</t>
  </si>
  <si>
    <t>got more cheese than doritos, cheetos or fritos....</t>
  </si>
  <si>
    <t>donti</t>
  </si>
  <si>
    <t>Doritos Rainbow Sabores Chile &amp; Limón| Now Available to Ship| Place your order today‼️ #desbloqueemoselamor #doritos #rainbowdoritos #chips #chipsofinstagram #rainbow #limitededition #chileylimon #ordernow‼️ #exoticsnacks #curioussnax</t>
  </si>
  <si>
    <t>Curious Snax</t>
  </si>
  <si>
    <t>Майами</t>
  </si>
  <si>
    <t>21:49</t>
  </si>
  <si>
    <t>24.06.2019 21:52</t>
  </si>
  <si>
    <t>delivery de doritos o chocolates????</t>
  </si>
  <si>
    <t>PiNi</t>
  </si>
  <si>
    <t>24.06.2019 21:51</t>
  </si>
  <si>
    <t>@FloatAndFlows Exactly the point of the tweet. You don’t pick them first. They’re a “I guess I’ll eat y’all since the Doritos gone” type of thing. Second option. Nah.</t>
  </si>
  <si>
    <t>Plants the Goddess ✨</t>
  </si>
  <si>
    <t>Силезское воеводство</t>
  </si>
  <si>
    <t>Челядзь</t>
  </si>
  <si>
    <t>Cecilia</t>
  </si>
  <si>
    <t>Mission</t>
  </si>
  <si>
    <t>21:48</t>
  </si>
  <si>
    <t>24.06.2019 21:50</t>
  </si>
  <si>
    <t>jaehyun would sell me for a bag of doritos</t>
  </si>
  <si>
    <t>ONLY 이동혁 ☼</t>
  </si>
  <si>
    <t>Nouvelle-Aquitaine</t>
  </si>
  <si>
    <t>Casteide-Cami</t>
  </si>
  <si>
    <t>The days of Mountain Dew and Doritos.  Before you all go to bed, take some time to reminisce in some nostalgia. 
#xbox360 #growtogether</t>
  </si>
  <si>
    <t>B25clan</t>
  </si>
  <si>
    <t>display device</t>
  </si>
  <si>
    <t>multimedia</t>
  </si>
  <si>
    <t>21:47</t>
  </si>
  <si>
    <t>General Booty?! / Alec Rash?! / Walker Weickel?! / Collin Wiles?! SPORTS, MAN!</t>
  </si>
  <si>
    <t>, guacamole doritos, loose, lightening up, up, pickle, pickles, operating systems, operations, room, rooms, nurses, international, girls, american, teddy bear, teddy bears, food, music, anakin skywalker, djwalker, luke skywalker, margin walker, scottish walker’s shortbread, walker’s shortbread, walking, reference, references, ji wei, about the bickering, entering, person, people, teams, sections, starting, starts, pitcher, pitching, throwing, texas, ranger bob, new york rangers, minor, minors, orlando, florida, san diego, drafts, rounds, june, 2525</t>
  </si>
  <si>
    <t>flamsterette</t>
  </si>
  <si>
    <t>wordpress.com</t>
  </si>
  <si>
    <t>21:46</t>
  </si>
  <si>
    <t>24.06.2019 20:42</t>
  </si>
  <si>
    <t>Mckinley Capital Management LLC Delaware Has $26.56 Million Position in PepsiCo, Inc. (NASDAQ:PEP)</t>
  </si>
  <si>
    <t>buy rating to the company’s stock. The stock presently has a consensus rating of “Buy” and a consensus target price of $124.65.
PepsiCo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</si>
  <si>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Rex Hubbard</t>
  </si>
  <si>
    <t>21:44</t>
  </si>
  <si>
    <t>25.06.2019 02:59</t>
  </si>
  <si>
    <t>https://www.facebook.com/DoritosUSA/videos/426053211583624/
Doritos
Put your Spidey-Sense to the test with our Doritos Spidey-Sense Challenge game. Play now at http://bit.ly/2Ld5NBr, and see #SpiderManFarFromHome in theaters July 2.</t>
  </si>
  <si>
    <t>WebsPinas</t>
  </si>
  <si>
    <t>21:43</t>
  </si>
  <si>
    <t>24.06.2019 21:46</t>
  </si>
  <si>
    <t>Yes, Doritos has been blocked.</t>
  </si>
  <si>
    <t>gormygoesketo</t>
  </si>
  <si>
    <t>Mijo</t>
  </si>
  <si>
    <t>24.06.2019 21:45</t>
  </si>
  <si>
    <t>doritos covered in hot sauce taste exactly like takis</t>
  </si>
  <si>
    <t>Боливар</t>
  </si>
  <si>
    <t>Parroquia Chirica</t>
  </si>
  <si>
    <t>Unas ganas de fernet y doritos</t>
  </si>
  <si>
    <t>Chiara ✡</t>
  </si>
  <si>
    <t>21:42</t>
  </si>
  <si>
    <t>24.06.2019 21:53</t>
  </si>
  <si>
    <t>JAJAJA MI HERMANA ME CONOCE O LO HARÍA AL TANTEO?? 
#cocacola #doritos #salchichas #chicles #chocolates #TAMAL
❤️❤️</t>
  </si>
  <si>
    <t>Karla Contreras</t>
  </si>
  <si>
    <t>24.06.2019 21:42</t>
  </si>
  <si>
    <t>i just want doritos &amp; a powerade but it wants to rain hard af</t>
  </si>
  <si>
    <t>alexus</t>
  </si>
  <si>
    <t>21:41</t>
  </si>
  <si>
    <t>I’m so glad I met this barbell  Let me tell ya! At 65lbs, pickin’ that thing up over head 100 times feels nicer than any other cardio some days!! It’s all about efficiency with your time in the gym. PLUS!! If you murdered that bag of Doritos on the weekend ‍♀️, you better believe two workouts in a day is your thing  Benched and deadlifted my 5x5s earlier today  #nevermissamonday #kelowna #personaltrainer #goodlifefitnesskelowna #fitnessmotivation #momswholift #liftheavythings #cardio #okanaganlifestyle #livehealthy #stayactive #behappy</t>
  </si>
  <si>
    <t>Mandy Mitchell</t>
  </si>
  <si>
    <t>21:40</t>
  </si>
  <si>
    <t>retweet for gOOdLucK
I try not to question the contents of my processed food too much but @Doritos please explain why there’s a giant chunk of cheese in my bag</t>
  </si>
  <si>
    <t>Savannah Grace</t>
  </si>
  <si>
    <t>Чаттануга</t>
  </si>
  <si>
    <t>21:38</t>
  </si>
  <si>
    <t>Garf Doritos Throwback Taco Flavored Tortilla Chips #garfieldfrommemory #doritos #doritostaco #garfield #garfields</t>
  </si>
  <si>
    <t>K Parnell</t>
  </si>
  <si>
    <t>21:35</t>
  </si>
  <si>
    <t>24.06.2019 21:35</t>
  </si>
  <si>
    <t>Want to score this Limited-Edition Doritos Spidey Suit? Tell us what super power Doritos gives you using #IncognitoDoritos #Entry for the chance to win! Rules @ https://bit.ly/2MXEpdc</t>
  </si>
  <si>
    <t>21:34</t>
  </si>
  <si>
    <t>24.06.2019 21:39</t>
  </si>
  <si>
    <t>@joelcomm Doritos!!! I'm so sensitive to the smell of every flavor. First class rule is always NO DORITOS!</t>
  </si>
  <si>
    <t>Kimberly Becvar-Val</t>
  </si>
  <si>
    <t>Iran (Islamic Republic of)</t>
  </si>
  <si>
    <t>Хормозган</t>
  </si>
  <si>
    <t>درگهان</t>
  </si>
  <si>
    <t>24.06.2019 21:36</t>
  </si>
  <si>
    <t>@deathlawlGames *looks up from stuffing doritos into my face as some of them get caught in my beard* huh?</t>
  </si>
  <si>
    <t>Anton's HotDog &amp; Firearm Emporium</t>
  </si>
  <si>
    <t>Glendale</t>
  </si>
  <si>
    <t>21:33</t>
  </si>
  <si>
    <t>To say goodnight I had Jenn send us an update on Doritos babies and Stork. She still doesn't have enough milk yet to feed them enough to gain weight and Jenn just weighed the pups and they all continue to lose weight.
Stork does have some milk, it's just not enough yet. 
Jenn is  running to the store to get her some calcium rich foods to see if we can help with milk production. She did have some puppy milk earlier which she lapped right up.
She will sit for them occasionally on her own but most of the time Jenn has to sit with her to feed them</t>
  </si>
  <si>
    <t>Lone Star Dog Ranch &amp; Dog Ranch Rescue</t>
  </si>
  <si>
    <t>https://scontent.xx.fbcdn.net/v/t1.0-9/s720x720/65305377_10157635843061614_1051535301186420736_o.jpg?_nc_cat=106&amp;_nc_oc=AQlz9W3NnoQA6ZRC5FrtVtwYCnwtVDFWc89C5vH7ZLCbylKAlRq6_TJnhs6sm9sFs8k&amp;_nc_ht=scontent.xx&amp;oh=90bb526d910f0216b55a343fa539d7bd&amp;oe=5DC67E78</t>
  </si>
  <si>
    <t>21:32</t>
  </si>
  <si>
    <t>Lyke if u cry everytyme
•
•
•
• 
#dankmemes #d #hashtag #reee #letsgo #fortnite #xbox #pc #doritos #hothothot #thotties #begonethot</t>
  </si>
  <si>
    <t>job,business,presentation,conversation</t>
  </si>
  <si>
    <t>21:31</t>
  </si>
  <si>
    <t>24.06.2019 21:40</t>
  </si>
  <si>
    <t>Sad :( Instagram E:@los_doritos_de_los_bts 
Instagram I:@the_doritos_of_the_bts 
Twitter:@the_doritos_bts
#sad #ilovejhopebts #bts #jhope</t>
  </si>
  <si>
    <t>Lachibolala?☀</t>
  </si>
  <si>
    <t>21:30</t>
  </si>
  <si>
    <t>25.06.2019 05:28</t>
  </si>
  <si>
    <t>#boanoite #top #segue #seguedevolta #instagay #gay #gaysp #lovegay ‍♂️</t>
  </si>
  <si>
    <t>murilo Celinedion</t>
  </si>
  <si>
    <t>24.06.2019 21:30</t>
  </si>
  <si>
    <t>DID YOU KNOW: Live KAYA's packaging received National recognition in the 2018 GD USA Graphic Design &amp; Packaging Awards &amp; will be showcased in print &amp; online amongst other brands such as Pepsi,Doritos, Lexus, 7-11, and Apple.
Visit our website: http://www.livekaya.com 
#LiveKAYA</t>
  </si>
  <si>
    <t>LiveKAYA</t>
  </si>
  <si>
    <t>Рино</t>
  </si>
  <si>
    <t>21:27</t>
  </si>
  <si>
    <t>24.06.2019 21:31</t>
  </si>
  <si>
    <t>@FoodNetwork Vanilla ice cream and doritos</t>
  </si>
  <si>
    <t>Miracle</t>
  </si>
  <si>
    <t>21:23</t>
  </si>
  <si>
    <t>25.06.2019 05:23</t>
  </si>
  <si>
    <t>this is bad but like who cares imma sleep now so bye love u 
•
•
•
#nichememes #niche #memes #aesthetic #explorepage #daily #funny #relatable #lol #lmao #dailymemes #summer #holidays</t>
  </si>
  <si>
    <t>— niche memes</t>
  </si>
  <si>
    <t>24.06.2019 21:26</t>
  </si>
  <si>
    <t>@ProperOpinion @PhiloFiles doritos locos mcrib</t>
  </si>
  <si>
    <t>WillsServator</t>
  </si>
  <si>
    <t>21:22</t>
  </si>
  <si>
    <t>24.06.2019 21:23</t>
  </si>
  <si>
    <t>@Doritos_Mx Doritos, te gusta BTS o el K-Pop?</t>
  </si>
  <si>
    <t>— туℓєя ᴶᵏ</t>
  </si>
  <si>
    <t>21:21</t>
  </si>
  <si>
    <t>I like to make the s3x with Doritos</t>
  </si>
  <si>
    <t>John Marston</t>
  </si>
  <si>
    <t>smartphone,gadget,electronics</t>
  </si>
  <si>
    <t>24.06.2019 21:22</t>
  </si>
  <si>
    <t>@cierracolleenn Cheesy Gordita crunch with the Doritos shell. It’s a game changer.</t>
  </si>
  <si>
    <t>21:20</t>
  </si>
  <si>
    <t>25.06.2019 02:03</t>
  </si>
  <si>
    <t>Put your Spidey-Sense to the test - play now: http://bit.ly/2Ld5NBr 
https://www.facebook.com/DoritosUSA/videos/426053211583624/
Doritos
Put your Spidey-Sense to the test with our Doritos Spidey-Sense Challenge game. Play now at http://bit.ly/2Ld5NBr, and see #SpiderManFarFromHome in theaters July 2.</t>
  </si>
  <si>
    <t>Marvel Studios Spider-Man Far From Home</t>
  </si>
  <si>
    <t>Daily Bugle Spidey</t>
  </si>
  <si>
    <t>24.06.2019 21:24</t>
  </si>
  <si>
    <t>#fotostumblrbr #foto #foto #estrellas #editore #editordefoto #eldementeyt #selfie #doritos #like4likes #likelike</t>
  </si>
  <si>
    <t>bauty</t>
  </si>
  <si>
    <t>I know, I know these are the thing to make right now. But I did it any way.  Doritos bag. Will be listed in my shop. 
#vampqueensvault #vampqueen #embroiery #handmade #etsyseller #etsyfinds #etsystore #craftsupply #upcycling #upcycled #bag #purse</t>
  </si>
  <si>
    <t>mary</t>
  </si>
  <si>
    <t>21:19</t>
  </si>
  <si>
    <t>Mood af 
#mood #moodaf #doritos #meme #memes #funny #funnymeme #moodmeme #bruh #bruhmoment</t>
  </si>
  <si>
    <t>Scoot-Scoot Walker</t>
  </si>
  <si>
    <t>24.06.2019 21:25</t>
  </si>
  <si>
    <t>Started making my sandwiches with chips in them. Best thing since toasted bread. Fucked around and went with cool ranch doritos AND takis in the same sandwich. Treat yourself</t>
  </si>
  <si>
    <t>Jibby_hendrix</t>
  </si>
  <si>
    <t>21:18</t>
  </si>
  <si>
    <t>24.06.2019 21:21</t>
  </si>
  <si>
    <t>@d0nnykong Can't wait for the game and the anime and the musical and the toy range and the special flavour of Doritos. 2016 is gonna be great!</t>
  </si>
  <si>
    <t>Infernal Monkey</t>
  </si>
  <si>
    <t>both sit down and watch as the sun sets.
Y/n: Snacks?
J: What you got?
Y/n: Doritos and more Doritos.
He puts out his hand, lightly curling his fingers indicating he wanted one. I gave him one bag.
Y/n: You know I never planned for the day to go like this.
J: What do you mean?
Y/n: Well... you being, well you, I thought you would’ve tried getting in my pants the minute we started this tour. You know flirting with me and making snoggy comments about how I'd be good in bed and my lips look kissable.
He chuckled at my sudden straightforwardness</t>
  </si>
  <si>
    <t>Rolanda ♡</t>
  </si>
  <si>
    <t>water,sky</t>
  </si>
  <si>
    <t>21:17</t>
  </si>
  <si>
    <t>( Steals Doritos ) Haha! Their mine now!</t>
  </si>
  <si>
    <t>24.06.2019 21:17</t>
  </si>
  <si>
    <t>민Marbet</t>
  </si>
  <si>
    <t>21:16</t>
  </si>
  <si>
    <t>#munchkin #munchkinthecrazycat #catsofinstagram #catvideo #catvideo #chilliheatwavedoritos #chilli #doritos @doritos #madmunchkin #herfave</t>
  </si>
  <si>
    <t>Munchkin</t>
  </si>
  <si>
    <t>I tried hot sauce with Doritos</t>
  </si>
  <si>
    <t>Tru Gamer yt</t>
  </si>
  <si>
    <t>21:14</t>
  </si>
  <si>
    <t>SB</t>
  </si>
  <si>
    <t>24.06.2019 21:16</t>
  </si>
  <si>
    <t>twitch.tv/mizuyong ~水星용 ♡</t>
  </si>
  <si>
    <t>Doritos gives me super strength! @Doritos #IncognitoDoritos #Entry</t>
  </si>
  <si>
    <t>jennpoop</t>
  </si>
  <si>
    <t>Turkmenistan</t>
  </si>
  <si>
    <t>Ахалский велаят</t>
  </si>
  <si>
    <t>There is a village here</t>
  </si>
  <si>
    <t>Sid would fuck him up.
.
.
.
.
.
.
.
.
.#cringememes #shittymemes #wetchips #badimages ##ph #pornhub #pornhubmemes  #nolife #doggo #ss #sidthesloth #iceage #iceagememe #diaryofawimpykid #diaryofawimpykidmemes #dogmemes #dogememes  #sweetchilli #wetdreams #moistimages #meme #dankmeme #Doritos #soggiecookie #memepage  #memes .</t>
  </si>
  <si>
    <t>spicysweetchillidoritos</t>
  </si>
  <si>
    <t>21:08</t>
  </si>
  <si>
    <t>I wasn’t feeling the whole cooking thing tonight so we had sandwiches, Doritos and Apple.
Ham and Cheese Sandwich (7sp)
Doritos (5sp)
.
.
.
#ww #wwnc #weightwatchers #wwgoals #wwigfamily
#wwinstagram #wwinstafam #wwfamily #wwfooddiary
#wwblog #wwtracking #wwcommunity #wwlifestyle
#weightlossjourney #wwfreestyle #wwinsta #wwlife
#smartpoints #wellnessthatworks #wwonline #wwig
#wwforlife #wwsupport #wwbettertogether #wwforever
#wwaccountability #wwjourney</t>
  </si>
  <si>
    <t>Started WW this time Jan 2018</t>
  </si>
  <si>
    <t>fried food,fast food,junk food,food</t>
  </si>
  <si>
    <t>21:07</t>
  </si>
  <si>
    <t>24.06.2019 21:07</t>
  </si>
  <si>
    <t>If you have EVER been curious about climate change, which you SHOULD be, then I highly encourage you to watch ‘Before The Flood’ on Netflix by Leonardo DiCaprio. Absolutely mind blowing. I literally feel like shit for eating Doritos and MacNCheese rn. Please go watch it.</t>
  </si>
  <si>
    <t>Travis Bohm</t>
  </si>
  <si>
    <t>B insisted on eating some ranch dipped hot wing doritos today for a snack &amp; i let him bc i knew he wouldn’t like them but he tried SO HARD to eat them!! he would take a bite just to give me the rest &amp; after attempting five, he brought me the wipes to wipe off his tongue hahahaha</t>
  </si>
  <si>
    <t>Alanah</t>
  </si>
  <si>
    <t>Мичиган</t>
  </si>
  <si>
    <t>21:03</t>
  </si>
  <si>
    <t>@jamesteve20 3 doritos despues...</t>
  </si>
  <si>
    <t>Daymon Van Ekelenburg</t>
  </si>
  <si>
    <t>La squad qui par a guerre 
#goodfriends #getdrunktonight 
#goodtime #vodka #molsonex 
#doritos #stjeanbaptiste #fuckpolice</t>
  </si>
  <si>
    <t>Maxym Gosselin</t>
  </si>
  <si>
    <t>24.06.2019 21:04</t>
  </si>
  <si>
    <t>#unclerichdick4president #Doritos #Chips #BootyHole #Hilarious #Funny #Jokes #Comedy</t>
  </si>
  <si>
    <t>Uncle Rich Dick</t>
  </si>
  <si>
    <t>24.06.2019 21:06</t>
  </si>
  <si>
    <t>Norman(Anthony)T</t>
  </si>
  <si>
    <t>21:01</t>
  </si>
  <si>
    <t>24.06.2019 21:01</t>
  </si>
  <si>
    <t>@rizzydraws Have you ever wondered what each reddit/commentary youtubers feet smell like? Here’s the full guide 
(Part 1)
@Kwite- Doritos (ranch flavor)
@WildSpartanz- Fritos 
@BluesDank- vinegar 
@Memeulous- fish
@kinganiii- Doritos (nacho cheese flavor)
@ImAllexx- cheese</t>
  </si>
  <si>
    <t>SCIFILER</t>
  </si>
  <si>
    <t>21:00</t>
  </si>
  <si>
    <t>24.06.2019 21:05</t>
  </si>
  <si>
    <t>I'm her freaking Doritos and cereal and she is my favorite English tea. 
Yeah yeah it's sounds corny, but I'm her favorite cereal so, yeah...
@frckindoritos when waking up to this dorky face is such a good feeling.  
Pokes his lips "I like it when you're awake,  but I don't mind staring at you when you sleep"</t>
  </si>
  <si>
    <t>Connor</t>
  </si>
  <si>
    <t>24.06.2019 21:00</t>
  </si>
  <si>
    <t>I said, "room with a view?" They said, "the best with the sounds and scents of nature calling!" What's better than that, you ask? It's the kid in front of me smelling strongly of Doritos and dill pickles. 
#livingthedream #actor #actorslife #sagaftra #sagaftramember #stayhungry #grateful #film #tv #movies #hardwork #flying #skymiles</t>
  </si>
  <si>
    <t>Aaron Marshall</t>
  </si>
  <si>
    <t>floor</t>
  </si>
  <si>
    <t>Fadhil Aulia</t>
  </si>
  <si>
    <t>20:59</t>
  </si>
  <si>
    <t>24.06.2019 21:14</t>
  </si>
  <si>
    <t>There was a small boy named Jimmy. He got resurrected into an ant He managed t</t>
  </si>
  <si>
    <t>. With his hatchet in hand...
He gazed at Trent with a knife, as Trent reset his server
Trent instead decided to give everyone but the person above a million credits, but the consequence? Reset everyone's server daily.
He suddenly died from heart attack.
The doctors realized that the heart attack was induced from eating too many Doritos.
Trent's child found Trent's friends and gave them the same Doritos.
They had video proof of the doritos killing him and used it as a super bowl commerical which won them 1 million dollars.
He loved the</t>
  </si>
  <si>
    <t>a guest</t>
  </si>
  <si>
    <t>pastebin.com</t>
  </si>
  <si>
    <t>20:57</t>
  </si>
  <si>
    <t>Ok so no more eating my feelings. I figure spending the money and time to prep so many good macros meals will help me avoid those salsa verde Doritos at 3 am. 
#mealprep #gymfood #healthy #homemade #musclefood #igfitness #igfood #chicken #spinach #kale #nomnom #nightshift #emsfit #fitnerd #brotein #gainz #fitkitchen #feedmeandtellmeimpretty</t>
  </si>
  <si>
    <t>Jax Simkins</t>
  </si>
  <si>
    <t>20:56</t>
  </si>
  <si>
    <t>TACO  , Family FAVORITE with a grand total of...9sp and oh soooo good!  Meat (3sp), fat free Catalina dressing (1sp (1Tbs)), @Doritos (3sp) and grated  (2sp) #wwdivas #wwdiary #weightwatchersfamily #ww #wwfreestyle #wwsisterhood #weightwatchers</t>
  </si>
  <si>
    <t>KaylaWWjournal</t>
  </si>
  <si>
    <t>meal,vegetable,food</t>
  </si>
  <si>
    <t>20:55</t>
  </si>
  <si>
    <t>eaten.
Otten, who formerly worked as an emergency vet, joked about what he used to tell pet owners: “We’re gonna take your dog in, we’re gonna put him in a quiet room. We’re gonna play some Led Zeppelin for him and give him some Doritos, and you can pick him up in the morning.”
HOW MUCH DOES TREATING YOUR DOG COST?
While my own vet bill put us out $300, veterinarian John de Jong, president of the American Veterinary Medical Association, said interventions like bloodwork and IV fluids could cost up to $1,000.
WHAT ABOUT CATS?
It seems to be</t>
  </si>
  <si>
    <t>The Daily World.com</t>
  </si>
  <si>
    <t>thedailyworld.com</t>
  </si>
  <si>
    <t>24.06.2019 20:58</t>
  </si>
  <si>
    <t>This series is shaping up to be a real bag of Doritos...
(chippy)
#Braves #Cubs #ChopOn</t>
  </si>
  <si>
    <t>Ozzie's Chainz⛓️</t>
  </si>
  <si>
    <t>20:53</t>
  </si>
  <si>
    <t>24.06.2019 20:59</t>
  </si>
  <si>
    <t>Finlay W</t>
  </si>
  <si>
    <t>Альберта</t>
  </si>
  <si>
    <t>Pincher Creek</t>
  </si>
  <si>
    <t>яαмσи | 5️⃣ Days</t>
  </si>
  <si>
    <t>24.06.2019 20:57</t>
  </si>
  <si>
    <t>Ready to suit up? #Doritos #SpiderManFarFromHome http://www.planetnestor.com/doritos-ready-to-suit-up-spider-man-far-from-home-promo/</t>
  </si>
  <si>
    <t>Suit Up! Wardrobe Department</t>
  </si>
  <si>
    <t>20:52</t>
  </si>
  <si>
    <t>24.06.2019 20:54</t>
  </si>
  <si>
    <t>Am I just a lame ass ho or are the Chile limón Doritos just that damn spicy</t>
  </si>
  <si>
    <t>The Grateful (un)Dead</t>
  </si>
  <si>
    <t>20:51</t>
  </si>
  <si>
    <t>24.06.2019 20:53</t>
  </si>
  <si>
    <t>that wait 30 minutes after eating to swim rule doesn’t apply to me. i’ll be floating around the shallow end with my bag of doritos thank you very much.</t>
  </si>
  <si>
    <t>whatev</t>
  </si>
  <si>
    <t>My 16 Shots Meme as a Meme or a Vine | XD
Comment DORITOS YEEEE if you see this XD</t>
  </si>
  <si>
    <t>24.06.2019 20:52</t>
  </si>
  <si>
    <t>Doritos com Nutella e batata frita com sanduíche T-T
//#cams
#followme #like4like #TFLers #liker #likes #l4l #likes4likes #photooftheday #love #likeforlike #likesforlikes #liketeam #likeback #likebackteam #instagood #likeall #likealways #liking #liked</t>
  </si>
  <si>
    <t>20:50</t>
  </si>
  <si>
    <t>Bi</t>
  </si>
  <si>
    <t>20:49</t>
  </si>
  <si>
    <t>Ask by Doritos Reaction</t>
  </si>
  <si>
    <t>Anilsya Lopez</t>
  </si>
  <si>
    <t>20:47</t>
  </si>
  <si>
    <t>24.06.2019 20:49</t>
  </si>
  <si>
    <t>Haven’t made a good beat in a while so here’s a new one
———————————————————————————
#beats #fire #hiphop #hiphopbeatz #hiphopbeats4sale #pop #liluzi #liluzigang #juicewrld #juicewrldlyrics #postmalonestoney #travis #flstudio #flstudiodubstep #vinylhead #vinylfigures #vinylisbetter #heater #mtndewkickstart #doritos #new</t>
  </si>
  <si>
    <t>Sid Beats</t>
  </si>
  <si>
    <t>20:46</t>
  </si>
  <si>
    <t>Has anyone tried any crazy fish fry coating? Doritos is my favorite! #fishfry
https://www.facebook.com/mnoutdoorjournal/photos/a.799541406733996/2353626267992161/?type=3</t>
  </si>
  <si>
    <t>Minnesota Outdoor Journal</t>
  </si>
  <si>
    <t>20:45</t>
  </si>
  <si>
    <t>Literally just bought 3 bags of these . . . Because doritos likes to play games when it comes to these chips! https://www.instagram.com/p/BzHPSCVBFoh5XFHiFtvIxguuIKjPyX1QUPv9M00/?igshid=opskrxz7icgk</t>
  </si>
  <si>
    <t>Travis Bannister</t>
  </si>
  <si>
    <t>Vance</t>
  </si>
  <si>
    <t>24.06.2019 20:50</t>
  </si>
  <si>
    <t>// JAJJJJAJAJJAJAJAJAJAJAJAJJAJA I CANT EVEN
—.
Raziel, having another existential crisis: Do you know… What it’s like to be afraid of yourself?
Kaz, thinking about that time he ate an entire family sized bag of doritos in one evening: God dude I sure do.</t>
  </si>
  <si>
    <t>Kaz</t>
  </si>
  <si>
    <t>Тичино</t>
  </si>
  <si>
    <t>Paradiso</t>
  </si>
  <si>
    <t>—.
Raziel, having another existential crisis: Do you know… What it’s like to be afraid of yourself?
Kaz, thinking about that time he ate an entire family sized bag of doritos in one evening: God dude I sure do.</t>
  </si>
  <si>
    <t>20:44</t>
  </si>
  <si>
    <t>24.06.2019 20:45</t>
  </si>
  <si>
    <t>Aʀᴄʜᴇʀ.</t>
  </si>
  <si>
    <t>@bbusa617 People that get high just don't care. They sit in front of a screen with a bowl of Doritos and don't stay in touch with the reality of their surroundings. Dead people and immigrants are voting but high people are tuned out. It's so isolating to be high. Reality hits yea hard bro.</t>
  </si>
  <si>
    <t>Morgaine</t>
  </si>
  <si>
    <t>Doritos crash course on Xbox 360</t>
  </si>
  <si>
    <t>the fox in a box gaming</t>
  </si>
  <si>
    <t>neon</t>
  </si>
  <si>
    <t>20:43</t>
  </si>
  <si>
    <t>Tengo que dejar de comer Doritos por un mes por lo menos</t>
  </si>
  <si>
    <t>Uma ॐ</t>
  </si>
  <si>
    <t>20:41</t>
  </si>
  <si>
    <t>BFV is a campy, try hard, insta death bore. - Page 17</t>
  </si>
  <si>
    <t>Quote: : » SirTerrible said:
CHAMMOND1992 said:
NLBartmaN said:
CHAMMOND1992 said:
But what if I don't like hardcore mode, and never have in any BF series? What if 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Then you will to play with less and</t>
  </si>
  <si>
    <t>Dank_Jeezus</t>
  </si>
  <si>
    <t>forums.battlefield.com</t>
  </si>
  <si>
    <t>Battlefield V - General Discussion — Battlefield Forums</t>
  </si>
  <si>
    <t>20:37</t>
  </si>
  <si>
    <t>24.06.2019 21:08</t>
  </si>
  <si>
    <t>Show off your latest purchase! 1064</t>
  </si>
  <si>
    <t>Some Le Mans and IMSA:
Some smol spinning doritos:
A cutty thing:
A pair of 1/18 Mazda emblems (replacement for a damaged one on my 1/18 MX-5 NC):
Some microfiber cleaning cloths:</t>
  </si>
  <si>
    <t>Venom800tt</t>
  </si>
  <si>
    <t>gtplanet.net</t>
  </si>
  <si>
    <t>The Rumble Strip</t>
  </si>
  <si>
    <t>20:36</t>
  </si>
  <si>
    <t>24.06.2019 20:38</t>
  </si>
  <si>
    <t>From Duke Dogs full of cheese n' Doritos @midtownbrewingcompany to donair burritos at @keinthewinery to pb&amp;j w/ banana puddin' @drakedevonshire. This was @visitthecounty 's finest ☀️
.
.
#food #foodie #foodporn #foodstagram #foodblogger #foodphotography #foodgasm #foodoftheday #hotdog #nachos #cheese #queso #burrito #peanutbutter #brunch #lunch #breakfast #latergram #instagood #instafood #igdaily #nomnom #eeeeeats #picoftheday #photooftheday #photography</t>
  </si>
  <si>
    <t>jamesonsown</t>
  </si>
  <si>
    <t>Prince Edward County</t>
  </si>
  <si>
    <t>meal,fried food,french fries,fast food,junk food,food</t>
  </si>
  <si>
    <t>24.06.2019 20:39</t>
  </si>
  <si>
    <t>If you’re wondering, Yes I did eat half the bag of Doritos while I did my makeup and hair  #brandambassador #instagrambaddie #makeup #explorepage #LA #florida</t>
  </si>
  <si>
    <t>Lauryn Adele</t>
  </si>
  <si>
    <t>20:35</t>
  </si>
  <si>
    <t>24.06.2019 20:40</t>
  </si>
  <si>
    <t>Little man moving some heavy weight on leg day
✊
Everyone knows Monday is #chestday but the new movement is #legday we ain’t looking like #doritos this summer fellas! Hit them legs with chest day! 
Powered by the best @5starnutritionstafford and @anabolicwarfare can’t beat the customer or the gains they provide!
 @witchikn @fitmeelow
.
.
.
.
.
.
.
.
.
.
.
.
.
.
.
.
.
.
.
.
.
.
#fitdad #5starnutrition #usmc #gainz #gymlife #gymdad #militarymuscle #dadswholift #fitlife #motivation #explore #marines #fitness #motivation #bodybuilding #motivational #gym #life #dsdnt #teamdsdnt #explorepage #flex #anabolicwarfare #transformation #muscles #bodybuilding #physique  #growth #chestday #dadbod  #explorepage</t>
  </si>
  <si>
    <t>Michael Craig-Lee</t>
  </si>
  <si>
    <t>24.06.2019 19:55</t>
  </si>
  <si>
    <t>motheR waTChes iN hOrRor As ALL heR chiLDRen liE SlAUGHTErED on The gRoUNd</t>
  </si>
  <si>
    <t>Taco Bell Menu
Summon me with u/TacoBellMenu
New Cravings Box $5.00
Loaded Nacho Taco Box $5.00
Quesalupa Combo $4.99
Rockstar Punched Freeze $2.49
Quesalupa $2.99
Cheesy Gordita Crunch $2.79
Doritos Cheesy Gordita Crunch $2.99
Nacho Cheese Doritos Locos Tacos $1.49
Nacho Cheese Doritos Locos Tacos Supreme $1.79
Fiery Doritos Locos Tacos $1.49
Fiery Doritos Locos Tacos Supreme $1.79
Cool Ranch Doritos Locos Tacos $1.49
Cool Ranch Doritos Locos Tacos Supreme $1.79
Crunchy Taco $1.19
Crunchy Taco Supreme $1.59
Soft Taco $1.19
Soft Taco Supreme</t>
  </si>
  <si>
    <t>TacoBellMenu</t>
  </si>
  <si>
    <t>People Fucking Dying</t>
  </si>
  <si>
    <t>20:34</t>
  </si>
  <si>
    <t>I be sayin I gotta stop eating so much cause I’ve gained so much weight recently. Yet here I am one banana, 2 brownies, a bowl of ice cream, and a bag of Doritos later....</t>
  </si>
  <si>
    <t>baé-ly</t>
  </si>
  <si>
    <t>Оклахома</t>
  </si>
  <si>
    <t>20:32</t>
  </si>
  <si>
    <t>#doritos me nota!!!</t>
  </si>
  <si>
    <t>Jorge Henrique Ferreira</t>
  </si>
  <si>
    <t>20:31</t>
  </si>
  <si>
    <t>When mom doesn't noice the doritos in the basket</t>
  </si>
  <si>
    <t>Poison Shark</t>
  </si>
  <si>
    <t>24.06.2019 20:43</t>
  </si>
  <si>
    <t>“It’s amazing the lengths people will go to in order to not shit their pants,” She said, turning down some Doritos.</t>
  </si>
  <si>
    <t>Kay</t>
  </si>
  <si>
    <t>20:29</t>
  </si>
  <si>
    <t>24.06.2019 20:33</t>
  </si>
  <si>
    <t>@hyejusko FOCUS ON THE DORITOS</t>
  </si>
  <si>
    <t>m</t>
  </si>
  <si>
    <t>24.06.2019 20:32</t>
  </si>
  <si>
    <t>@ItsSamG Lady, I couldn’t do 24 minutes of whatever that crazy junk food free none sense was... you get all the Doritos...</t>
  </si>
  <si>
    <t>kevin</t>
  </si>
  <si>
    <t>24.06.2019 20:31</t>
  </si>
  <si>
    <t>I bet the texture of Chan’s hair is like squeezing a bag of Doritos</t>
  </si>
  <si>
    <t>|| é 2:</t>
  </si>
  <si>
    <t>24.06.2019 20:36</t>
  </si>
  <si>
    <t>etc, becomes so natural. That small ass 160 calorie a serving (about 11-12 chips) bag of Doritos that you swear you can’t live without, turns into a 50 calorie cheese stick and madddd pepperoni. Your late night snacks become diffferent. Even the way you eat out</t>
  </si>
  <si>
    <t>I’m not 23 anymore!</t>
  </si>
  <si>
    <t>Коннектикут</t>
  </si>
  <si>
    <t>Meriden</t>
  </si>
  <si>
    <t>24.06.2019 20:29</t>
  </si>
  <si>
    <t>BUT dieting will never ever ever include starvation or depriving yourself of stuff. If you seriously WANT that bag of Doritos, eat it... make sure you sacrifice and fit it into your calories for the day, and you’ll be straight but it don’t be worth it man.</t>
  </si>
  <si>
    <t>20:26</t>
  </si>
  <si>
    <t>24.06.2019 20:27</t>
  </si>
  <si>
    <t>¡Cheeseburger! ⎊ Misses Tony</t>
  </si>
  <si>
    <t>#lgbt #lgbtq #lgbtqi #lgbtqia #lgbtqiap</t>
  </si>
  <si>
    <t>Weverton</t>
  </si>
  <si>
    <t>city</t>
  </si>
  <si>
    <t>20:25</t>
  </si>
  <si>
    <t>24.06.2019 20:25</t>
  </si>
  <si>
    <t>@listonb Oh wow. Plz report back so I know if I need to buy the @Doritos version of the this body suit I just bought from @Forever21 ️</t>
  </si>
  <si>
    <t>Chloe Condon</t>
  </si>
  <si>
    <t>20:23</t>
  </si>
  <si>
    <t>25.06.2019 11:37</t>
  </si>
  <si>
    <t>Happy Pride month friends!! Ollie loves his new Pride bandana from @fundog_bandanas #happypridemonth #equality #equalitymatters #lgbtequality #humanrights #pride  #pridemonth #loveislove  #ollietheweimaraner #weim #weimaraner #weimlove #weimlife #weimstagram #instaweim #weimsofig #weimsofinstagram #dcweimrescue #weimaranersofig #weimaranersofinstagram #fundogbandanas</t>
  </si>
  <si>
    <t>Susan</t>
  </si>
  <si>
    <t>20:22</t>
  </si>
  <si>
    <t>24.06.2019 20:23</t>
  </si>
  <si>
    <t>I’m a flower that you water with Doritos</t>
  </si>
  <si>
    <t>TC</t>
  </si>
  <si>
    <t>Кентукки</t>
  </si>
  <si>
    <t>Луисвилл</t>
  </si>
  <si>
    <t>20:21</t>
  </si>
  <si>
    <t>Taco Salads ala Keto! Normally I make these taco salads for my family with Doritos for the “shell”, but for myself, I’m using these nacho flavored Quest Protein Chips.  Believe me guys, you CANNOT taste the difference.  These are a game changer! #cheesefordays #keto #questchips #tacomeat</t>
  </si>
  <si>
    <t>crodriguez422</t>
  </si>
  <si>
    <t>salad,junk food,meal,vegetable,food</t>
  </si>
  <si>
    <t>20:19</t>
  </si>
  <si>
    <t>24.06.2019 20:19</t>
  </si>
  <si>
    <t>Doritos öldü :(</t>
  </si>
  <si>
    <t>Elif Sadan</t>
  </si>
  <si>
    <t>20:17</t>
  </si>
  <si>
    <t>24.06.2019 20:24</t>
  </si>
  <si>
    <t>spidey</t>
  </si>
  <si>
    <t>Spider-Man</t>
  </si>
  <si>
    <t>20:16</t>
  </si>
  <si>
    <t>24.06.2019 20:21</t>
  </si>
  <si>
    <t>marychuy garcia</t>
  </si>
  <si>
    <t>24.06.2019 20:55</t>
  </si>
  <si>
    <t>Here’s a throwback to several years ago working on a fan made Doritos @doritos commercial. It was my first time working with @rbfx appliances. As you can tell, my model was tall to begin with :) I was brought on the project by my friend and fellow artist Seth @realsculpt . #lovewhatIdo #specialeffectsmakeupartistforhire #goodtimes</t>
  </si>
  <si>
    <t>Tim Peirson</t>
  </si>
  <si>
    <t>Такома</t>
  </si>
  <si>
    <t>But is it better than Doritos on a Peanut Butter &amp;amp; Jelly Sandwich?
https://97zokonline.com/kfcs-cheetos-sandwich-is-officially-coming-to-rockford-restaurants/
KFC's Cheetos Sandwich Officially Coming To Rockford Restaurants
We talked about it a few months ago, and now it's officially going to happen, KFC's Cheetos Sandwich is coming to Rockford.</t>
  </si>
  <si>
    <t>97ZOK</t>
  </si>
  <si>
    <t>KFC</t>
  </si>
  <si>
    <t>junk food,fast food,food</t>
  </si>
  <si>
    <t>CHAMMOND1992 said: SirTerrible said: CHAMMOND1992 said: NLBartmaN said: CHAMMOND1992 said:
But what if I don't like hardcore mode, and never have in any BF series? What if 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Then you will to play with less</t>
  </si>
  <si>
    <t>SirTerrible</t>
  </si>
  <si>
    <t>20:15</t>
  </si>
  <si>
    <t>Nobody comes between me and my Doritos.  
https://www.facebook.com/imnotrightinthehead/photos/a.233465075376/10162734153220377/?type=3
im not right in the head.com</t>
  </si>
  <si>
    <t>Penny Pinchin' Mom</t>
  </si>
  <si>
    <t>20:14</t>
  </si>
  <si>
    <t>˗ˏˋg a bˊˎ˗</t>
  </si>
  <si>
    <t>24.06.2019 20:22</t>
  </si>
  <si>
    <t>@ivan_buhaje Pgatt esos doritos ndeaaaaaaah</t>
  </si>
  <si>
    <t>mag</t>
  </si>
  <si>
    <t>Robert Morella</t>
  </si>
  <si>
    <t>mystic☆彡</t>
  </si>
  <si>
    <t>Compton</t>
  </si>
  <si>
    <t></t>
  </si>
  <si>
    <t>carne asarah</t>
  </si>
  <si>
    <t>Baby</t>
  </si>
  <si>
    <t>20:13</t>
  </si>
  <si>
    <t>Quiero palta con doritos</t>
  </si>
  <si>
    <t>maca</t>
  </si>
  <si>
    <t>Неукен</t>
  </si>
  <si>
    <t>24.06.2019 20:17</t>
  </si>
  <si>
    <t>Holly</t>
  </si>
  <si>
    <t>24.06.2019 20:13</t>
  </si>
  <si>
    <t>Reina Nicole</t>
  </si>
  <si>
    <t>Quiero birras y Doritos.</t>
  </si>
  <si>
    <t>Cronopio♕</t>
  </si>
  <si>
    <t>20:12</t>
  </si>
  <si>
    <t>24.06.2019 20:12</t>
  </si>
  <si>
    <t>AG</t>
  </si>
  <si>
    <t>Дотан</t>
  </si>
  <si>
    <t>24.06.2019 20:14</t>
  </si>
  <si>
    <t>kah D-4</t>
  </si>
  <si>
    <t>ELOTE CLÁSICO, ELOTE CON DORITOS, ELOTE BACON, ELOTE PULLED PORK Y ELOTE CAMARÓN SOLO EN @charliesontheway 
.
.
.
.
.
#nortedesantander #hamburguesa #promocion #charliesontheway #cerodietas #elote #cucuta #cucutacolombia</t>
  </si>
  <si>
    <t>ᴄʜᴀʀʟɪᴇ’s ᴏɴ ᴛʜᴇ ᴡᴀʏ</t>
  </si>
  <si>
    <t>Северный Сантандер</t>
  </si>
  <si>
    <t>Кукута</t>
  </si>
  <si>
    <t>20:10</t>
  </si>
  <si>
    <t>I really do not know what to think about these girls anymore... Instagram:@the_doritos_of_the_bts
Twitter:@the_doritos_bts
#jhope #ilovejhopebts #bts #kpop</t>
  </si>
  <si>
    <t>Beyond The Scene</t>
  </si>
  <si>
    <t>cloud,sky</t>
  </si>
  <si>
    <t>20:09</t>
  </si>
  <si>
    <t>24.06.2019 20:37</t>
  </si>
  <si>
    <t>3 doritos despues. .
.
.
#jhonwick #fanart #drawing #dibujo #art #chapter2 #keanureeves</t>
  </si>
  <si>
    <t>24.06.2019 20:10</t>
  </si>
  <si>
    <t>what is the difference between flavored tostitos and doritos
is this just market segmentation</t>
  </si>
  <si>
    <t>mh</t>
  </si>
  <si>
    <t>20:08</t>
  </si>
  <si>
    <t>24.06.2019 20:15</t>
  </si>
  <si>
    <t>My phone was horrifically mauled by a viscious beast who is otherwise a good girl who i love very much. I feel as lost as the dumbest rat on the maze. Please send help. And a new phone. And Doritos.</t>
  </si>
  <si>
    <t>She May - She May Not</t>
  </si>
  <si>
    <t>24.06.2019 20:11</t>
  </si>
  <si>
    <t>@swiftjustice5 Number 11 with ranch doritos and a Baja blast no ice</t>
  </si>
  <si>
    <t>angel</t>
  </si>
  <si>
    <t>“Guess the chip” challenge! David vs Kimbo!</t>
  </si>
  <si>
    <t>“Guess the chip” challenge! David vs Kimbo!
Hello guys!  
This video was from a few days ago but uploaded today.
Don’t forget to comment on new name ideas!!!
Stay tuned for more upcoming videos!
Comment your thoughts!
Also! Here are the links to our social media!!❤️
Mine:
https://mobile.twitter.com/rkimberly017
https://www.instagram.com/kimberlyy_018/
https://www.facebook.com/profile.php?id=100005565037420
 https://www.snapchat.com/add/pilily_ramirez
David’s:
https://www.instagram.com/_davvvidd/
https://www.snapchat.com/add/chino_1447</t>
  </si>
  <si>
    <t>Kimberly's Tube</t>
  </si>
  <si>
    <t>20:06</t>
  </si>
  <si>
    <t>24.06.2019 20:41</t>
  </si>
  <si>
    <t>Notable highlights from our visit to Quebec City today!  Ketchup flavored Doritos are not very good!  #quebeccity #waterfall</t>
  </si>
  <si>
    <t>James Tobin</t>
  </si>
  <si>
    <t>tourism,water,mountain,sky</t>
  </si>
  <si>
    <t>20:05</t>
  </si>
  <si>
    <t>24.06.2019 20:08</t>
  </si>
  <si>
    <t>People often assume that hiking a long trail like this is supposed to be this life altering event on a day to day basis-that each day is consumed with thought provoking content and serious discussions about life and our part in the world. As true as that may be at times, it’s also a whole lot of nothing... For example: 
Today, 49er and I sat by a beautiful lake and talked about how we never were Doritos type people, yet we could probably scarf down those knife edges faster than any normal person. Which was followed by a bet of how many times</t>
  </si>
  <si>
    <t>Grizel // Backpacker</t>
  </si>
  <si>
    <t>Мэн</t>
  </si>
  <si>
    <t>Newry</t>
  </si>
  <si>
    <t>soil,plant,trail,rock,tree</t>
  </si>
  <si>
    <t>hill station,snow,jungle,rainforest,nature,vegetation,waterfall,terrain,woodland,outdoor recreation,mountain,forest,path,water,ridge,wilderness</t>
  </si>
  <si>
    <t>20:03</t>
  </si>
  <si>
    <t>25.06.2019 04:36</t>
  </si>
  <si>
    <t>More snacks from my favorite markets. I have a problem. I’m not sorry. #ramune #tensukemarket #asiansnacks</t>
  </si>
  <si>
    <t>Mrs_Shep</t>
  </si>
  <si>
    <t>junk food,convenience food,snack,food</t>
  </si>
  <si>
    <t>*in court*
Prosecutor: In 2002 you had an incident where you ran into a pond to fight geese.
Me: In my defense, I was stoned and they were talking mad shit because one stole my Doritos. I have a rep to uphold.
P: THEY BEAT YOU UP!
M: I know. They were organized.</t>
  </si>
  <si>
    <t>Rachelle</t>
  </si>
  <si>
    <t>20:02</t>
  </si>
  <si>
    <t>Might have to go eat the kids @Doritos and and pray they don’t realize!</t>
  </si>
  <si>
    <t>Risse</t>
  </si>
  <si>
    <t>24.06.2019 20:04</t>
  </si>
  <si>
    <t>@un_esser Va...queden doritos i vi.</t>
  </si>
  <si>
    <t>Abans era La Peus, ara jocasé.</t>
  </si>
  <si>
    <t>20:00</t>
  </si>
  <si>
    <t>25.06.2019 10:42</t>
  </si>
  <si>
    <t>How To Be Productive When You're Sick And You Have An Important Deadline - Asian Efficiency</t>
  </si>
  <si>
    <t>to avoid is eating unhealthy food. I know this sounds so obvious but how many of us have eaten pints of Ben &amp; Jerry’s, bags of Doritos and chocolate cookies when we’re sick?
Just me?
Mmm, okay. Well let me tell you now, that’s a bad idea! When we’re sick we want to nourish our body with healthy foods so it can recover faster. I love eating ice cream – especially when I feel sick and hot thinking it will help me cool down and the sugar will make me temporarily feel better. Try to resist it because it’s not the nourishment your body needs to</t>
  </si>
  <si>
    <t>Thanh Pham</t>
  </si>
  <si>
    <t>asianefficiency.com</t>
  </si>
  <si>
    <t>[SS] Modules Pack</t>
  </si>
  <si>
    <t>(2855602591).load"Chixart2" - Doritos
require(2831237761).load"Chixart2" - Minigun
require(2871277680).load"Chixart2" - Noob that eats
require(2855989248).load"Chixart2" - Memeus V1
require(2946634514).load"Chixart2" - Caducus the Fallen God
require(2945922105).load"Chixart2" - Sniper
require(2870923100).load"Chixart2" - Reaper
require(2946965085).load"Chixart2" - Nuke
require(2737070070).load"Chixart2" - Insane/Dab GUI
require(2552620429).load"Chixart2" - UFO
require(522666193).giveAdmin"Chixart2" - Epix
require(519455802).giveAdmin"Chixart2</t>
  </si>
  <si>
    <t>ArdeurXD</t>
  </si>
  <si>
    <t>emergency vet, joked about what he used to tell pet owners: “We’re gonna take your dog in, we’re gonna put him in a quiet room. We’re gonna play some Led Zeppelin for him and give him some Doritos, and you can pick him up in the morning.”
How much does treating your dog cost? While my own vet bill put us out $300, veterinarian John de Jong, president of the American Veterinary Medical Association , said interventions like bloodwork and IV fluids could cost up to $1,000.
What About Cats?
It seems to be rarer for cats to ingest marijuana. Black said</t>
  </si>
  <si>
    <t>Laura Klivans, KQED</t>
  </si>
  <si>
    <t>19:58</t>
  </si>
  <si>
    <t>24.06.2019 20:06</t>
  </si>
  <si>
    <t>Made by me 
#nachos 
#doritos #doritosnachos</t>
  </si>
  <si>
    <t>pizza,cookware and bakeware,food</t>
  </si>
  <si>
    <t>My daily lunch - peanut butter and Dorito sandwich</t>
  </si>
  <si>
    <t>This but with spicy nacho doritos!</t>
  </si>
  <si>
    <t>bandwidthvampire</t>
  </si>
  <si>
    <t>19:57</t>
  </si>
  <si>
    <t>Luis Garza</t>
  </si>
  <si>
    <t>Fort Valley</t>
  </si>
  <si>
    <t>@jamiewestndp There's nothing wrong with "mare" given the appropriate context. Pigging out on Doritos, give me "mare, Mare, MARE!!!"</t>
  </si>
  <si>
    <t>Daniel Spencer</t>
  </si>
  <si>
    <t>Торонто</t>
  </si>
  <si>
    <t>24.06.2019 20:03</t>
  </si>
  <si>
    <t>¿A los cuántos Doritos me vuelvo el amor de tu vida?</t>
  </si>
  <si>
    <t>Amanda Marin</t>
  </si>
  <si>
    <t>1) Jam and doritos?  2) I’m not perfect</t>
  </si>
  <si>
    <t>AuntyScreecher</t>
  </si>
  <si>
    <t>19:56</t>
  </si>
  <si>
    <t>24.06.2019 19:58</t>
  </si>
  <si>
    <t>q ganas de unos doritos</t>
  </si>
  <si>
    <t>abriiil</t>
  </si>
  <si>
    <t>24.06.2019 19:57</t>
  </si>
  <si>
    <t>burichan</t>
  </si>
  <si>
    <t>24.06.2019 19:56</t>
  </si>
  <si>
    <t>The purple bag doritos with chipotle &gt;&gt; PERIOD</t>
  </si>
  <si>
    <t>ya girl amare</t>
  </si>
  <si>
    <t>Сакраменто</t>
  </si>
  <si>
    <t>Quiero doritos con cheddar, ahora</t>
  </si>
  <si>
    <t>lu</t>
  </si>
  <si>
    <t>A Chris Evans appreciation post.
Warning: might contain other people rumored to also have the name “Chris”
.
.
.
.
.
#aesthetics #aesthetic #themes #memes #themesandmemes #beautiful #lmao 
#idk #funny #lol #haha #meme #theme
#textpost #textposts
#chris #doritos #chrisevans
#marvel #captainamerica #steverogers #chrishemsworth 
#Chrisis</t>
  </si>
  <si>
    <t>Peaches</t>
  </si>
  <si>
    <t>undergarment</t>
  </si>
  <si>
    <t>i entered the Doritos Flavor challenge, too,, From Memphis. Look at God</t>
  </si>
  <si>
    <t>LaKeyta Granville</t>
  </si>
  <si>
    <t>What did you crave while you were pregnant ? I wanted string cheese, cool ranch doritos and snickers, McDonald's apple pie and orange juice. ( not all at the same time except the doritos and snickers)
https://www.facebook.com/themommyspage13/photos/a.623454844339186/3297214240296553/?type=3</t>
  </si>
  <si>
    <t>Mommy's Page</t>
  </si>
  <si>
    <t>24.06.2019 21:03</t>
  </si>
  <si>
    <t>BFV is a campy, try hard, insta death bore. 17</t>
  </si>
  <si>
    <t>SirTerrible said: CHAMMOND1992 said: NLBartmaN said: CHAMMOND1992 said:
But what if I don't like hardcore mode, and never have in any BF series? What if 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Then you will to play with less and less players</t>
  </si>
  <si>
    <t>CHAMMOND1992</t>
  </si>
  <si>
    <t>24.06.2019 19:21</t>
  </si>
  <si>
    <t>Lord, Pray for DH</t>
  </si>
  <si>
    <t>?
Me: I mean, not every day, but for once in a while, sure. [tbh, I don’t see much difference between that and the cheese pizza one, which is her other preferred one - carb, cheese, something reminiscent of tomatoes]
DH: .. maybe that’s why she thinks Doritos are an acceptable breakfast.
A - she’s 6. What 6 year old wouldn’t try to finagle chips for breakfast?
B - this is maybe the 3rd time all summer. Which leads me to ..
C - I usually pack a vegetable (peas, corn, etc), fruit (blueberries, strawberries, mandarin oranges), some sort of dairy (yogurt or cheese stick), and a carb+protein (sandwich triangles, roll-up wraps with ham or pepperoni and cheese), etc.
#RubbedMeWrong</t>
  </si>
  <si>
    <t>Jdukes14</t>
  </si>
  <si>
    <t>January 2020 Birth Club - Page 5 - BabyCenter</t>
  </si>
  <si>
    <t>19:52</t>
  </si>
  <si>
    <t>every time i eat jacked doritos i think of @Mxttis0n</t>
  </si>
  <si>
    <t>mattison</t>
  </si>
  <si>
    <t>Калдас</t>
  </si>
  <si>
    <t>Манисалес</t>
  </si>
  <si>
    <t>19:51</t>
  </si>
  <si>
    <t>24.06.2019 19:52</t>
  </si>
  <si>
    <t>At least once a week I hear: “Oh you’re eating that? I thought you were healthy. Don’t you eat Isagenix?”
▫️
This always makes me laugh. Yeah, I eat Isagenix aannnd pretty much everything else. Saturday I had a golf outing and what I ate consisted of a shake for breakfast, then an Isalean Bar, then a burger, bag of Doritos, buffalo chicken wrap with famous fries from PJs and then later, hot and honey wings and more famous fries from PJs hahah. Not to mention a handful of Twisted Teas and multiple handfuls of beer. That’s life. And it’s great</t>
  </si>
  <si>
    <t>Pete Antinore</t>
  </si>
  <si>
    <t>tree,sunglasses</t>
  </si>
  <si>
    <t>travel,outdoor recreation,wilderness,tourism,sky,vacation,mountain</t>
  </si>
  <si>
    <t>19:49</t>
  </si>
  <si>
    <t>24.06.2019 20:01</t>
  </si>
  <si>
    <t>Que ganas de unos doritos, o 3d faa</t>
  </si>
  <si>
    <t>Caro Chagas</t>
  </si>
  <si>
    <t>19:48</t>
  </si>
  <si>
    <t>Y me tuve que clavar un paquete de doritos OLVIDAAAATE CABEZON</t>
  </si>
  <si>
    <t>Saanti :●)</t>
  </si>
  <si>
    <t>Баия-Бланка</t>
  </si>
  <si>
    <t>24.06.2019 19:53</t>
  </si>
  <si>
    <t>NOT HATING, I'M NOT HATING, I'M DORITOS AF RN TBH MOUNTAIN DEW #YOLO SWAG XD Follow your life, including my knowledge—about</t>
  </si>
  <si>
    <t>@Mariacaceresc_ Buena meriuuu anda a comerte unos doritos</t>
  </si>
  <si>
    <t>OliPeñayLillo</t>
  </si>
  <si>
    <t>24.06.2019 19:49</t>
  </si>
  <si>
    <t>@Jack_Septic_Eye @McDonalds @pepsi @Toblerone @Doritos @CocaCola @BurgerKing @NASA @realDonaldTrump @pizzahut @subwaymexico 
Thats 10 people.</t>
  </si>
  <si>
    <t>Julian (Boffis)</t>
  </si>
  <si>
    <t>19:47</t>
  </si>
  <si>
    <t>fuck off doritos spiderman i hate you
Want to score this Limited-Edition Doritos Spidey Suit? Tell us what super power Doritos gives you using #IncognitoDoritos #Entry for the chance to win! Rules @ https://bit.ly/2MXEpdc Be sure to check out #SpiderManFarFromHome, in theaters July 2!</t>
  </si>
  <si>
    <t>Sping</t>
  </si>
  <si>
    <t>19:45</t>
  </si>
  <si>
    <t>24.06.2019 19:48</t>
  </si>
  <si>
    <t>"Mountain bike, Doritos, and Zuberfizz. What more do you need in life?"
Thanks for sharing Brandon and Beverly!
.
.
.
#Zuberfizz #DurangoColorado #CraftSoda #DraftSoda #SmallBatch #Bottled #TwistThis #Cola #MountainBiking #Cycling #Refreshing #RootBeer #CreamSoda #Cola #Summer #Outdoors</t>
  </si>
  <si>
    <t>Zuberfizz</t>
  </si>
  <si>
    <t>Дуранго</t>
  </si>
  <si>
    <t>tree,vehicle,bicycle</t>
  </si>
  <si>
    <t>cycle sport</t>
  </si>
  <si>
    <t>19:44</t>
  </si>
  <si>
    <t>me crying eating a doritos locos taco:
“HAPPINESS IS A POSSIBILITY.”</t>
  </si>
  <si>
    <t>bobby lee on drugs fka flirt russell fka bkim</t>
  </si>
  <si>
    <t>24.06.2019 19:46</t>
  </si>
  <si>
    <t>GIANT KING CRAB LEGS SEAFOOD BOIL MUKBANG</t>
  </si>
  <si>
    <t>://www.youtube.com/playlist?list...
FRITZ FOOD REVIEWS https://www.youtube.com/
playlist?
Cooking with the Fritzs https://www.youtube.com/playlist?
PREVIOUS UPLOADS
WE'RE PREGNANT!!! https://youtu.be/IRfTTF5__84
MARRIED AT FIRST SITE MUKBANG https://youtu.be/dO_99uXguF4
DEEP FRIED SEAFOOD https://youtu.be/iocQPzSu79k
LOADED FLAMIN' HOT DORITOS NACHOS https://youtu.be/q3HmfV4f51c
--------------------------------------------------------------------------
Positivity Comment 
  "Hey you reading this! Leave a positive comment under the</t>
  </si>
  <si>
    <t>Fritz Family Entertainment</t>
  </si>
  <si>
    <t>fast food,junk food,meal,food</t>
  </si>
  <si>
    <t>19:41</t>
  </si>
  <si>
    <t>25.06.2019 04:21</t>
  </si>
  <si>
    <t>#pride #proud #lgbt #lgbt+ #pinkMoney #gay
#ParadaLGBT #ParadaAoVivo #LoveIsLove #LoveWins #GayPride #Pride #LGBTQ #Lesbian #Gay #Bisexual #Trans #Queer #Transgender #Pansexual #Asexual #Nonbinary #Genderfluid</t>
  </si>
  <si>
    <t>NobreVini</t>
  </si>
  <si>
    <t>19:40</t>
  </si>
  <si>
    <t>24.06.2019 19:47</t>
  </si>
  <si>
    <t>lmfao im literally sweating tryna eat these flamin hot doritos</t>
  </si>
  <si>
    <t>Chad</t>
  </si>
  <si>
    <t>24.06.2019 19:41</t>
  </si>
  <si>
    <t>#art #writer #songwriter #music #poem #rap #verse #lyrics #westcoast #westside #losangeles #LA #mexicano #kendricklamar #jcole #logic #thegame #eminem
@doritos</t>
  </si>
  <si>
    <t>RapWriter</t>
  </si>
  <si>
    <t>CHAMMOND1992 said: NLBartmaN said: CHAMMOND1992 said:
But what if I don't like hardcore mode, and never have in any BF series? What if 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Then you will to play with less and less players ... and a lot of</t>
  </si>
  <si>
    <t>19:39</t>
  </si>
  <si>
    <t>24.06.2019 19:45</t>
  </si>
  <si>
    <t>@diornasa @track_13_ Ah yes the troglodytes stench coming from their desk with dried cum, wrinkled up used tissues, 2 empty bags of red doritos, 1 empty bag of blue doritos, a half eaten bag of lays classic potato chips, 7 cans of coke, 4 cans of Dr pepper, 9 mountain dew cans, and a broken keyboard</t>
  </si>
  <si>
    <t>tristan</t>
  </si>
  <si>
    <t>24.06.2019 19:44</t>
  </si>
  <si>
    <t>Can I just say it's a goddamn crime that Walmart put the Doritos behind this pillar?</t>
  </si>
  <si>
    <t>Steven Eidher</t>
  </si>
  <si>
    <t>Британская Колумбия</t>
  </si>
  <si>
    <t>Виктория</t>
  </si>
  <si>
    <t>soft drink,shelving,convenience food,food,drink</t>
  </si>
  <si>
    <t>19:38</t>
  </si>
  <si>
    <t>FUNNY Mystery Riddles To CONFUSE Your Dumb Brain | Riddles w/The Blonde Squad</t>
  </si>
  <si>
    <t>Sub if you like DORITOS</t>
  </si>
  <si>
    <t>Elayna Diaz</t>
  </si>
  <si>
    <t>InquisitorMaster - My Gameplays are Kinda Funny</t>
  </si>
  <si>
    <t>19:37</t>
  </si>
  <si>
    <t>World War 2 - Cliptage Part 6 | Shotgun and Pistol Edition!</t>
  </si>
  <si>
    <t>Pop Filter - http://amzn.to/28TltTM
Scissor Arm Stand - http://amzn.to/28V1C7M
Astro A50 Wireless Headset - http://amzn.to/28V4cd6
Astro A40 Wireless Headset - http://amzn.to/28YqBtu
TechMatte Tablet Stand - http://amzn.to/28UC8tg
PS4 BO3 Edition - http://amzn.to/28Yqmi9
Doritos - http://amzn.to/28YqEpi
iPad Air 2 - http://amzn.to/290R4am
----------------------------------------­----------------------------------------­---------------------
For business inquiries: DeadlyPsykoBusiness@gmail.com
-----
Video uploaded &amp; owned by DeadlyPsyko.</t>
  </si>
  <si>
    <t>DeadlyPsyko</t>
  </si>
  <si>
    <t>poster</t>
  </si>
  <si>
    <t>19:36</t>
  </si>
  <si>
    <t>24.06.2019 19:37</t>
  </si>
  <si>
    <t>That use to be apart my order Everytime a hood nigha ask what I wanted from the store. Spicy nacho Doritos,, a sprite,, purple bag of skittles and a pack of grandma cookies.</t>
  </si>
  <si>
    <t>savage ass Queen‍♀️⚜️</t>
  </si>
  <si>
    <t>I remember when I told this joke to a girl I got beat up #bo4 #gamer #xbox #modernwarfare #faze #memes #callofduty #dankmemes #subtopewdiepie #gmod #doritos
@memes_for_life_v2 @jobsticles @dankluigidaddy5462 @xxcrysis.the.chum.god @_roxy_1518 @braddah.josh @shootah42704 @kimcheee.spam @saltyman808</t>
  </si>
  <si>
    <t>J U S T I N</t>
  </si>
  <si>
    <t>sky,water,ocean,vacation</t>
  </si>
  <si>
    <t>24.06.2019 19:40</t>
  </si>
  <si>
    <t>@HHFlashbacks Never ending bowl of Doritos.</t>
  </si>
  <si>
    <t>Cup doodles</t>
  </si>
  <si>
    <t>Rft!
I Seriously Need A Bag Of The Hot Flamin Doritos Rn</t>
  </si>
  <si>
    <t>ℭ♥</t>
  </si>
  <si>
    <t>19:35</t>
  </si>
  <si>
    <t>•Meu mundo mágico• •Ep1• FT. Jana no Gacha e Mily 9005 (Gacha Life)</t>
  </si>
  <si>
    <t>! 
                    ☆Bem-Vindos☆
                     ♡Apps usados no video♡
•Power Director
•Kinemaster 
•Gacha Life
                     ☆Apps usados na capa☆
•PixelLab
                      ♤Quem é Hohono?♤
Nome: Futuramente revelado
Idade:Futuramente revelada
Gosto de: Doritos♡Português♡Fazer vídeos♡
Música faforita: Dynasty
                        Parabéns você leu tudo!
Toma uma batata!</t>
  </si>
  <si>
    <t>Hohono Chan</t>
  </si>
  <si>
    <t>24.06.2019 19:42</t>
  </si>
  <si>
    <t>Doritos ad</t>
  </si>
  <si>
    <t>Diego Kocak</t>
  </si>
  <si>
    <t>television program,performance</t>
  </si>
  <si>
    <t>19:34</t>
  </si>
  <si>
    <t>McDonalds fries w their mc flurry and sweet chilli Doritos w vanilla ice cream 
19. what’s a weird food combination you love?</t>
  </si>
  <si>
    <t>Lindokuhle♡</t>
  </si>
  <si>
    <t>Beverly Hills</t>
  </si>
  <si>
    <t>I don’t need 5 bags of Doritos, but Tops had a sale of buy 2 get 3 free, and nobody buys just one bag. So here we are.</t>
  </si>
  <si>
    <t>Corey Kotowski</t>
  </si>
  <si>
    <t>Буффало</t>
  </si>
  <si>
    <t>Borderlands 2 | Maya Reborn Playthrough Funny Moments And Drops | Day #5</t>
  </si>
  <si>
    <t>Doritos hot nacho chips</t>
  </si>
  <si>
    <t>William Liebing</t>
  </si>
  <si>
    <t>Joltzdude139</t>
  </si>
  <si>
    <t>24.06.2019 19:38</t>
  </si>
  <si>
    <t>started with commuting to a simple 3 week exercise program. Just 30 minutes a day. It took me 8 weeks to complete it, but I freaking did it. While still eating a bag of Doritos and m&amp;ms almost every night. Then, I started that same program again and finished it in 4 weeks. I started sleeping less and making healthier choices with my food. 6 months in, I cut out the Doritos and candy habit.
It took time, but I’m proud of where I am! Over 80 pounds gone, almost 6 pant sizes down, confidence gained, and off anxiety medication. I leave the house</t>
  </si>
  <si>
    <t>kealohaswineford</t>
  </si>
  <si>
    <t>Manchester</t>
  </si>
  <si>
    <t>clothing,trousers</t>
  </si>
  <si>
    <t>19:33</t>
  </si>
  <si>
    <t>24.06.2019 19:35</t>
  </si>
  <si>
    <t>Took lil dopawitz to Hungarian Kosher Foods to more deeply connect him to his heritage (and get kosher wine for a dinner I’m attending). Highlights for him included Hebrew Doritos, Romanian salami, &amp; Angel Poopy.</t>
  </si>
  <si>
    <t>Brad Z</t>
  </si>
  <si>
    <t>Spider-Man Far from Home Partners with Audi, Doritos</t>
  </si>
  <si>
    <t>Movie tie-ins are not new to the film industry, and Spider-Man Far from Home is no exception.
Marvel’s latest Spider-Man Far from Home has announced two movie tie-ins in anticipation of the upcoming release.
Audi and Marvel have partnered for a digital short film aimed at promoting the car brand. Titled Science Fair, the film sees Peter Parker (Tom Holland) and his friend Ned (Jacob Balaton) compete in a school science fair and, to beat the competition, Parker races to get behind the wheel of an electric Audi e-tron GT concept.
“Creativity and</t>
  </si>
  <si>
    <t>Global License!</t>
  </si>
  <si>
    <t>licenseglobal.com</t>
  </si>
  <si>
    <t>19:32</t>
  </si>
  <si>
    <t>PepsiCo, Inc. (NASDAQ:PEP) Receives Consensus Rating of “Buy” from Brokerages</t>
  </si>
  <si>
    <t>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
Read More: Forex Receive News &amp; Ratings for PepsiCo Daily - Enter your email address below to receive a concise daily summary of the latest news and analysts' ratings for PepsiCo and related companies with MarketBeat.com's FREE daily email newsletter .</t>
  </si>
  <si>
    <t>Mo Johnson</t>
  </si>
  <si>
    <t>19:31</t>
  </si>
  <si>
    <t>I dragged the song, Nicki and Barbz for days but somewhere deep in my heart I wish it did better
So, Megatron came, ate her Doritos and went home.</t>
  </si>
  <si>
    <t>S*mi - Fan account</t>
  </si>
  <si>
    <t>19:30</t>
  </si>
  <si>
    <t>24.06.2019 19:36</t>
  </si>
  <si>
    <t>Dinner today is walking Tacos Taco salad that I put in a big bag of Doritos  In the reason I say walking tacos is cause when your walking you holding a  bag of Doritos to####Dope#FoodPorn#DaDrip#DaBaddest#Realwomencookdaily______Thank me later enjoy</t>
  </si>
  <si>
    <t>DominicanDrip’Goddess.Vu</t>
  </si>
  <si>
    <t>pizza,junk food,food</t>
  </si>
  <si>
    <t>19:29</t>
  </si>
  <si>
    <t>24.06.2019 19:30</t>
  </si>
  <si>
    <t>You can literally taste and smell the bawls and Doritos in this pic. Takes me back to college days at the game club.
https://www.reddit.com/r/gaming/comments/c4s7ll/our_highschool_lan_parties_2004/?utm_source=share&amp;utm_medium=ios_app</t>
  </si>
  <si>
    <t>[REZO] chibikim</t>
  </si>
  <si>
    <t>24.06.2019 19:33</t>
  </si>
  <si>
    <t>@VegasRebs @Doritos @UCLAMCH Safe travels- and ❤️</t>
  </si>
  <si>
    <t>abarnes</t>
  </si>
  <si>
    <t>Tuttle</t>
  </si>
  <si>
    <t>@Doritos_Mx Qué tal unos Doritos rojos? Si sabes a lo que me refiero.</t>
  </si>
  <si>
    <t>EALS</t>
  </si>
  <si>
    <t>24.06.2019 19:31</t>
  </si>
  <si>
    <t>came &amp; went sjsjsjks
So, Megatron came, ate her Doritos and went home.</t>
  </si>
  <si>
    <t>Fort Bonifacio</t>
  </si>
  <si>
    <t>24.06.2019 19:29</t>
  </si>
  <si>
    <t>[Artists] Wolf_Rawr</t>
  </si>
  <si>
    <t>Black Earth</t>
  </si>
  <si>
    <t>My Dorito Senses are Tingling! •
•
Seriously though this is the coolest suit! I’m thinking about bringing it to @newyorkcomiccon this year, especially since I can pack it back in the @doritos bag! Thoughts?????! (Also swipe left for a blooper)
•
•
PC: @whatsthescript_ 
•
•
#spiderman #spidermanfarfromhome #doritos #doritosincognito #marvel #mask #bluenosepitbull #pitbull #cosplay
@tomholland2013 @marvel @doritos @spidermanmovie @whatsthescript_</t>
  </si>
  <si>
    <t>Samantha Rubin</t>
  </si>
  <si>
    <t>clothing</t>
  </si>
  <si>
    <t>19:27</t>
  </si>
  <si>
    <t>24.06.2019 19:28</t>
  </si>
  <si>
    <t>When you are worried about your favourite apron but don't own a washimg machine.... 
@ToryChaos How does it feel knowing we are in charge?
Knowing you live under our regime?
Do you cry at night? Then reach for the Doritos before your cry wank?</t>
  </si>
  <si>
    <t>TORY CHAOS IS HERE</t>
  </si>
  <si>
    <t>Глазго</t>
  </si>
  <si>
    <t>19:26</t>
  </si>
  <si>
    <t>Who cries into soggy doritos?... 
Clearly the Hun  tears are flowing....
How delightful
@ToryChaos How does it feel knowing we are in charge?
Knowing you live under our regime?
Do you cry at night? Then reach for the Doritos before your cry wank?</t>
  </si>
  <si>
    <t>Spidy spices doritos, is it hot or not?</t>
  </si>
  <si>
    <t>Spidy spices doritos,  is it hot or not?
Me and the girls are heating things up today, the spidy spices new dorito flavour sponsoring the spiderman movie "far from home" 
Just one question,
Are you ready for the spice?</t>
  </si>
  <si>
    <t>Slaughtertale official</t>
  </si>
  <si>
    <t>Oh man. Sausage tonight from Fishers Muenster,Texas.  #coorslight #frenchsmustard #mrsbairdsbread #doritos #dentoncountytexas #merica</t>
  </si>
  <si>
    <t>Micah G.</t>
  </si>
  <si>
    <t>vehicle</t>
  </si>
  <si>
    <t>19:25</t>
  </si>
  <si>
    <t>24.06.2019 19:27</t>
  </si>
  <si>
    <t>@imOdd_ Hmmm... I could buy you a bag of Doritos</t>
  </si>
  <si>
    <t>Smooth Malik</t>
  </si>
  <si>
    <t>New Mexico State University</t>
  </si>
  <si>
    <t>19:24</t>
  </si>
  <si>
    <t>24.06.2019 19:26</t>
  </si>
  <si>
    <t>Alguém mais ama doritos aí? 
.
Ph: @marcelofonsecafoto .
.
.
.
.
@bravogreatphoto 
@earth_portraits
@portraitmood
@pr0ject_uno
@moodyports
@collectivetrend
#portraitmood #galeriadasfotos #theportraitculture #theportraitpr0ject #pr0ject_uno #preludestory #pursuitofportrait #folkportraits #portrait_ig #portraitfeed #portrait_blog #collectivetrend #vscoportrait #vscobra #portrait_vision #portraitsnyc #aovportraits #ArtOfSystem #portraitfestival #creativeportraits #portraitsfromtheworld #yourvisiongallery #earth_portraits #peoplegallery #bravoportraits #bravogreatphoto #portraitemfoco #portraitstream #clubedosretratos #doritos
@marcelofonsecafoto @doritos @costazulsupermercados @doritosbrasil</t>
  </si>
  <si>
    <t>N Á T H A L Y    R O C H A</t>
  </si>
  <si>
    <t>soft drink,convenience food,food,drink</t>
  </si>
  <si>
    <t>WIN FREE Doritos Ketchup Gear + FREE Doritos for a YEAR!
Enter ==&amp;gt; https://www.savealoonie.com/contest-giveaways/doritos-ketchup-spotting-contest/
https://www.facebook.com/canadiancoupons/photos/a.125262007554008/2378024932277693/?type=3</t>
  </si>
  <si>
    <t>SaveaLoonie - Canadian Coupons &amp; Freebies</t>
  </si>
  <si>
    <t>¡Sólo en Thailand pasa eso....! 
tres doritos después......
https://www.facebook.com/ClubMXFanpage/photos/a.1391688434436829/2422014658070863/?type=3</t>
  </si>
  <si>
    <t>Club MX</t>
  </si>
  <si>
    <t>I took a shit in a toilet at Stomping Grounds. AMA</t>
  </si>
  <si>
    <t>I was feeling like a hungry young gentlesir short on time so I started with a Taco Bell Grande Nachos box, followed by a party pack of Doritos Los Tacos, extra cheese and sour cream washed down with some Mountain Dew Baja Blast. Once inside I was able to procure some cripsy tendies and fries at CHX. Decided to then treat myself to a little dessert and had fried cheesecake balls on a stick.</t>
  </si>
  <si>
    <t>IamAstupidMan</t>
  </si>
  <si>
    <t>SCJerk- The Ultimate Enclosed Pool Area</t>
  </si>
  <si>
    <t>19:23</t>
  </si>
  <si>
    <t>JerseyShari</t>
  </si>
  <si>
    <t>Ukraine</t>
  </si>
  <si>
    <t>Винницкая область</t>
  </si>
  <si>
    <t>Червоная Степь</t>
  </si>
  <si>
    <t>24.06.2019 19:23</t>
  </si>
  <si>
    <t>why does my bird smell like doritos</t>
  </si>
  <si>
    <t>☆  ☆</t>
  </si>
  <si>
    <t>Korea (Democratic People's Republic of)</t>
  </si>
  <si>
    <t>Lydia</t>
  </si>
  <si>
    <t>Malmesbury</t>
  </si>
  <si>
    <t>19:22</t>
  </si>
  <si>
    <t>So, Megatron came, ate her Doritos and went home.</t>
  </si>
  <si>
    <t>wendell</t>
  </si>
  <si>
    <t>Itzae Bonilla</t>
  </si>
  <si>
    <t>Пуэбла</t>
  </si>
  <si>
    <t>24.06.2019 19:22</t>
  </si>
  <si>
    <t>@trailerparkgorl @MASTERCHEFonFOX Me, watching someone mess up a triple axel at the Winter Olympics while I sit on the couch with Doritos smudges on my fingers: “Pathetic.”</t>
  </si>
  <si>
    <t>c</t>
  </si>
  <si>
    <t>19:19</t>
  </si>
  <si>
    <t>Espero que gostem!⚡ Parcerias:♡☆
•
•@honey.pott2 •@sfem_news
•@utiliz.tumblr
•@cine._gabriel •@luciferalways •@lucifer_serie •@fc_shawn_mendes_love •@shawnmendesbraziiil
•@assisto_de_tudo
•@idiretaassa •@utilietiex •@utilidade_aleatoria •@cacheadas_onduladas_crespas27
•@ultilidxma
#feed #feedred #newpost #ultilidadepublicas</t>
  </si>
  <si>
    <t>ultilidade publica♡☆</t>
  </si>
  <si>
    <t>25.06.2019 04:07</t>
  </si>
  <si>
    <t>this is my warmup when i get a new setup *BAD* Sorry for lag</t>
  </si>
  <si>
    <t>this is my warmup when i get a new setup *BAD* Sorry for lag
This is me warming up with my new setup</t>
  </si>
  <si>
    <t>Omnic Silly</t>
  </si>
  <si>
    <t>#1990s #90s #Doritos #chips #food #MountainDew #Pepsi #CrystalPepsi #BlockBuster #Movies #VHS #pizzahut #VideoGames #Nintendo64 #Mario #Pokemon #gamer #games #geek #nerd #oldschool #fun #funtimes #drinks #snacks #yummy #ilovevideogames #coolpics #awesome #wow</t>
  </si>
  <si>
    <t>24.06.2019 19:19</t>
  </si>
  <si>
    <t>lesbian</t>
  </si>
  <si>
    <t>Бретань</t>
  </si>
  <si>
    <t>Cléden-Poher</t>
  </si>
  <si>
    <t>Kali's Lawn Service. Will take @doritos as payment, can only do 1ft a day. Cuteness Guaranteed! ♥️
.
.
.
.
.
.
.
#newmom #picoftheday #family #familymomblogger #baby #momblog #infant #beautiful #babiesofinstagram #beautifulbaby #instagram_kids #cutebaby #babystyle #babyfashion #igbabies #kidsplay #cutekidsclub #babies #child #babymodel #children #instakids #fashionkids #love #babygirl #kidsfashionforall #cuteangels #lovesmootiepie #familyphotography #legitmodernmom
@raz_raremonkeyent</t>
  </si>
  <si>
    <t>Maureen Zeballos</t>
  </si>
  <si>
    <t>toy,plant,lawn</t>
  </si>
  <si>
    <t>grassland,leisure,farm,meadow,field,garden,yard,grass</t>
  </si>
  <si>
    <t>19:18</t>
  </si>
  <si>
    <t>It’s Monday, going for something classic. Una rica torta casera de jamón with the works and then you bite into that jalapeño and the juice hits your 
And yes, I’m having it with Doritos. 
#torta #jamon #homecooking #igfood #foodpics #foodie #doritos #monday #cocinamexicana #mexicanfood #avocado</t>
  </si>
  <si>
    <t>Cathy</t>
  </si>
  <si>
    <t>appetizer,fried food,junk food,fast food,sandwich,food</t>
  </si>
  <si>
    <t>19:17</t>
  </si>
  <si>
    <t>// NEW ITEM SHOP // GIFTING SKINS TO SUBS //</t>
  </si>
  <si>
    <t>// NEW ITEM SHOP // GIFTING SKINS TO SUBS //
420 epic games free vbucks Doritos</t>
  </si>
  <si>
    <t>Zaspy</t>
  </si>
  <si>
    <t>19:16</t>
  </si>
  <si>
    <t>Doritos!!
Doritos, Max Strong or Sensations? RT + Reply with your favourite summer snack for the chance to #WIN an Amazon Echo or a case of crisps!  
Closes 25th June, T&amp;Cs: https://bit.ly/2ImAjqN</t>
  </si>
  <si>
    <t>Lauren Hobson</t>
  </si>
  <si>
    <t>19:13</t>
  </si>
  <si>
    <t>Australian Study Names Alcohol the Most Harmful Drug to Society</t>
  </si>
  <si>
    <t>Weed would cause absolute devastation of the supply of doritos.</t>
  </si>
  <si>
    <t>theartofrolling</t>
  </si>
  <si>
    <t>a religion that requires no faith</t>
  </si>
  <si>
    <t>19:12</t>
  </si>
  <si>
    <t>Like forra dm</t>
  </si>
  <si>
    <t>ᏞᎪᎬ ᏞᎪᎬ</t>
  </si>
  <si>
    <t>24.06.2019 19:12</t>
  </si>
  <si>
    <t>I do that with Cheetos. Bomb afffff
Tall don’t put hot sauce on ya Doritos? That’s wild</t>
  </si>
  <si>
    <t>summer</t>
  </si>
  <si>
    <t>Cayman Islands</t>
  </si>
  <si>
    <t>19:10</t>
  </si>
  <si>
    <t>24.06.2019 19:10</t>
  </si>
  <si>
    <t>Me yelling at Olympic gymnasts while also being elbow deep in a bag of Doritos
Maybe the #Phillies hitters should have spent more time in the cages instead of practicing stupid ass Fortnite waves and customized handshakes for each other. You cant be cocky if you suck.</t>
  </si>
  <si>
    <t>John M. III</t>
  </si>
  <si>
    <t>19:08</t>
  </si>
  <si>
    <t>24.06.2019 19:11</t>
  </si>
  <si>
    <t>Why does junk food make me so sick!!
A few years ago I could eat tons of it and be ok now I smell Doritos and I want to throw up 
Doesn’t mean I don’t eat it... I just get instantly sick and regret it 
#Sendhelp</t>
  </si>
  <si>
    <t>Pop Culture &amp; netflix shows</t>
  </si>
  <si>
    <t>19:07</t>
  </si>
  <si>
    <t>Finally doing some things to prep for some potential upcoming drift/hillclimb events (ft. dapper af FC) 
#mazda #rx8 #rotary #brapbrap #doritos #spinningdoritos #trackdaybro
@dorifto_rx8</t>
  </si>
  <si>
    <t>Conner</t>
  </si>
  <si>
    <t>grille,headlamp,vehicle,car</t>
  </si>
  <si>
    <t>19:06</t>
  </si>
  <si>
    <t>24.06.2019 19:07</t>
  </si>
  <si>
    <t>How do you show Radical Appreciation? We all have lows and highs in our lives... One of my lowest points ever was immediately after being told I had cancer...and I went into a back ally behind a dumpster and ate a bag of Ketchup flavoured Doritos beside a woman shooting heroin into her veins. I am grateful that Ketchup Flavoured Doritos was the worst thing I did.... and from there I was inspired by #TED talks and thanks to a push from Trisha Miltimore I have now given 3 International #TEDx Talks
How do you show Radical Appreciation every day?
Check out my TED Talks here -&gt; https://www.ted.com/profiles/7280183</t>
  </si>
  <si>
    <t>Matt Stewart</t>
  </si>
  <si>
    <t>24.06.2019 19:06</t>
  </si>
  <si>
    <t>@Doritos #IncognitoDoritos #Entry Cool Ranch eye gouges</t>
  </si>
  <si>
    <t>Casey the Terrible</t>
  </si>
  <si>
    <t>Sierra Leone</t>
  </si>
  <si>
    <t>Северная провинция</t>
  </si>
  <si>
    <t>Armed Forces</t>
  </si>
  <si>
    <t>19:04</t>
  </si>
  <si>
    <t>The sign of our people 
Many will never understand our rotary obsession their loss, leaves more for us!! #RX7 #RX8 #RCTV5.2 #MAZDA #BrapBox #Rotary #RotaryBum #Rx3 #Rx4 #RX2 #R100 #Wankel #Doritos #StopTheSwap #COMPTEST #12a #13b #20b #26b #Apexi #Boosted #FEED #KOYO #Mishimoto #PLX #Greedy #SSR #shineauto #Momo</t>
  </si>
  <si>
    <t>NLBartmaN said: CHAMMOND1992 said:
But what if I don't like hardcore mode, and never have in any BF series? What if 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Then you will to play with less and less players ... and a lot of bugs ... because</t>
  </si>
  <si>
    <t>19:01</t>
  </si>
  <si>
    <t>Eduardo JuNi DeJesus</t>
  </si>
  <si>
    <t>Лоуренс</t>
  </si>
  <si>
    <t>19:00</t>
  </si>
  <si>
    <t>24.06.2019 19:04</t>
  </si>
  <si>
    <t>chris knowles</t>
  </si>
  <si>
    <t>Dartford</t>
  </si>
  <si>
    <t>24.06.2019 19:03</t>
  </si>
  <si>
    <t>Nigga are you on Xvideos while studying? 
The only bag of Doritos that matter</t>
  </si>
  <si>
    <t>Zuko Mazizandile</t>
  </si>
  <si>
    <t>Западная Капская провинция</t>
  </si>
  <si>
    <t>Кейптаун</t>
  </si>
  <si>
    <t>Nevin Aljaddou</t>
  </si>
  <si>
    <t>Омаха</t>
  </si>
  <si>
    <t>18:59</t>
  </si>
  <si>
    <t>24.06.2019 19:17</t>
  </si>
  <si>
    <t>Laura</t>
  </si>
  <si>
    <t>18:58</t>
  </si>
  <si>
    <t>24.06.2019 19:08</t>
  </si>
  <si>
    <t>so nobody wants to come sit on my bed wit me &amp; eat this big ass bag of Doritos?</t>
  </si>
  <si>
    <t>Chyna</t>
  </si>
  <si>
    <t>18:57</t>
  </si>
  <si>
    <t>24.06.2019 18:59</t>
  </si>
  <si>
    <t>#2wish as Doritos
Doritos Collisions Blaze Ultimate Cheddar↩️</t>
  </si>
  <si>
    <t>かのこ</t>
  </si>
  <si>
    <t>what she said.... #I’m currently pushing 150 which means I’m a #heavyweight so I’d be careful if I was u.. I tossed people around at 118...now I’ll put your ass throw a wall while I eat my #doritos and #oreos I’m kidding but not really.. “happy #weight is always the #perfect weight” #ladyboss #skinny #thick #explicitlanguage #icecream #cone melting gotta go ‍♀️
Reposted from @dritadavanzoladyboss</t>
  </si>
  <si>
    <t>Asa</t>
  </si>
  <si>
    <t>24.06.2019 18:58</t>
  </si>
  <si>
    <t>@teeptothejunk He was hit so hard that he can’t find any words to describe what happened. But let’s sip some wine and enjoy some Doritos as he tries to spin a tale for us</t>
  </si>
  <si>
    <t>Lady Oyanka</t>
  </si>
  <si>
    <t>18:55</t>
  </si>
  <si>
    <t>24.06.2019 18:55</t>
  </si>
  <si>
    <t>Sarah</t>
  </si>
  <si>
    <t>18:54</t>
  </si>
  <si>
    <t>Living the best life
.
.
.
.
.
.
.
.
#blayke #blaykeaubree #halfmexican #halfwhite #halfmexicanhalfwhite #soccer #6yearsold #gastroschisis #gastroschisissurvivor #6yearsold #greeneyes #delaware #beach #summer #2moms #Doritos</t>
  </si>
  <si>
    <t>Blayke Aubree</t>
  </si>
  <si>
    <t>swimwear,clothing</t>
  </si>
  <si>
    <t>tourism,leisure,water,sand,summer,beach,vacation,ocean</t>
  </si>
  <si>
    <t>18:53</t>
  </si>
  <si>
    <t>24.06.2019 18:57</t>
  </si>
  <si>
    <t>#2wish as Doritos
Doritos A &amp; B ↩️</t>
  </si>
  <si>
    <t>24.06.2019 18:53</t>
  </si>
  <si>
    <t>#2wish as Doritos
Doritos White Wild Nachos and Smokin' cheddar BBQ↩️</t>
  </si>
  <si>
    <t>“A ice cold 2. Liter Pepsi and Doritos with limón and tapatio!” - Raymond on Facebook every night</t>
  </si>
  <si>
    <t>j_</t>
  </si>
  <si>
    <t>Westminster</t>
  </si>
  <si>
    <t>24.06.2019 18:54</t>
  </si>
  <si>
    <t>We all know if I get this it’s over !!!
Want to score this Limited-Edition Doritos Spidey Suit? Tell us what super power Doritos gives you using #IncognitoDoritos #Entry for the chance to win! Rules @ https://bit.ly/2MXEpdc Be sure to check out #SpiderManFarFromHome, in theaters July 2!</t>
  </si>
  <si>
    <t>Pęrc</t>
  </si>
  <si>
    <t>St. Louis</t>
  </si>
  <si>
    <t>Yo @gsmK0rean did you just turned down someone offering you free Doritos nacho cheese flavor
What the fuck dude
PC:@monlingho</t>
  </si>
  <si>
    <t>Darrylsimpson</t>
  </si>
  <si>
    <t>@Doritos_Mx is doing it right
#DesbloqueemosElAmor con besitos sabor Doritos® Rainbow, ¿va?</t>
  </si>
  <si>
    <t>Ruby De Santiago</t>
  </si>
  <si>
    <t>18:52</t>
  </si>
  <si>
    <t>24.06.2019 19:00</t>
  </si>
  <si>
    <t>That native brap. Full story in our bio link now.  @pikerphoto #mazda #rx7 #fd3s #rotary #doritos
@greddyperformance @dori7os_fd3s</t>
  </si>
  <si>
    <t>Import Tuner</t>
  </si>
  <si>
    <t>18:50</t>
  </si>
  <si>
    <t>24.06.2019 18:52</t>
  </si>
  <si>
    <t>wish I had some doritos to eat with my vienna sausages</t>
  </si>
  <si>
    <t>jc.</t>
  </si>
  <si>
    <t>18:49</t>
  </si>
  <si>
    <t>24.06.2019 18:49</t>
  </si>
  <si>
    <t>@ToryChaos How does it feel knowing we are in charge?
Knowing you live under our regime?
Do you cry at night? Then reach for the Doritos before your cry wank?</t>
  </si>
  <si>
    <t>HemoJax</t>
  </si>
  <si>
    <t>24.06.2019 19:24</t>
  </si>
  <si>
    <t>Snack Plate!! Don’t know if this is healthy or not, but, actually, not caring. Does this count as a #cheatday ? Green Apples, Pickles, Mixed Nuts, Spinach, Baby Carrots, Deli Turkey meat with Honey Mustard, Doritos, Buttery White Rice</t>
  </si>
  <si>
    <t>Maylenna Acevedo</t>
  </si>
  <si>
    <t>vegetable,comfort food,meal,food</t>
  </si>
  <si>
    <t>drinkware,cup</t>
  </si>
  <si>
    <t>MLGGGGGGGGG Doritos dab</t>
  </si>
  <si>
    <t>MLGGGGG</t>
  </si>
  <si>
    <t>GST Alt F4</t>
  </si>
  <si>
    <t>18:48</t>
  </si>
  <si>
    <t>From Ice Hockey to Modeling, The Official Chris West Interview.</t>
  </si>
  <si>
    <t>your manager or agent. I have found that overall it is important to have a team of people who believe in you and your commitment to the craft in order to be successful in the business. Be it manager or agent, if you aren’t working for each other there will be some avoidable bumps along the way.
-Favorite cheat meal?
–Ok I’ll admit have a serious snacking issue! Some of my go-to’s are cookies and chocolate almond milk, spicy nacho doritos, and anything with a reeces logo on it. Disclaimer: wherever there are lucky charms 9 times out of 10 there</t>
  </si>
  <si>
    <t>Uchechukwu Onwuzuruoha (@uchemedia)</t>
  </si>
  <si>
    <t>18:47</t>
  </si>
  <si>
    <t>These look good Mahm, you gibs them to me?? #vaderthegoodboy #corgisofinstagram</t>
  </si>
  <si>
    <t>Vader Lohr</t>
  </si>
  <si>
    <t>MissKris</t>
  </si>
  <si>
    <t>Саутленд</t>
  </si>
  <si>
    <t>New Windsor</t>
  </si>
  <si>
    <t>@AlineSociology @MEEKSVS Lol! My guy loves Doritos - same issue!</t>
  </si>
  <si>
    <t>Kelly McGarry</t>
  </si>
  <si>
    <t>18:46</t>
  </si>
  <si>
    <t>MLGGGGGGGGG Doritos dab
MLGGGGGGGGGG</t>
  </si>
  <si>
    <t>18:45</t>
  </si>
  <si>
    <t>Mairys</t>
  </si>
  <si>
    <t>24.06.2019 18:45</t>
  </si>
  <si>
    <t>Rainy Monday Mood. ⠀⠀⠀⠀⠀⠀⠀⠀⠀
⠀⠀⠀⠀⠀⠀⠀⠀⠀
I've got zero motivation. I want to crawl into bed and snuggle the dogs and my love and a big bag of #coolranch #Doritos &lt;3 ⠀⠀⠀⠀⠀⠀⠀⠀⠀
⠀⠀⠀⠀⠀⠀⠀⠀⠀
Sadly that is not a reality over here. I have #yoga classes to teach (check my stories to see where you can join me) and a workout to get in and laundry to get done. ⠀⠀⠀⠀⠀⠀⠀⠀⠀
⠀⠀⠀⠀⠀⠀⠀⠀⠀
So here is to starting the week off right, despite my utter lack of motivation this evening. ⠀⠀⠀⠀⠀⠀⠀⠀⠀
⠀⠀⠀⠀⠀⠀⠀⠀⠀
I'm super curious, how do you beat the #mondayblues, especially on #rainydays</t>
  </si>
  <si>
    <t>Kate Habel ‍♀️ YEG Wellness</t>
  </si>
  <si>
    <t>fur,shoe,sweater,leggings,coat,clothing</t>
  </si>
  <si>
    <t>fashion design,beauty,fashion</t>
  </si>
  <si>
    <t>24.06.2019 18:46</t>
  </si>
  <si>
    <t>ASMR-TACO BELL NACHO CHEESE FRY BOX!</t>
  </si>
  <si>
    <t>ASMR-TACO BELL NACHO CHEESE FRY BOX!
Taco Bell $5 Nacho Cheese Fry Box
-Nacho Fries W/Cheese Sauce
-5 layer Beefy Burrito 
-Doritos Locos Taco
-Beefy Frito Burrito 
-Mountain Dew Baja Blast
#TacoBell #Asmr #TacoBellAsmr #FoodShow</t>
  </si>
  <si>
    <t>GOING HAM EATING!</t>
  </si>
  <si>
    <t>18:44</t>
  </si>
  <si>
    <t>Que ganas de unos Doritos</t>
  </si>
  <si>
    <t>Biann</t>
  </si>
  <si>
    <t>Jill Nicole</t>
  </si>
  <si>
    <t>Necesito ahogarme en doritos y mirar mil horas de la serie, para poder terminar de aclarar mi mente</t>
  </si>
  <si>
    <t>Martina</t>
  </si>
  <si>
    <t>@VegasRebs @Doritos @UCLAMCH Keep praying for y’all!</t>
  </si>
  <si>
    <t>#MoverSSwinson</t>
  </si>
  <si>
    <t>18:43</t>
  </si>
  <si>
    <t>24.06.2019 18:44</t>
  </si>
  <si>
    <t>Juju</t>
  </si>
  <si>
    <t>18:42</t>
  </si>
  <si>
    <t>This is how we roll.  #bbqtime #summertime #doritos #raisinglittlesavages
❤️
❤️
#liveauthentic #adventure #dearphotographer #cameramama #ohheymama #ourcandidlife #magicofchildhood #simplychildren #mytinymoments #flkids #mommyblogger  #momswithcameras #bestofmom #thatsdarling #dearphotographer 
#momlife #motherhoodunplugged #motherhood #motherhoodthroughinstagram #kidsforreal #momblogger #explore #letthembelittle  #momof4 #momblog #momswithcameras #thatsdarling</t>
  </si>
  <si>
    <t>Raising Little Savages</t>
  </si>
  <si>
    <t>Орландо</t>
  </si>
  <si>
    <t>car,vehicle,bicycle</t>
  </si>
  <si>
    <t>asphalt,street,cycle sport,lane,road</t>
  </si>
  <si>
    <t>24.06.2019 18:42</t>
  </si>
  <si>
    <t>goes to the gas station for ONE thing &amp; I end up with two bags of cheewees, a hot pickle, a pecan spinwheel, skittles, two honey buns, hot fries, ruffles, cheese dip, doritos, two powerades, &amp; a mango juice‍♀️</t>
  </si>
  <si>
    <t>Keyontè</t>
  </si>
  <si>
    <t>18:41</t>
  </si>
  <si>
    <t>24.06.2019 21:11</t>
  </si>
  <si>
    <t>, they take hours of almost complete isolation, they're narratively vapid, they require physical inactivity, they're centered about violence and mindless repeating of tasks, they seldom have something to say AND they teach you nothing while robbing you of valuable time to do, well, something, anything else.
"BUT MY ONLINE FRIENDS!" you say, dude, literally homeless people make friends too, it's not hard to make friends when you're with other people.
I love videogames, but it's the same way I love Doritos and weed. I know they're bad. I know. I just</t>
  </si>
  <si>
    <t>AlexBasch</t>
  </si>
  <si>
    <t>18:40</t>
  </si>
  <si>
    <t>24.06.2019 18:43</t>
  </si>
  <si>
    <t>Doritos
Doritos, Max Strong or Sensations? RT + Reply with your favourite summer snack for the chance to #WIN an Amazon Echo or a case of crisps!  
Closes 25th June, T&amp;Cs: https://bit.ly/2ImAjqN</t>
  </si>
  <si>
    <t>angela squires</t>
  </si>
  <si>
    <t>24.06.2019 18:41</t>
  </si>
  <si>
    <t>so dried semen, sweat and doritos..a dream come true
Xbox deodorant and body wash let you smell like a gamer https://trib.al/q1X6QrA</t>
  </si>
  <si>
    <t>misandria e alegria</t>
  </si>
  <si>
    <t>Maotra</t>
  </si>
  <si>
    <t>18:37</t>
  </si>
  <si>
    <t>24.06.2019 18:38</t>
  </si>
  <si>
    <t>Salsa and flaming hot Doritos is a bad boy combination
●
●
●
Follow @green_rimmed_plate @green_rimmed_plate for more❗</t>
  </si>
  <si>
    <t>Follow me nOW</t>
  </si>
  <si>
    <t>18:36</t>
  </si>
  <si>
    <t>@MooseyMcMan doritos... created by the legendary soldier himself... "Big Boss"</t>
  </si>
  <si>
    <t>☀️</t>
  </si>
  <si>
    <t>I have arrived........&amp; I brought snacks!!
Just wait, Bone Heads, juuuuuust wait!
Hail &amp; Grill!
.
.
.
#foodtruck #igersboston #foodie #burger #foodtrucklife #hot #foodgram #cool #foodporn #snacks #fatkid #igers #foodgasm #caliente #ifyouaintfirstyourelast #overthetop #intheheatofthemoment #supernatural #burgerporn</t>
  </si>
  <si>
    <t>Funny doritos vid</t>
  </si>
  <si>
    <t>Funny doritos vid
Dortios</t>
  </si>
  <si>
    <t>Joshua Schueman</t>
  </si>
  <si>
    <t>24.06.2019 18:47</t>
  </si>
  <si>
    <t>Just eating Doritos and exploring an imaginative realm grandma no need to worry. $19.95 for our Mystic Bulk Pack!  Link in bio! Available at TheTabletopGameShop.com
Tag your fellow players! 
Created by: godswager101 •
•
•
•
#dnd #dungeons_and_dragons #rpg #DungeonsAndDragons #DnD #pathfinder #tabletoprpg #diceset #dandd #DungeonMaster #TabletopRpg #d20 #5e #dnd5e #dnd5ed #dnd5thedition #dnd5edition #dndmemes #polyhedraldice #dndmeme #diceporn #dndart #tabletoproleplaying #tabletoprpg #ttrpg #dnddice #criticalrole
@thetabletopgameshop</t>
  </si>
  <si>
    <t>TheTabletopGameShop</t>
  </si>
  <si>
    <t>Сан-Диего</t>
  </si>
  <si>
    <t>Vyesh ked Cha ham Steve a veedu to sue slepe Tak chaham</t>
  </si>
  <si>
    <t>marbal</t>
  </si>
  <si>
    <t>food,fast food,snack,junk food</t>
  </si>
  <si>
    <t>18:34</t>
  </si>
  <si>
    <t>24.06.2019 18:35</t>
  </si>
  <si>
    <t>Sensations. Mmmmm
Doritos, Max Strong or Sensations? RT + Reply with your favourite summer snack for the chance to #WIN an Amazon Echo or a case of crisps!  
Closes 25th June, T&amp;Cs: https://bit.ly/2ImAjqN</t>
  </si>
  <si>
    <t>Nikki Tees</t>
  </si>
  <si>
    <t>Gold Coast</t>
  </si>
  <si>
    <t>Ocean Vuong Explores the Coming-of-Age of Queerness</t>
  </si>
  <si>
    <t>, that the body is merely a hotel room we try to care for and then we leave. And in some sense I think that's true. In another sense I think now is one of the most important moments to rethink Pride’s relationship to queerness. A lot of the Pride parades have been hijacked by late capitalism, the commodification of the queer body to sell Chase bank accounts. We've had fucking rainbow Doritos, for God's sake. Now let's talk about safety, health-care rights, laws to protect each other. To me Pride has to quickly translate to care. And if we don't</t>
  </si>
  <si>
    <t>gq.com</t>
  </si>
  <si>
    <t>18:33</t>
  </si>
  <si>
    <t>Hey beyb #myfriend #graffiti #green #pink #yellow #skinheadgirl #alternative #alternativegirl #doritos #high
@organellum</t>
  </si>
  <si>
    <t>Alex Boratyn</t>
  </si>
  <si>
    <t>vacation</t>
  </si>
  <si>
    <t>18:32</t>
  </si>
  <si>
    <t>So far today in Moorea I’ve eaten a strawberry pop tart and just polished off a bag of cool ranch flavored Doritos.  My vacation has been spectacular.  My eating not so much.  #healthynothealthy</t>
  </si>
  <si>
    <t>DEC Management</t>
  </si>
  <si>
    <t>Davie</t>
  </si>
  <si>
    <t>Metropolitan Life Insurance Co NY Decreases Holdings in PepsiCo, Inc. (NASDAQ:PEP)</t>
  </si>
  <si>
    <t>gave the stock a “hold” rating in a report on Thursday, April 18th. One analyst has rated the stock with a sell rating, ten have given a hold rating, twelve have issued a buy rating and one has assigned a strong buy rating to the company’s stock. PepsiCo presently has an average rating of “Buy” and an average target price of $124.65.
PepsiCo Company Profile
PepsiCo, Inc operates as a food and beverage company worldwide. The company's Frito-Lay North America segment offers branded dips; Cheetos cheese-flavored snacks; and Doritos tortilla</t>
  </si>
  <si>
    <t>18:31</t>
  </si>
  <si>
    <t>24.06.2019 18:33</t>
  </si>
  <si>
    <t>Hot Cheetos *
the sandwiches with the doritos in it, hit tooo different</t>
  </si>
  <si>
    <t>David Jaime</t>
  </si>
  <si>
    <t>Carrizo Springs</t>
  </si>
  <si>
    <t>⚾ Concessions are Open at the Junior League Division Games  Come get your burgers, hot dogs, chips and drinks  #scaabaseball #steelecreekbaseball #juniorleague #allstars #letsplayball #concessionstand #steelecreek</t>
  </si>
  <si>
    <t>Steele Creek Athletic Asso.</t>
  </si>
  <si>
    <t>18:30</t>
  </si>
  <si>
    <t>24.06.2019 18:31</t>
  </si>
  <si>
    <t>What a fun night  w. @victoria.hssn @laforce_17 
#friends #party #nightout #doritos #high #doggo #sleeping #sleepy #heavymontrealflag #dog #puppy #pitbullboxer
@victoria.hssn @laforce_17</t>
  </si>
  <si>
    <t>Noomi • Nao</t>
  </si>
  <si>
    <t>Mirabel</t>
  </si>
  <si>
    <t>24.06.2019 18:30</t>
  </si>
  <si>
    <t>@Doritos One Dorito gives me the power to eat the rest of the bag.  #IncognitoDoritos #Entry</t>
  </si>
  <si>
    <t>Ultimate Spider-Man Gaming</t>
  </si>
  <si>
    <t>18:29</t>
  </si>
  <si>
    <t>Hot Snack Showdown</t>
  </si>
  <si>
    <t>Hot Snack Showdown
Today, I will be determining which is hotter. Flamin Hot Doritos or Xxtra Flamin Hot Cheetos.</t>
  </si>
  <si>
    <t>Golden King</t>
  </si>
  <si>
    <t>24.06.2019 18:32</t>
  </si>
  <si>
    <t>18:28</t>
  </si>
  <si>
    <t>24.06.2019 18:37</t>
  </si>
  <si>
    <t>‍♀️ I #love #doritos and drink some good #water  I got that #water I got that</t>
  </si>
  <si>
    <t>Tash️Lola's3rd❤️❤️❤️</t>
  </si>
  <si>
    <t>portrait,beauty</t>
  </si>
  <si>
    <t>ASMR EATING DORITOS AND MOCHI || soft and squishy sounds | crunchy sounds | whispered rambling</t>
  </si>
  <si>
    <t>ASMR EATING DORITOS AND MOCHI || soft and squishy sounds | crunchy sounds | whispered rambling
Hey my Nangel Tangels,
Today I'll be eating 5 different flavoured mochi and 2 different flavors of chips. I'll be whispering the whole time.</t>
  </si>
  <si>
    <t>Engelschall ASMR</t>
  </si>
  <si>
    <t>meal,food</t>
  </si>
  <si>
    <t>18:27</t>
  </si>
  <si>
    <t>24.06.2019 18:27</t>
  </si>
  <si>
    <t>trading doritos for takis
Blazers are trading Evan Turner to the Hawks for Kent Bazemore, per @wojespn</t>
  </si>
  <si>
    <t>arya stark’s side nigga</t>
  </si>
  <si>
    <t>Crown East</t>
  </si>
  <si>
    <t>Nike</t>
  </si>
  <si>
    <t>championship,ball game,basketball,sports</t>
  </si>
  <si>
    <t>18:26</t>
  </si>
  <si>
    <t>24.06.2019 18:26</t>
  </si>
  <si>
    <t>Claire Hennighan</t>
  </si>
  <si>
    <t>Blackpool</t>
  </si>
  <si>
    <t>18:25</t>
  </si>
  <si>
    <t>@VegasRebs @Doritos @UCLAMCH How long do you expect you guys will be at UCLA?</t>
  </si>
  <si>
    <t>cricket green</t>
  </si>
  <si>
    <t>18:24</t>
  </si>
  <si>
    <t>24.06.2019 18:28</t>
  </si>
  <si>
    <t>Mountain Dew, Doritos
 Acid rain pours from the sky
 The end of all things</t>
  </si>
  <si>
    <t>Galera
doritos ou fandangos? 
Rt= voto 
#TeenChoice #ChoiceInternationalArtist 
@BTS_twt</t>
  </si>
  <si>
    <t>BTS ❤</t>
  </si>
  <si>
    <t>me [in sweatpants, halfway through a bag of cool ranch doritos, watching a cheetah on TV chase down and kill its prey]: i would’ve escaped</t>
  </si>
  <si>
    <t>Los</t>
  </si>
  <si>
    <t>Пьемонт</t>
  </si>
  <si>
    <t>Front</t>
  </si>
  <si>
    <t>@artificialkim_ @BTS_twt Doritos
@BTS_twt 
#ChoiceInternationalArtist 
#TeenChoice</t>
  </si>
  <si>
    <t>i’m about to make nachos w doritos nacho cheese flavored chips... george washington carver, sweetie, move over</t>
  </si>
  <si>
    <t>earth mother</t>
  </si>
  <si>
    <t>How Joe Namath Reversed His Own Brain Damage Caused By Football!</t>
  </si>
  <si>
    <t>dorritos are played out that shit aint even that good. i fuck with doritos bold tho. the rest are shit.</t>
  </si>
  <si>
    <t>spread-love</t>
  </si>
  <si>
    <t>worldstarhiphop.com</t>
  </si>
  <si>
    <t>World Star Hip Hop</t>
  </si>
  <si>
    <t>24.06.2019 18:24</t>
  </si>
  <si>
    <t>@Poeleveny I guess these were before my time. What were they, the Ruffles of Doritos?</t>
  </si>
  <si>
    <t>Luis</t>
  </si>
  <si>
    <t>18:23</t>
  </si>
  <si>
    <t>Smells like mountain dew, doritos, and sweat in here</t>
  </si>
  <si>
    <t>­­­­­­­­www­.indeed­.com</t>
  </si>
  <si>
    <t>18:21</t>
  </si>
  <si>
    <t>24.06.2019 18:21</t>
  </si>
  <si>
    <t>Tall don’t put hot sauce on ya Doritos? That’s wild</t>
  </si>
  <si>
    <t>jeiru</t>
  </si>
  <si>
    <t>Hallandale Beach</t>
  </si>
  <si>
    <t>Also skipping an entire night of sleep, eating multiple bags of doritos, and riding in a car with extremely firm seats for 17 hrs</t>
  </si>
  <si>
    <t>Misty View</t>
  </si>
  <si>
    <t>18:20</t>
  </si>
  <si>
    <t>hoopty shoopty baba looly eating the doritos
boopy goony guadalupe found myself some cheetos</t>
  </si>
  <si>
    <t>?</t>
  </si>
  <si>
    <t>Faux-Vésigneul</t>
  </si>
  <si>
    <t>24.06.2019 18:20</t>
  </si>
  <si>
    <t>Also skipping entire nights of sleep and eating multiple bags doritos in a car with extremely firm seats for 17 hrs</t>
  </si>
  <si>
    <t>Happy birthday to the legend right here  MESSI #10</t>
  </si>
  <si>
    <t>I am koala</t>
  </si>
  <si>
    <t>18:18</t>
  </si>
  <si>
    <t>ajb</t>
  </si>
  <si>
    <t>18:16</t>
  </si>
  <si>
    <t>@GladysSeara Doritos</t>
  </si>
  <si>
    <t>Rodolfo</t>
  </si>
  <si>
    <t>18:15</t>
  </si>
  <si>
    <t>24.06.2019 18:16</t>
  </si>
  <si>
    <t>alguien me compra doritos??</t>
  </si>
  <si>
    <t>ηєỵ</t>
  </si>
  <si>
    <t>Граубюнден (Гризон)</t>
  </si>
  <si>
    <t>Cama</t>
  </si>
  <si>
    <t>18:14</t>
  </si>
  <si>
    <t>24.06.2019 18:18</t>
  </si>
  <si>
    <t>y’all need to appreciate our hard work. i spend a solid ten minutes per tweet
[well thought out, grammatically correct tweet]: 2 likes
[some shitpost I throw together while in bed eating Doritos]: 20+ likes</t>
  </si>
  <si>
    <t>white as hell, tryna tan</t>
  </si>
  <si>
    <t>@zanzarahamzocken</t>
  </si>
  <si>
    <t>_☆~° Sabrina °~☆_</t>
  </si>
  <si>
    <t>toy</t>
  </si>
  <si>
    <t>24.06.2019 18:15</t>
  </si>
  <si>
    <t>mandy</t>
  </si>
  <si>
    <t>Уотфорд</t>
  </si>
  <si>
    <t>18:13</t>
  </si>
  <si>
    <t>25.06.2019 10:21</t>
  </si>
  <si>
    <t>Please make the doritos bag to the amount of chips in the bag because it must be the size of the bag on paying for because when I open the chips bags I'm surprised to the amount of pieces of chips in the bag to the size of the bag,its like looking down into a deep hole</t>
  </si>
  <si>
    <t>24.06.2019 18:13</t>
  </si>
  <si>
    <t>The next bag of Doritos is here!Only for a limited time at your local store. https://www.instagram.com/p/BzG95z3gz-4/?igshid=9ituybi2b7pa</t>
  </si>
  <si>
    <t>18:12</t>
  </si>
  <si>
    <t>24.06.2019 18:12</t>
  </si>
  <si>
    <t>Richard</t>
  </si>
  <si>
    <t>Ноттингем</t>
  </si>
  <si>
    <t>18:11</t>
  </si>
  <si>
    <t>@Doritos_Mx @JaredMa53154310 Cuando sea grande quiero ser como el tío @Doritos_Mx</t>
  </si>
  <si>
    <t>Eddy Enciso</t>
  </si>
  <si>
    <t>24.06.2019 20:56</t>
  </si>
  <si>
    <t>just like doritos) 
@hailmerrysnacks Cookie Dough bites (tastes just like cookie dough) 
@so_delicious coconut milk yogurt (is delicious and helps to get healthy fats in my sons diet) 
@madegoodfoods bars (the perfect on the go healthy snack that my son loves!) ‍♀️
Keeping your kids healthy and on a healthy diet can be easy when knowing simple alternatives When you have a good starting point, the rest is a breeze! I hope this helps all the healthy/holistic eating mamas out there
https://www.facebook.com/JulieEHealthandWellness/photos/a.781784825192528/2428610077176653/?type=3</t>
  </si>
  <si>
    <t>Julie E Health</t>
  </si>
  <si>
    <t>meal,snack,fast food,junk food,food</t>
  </si>
  <si>
    <t>18:10</t>
  </si>
  <si>
    <t>Gn **************************************** #meme #memes #memesdaily #dankmemes #dank #oof #doritos #doritosnachos #oldmen #pedophelia #a #robloxmemes</t>
  </si>
  <si>
    <t>like doritos) 
@hailmerrysnacks Cookie Dough bites (tastes just like cookie dough) 
@so_delicious coconut milk yogurt (is delicious and helps to get healthy fats in my sons diet) 
@madegoodfoods bars (the perfect on the go healthy snack that my son loves!) ‍♀️ Keeping your kids healthy and on a healthy diet can be easy when knowing simple alternatives When you have a good starting point, the rest is a breeze! I hope this helps all the healthy/holistic eating mamas out there
.
.
.
.
.
.
.
.
.
.
.
.
.
.
#kids #healthysnacks</t>
  </si>
  <si>
    <t>Julie E Health (MPH, RD)</t>
  </si>
  <si>
    <t>Niterói</t>
  </si>
  <si>
    <t>snack,meal,fast food,junk food,food</t>
  </si>
  <si>
    <t>18:09</t>
  </si>
  <si>
    <t>24.06.2019 18:10</t>
  </si>
  <si>
    <t>Janice</t>
  </si>
  <si>
    <t>Never understand why this #Barbie have #doritos earrings lol; my beautiful All American Barbie, (#1990)
.
.
.
.
#barbie #barbielatina #barbielatam #kendoll #barbiecollection #barbiegram #barbiedoll #barbieworld #IloveBarbie #barbieadventures #mattel #nikon #productphotography #photoshoot #photostudio @barbie @barbiestyle @mattel</t>
  </si>
  <si>
    <t>Barbie!</t>
  </si>
  <si>
    <t>clothing,dress</t>
  </si>
  <si>
    <t>fashion,beauty</t>
  </si>
  <si>
    <t>18:06</t>
  </si>
  <si>
    <t>24.06.2019 18:09</t>
  </si>
  <si>
    <t>@Doritos_Mx Doritos no va ser lo unico que voy a comer hoy 7u7</t>
  </si>
  <si>
    <t>Israel N.S</t>
  </si>
  <si>
    <t>@BrainMachineNet @bearwithleif @Reamkore @PatrickHastie Episode 110 - @myqkaplan!
We talk about growing up in #NewJersey, #ArchieComics, #SummerCamp, #Doritos, #Music and more!
No sponsor this week!
YouTube: https://youtu.be/KQcIjFbuXOk
Itunes: https://itunes.apple.com/us/podcast/the-nostalgic-front-podcast/id1458136901
Spotify: https://open.spotify.com/show/2bRKIYZzYotQVTJKUWFMXA?si=LJGDTBY_SFiCpwVx2TEHZA
Podbean: https://nostalgicfront.podbean.com/e/episode-110-myq-kaplan/</t>
  </si>
  <si>
    <t>Patrick Hastie</t>
  </si>
  <si>
    <t>24.06.2019 18:11</t>
  </si>
  <si>
    <t>Next!
Anyone have a chocolate bar they're not using right now? 
Or some spare Doritos?</t>
  </si>
  <si>
    <t>Ada Slivinski</t>
  </si>
  <si>
    <t>Ванкувер</t>
  </si>
  <si>
    <t>Camil</t>
  </si>
  <si>
    <t>Minelli☾</t>
  </si>
  <si>
    <t>Long Beach</t>
  </si>
  <si>
    <t>You’re Never Too Old for a Good Ol Doritos Sandwich</t>
  </si>
  <si>
    <t>kelly shouldice</t>
  </si>
  <si>
    <t>fast food,junk food,food</t>
  </si>
  <si>
    <t>24.06.2019 18:08</t>
  </si>
  <si>
    <t>Bia tá surtando de raiva</t>
  </si>
  <si>
    <t>✨ fagota de clase ✨</t>
  </si>
  <si>
    <t>TROCIN</t>
  </si>
  <si>
    <t>Quinto</t>
  </si>
  <si>
    <t>18:05</t>
  </si>
  <si>
    <t>24.06.2019 18:05</t>
  </si>
  <si>
    <t>@Lusimioni01 @AgustiGomez_ @AchemCele Me arrepentí, prefiero doritos</t>
  </si>
  <si>
    <t>Fran</t>
  </si>
  <si>
    <t>Corral De Bustos</t>
  </si>
  <si>
    <t>24.06.2019 18:07</t>
  </si>
  <si>
    <t>20 Simple Meals So Good, Your Kids Will Be Begging For Seconds (and Thirds)</t>
  </si>
  <si>
    <t>Like it or not, most kids go through a picky phase. This can make dinnertime a bit challenging, especially if one of your kids won't eat anything with cheese while the other won't come within six feet of a vegetable. We've been there, too, and we promise all hope is not lost.
We found 20 dinners that are easy to make (most take less than 30 minutes and minimal prep) and kid-friendly (think pizza, tacos, and nachos). Most are customizable, too, so you can please the whole gang without having to fall back on a PB&amp;J when nobody will touch their food.
Easy Breakfast Pizza
Shake Shack Burgers
Hot Dog Nachos
Cool Ranch Doritos Chicken Tenders</t>
  </si>
  <si>
    <t>Tarah Chieffi</t>
  </si>
  <si>
    <t>popsugar.com</t>
  </si>
  <si>
    <t>cookware and bakeware,pie,fast food,meal,appetizer,junk food,baked goods,food,pizza</t>
  </si>
  <si>
    <t>18:01</t>
  </si>
  <si>
    <t>Trying Hot Doritos(gone Wrong)</t>
  </si>
  <si>
    <t>Amarelle Dabney</t>
  </si>
  <si>
    <t>Starbucks</t>
  </si>
  <si>
    <t>beauty,summer,sky,vacation</t>
  </si>
  <si>
    <t>18:00</t>
  </si>
  <si>
    <t>24.06.2019 18:14</t>
  </si>
  <si>
    <t>iRacing - Pro Mazda Hotlaps at Zandvoort</t>
  </si>
  <si>
    <t>iRacing - Pro Mazda Hotlaps at Zandvoort
Fun little car powered by Doritos!</t>
  </si>
  <si>
    <t>Ferrariman601</t>
  </si>
  <si>
    <t>vehicle,race car,car</t>
  </si>
  <si>
    <t>race,motorsport</t>
  </si>
  <si>
    <t>17:59</t>
  </si>
  <si>
    <t>24.06.2019 18:01</t>
  </si>
  <si>
    <t>#Repost @dritadavanzoladyboss with @get_repost
・・・
#I’m currently pushing 150 which means I’m a #heavyweight so I’d be careful if I was u.. I tossed people around at 118...now I’ll put your ass throw a wall while I eat my #doritos and #oreos I’m kidding but not really.. “happy #weight is always the #perfect weight” #ladyboss #skinny #thick #explicitlanguage #icecream #cone melting gotta go ‍♀️</t>
  </si>
  <si>
    <t>Vanessa Aspillaga</t>
  </si>
  <si>
    <t>fashion accessory,hat,clothing</t>
  </si>
  <si>
    <t>24.06.2019 18:00</t>
  </si>
  <si>
    <t>I say this all the time &amp; nobody ever agrees with me
spicy sweet chili doritos are the best. don’t @ me.</t>
  </si>
  <si>
    <t>kay</t>
  </si>
  <si>
    <t>Good Success</t>
  </si>
  <si>
    <t>17:58</t>
  </si>
  <si>
    <t>i put ma dick in a bag of doritos</t>
  </si>
  <si>
    <t>☆°•BELLA•°☆</t>
  </si>
  <si>
    <t>24.06.2019 18:03</t>
  </si>
  <si>
    <t>[well thought out, grammatically correct tweet]: 2 likes
[some shitpost I throw together while in bed eating Doritos]: 20+ likes</t>
  </si>
  <si>
    <t>#1 young thug fan account</t>
  </si>
  <si>
    <t>Oxford</t>
  </si>
  <si>
    <t>17:57</t>
  </si>
  <si>
    <t>24.06.2019 18:02</t>
  </si>
  <si>
    <t>tima</t>
  </si>
  <si>
    <t>Spicy sweet chili Doritos are my weakness. #loveofmylife</t>
  </si>
  <si>
    <t>IG:_samyaking</t>
  </si>
  <si>
    <t>24.06.2019 17:59</t>
  </si>
  <si>
    <t>ants-in-my-eyes Johnson</t>
  </si>
  <si>
    <t>This</t>
  </si>
  <si>
    <t>I guard ferociously against burnout.
.
So when a part of me doesn’t want to run a favorite workout, I review the checklist and never hesitate to err on the side of rest. A little niggle emerging? Enough sleep? Properly fueled?
.
Today’s workout reluctance may have been the Doritos, cake, late-night Netflix, and pasta talking ‍♀️
.
#runnerproblems #runnersproblems #marathonlife #marathontraining #marathoner #doritos #foodisfuel #runnerspace #runnerscommunity #runnersofinstagram #instarunners #womensrunningcommunity #cake #pasta #runger
@tracksmithrunning</t>
  </si>
  <si>
    <t>Margi Johnson</t>
  </si>
  <si>
    <t>Bordentown</t>
  </si>
  <si>
    <t>sports,summer,grass</t>
  </si>
  <si>
    <t>17:56</t>
  </si>
  <si>
    <t>24.06.2019 17:57</t>
  </si>
  <si>
    <t>CONEY</t>
  </si>
  <si>
    <t>Russian Federation</t>
  </si>
  <si>
    <t>Краснодарский край</t>
  </si>
  <si>
    <t>Туапсе</t>
  </si>
  <si>
    <t>BTS_traordinary</t>
  </si>
  <si>
    <t>17:55</t>
  </si>
  <si>
    <t>24.06.2019 17:55</t>
  </si>
  <si>
    <t>⏳⏳ #art_moonlight #art_sunlight #artist #art#doritos #Orange#hour #sandclock #clock#sketching #sketch</t>
  </si>
  <si>
    <t>17:53</t>
  </si>
  <si>
    <t>mt dew</t>
  </si>
  <si>
    <t>mountain dew look in the clash hendrick .
mt dew mtn dew ice cherry 20oz pet walmart com .
amazon com mountain dew kickstart energizing variety pack 16 .
diet mountain dew 6 pack 16 9 oz bottle dollar general .
mountain dew timeline history twoop .
mtn dew linpepco .
mountain dew mouth is destroying appalachia s teeth critics say .
mt dew retro .
mountain dew kickstart fruit punch 16 oz cans pack of 12 .
mountain dew printable gift tag half scratched .
review mtn dew ice the impulsive buy .
doritos mountain dew know your meme .
home mtn dew .
this mountain dew features a tactile grip resealable lip can variety .
4 new mtn dew flavors for 2019 mtn dew kid .
apex bib line label set mt dew juice bag in box bib line . Related post for Mt Dew</t>
  </si>
  <si>
    <t>17:52</t>
  </si>
  <si>
    <t>24.06.2019 17:53</t>
  </si>
  <si>
    <t>So can I say that I’m sponsored by Doritos now? ✔️I’ll take it  #accidentalcoincidence •
•
•
#jump #monday #mondaymotivation #motivationmonday #doritos #sponsor #nike #nikewomen
@hatboxphotography_dance</t>
  </si>
  <si>
    <t>Brittni Johnson</t>
  </si>
  <si>
    <t>grass,leisure</t>
  </si>
  <si>
    <t>17:51</t>
  </si>
  <si>
    <t>24.06.2019 17:52</t>
  </si>
  <si>
    <t>Kick off summer right with these sensational summer savings! We have your favorite brands like Pepsi, Doritos, Keebler, Poland Spring Natural Spring Water, Coca-Cola and more at the best prices! http://Visittopsmarkets.com and view our weekly ad for more!</t>
  </si>
  <si>
    <t>GrocrE</t>
  </si>
  <si>
    <t>CocaCola,Doritos</t>
  </si>
  <si>
    <t>17:50</t>
  </si>
  <si>
    <t>What a weird looks dorito 
@Doritos</t>
  </si>
  <si>
    <t>Danny</t>
  </si>
  <si>
    <t>The Colony</t>
  </si>
  <si>
    <t>25.06.2019 02:55</t>
  </si>
  <si>
    <t>This one edit is literally my favorite and im very proud of it aaaah
•
•
#nichememes #nichestarterpack #niche #nichememe #nichecollab #moodboard #moodboards #epic #meme #memes #reference #friends #gay #hoodie #anime #edit #photography #photo</t>
  </si>
  <si>
    <t>Percy</t>
  </si>
  <si>
    <t>17:49</t>
  </si>
  <si>
    <t>25.06.2019 02:53</t>
  </si>
  <si>
    <t>Felicidades princesita ♥️
.
.
.
.
.
.
#regalosfers #trc #love #gift #regalosoriginales #ramo #papas #sabritas #purple #princesa #princess</t>
  </si>
  <si>
    <t>Regalos Fer's</t>
  </si>
  <si>
    <t>Коауила</t>
  </si>
  <si>
    <t>Торреон</t>
  </si>
  <si>
    <t>17:46</t>
  </si>
  <si>
    <t>That’s nacho dick
i put my dick in a bag of doritos</t>
  </si>
  <si>
    <t>rage</t>
  </si>
  <si>
    <t>Oman</t>
  </si>
  <si>
    <t>Мусандам</t>
  </si>
  <si>
    <t>حل</t>
  </si>
  <si>
    <t>17:45</t>
  </si>
  <si>
    <t>Karla</t>
  </si>
  <si>
    <t>Carol Biazin as doritos; a thread</t>
  </si>
  <si>
    <t>Mariaaana</t>
  </si>
  <si>
    <t>24.06.2019 17:51</t>
  </si>
  <si>
    <t>i'm commander shepard and this is my favorite doritos on the Bee Movie</t>
  </si>
  <si>
    <t>Whatever_Floats</t>
  </si>
  <si>
    <t>♡ brenda</t>
  </si>
  <si>
    <t>24.06.2019 17:49</t>
  </si>
  <si>
    <t>@lotosjk7 Mountain Dew and some Doritos Nacho Cheese</t>
  </si>
  <si>
    <t>Son Erik, The King’s Servant</t>
  </si>
  <si>
    <t>ABRIENDO DORITOS DE DRAGON BALL SUPER | Invitado ESPECIAL</t>
  </si>
  <si>
    <t>ABRIENDO DORITOS DE DRAGON BALL SUPER | Invitado ESPECIAL
Regreso a YouTube</t>
  </si>
  <si>
    <t>Soy Samora</t>
  </si>
  <si>
    <t>17:44</t>
  </si>
  <si>
    <t>24.06.2019 17:44</t>
  </si>
  <si>
    <t>Live now on Giant Bomb Infinite: Quick Look: Doritos Crash Course 2 (05/10/13) https://www.giantbomb.com/infinite/</t>
  </si>
  <si>
    <t>Giant Bomb Infinite</t>
  </si>
  <si>
    <t>17:43</t>
  </si>
  <si>
    <t>@dakotaz with the nasty flick-
-
-
-
#blue #pubg #❤️ #legs #freefollowers #tomclancy #rainbowsixsiege #hashtag #dog #dogsofinstagram #cat #catsofinstagram #fortnite #freevbucks #scammer #ligmA #esketit #yunggravy #swaggersouls #doritos #riphuntingrifle #ps4 #epicgames #epicgamer #epicgamessucks #fortniteleaks #fortnitesucks #clips</t>
  </si>
  <si>
    <t>race</t>
  </si>
  <si>
    <t>17:42</t>
  </si>
  <si>
    <t>24.06.2019 17:46</t>
  </si>
  <si>
    <t>✨|</t>
  </si>
  <si>
    <t>Plače</t>
  </si>
  <si>
    <t>It’s a raging debate that we need your help to settle! 
Comment below ⬇️ CC’s or Doritos? 
https://www.facebook.com/2DayFMBreakfast/photos/a.1193061077428853/2212769802124637/?type=3</t>
  </si>
  <si>
    <t>2DayFM Breakfast</t>
  </si>
  <si>
    <t>Yummers in my tummers!</t>
  </si>
  <si>
    <t>No, it's a novelty. "How can we use prepared foods to make another food?" Like Frito pie (and its various descendants using Doritos at Taco Bell), or those horrible pan cookies that start out as saltines. Most of them are...not to my taste, some of them are good.</t>
  </si>
  <si>
    <t>refugefirstmate</t>
  </si>
  <si>
    <t>WTF?!</t>
  </si>
  <si>
    <t>17:40</t>
  </si>
  <si>
    <t>24.06.2019 17:48</t>
  </si>
  <si>
    <t>Go ahead now! You look good no matter what Drita!
#I’m currently pushing 150 which means I’m a #heavyweight so I’d be careful if I was u.. I tossed people around at 118...now I’ll put your ass throw a wall while I eat my #doritos and #oreos I’m kidding but not… https://www.instagram.com/p/BzGul1PFyqL/?igshid=1mj1kz43m5rfv</t>
  </si>
  <si>
    <t>J Della</t>
  </si>
  <si>
    <t>Midwest City</t>
  </si>
  <si>
    <t>17:39</t>
  </si>
  <si>
    <t>24.06.2019 17:42</t>
  </si>
  <si>
    <t>Nice bootey 
Owner: @dori7os_fd3s 
#cars#acura#nissan#vtech#turbo#royalty#low#dumped#bags#pnw#kent#seattle#carshow#honda#frs#evo#lancer#jdm#euro#americanmuscle#lit#supercharger#fast#rsx#nsx#s200#follow#supportpnwartists#racecar#driftcon
@doritos @seiboncarbon @driftcon @f7lthy @avants_seattle @dori7os_fd3s</t>
  </si>
  <si>
    <t>MR VISUALZ</t>
  </si>
  <si>
    <t>road,transport</t>
  </si>
  <si>
    <t>24.06.2019 17:43</t>
  </si>
  <si>
    <t>@GlodeJo07 3 doritos despues</t>
  </si>
  <si>
    <t>MARCVR</t>
  </si>
  <si>
    <t>Hardcore Sploot AnimalsBeingDerps</t>
  </si>
  <si>
    <t>And some Doritos.</t>
  </si>
  <si>
    <t>Zonevortex1</t>
  </si>
  <si>
    <t>17:38</t>
  </si>
  <si>
    <t>24.06.2019 17:54</t>
  </si>
  <si>
    <t>Taco salad, keto style! I used to make this with Doritos and refried beans. I got the same creamy texture with mixing an avocado with my seasoned burger  So good! A huge bowl was only 9 carbs. WINNING! #ketotacosalad #tweakitketostyle #tacosalad #avocado</t>
  </si>
  <si>
    <t>Teresa Shafer</t>
  </si>
  <si>
    <t>vegetable,salad,food</t>
  </si>
  <si>
    <t>Dyonatha Kerkhoven</t>
  </si>
  <si>
    <t>eͪ • Lana D-6</t>
  </si>
  <si>
    <t>24.06.2019 17:38</t>
  </si>
  <si>
    <t>Comer mil doritos</t>
  </si>
  <si>
    <t>FVCKLUV</t>
  </si>
  <si>
    <t>17:37</t>
  </si>
  <si>
    <t>unridable 1</t>
  </si>
  <si>
    <t>17:36</t>
  </si>
  <si>
    <t>Mashed potatoes w/sweet plantains and Mac cheese mess. ‍♂️ #foodporn #homesweethome #homecooking #grateful</t>
  </si>
  <si>
    <t>Victor Herrera</t>
  </si>
  <si>
    <t>fast food,fried food,snack,meal,junk food,food</t>
  </si>
  <si>
    <t>17:35</t>
  </si>
  <si>
    <t>Why NoFap Might Be Killing You</t>
  </si>
  <si>
    <t>Great post. Can I add that you can also look at it this way? Imagine that you've decided to lose 50 pounds. You cut calories, eat right, exercise, etc. Then, you have a moment and eat a donut. Do you need to start over and lose 50 pounds? No. You've made progress. Get back up on that horse. Maybe you've already lost 30 pounds. One donut doesn't erase all that work. Same if you decide to workout everyday to increase your bench press. You skip a day. Oops. Do you start again at square one? No, you've built muscle. You HAVE muscle. You pick up again the next day and keep going.
The key is to get back to it. One donut is one donut. Don't let it turn into a dozen, a bag of Doritos and a large pizza! Stay present and keep moving forward. Thank you OP for making this important point.</t>
  </si>
  <si>
    <t>y0ud0ntkn0wm3</t>
  </si>
  <si>
    <t>Get a new grip on life - the official Reddit-forum</t>
  </si>
  <si>
    <t>17:34</t>
  </si>
  <si>
    <t>@NisaLocally Cool Original Doritos Dips  yummy for summer days #win</t>
  </si>
  <si>
    <t>Susan L Hall</t>
  </si>
  <si>
    <t>Elburton Village</t>
  </si>
  <si>
    <t>24.06.2019 17:34</t>
  </si>
  <si>
    <t>Verdi’s musical influence has spread far beyond the realms of opera. His La Donna è Mobile has been used by @Doritos in not one, but two Super Bowl ads, it is the soundtrack for @GrandTheftAutox and is regularly heard on the football pitch http://wno.org.uk/rigoletto #WNOrigoletto</t>
  </si>
  <si>
    <t>Gareth Churchill</t>
  </si>
  <si>
    <t>Кардифф</t>
  </si>
  <si>
    <t>17:32</t>
  </si>
  <si>
    <t>24.06.2019 17:35</t>
  </si>
  <si>
    <t>Julie</t>
  </si>
  <si>
    <t>I ate Doritos and a honey bun for lunch today......... what detox</t>
  </si>
  <si>
    <t>s e k a y i</t>
  </si>
  <si>
    <t>17:31</t>
  </si>
  <si>
    <t>24.06.2019 17:41</t>
  </si>
  <si>
    <t>Free Whoah Vicky Type Beat 2019 | Whoah Vicky Instrumental | Whoah Vicky Song - "be this"</t>
  </si>
  <si>
    <t>vicky dolly,
woah vicky diss clean,
woah vicky dress,
woah vicky diss track ricegum reaction,
woah vicky d,
woah vicky eating,
woah vicky edges,
woah vicky edits,
woah vicky earned it,
woah vicky earfquake,
woah vicky eating doritos,
woah vicky earth,
woah vicky emo,
woah vicky earthquake,
woah vicky explains lil tjay,
woah vicky friend,
woah vicky fart,
woah vicky keke do you love me,
woah vicky kool aid,
woah vicky karaoke,
tay k woah vicky,
woah vicky lyrics,
woah vicky lyrics ilovefriday,
woah vicky long nails,
woah vicky language,
woah vicky</t>
  </si>
  <si>
    <t>exorcism for girls</t>
  </si>
  <si>
    <t>yo quiero doritos:c</t>
  </si>
  <si>
    <t>Con limon</t>
  </si>
  <si>
    <t>Dynalba Peralta</t>
  </si>
  <si>
    <t>telegram.me</t>
  </si>
  <si>
    <t>Runescape oldschool</t>
  </si>
  <si>
    <t>Messengers</t>
  </si>
  <si>
    <t>17:30</t>
  </si>
  <si>
    <t>@melissa_doritos And i could lie say i like it like that like it like that</t>
  </si>
  <si>
    <t>Joy</t>
  </si>
  <si>
    <t>17:29</t>
  </si>
  <si>
    <t>24.06.2019 17:30</t>
  </si>
  <si>
    <t>Taco omelette. Dressed up. Just meat and cheese. Dressed up again (garnished). Garnishes are meant to enhance a dish. For this omelette, Chef Laura used Sour Cream, Salsa, Jalapeños and Crushed Doritos as garnish for her husband’s omelette. A garnish should add height, Flavor, textures and should be appropriate for the dish. .
.
.
#tacos #eggs #breakfast #chef #cooking #kids #culinary</t>
  </si>
  <si>
    <t>South Salem Culinary</t>
  </si>
  <si>
    <t>17:28</t>
  </si>
  <si>
    <t>24.06.2019 17:33</t>
  </si>
  <si>
    <t>the sandwiches with the doritos in it, hit tooo different</t>
  </si>
  <si>
    <t>Juice.God.Duece</t>
  </si>
  <si>
    <t>These Doritos taste exactly like cool Americans!</t>
  </si>
  <si>
    <t>Nick Busch</t>
  </si>
  <si>
    <t>17:27</t>
  </si>
  <si>
    <t>@Doritos I get the super power needed to take on my 2 teens!  #IncognitoDoritos #entry</t>
  </si>
  <si>
    <t>Carey C</t>
  </si>
  <si>
    <t>17:25</t>
  </si>
  <si>
    <t>24.06.2019 17:25</t>
  </si>
  <si>
    <t>obese pets isn’t funny it’s an issue and animal abuse
WE ARE OUT OF DORITOS KAREN</t>
  </si>
  <si>
    <t>ROCKETMAN</t>
  </si>
  <si>
    <t>Аризона</t>
  </si>
  <si>
    <t>Paradise Valley</t>
  </si>
  <si>
    <t>17:24</t>
  </si>
  <si>
    <t>24.06.2019 17:26</t>
  </si>
  <si>
    <t>Board games get together was a success!  It was great to see everyone again after Japan, though we were missing a few bodies. So another games night will be in session soon!!!  
Shout out to @livfasullo for the amazing donuts and eclairs!!! Big thanks to @michaelphancy4lyfe for bringing his Mario Party to help dethrone our resident King Koopa 
.
Spice up your nachoes by using Doritos! What's your favourite flavour? Mine's spicy heat! 
.
Swipe left for my attempt at boomeranging. It's not great  
#boardgames #gamesnight #burgers #donuts #friends #hellosummer #marioparty #goodtimes #bettercompany</t>
  </si>
  <si>
    <t>Colline Đo</t>
  </si>
  <si>
    <t>furniture,tableware,table,food,meal</t>
  </si>
  <si>
    <t>event,interior design,restaurant</t>
  </si>
  <si>
    <t>Formerly Brightly5 LVP Bot#1</t>
  </si>
  <si>
    <t>Its Snack time wit @sky_belle17
. @doritos #gerberbaby @gerber #doritos #streetphotography #nikond3400</t>
  </si>
  <si>
    <t>QTPhotography</t>
  </si>
  <si>
    <t>Viet Nam</t>
  </si>
  <si>
    <t>Ламдонг</t>
  </si>
  <si>
    <t>Далат</t>
  </si>
  <si>
    <t>17:23</t>
  </si>
  <si>
    <t>24.06.2019 17:31</t>
  </si>
  <si>
    <t>Ruth Carson-Byrne</t>
  </si>
  <si>
    <t>17:22</t>
  </si>
  <si>
    <t>24.06.2019 17:28</t>
  </si>
  <si>
    <t>♥️Cindy Dee Gillespie ♥️</t>
  </si>
  <si>
    <t>24.06.2019 17:23</t>
  </si>
  <si>
    <t>W. Challender</t>
  </si>
  <si>
    <t>17:20</t>
  </si>
  <si>
    <t>@Densho Doritos, Nacho.</t>
  </si>
  <si>
    <t>Rambro</t>
  </si>
  <si>
    <t>fictional character,toy</t>
  </si>
  <si>
    <t>24.06.2019 17:24</t>
  </si>
  <si>
    <t>daniel</t>
  </si>
  <si>
    <t>Chile</t>
  </si>
  <si>
    <t>Столичная область</t>
  </si>
  <si>
    <t>Melipilla</t>
  </si>
  <si>
    <t>The only bag of Doritos that matter</t>
  </si>
  <si>
    <t>Cucho</t>
  </si>
  <si>
    <t>24.06.2019 17:20</t>
  </si>
  <si>
    <t>Ah yes, ketchup Doritos is a thing in Canada right now that doesn’t exist in the US, like you know the health care...
#ketchupdoritos
#doritos
#canada</t>
  </si>
  <si>
    <t>Gabriel Richard</t>
  </si>
  <si>
    <t>17:19</t>
  </si>
  <si>
    <t>QUIERO DORITOS</t>
  </si>
  <si>
    <t>cam mogolica</t>
  </si>
  <si>
    <t>24.06.2019 17:21</t>
  </si>
  <si>
    <t>XVideo while studying?
The only bag of Doritos that matter</t>
  </si>
  <si>
    <t>Sthe Good Love</t>
  </si>
  <si>
    <t>17:17</t>
  </si>
  <si>
    <t>24.06.2019 17:22</t>
  </si>
  <si>
    <t>Garota propaganda será? 
#doritos #santateresa #frio #vento #masvaleuapena</t>
  </si>
  <si>
    <t>Leidinha Piana</t>
  </si>
  <si>
    <t>Риу-Гранди-ду-Сул</t>
  </si>
  <si>
    <t>Santa Tereza</t>
  </si>
  <si>
    <t>mount scenery,outdoor recreation,vacation,tourism,nature,cloud,travel,hill station,hill,ridge,highland,sky,wilderness,mountain</t>
  </si>
  <si>
    <t>25.06.2019 02:23</t>
  </si>
  <si>
    <t>#starplatinum #zawardo #zawarudo #anime #meme #jojo #jojokes #jojomemes #diamondisunbreakable #jotarokujo #dio #diobrando #koichi #maze</t>
  </si>
  <si>
    <t>SpeedWeedWagon_memes</t>
  </si>
  <si>
    <t>Can these be a thing ? 
Sorry for being inactive:). -
#lgbtq #lgbtq #lgbt #lgbtqpride</t>
  </si>
  <si>
    <t>️‍LGBTQ+ Safe Space ️‍</t>
  </si>
  <si>
    <t>17:16</t>
  </si>
  <si>
    <t>24.06.2019 17:16</t>
  </si>
  <si>
    <t>@StayTunedPolls Religion, Abe Lincoln, Betty White, White privilege, Racism, Mental health, Doritos and 1000 island dressing are all mentioned and central themes. Think it's a great snapshot of human history (this is an obvious shitpost lol)</t>
  </si>
  <si>
    <t>Culture Curator</t>
  </si>
  <si>
    <t>17:15</t>
  </si>
  <si>
    <t>24.06.2019 17:19</t>
  </si>
  <si>
    <t>Bean dip &amp; flamin hoy Doritos so mfn good frfr</t>
  </si>
  <si>
    <t>Rae</t>
  </si>
  <si>
    <t>17:14</t>
  </si>
  <si>
    <t>24.06.2019 17:15</t>
  </si>
  <si>
    <t>@SunnyD1225 @RutiRegan @aLilNightMusing @ReganStephens She’s 5 now, and currently lying naked on the living room rug (after her water fight with Daddy), eating Doritos and watching Peppa Pig. She’s aces.</t>
  </si>
  <si>
    <t>Hannah</t>
  </si>
  <si>
    <t>Pacific</t>
  </si>
  <si>
    <t>17:12</t>
  </si>
  <si>
    <t>24.06.2019 17:17</t>
  </si>
  <si>
    <t>I gotta hop on Twitter more i feel like its more wild shit going on there 
_________________________________
#saltlife #memes #memesdaily #memesfordays #memorialdayweekend #boston #newyork #florida #horsepower #goat #lasvegas #doritos #j #catsofinstagram #catchup #getyousome #getyourweightup #getyouagirlthatcandoboth #headphones #headbands #head #skinny #blue #black #white #blacknwhite_perfection #fdt #dt</t>
  </si>
  <si>
    <t>Chill Please</t>
  </si>
  <si>
    <t>17:11</t>
  </si>
  <si>
    <t>24.06.2019 17:11</t>
  </si>
  <si>
    <t>@maranara08 @Doritos They're always available! You can find them at a store near you with our store locator or at our online store, both are at http://paqui.com</t>
  </si>
  <si>
    <t>Paqui Chips</t>
  </si>
  <si>
    <t>17:10</t>
  </si>
  <si>
    <t>24.06.2019 17:12</t>
  </si>
  <si>
    <t>@Densho Doritos Don Nacho :V</t>
  </si>
  <si>
    <t>Mr. X</t>
  </si>
  <si>
    <t>YOOOO!! I WANT THIS SO BADLY 
Doritos gives me the power to look like a damn fool in that spidey suit and not have a single care in the world ! 
Want to score this Limited-Edition Doritos Spidey Suit? Tell us what super power Doritos gives you using #IncognitoDoritos #Entry for the chance to win! Rules @ https://bit.ly/2MXEpdc Be sure to check out #SpiderManFarFromHome, in theaters July 2!</t>
  </si>
  <si>
    <t>litzy</t>
  </si>
  <si>
    <t>24.06.2019 17:10</t>
  </si>
  <si>
    <t>Shadowbringers is almost here! What are you doing to prepare? 
I'm picking up a lot of meals that are quick bakes and of course...let's not forget the main staple of doritos and soda~! Can't wait to begin the adventure as we walk in the Shadow of the Crystal together!</t>
  </si>
  <si>
    <t>DragonBlade719</t>
  </si>
  <si>
    <t>Пуэрто-Рико</t>
  </si>
  <si>
    <t>Punta Santiago</t>
  </si>
  <si>
    <t>17:08</t>
  </si>
  <si>
    <t>24.06.2019 17:08</t>
  </si>
  <si>
    <t>@spuddude7 @TheRealFunyuns In general or like a certain color of doritos?</t>
  </si>
  <si>
    <t>EthanCCG</t>
  </si>
  <si>
    <t>Royal Tunbridge Wells</t>
  </si>
  <si>
    <t>17:05</t>
  </si>
  <si>
    <t>24.06.2019 17:06</t>
  </si>
  <si>
    <t>@maranara08 @Doritos You can't get an official Scoville rating on chips, but our Haunted Ghost Pepper seasoning contains real ghost peppers which are around 1 million on the Scoville scale.</t>
  </si>
  <si>
    <t>I need a coffee and Doritos Dynamita.</t>
  </si>
  <si>
    <t>U-The-Maan™</t>
  </si>
  <si>
    <t>17:04</t>
  </si>
  <si>
    <t>24.06.2019 17:09</t>
  </si>
  <si>
    <t>Hol up  ❗️IGNORE TAGS ❗️#memes #offensivememes #funny #followforfollowback #jah #dankmemes #mlg #Doritos #instagram #TBT #gamer #fortnite #hot #gekyume</t>
  </si>
  <si>
    <t>Hamborger</t>
  </si>
  <si>
    <t>Южная Австралия</t>
  </si>
  <si>
    <t>Mount Pleasant</t>
  </si>
  <si>
    <t>;</t>
  </si>
  <si>
    <t>Центральный регион</t>
  </si>
  <si>
    <t>Madeirã</t>
  </si>
  <si>
    <t>quero doritos picante quero doritos picante quero doritos picante quero doritos picante quero doritos picante quero doritos picante quero doritos picante quero doritos picante quero doritos picante quero doritos picante quero doritos picante quero doritos picante</t>
  </si>
  <si>
    <t>luzia</t>
  </si>
  <si>
    <t>24.06.2019 17:05</t>
  </si>
  <si>
    <t>@hollgolds work out and doritos is still better than just doritos</t>
  </si>
  <si>
    <t>holls</t>
  </si>
  <si>
    <t>24.06.2019 17:04</t>
  </si>
  <si>
    <t>@GoBuckeyesOH Doritos. Coincidentally, I once had a cat named Dorito.</t>
  </si>
  <si>
    <t>Barbara Jean</t>
  </si>
  <si>
    <t>@kianscloudy i put my dick in a bag of doritos</t>
  </si>
  <si>
    <t>17:03</t>
  </si>
  <si>
    <t>Reps: Find Me Anywhere Working. #Detroit#Michigan#Atlanta#Chicago#Indiana#Minnesota#Ohio#Kentucky#Louisville##Arizona#Canada#Europe#Africa#Canada#NewYork#NewJersey</t>
  </si>
  <si>
    <t>2️⃣4️⃣G</t>
  </si>
  <si>
    <t>24.06.2019 17:07</t>
  </si>
  <si>
    <t>My dad opened my bag of cool ranch Doritos that I was saving.  still can’t have nothing in this household</t>
  </si>
  <si>
    <t>Bubble bath</t>
  </si>
  <si>
    <t>17:02</t>
  </si>
  <si>
    <t>An Hour Of Expedition (Conquerors Blade) Ep 1</t>
  </si>
  <si>
    <t>An Hour Of Expedition (Conquerors Blade) Ep 1
Hello, fellow Doritos! Today, I played Conquerors Blade. Its free on steam, so if you wanna play it yourself, you can get it! This is a fun medieval game, and I recommend it!</t>
  </si>
  <si>
    <t>Dorito Bandito</t>
  </si>
  <si>
    <t>24.06.2019 17:03</t>
  </si>
  <si>
    <t>In kindergarten my son eats "healthy" grains &amp; lots of fruits because the holy pyramid. Sometimes they even get jam or fruit yogurt because moderation. I have to tell him regularly that the best way to eat is how we eat at home - plain &amp; sans sucre ajouté.
@Rob_NBF Kids are living on Pop-Tarts, Nutella, Doritos, donuts, cake, chips... It's not the lack of exercice. It's the ultra-processed crap they eat all day long.</t>
  </si>
  <si>
    <t>Feriel K.</t>
  </si>
  <si>
    <t>17:01</t>
  </si>
  <si>
    <t>I put my dick in a bag of Doritos-
-
-
-
-
-
#MCR #mcr #frankiero #gerardway #mikeyway #raytoro #mychemicalromance #mcrmy #mychemicalromanceforever #geeismyhusband
#geeway #geesus #frnkiero #blackparade #dangerdays #ibroughtyoumybulletsyoubroughtmeyourlove #IBYMBYBMYL #mychem #mcrmemes #emotrinity #theblackparadeisdead #raytoroisgod #frankieromustdie #frankieroismyhero #mikeywayisbae #mikeywaymcr #thewaybrothers</t>
  </si>
  <si>
    <t>Mikey Ways jawline</t>
  </si>
  <si>
    <t>guitar,musical instrument</t>
  </si>
  <si>
    <t>music venue,rock concert,performance art,concert,stage,event,music,performance</t>
  </si>
  <si>
    <t>Lupe</t>
  </si>
  <si>
    <t>Unfortunatly, those are all BL*CK MUMBLE (C)RAPPERS, my nathan ! Id reccomend NF and half of logic !</t>
  </si>
  <si>
    <t>Never once rapped about cheetos fritos or Doritos</t>
  </si>
  <si>
    <t>Falcone24</t>
  </si>
  <si>
    <t>I'm rabidly and rapidly rapping wit cavities wit my faculty</t>
  </si>
  <si>
    <t>17:00</t>
  </si>
  <si>
    <t>Let’s get this (s)bread 
•
 lol I’m sorry but I had to  also why is @lildamra the most photogenic person ever Mashallah??
@hijabfashion @doritos @hijabmodern.fh @subway @martinellisco @hijabinstylemag @buildandbloom @dollartree @lildamra @portrait_shooterz @portraits_today @theworldofportraits @portrait_slam @talent.de @portsuniverse</t>
  </si>
  <si>
    <t>Lyanne</t>
  </si>
  <si>
    <t>Орегон</t>
  </si>
  <si>
    <t>Beaverton</t>
  </si>
  <si>
    <t>blanket,pillow,furniture,bed</t>
  </si>
  <si>
    <t>bedroom</t>
  </si>
  <si>
    <t>24.06.2019 21:47</t>
  </si>
  <si>
    <t>Cheesy Chicken Doritos Casserole
An easy, cheesy creamy chicken casserole- this one features chopped chunks of rotisserie chicken, diced tomatoes and green chilies, and one of America's favorite snack chips.
Please say something when you see the recipe! Saying ANYthing is good, it helps you continue seeing my posts! Thank you!
Full recipe : https://foodloverscommunity.blogspot.com/2016/11/chicken-casserole-recipe.html
Pint for later : https://www.pinterest.com/pin/601723200194606546/
https://www.facebook.com/Foodloverscommunity1/photos/a.1557815441178872/2074240779536333/?type=3</t>
  </si>
  <si>
    <t>Food &amp; Drink</t>
  </si>
  <si>
    <t>pizza,baked goods,cookware and bakeware,food</t>
  </si>
  <si>
    <t>16:58</t>
  </si>
  <si>
    <t>Doritos presente #PRIDE #OUT and #PROUD
#DesbloqueemosElAmor con besitos sabor Doritos® Rainbow, ¿va?</t>
  </si>
  <si>
    <t>Jorge Castillo</t>
  </si>
  <si>
    <t>Агуаскальентес</t>
  </si>
  <si>
    <t>24.06.2019 16:59</t>
  </si>
  <si>
    <t>Smith_dclx</t>
  </si>
  <si>
    <t>North Shields</t>
  </si>
  <si>
    <t>16:56</t>
  </si>
  <si>
    <t>24.06.2019 17:00</t>
  </si>
  <si>
    <t>@Trinaaballerina On a cooking or food themed show.. sure eating is fine. But on an art or video game stream it looks slack and unprofessional to me. You don't see tv hosts eating Doritos while they talk. I take a short break and have my webcomic play when afk</t>
  </si>
  <si>
    <t>Xhojin</t>
  </si>
  <si>
    <t>16:55</t>
  </si>
  <si>
    <t>24.06.2019 17:02</t>
  </si>
  <si>
    <t>@mareejuanaaa @Doritos kya yaar
poora bachpan ye sun kr bari hui hun k kurkure m plastic hota ha</t>
  </si>
  <si>
    <t>psychicc</t>
  </si>
  <si>
    <t>16:54</t>
  </si>
  <si>
    <t>24.06.2019 16:58</t>
  </si>
  <si>
    <t>Monday dinner 
Homemade bean chilli from the weekend and chilli heatwave Doritos.
#vegan #accidentallyveganuk #doritos #plantbased #poweredbyplants #treatyoself</t>
  </si>
  <si>
    <t>Good Life Vegan</t>
  </si>
  <si>
    <t>fast food,junk food,food,fried food</t>
  </si>
  <si>
    <t>16:53</t>
  </si>
  <si>
    <t>taylor</t>
  </si>
  <si>
    <t>I just tasted T H E nasties chips ever in my LIFE. @Doritos “blaze”  my breath stank so mf bad!!!!!</t>
  </si>
  <si>
    <t>Shara Danee</t>
  </si>
  <si>
    <t>24.06.2019 16:57</t>
  </si>
  <si>
    <t>ain’t never just get this nauseous after eating some Doritos</t>
  </si>
  <si>
    <t>melanie</t>
  </si>
  <si>
    <t>Azerbaijan</t>
  </si>
  <si>
    <t>@MrPeanut Doritos</t>
  </si>
  <si>
    <t>Evan Durica</t>
  </si>
  <si>
    <t>24.06.2019 16:55</t>
  </si>
  <si>
    <t>Chels</t>
  </si>
  <si>
    <t>ASMR DORITOS COOL RANCH</t>
  </si>
  <si>
    <t>ASMR DORITOS COOL RANCH
Delish</t>
  </si>
  <si>
    <t>Travis</t>
  </si>
  <si>
    <t>24.06.2019 16:54</t>
  </si>
  <si>
    <t>@fragilethot @Doritos THEY WONT LET ME BUY EM ANYMORE</t>
  </si>
  <si>
    <t>WONDER WOMAN</t>
  </si>
  <si>
    <t>Минас-Жерайс</t>
  </si>
  <si>
    <t>Cristiano Otoni</t>
  </si>
  <si>
    <t>24.06.2019 16:53</t>
  </si>
  <si>
    <t>fucking love Doritos but fuck me they dinna half make the salsa tubs impossible to open</t>
  </si>
  <si>
    <t>16:52</t>
  </si>
  <si>
    <t>THE best crewneck sweatshirt we have had in a while. Official #doritos merch printed on a classic black #jerzees pullover. Size M. $42</t>
  </si>
  <si>
    <t>VacationSF Vintage Instashop</t>
  </si>
  <si>
    <t>24.06.2019 16:52</t>
  </si>
  <si>
    <t>@Rob_NBF Kids are living on Pop-Tarts, Nutella, Doritos, donuts, cake, chips... It's not the lack of exercice. It's the ultra-processed crap they eat all day long.</t>
  </si>
  <si>
    <t>MadPharmacist</t>
  </si>
  <si>
    <t>16:51</t>
  </si>
  <si>
    <t>️‍ #doritos #rainbow #colors #pride #3doritosdespues #whitheandblack #colorschips
@doritos</t>
  </si>
  <si>
    <t>Cabrera | ♐✈️‍</t>
  </si>
  <si>
    <t>EN EFSANE SURVİVAL SUNUCU | ANDRCRAFT | w/- Minecraft</t>
  </si>
  <si>
    <t>burak oyunda 4,
conconcraft bay doktor,
conconcraft camelot,
conconcraft canlı,
conconcraft cekik,
conconcraft cami,
conconcraft camelot un ihaneti,
conconcraft callum,
conconcraft canlı yayın 1,
conconcraft canlı yayın 2,
conconcraft cami yapımı,
conconcraft camelot un ihaneti #37 (minecraft dizi),
conconcraft çekik,
conconcraft çiğköfteci,
conconcraft doktor burak,
conconcraft dizi,
conconcraft dr falkor,
conconcraft dükkan,
conconcraft doğan şahin,
conconcraft deadpies 1,
conconcraft dondurmacı,
conconcraft deadpies,
conconcraft doritos</t>
  </si>
  <si>
    <t>MuhammedGG</t>
  </si>
  <si>
    <t>16:50</t>
  </si>
  <si>
    <t>25.06.2019 01:54</t>
  </si>
  <si>
    <t>.
.
.
.
.
.
#like4likee #like4follows#like4like#like4alike#like4forlike#like4followbackfast#follow4follow#follow4tags#followforshoutout#likeforfollow#commentforcomment#comment4likes#comment4comment#comment4commentback#viral#trending</t>
  </si>
  <si>
    <t>2 Öwnèrš (Dréâ&amp;Rïäh)</t>
  </si>
  <si>
    <t>confectionery,fast food,convenience food,food,junk food,snack</t>
  </si>
  <si>
    <t>16:43</t>
  </si>
  <si>
    <t>24.06.2019 16:48</t>
  </si>
  <si>
    <t>What’s your favorite Doritos?!? Mine are salsa verde.
.
.
.  @amandavochoa
.
.
.
.
.
#doritos #spidermanfarfromhome #spiderman #fritolay #spidermancosplay #cosplay
@doritos @spidermanmovie @fritolay</t>
  </si>
  <si>
    <t>Ultimatespideyy Cosplay</t>
  </si>
  <si>
    <t>-Woah,i want a dog like this-
----------------------------------------------------------------------------
- Follow (@rktkz) for more-
----------------------------------------------------------------------------
-OWNER:@lerry_scouty -
-Comment below-
----------------------------------------------------------------------------
#explorepage #viral #explore #hahaha #comedy #funny #memes #meme #lol #funnymemes #dankmemes #memesdaily #humor #follow #memesensation #hilarious #lmao #like #followforfolliw #rktkz #memeedits #dancing #memestagram #memepage #relatable
@kkdizzy_ @iamdjino_djix @ft_corn_flakes @x._.adri @lil._.doritoz @dfw._.nicko @_.ok.pablo @_lobung_ @__jakil__ @38.siah @stacyxoxo7 @g_memes_yeet @bills.arii</t>
  </si>
  <si>
    <t>|EDITS|COMEDY|6.1k|</t>
  </si>
  <si>
    <t>24.06.2019 16:44</t>
  </si>
  <si>
    <t>Smiles, Love, Pride &amp; Doritos .
.
.
#pridemonth #pride #gay #boy #love #smiles #instagay #doritosrainbow #rainbow #lustforlife #happy #amor #❤
@mkonigen @doritosbrasil</t>
  </si>
  <si>
    <t>Dan</t>
  </si>
  <si>
    <t>friendship</t>
  </si>
  <si>
    <t>24.06.2019 16:45</t>
  </si>
  <si>
    <t>Niki Marie</t>
  </si>
  <si>
    <t>Gateshead</t>
  </si>
  <si>
    <t>16:42</t>
  </si>
  <si>
    <t>24.06.2019 16:43</t>
  </si>
  <si>
    <t>Katkat</t>
  </si>
  <si>
    <t>Thailand</t>
  </si>
  <si>
    <t>J.J. Abrams Is Writing a Brand New Spider-Man Comic With His Son</t>
  </si>
  <si>
    <t>favorite videos. If he tires of electronics, Tristan would have to face the consequences of his misbehavior by reading one of the dozens of comic books he has or by playing with some of his action figures, housed in three large boxes in his closet.
Conceived as a tough-love punishment, Tristan could be in this blissfully peaceful wonderland for hours. Should he come perilously close to missing a meal, he would be forced to survive on an impressive stash of leftover Easter candy and multiple open bags of Doritos.
One hour into the sentence, his dad</t>
  </si>
  <si>
    <t>Jordan Stratton</t>
  </si>
  <si>
    <t>thedad.com</t>
  </si>
  <si>
    <t>16:41</t>
  </si>
  <si>
    <t>24.06.2019 16:51</t>
  </si>
  <si>
    <t>Doritos A &amp; B ↩️</t>
  </si>
  <si>
    <t>24.06.2019 16:41</t>
  </si>
  <si>
    <t>I put my dick in a bag of Doritos</t>
  </si>
  <si>
    <t>Camryn</t>
  </si>
  <si>
    <t>24.06.2019 16:47</t>
  </si>
  <si>
    <t>Doritos Incógnito↩️</t>
  </si>
  <si>
    <t>Doritos Cool American ↩️</t>
  </si>
  <si>
    <t>24.06.2019 16:50</t>
  </si>
  <si>
    <t>Doritos Jumpin' Jack Cheese ↩️</t>
  </si>
  <si>
    <t>fast food,snack,food,junk food</t>
  </si>
  <si>
    <t>@theriverssbend @ThomasSanders Me too except prob in a different way. Blankets, popcorn and Doritos, and a cord to project my pc onto the TV. I just need the fort and I’m good to go. :) lets DO THIS</t>
  </si>
  <si>
    <t>Cleo</t>
  </si>
  <si>
    <t>a totally (un)necesary thread of #2wish as Doritos ↘️</t>
  </si>
  <si>
    <t>Doritos Wasabi ↩️</t>
  </si>
  <si>
    <t>@_allisonlynnnn @pazpaz @aalvidrez24 Yo imagine all the fiery Doritos locos tacos we could get...</t>
  </si>
  <si>
    <t>moD</t>
  </si>
  <si>
    <t>Anyone else still put Doritos in their sandwiches?  #doritostapatio #happymonday #happylunchtime</t>
  </si>
  <si>
    <t>Amber</t>
  </si>
  <si>
    <t>fried food,bun,junk food,food,fast food,sandwich</t>
  </si>
  <si>
    <t>It’s a @Doritos bag that turns into a Spider-Man suit? We’re truly living in the future. http://www.IncognitoDoritos.com
Want to score this Limited-Edition Doritos Spidey Suit? Tell us what super power Doritos gives you using #IncognitoDoritos #Entry for the chance to win! Rules @ https://bit.ly/2MXEpdc Be sure to check out #SpiderManFarFromHome, in theaters July 2!</t>
  </si>
  <si>
    <t>Danny Morfin</t>
  </si>
  <si>
    <t>Риверсайд</t>
  </si>
  <si>
    <t>16:40</t>
  </si>
  <si>
    <t>24.06.2019 16:46</t>
  </si>
  <si>
    <t>Bought a bag of nacho cheese Doritos and I cannot stop eating them. Damn they are good!</t>
  </si>
  <si>
    <t>J.</t>
  </si>
  <si>
    <t>john</t>
  </si>
  <si>
    <t>@maranara08 @Doritos Is this a serious question? #doritosflaminNOT</t>
  </si>
  <si>
    <t>@Wistles_ Ok but that lil ahhh bag , also get Doritos Dinamitas them bitches dat</t>
  </si>
  <si>
    <t>Cross</t>
  </si>
  <si>
    <t>@TaReefKnockOut Don’t don’t if you ever tired these but bro, back in the day @Doritos made a flavor called Baja Picante. They looked like cool ranch but were insanely hot. I would trick my friends at lunch all the time lol. Those were really good. Wish they’d bring those back!!</t>
  </si>
  <si>
    <t>Trill Will™</t>
  </si>
  <si>
    <t>Таллахасси</t>
  </si>
  <si>
    <t>kátia sonsa</t>
  </si>
  <si>
    <t>Poço Fundo</t>
  </si>
  <si>
    <t>pringles and salsa
Doritos, Max Strong or Sensations? RT + Reply with your favourite summer snack for the chance to #WIN an Amazon Echo or a case of crisps!  
Closes 25th June, T&amp;Cs: https://bit.ly/2ImAjqN</t>
  </si>
  <si>
    <t>karla gold</t>
  </si>
  <si>
    <t>16:39</t>
  </si>
  <si>
    <t>Totemfit fc vs doritos fc</t>
  </si>
  <si>
    <t>Totemfit fc vs doritos fc
Seguidme en instagram samayelcrak</t>
  </si>
  <si>
    <t>samay el crak</t>
  </si>
  <si>
    <t>grass,sports</t>
  </si>
  <si>
    <t>marcus_maxximista</t>
  </si>
  <si>
    <t>Ham-les-Moines</t>
  </si>
  <si>
    <t>16:36</t>
  </si>
  <si>
    <t>When its a #Nachos kinda night!
.
.
.
#dinner #lunch #breakfast #MissCanCook #salad #foodlover #healthyfood #instafood #bulking #healthyeating #health #fitnessfood #homemadefood #homecooking #followme #foodgasmic #foodieforlife #lovetoeat #lovecooking #chefs #chefslife #chefinthemaking #foodgasam #foodphotography #desigirl
@doritos @australianavocados @lilydalefreerange @cooncheeseaus</t>
  </si>
  <si>
    <t>Miss.Hajrat</t>
  </si>
  <si>
    <t>Тувумба</t>
  </si>
  <si>
    <t>catching up with @rwfpodcast and Grant has me dying with his rant about the straight pride parade 
"WHAT ARE YOU CELEBRATING LIKE CONFEDERACY AND DORITOS AND LACK OF DEODORANT?!"</t>
  </si>
  <si>
    <t>Ramona Singer stan account</t>
  </si>
  <si>
    <t>16:34</t>
  </si>
  <si>
    <t>24.06.2019 16:38</t>
  </si>
  <si>
    <t>Welcome to my world 
____________________________________________
#foodporn #food #foodphotography #cereals #doritos #oreo #junkfood #cinnamontoastcrunch #cinnamonrolls #italianfood #italia #italianfoodporn #italianfoodlover #italianfoodblogger #italianfoodphotography #junkfood #mcdonalds #foodtraveller #foodography #foodpornshare #supermarket #nodiet #diet #americanfood #reese #cheesecake #milkshake #hungry</t>
  </si>
  <si>
    <t>Always Hungry</t>
  </si>
  <si>
    <t>toy,frozen food,shopping cart,natural foods,junk food,food,snack,convenience food</t>
  </si>
  <si>
    <t>bazaar,market,marketplace,supermarket</t>
  </si>
  <si>
    <t>16:33</t>
  </si>
  <si>
    <t>Mother of Hurricanes</t>
  </si>
  <si>
    <t>Эксетер</t>
  </si>
  <si>
    <t>24.06.2019 16:36</t>
  </si>
  <si>
    <t>Just eaten a bag of Lime and Chili Doritos... life doesn’t get any better...</t>
  </si>
  <si>
    <t>Pheobe</t>
  </si>
  <si>
    <t>Колчестер</t>
  </si>
  <si>
    <t>24.06.2019 16:34</t>
  </si>
  <si>
    <t>✵⎊ Kristina ✵⎊</t>
  </si>
  <si>
    <t>Lithuania</t>
  </si>
  <si>
    <t>16:31</t>
  </si>
  <si>
    <t>25.06.2019 01:35</t>
  </si>
  <si>
    <t>If this ain’t it  .
-
For more follow ((@poppin.brazys )) 
-
- #braceface #fff #explorepage #explore #likes #school #lipgloss #entertainment #true #followforfollowback #ongod #girlswholikegirls
@poppin.brazys</t>
  </si>
  <si>
    <t>Issa Spam Hoe !</t>
  </si>
  <si>
    <t>Bolivia (Plurinational State of)</t>
  </si>
  <si>
    <t>Cochabamba</t>
  </si>
  <si>
    <t>Pandoja</t>
  </si>
  <si>
    <t>16:30</t>
  </si>
  <si>
    <t>24.06.2019 16:32</t>
  </si>
  <si>
    <t>Hanging with my furmommas god daughter. We both got that look like we are doing something wrong. (I found out what cheese Doritos taste like because of her ).
.
.
#partnersincrime #doritos #cheesedoritos  #harleysue #shestakingice #waitingpatiently #dogsofinstagram #labradoodlesofinstagram #lablife #minilab #notsomini #summertime</t>
  </si>
  <si>
    <t>Goofy</t>
  </si>
  <si>
    <t>24.06.2019 16:31</t>
  </si>
  <si>
    <t>Chased down a muddy ass stray dog at the dirtbike track yesterday to give it doritos &amp; water in 104°  this bleeding heart of mine is gonna get me killed one day</t>
  </si>
  <si>
    <t>Ash</t>
  </si>
  <si>
    <t>Kenya</t>
  </si>
  <si>
    <t>Nakuru</t>
  </si>
  <si>
    <t>Maili Kumi</t>
  </si>
  <si>
    <t>16:29</t>
  </si>
  <si>
    <t>24.06.2019 16:30</t>
  </si>
  <si>
    <t>XOMA (XOMA) Reaches $15.66 After 8.00% Down Move; Pepsico (PEP) Sentiment Is 0.94</t>
  </si>
  <si>
    <t>Key Energy Services, XOMA, Goldman Sachs BDC, Echo Global Logistics, Ellington RThe move comes after 6 months negative chart setup for the $136.62 million company. It was reported on Jun, 24 by Barchart.com. We have $14.41 PT which if reached, will make NASDAQ:XOMA worth $10.93 million less.
PepsiCo, Inc. operates as a food and beverage firm worldwide. The company has market cap of $188.08 billion. The Company’s Frito-Lay North America segment offers LayÂ’s and Ruffles potato chips; Doritos, Tostitos, and Santitas tortilla chips; and Cheetos</t>
  </si>
  <si>
    <t>Hotchkiss Carlos</t>
  </si>
  <si>
    <t>16:28</t>
  </si>
  <si>
    <t>24.06.2019 16:40</t>
  </si>
  <si>
    <t>I love elote  It’s Mexican style grilled corn. First smothered in mayonnaise and or crema with other seasonings then topped. The white one was an original, with just cotija cheese. Mine had cotija and doritos the other 2 had flaminhotcheetos  #elote #elotes #elotes #flaminhotcheetos #doritos #corn #mexicanfood #mexicanstreetcorn #mexicanstreetfood #mexicanstyle #foodtrucks #foodtruckfestival #detroit #cotija #grilledcorn #grilledcornonthecob #grilledcornsnack #grilledcornmexicanstyle
@ol1v3rjh @rodnaroni</t>
  </si>
  <si>
    <t>Christina Phuong Nguyen</t>
  </si>
  <si>
    <t>fried food,meat,food</t>
  </si>
  <si>
    <t>16:27</t>
  </si>
  <si>
    <t>anybody need a basket for an occasion? birthday? anniversary? mother’s day? father’s day? etc. 
INBOX ME ASAP
Payments for baskets are to be paid UPFRONT 
Baskets takes 3 days to be completed 
#baskets #polo #calvinklein #calvinkleinunderwear #lacoste #dovemensportcare #hennessy #tommyhilfiger #doritos #skittles #michaelkors #backwoods #lemonheads #namebrand #moneyupfront #inboxme #likeforlikes #follow4followback #comment4comment</t>
  </si>
  <si>
    <t>16:25</t>
  </si>
  <si>
    <t>24.06.2019 16:49</t>
  </si>
  <si>
    <t>I’m in Amsterdam with @futurewomenx on a four day leadership expedition. Yesterday was so intense that all I could do was go back to my little bed in the houseboat and be dead to the world. Today was so joyful and inspiring that all I can do is sit on my boat - watch the sun set and feel grateful. It’s 10pm and it’s still light and bright. Swimmers are getting their laps in and cats are running around the roads. Weird birds with orange beaks are nibbling at left behind Doritos. I hear gentle laughter, muffled voices, and the water lapping by</t>
  </si>
  <si>
    <t>Jinal Shah</t>
  </si>
  <si>
    <t>Netherlands</t>
  </si>
  <si>
    <t>Северная Голландия</t>
  </si>
  <si>
    <t>Амстердам</t>
  </si>
  <si>
    <t>vehicle,bicycle</t>
  </si>
  <si>
    <t>transport,lane,city,street,road,cycle sport</t>
  </si>
  <si>
    <t>Nacho Cheese Doritos are the greatest chips on this planet</t>
  </si>
  <si>
    <t>Kimani Buff Rabsatt</t>
  </si>
  <si>
    <t>24.06.2019 16:29</t>
  </si>
  <si>
    <t>There’s absolutely nothing revolutionary about spicy chicken but a fucking taco made out of Doritos absolutely changed the game and made Taco Bell decent for the first time ever</t>
  </si>
  <si>
    <t>John Bove</t>
  </si>
  <si>
    <t>Smithtown</t>
  </si>
  <si>
    <t>@perseuzinPJL KKKKKKKKKKKKKKKKKKKKKKK AI EU CHUPO O DEDO DELE COM O PÓZIN DO DORITOS E ELE CHUPA O MEU</t>
  </si>
  <si>
    <t>Porto✈</t>
  </si>
  <si>
    <t>16:24</t>
  </si>
  <si>
    <t>24.06.2019 16:25</t>
  </si>
  <si>
    <t>@Gladkill @PresidentYAYter @changobus26 @AOC But this does required educated consumers which many Americans are too lazy to do. So they want big brother, rely on it, and big brother lies to them, tells them what they want to hear... Doritos are SAFE... LOL. They taste good, but they're straight up poison. FDA approved tho.</t>
  </si>
  <si>
    <t>Clara Belle</t>
  </si>
  <si>
    <t>Which Doritos is your favorite?</t>
  </si>
  <si>
    <t>狼 Wolf</t>
  </si>
  <si>
    <t>24.06.2019 16:24</t>
  </si>
  <si>
    <t>Coca-cola y Doritos</t>
  </si>
  <si>
    <t>Jesus Stark️</t>
  </si>
  <si>
    <t>Matabeleland North</t>
  </si>
  <si>
    <t>Lonely Mine</t>
  </si>
  <si>
    <t>@people on this sub who keep posting pictures of conceptual modern art</t>
  </si>
  <si>
    <t>Summer Reddit in full effect in these comments. Bunch of high schoolers who think they're more talented than accomplished artists when in reality they sit around eating Doritos, playing Minecraft, and shitposting on the internet.</t>
  </si>
  <si>
    <t>liedel</t>
  </si>
  <si>
    <t>Delusional Artists</t>
  </si>
  <si>
    <t>16:23</t>
  </si>
  <si>
    <t>@goldenwestcafe has the magic touch when it comes to vegan comfort food in Baltimore. Ya’ll know I ain’t vegan, but I appreciate good food, and this vegan elote hot dog is no exception. It’s corn roasted over an open grill and tossed  with red onion, scallions, red pepper, chile powder, parmesan, lime juice, and mayonnaise topped with crumbled in-house made vegan Doritos and scallions (was that a run-on sentence?). If you ever catch it on their specials menu, you gotta try it  Who else loves the vegan food at @goldenwestcafe? ❤️
@goldenwestcafe @chrisbehavin69 @vegan</t>
  </si>
  <si>
    <t>Baltimore Food Guide &amp; Beyond</t>
  </si>
  <si>
    <t>fast food,pizza,junk food,appetizer,food</t>
  </si>
  <si>
    <t>16:20</t>
  </si>
  <si>
    <t>24.06.2019 16:23</t>
  </si>
  <si>
    <t>WPTA-21/ABC Commercial Breaks(3/7/1999)(Part 3)</t>
  </si>
  <si>
    <t>WPTA-21/ABC Commercial Breaks(3/7/1999)(Part 3)
Part 3 is in session and here are the commercial breaks that aired on ABC during the movie "Ed", And in order:
Break #1:
1. 1. McDonald's preview bumper for "The Wonderful World of Disney"
2. Promo for the movie "Matilda"
3. McDonald's Happy Meal
4. Wal-Mart
5. Huggies Supreme
6. Smoky Red Barbecue Doritos
7. Sprint
8. Post Selects Cereals
9. Bumper for "The Wonderful World of Disney"
Break #2:
10. "Pokémon" Red and Blue version video games for Nintendo Game Boy Color
11. Tartar Control</t>
  </si>
  <si>
    <t>TheCommercialBreakArchives</t>
  </si>
  <si>
    <t>CHAMMOND1992 said:
But what if I don't like hardcore mode, and never have in any BF series? What if 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Then you will to play with less and less players ... and a lot of bugs ... because there is no money ... because nobody buys the game ...
What you want, too few players like and kills the game.
Maybe the new CoD is a good idea for you? 1</t>
  </si>
  <si>
    <t>NLBartmaN</t>
  </si>
  <si>
    <t>16:17</t>
  </si>
  <si>
    <t>24.06.2019 16:22</t>
  </si>
  <si>
    <t>Jubish</t>
  </si>
  <si>
    <t>16:16</t>
  </si>
  <si>
    <t>هنّادي</t>
  </si>
  <si>
    <t>Just finished this doritos in the morning type beat https://youtu.be/ON_Kbob1ZDA</t>
  </si>
  <si>
    <t>Arno</t>
  </si>
  <si>
    <t>Гент</t>
  </si>
  <si>
    <t>@kyIerayner and cheat on doritos!?</t>
  </si>
  <si>
    <t>vento except cowboys</t>
  </si>
  <si>
    <t>24.06.2019 16:20</t>
  </si>
  <si>
    <t>“Mentiroso”.
3 DORITOS DESPUÉS....</t>
  </si>
  <si>
    <t>AlexXxPerez</t>
  </si>
  <si>
    <t>presentation,conversation,television program,official,speech,news conference,news</t>
  </si>
  <si>
    <t>jennie stallard</t>
  </si>
  <si>
    <t>25.06.2019 01:22</t>
  </si>
  <si>
    <t>Am I the only one that remembers the first grade thing when everyone had the angry birds shirts?  •
•
•
•
•
•
•
•
#nichememes #niche moodboardaccount #memes #explore #outfitinspo #fashion #aesthetic #tumblr #moodboard #gain #music #style #popular #trend #grunge #clothes #png #moodboards #society</t>
  </si>
  <si>
    <t>niche</t>
  </si>
  <si>
    <t>24.06.2019 16:17</t>
  </si>
  <si>
    <t>I just watched a video of a mf use Doritos instead of lighter fluid</t>
  </si>
  <si>
    <t>Heartless.</t>
  </si>
  <si>
    <t>@NisaLocally Doritos and Hummus❤️❤️</t>
  </si>
  <si>
    <t>erika mayers</t>
  </si>
  <si>
    <t>16:13</t>
  </si>
  <si>
    <t>24.06.2019 16:15</t>
  </si>
  <si>
    <t>Ol mr crBs arg arg.
.
.
.
.
.
.
.
.
.
cringememes #shittymemes #wetchips #badimages ##ph #pornhub #pornhubmemes  #nolife #doggo #ss #dogmemes #dogememes  #spongebob #spongebobmemes #mrcrabs #arg #spongebobsquarepants #sweetchilli #wetdreams #moistimages #meme #dankmeme #Doritos #soggiecookie #memepage  #memes</t>
  </si>
  <si>
    <t>Soooo.. last week I was doing so well with my eating.. then Thursday hit and BAM.. wine, full bag of Doritos. Then Friday arrived BAM.. wine, full back of Doritos. Oh hey Saturday.. let’s try be good.. BAM Indian take away (although I always have a mixed grill so just meat) Sunday arrives.. I run my 10k.. BAM, donut biscuit rings, chocolate buttons, wine ‍♀️ so when I stepped on the scales this morning it should have come as no surprise I’ve put on 3lbs!! Fuck... ‍♀️ I ran 12 miles altogether this week with a 10 mile bike ride... I</t>
  </si>
  <si>
    <t>Lou</t>
  </si>
  <si>
    <t>shoe,leggings,shorts,clothing</t>
  </si>
  <si>
    <t>marathon</t>
  </si>
  <si>
    <t>16:12</t>
  </si>
  <si>
    <t>To eat nothing but crisps for a week? Would I die?</t>
  </si>
  <si>
    <t>Oh my god I would love to do this , not to put myself off crisps , just to eat them! Love them
I would have a mix of Jonny onion rings, kings, Doritos - blue pack, chickadees, scampi fries, bacon fries, skips, waffles, bbq hula hoops, cheese balls and maybe cheese puffs
Good luck op, you’re my new idol</t>
  </si>
  <si>
    <t>GiveMeAllTheGin8</t>
  </si>
  <si>
    <t>mumsnet.com</t>
  </si>
  <si>
    <t>AIBU?</t>
  </si>
  <si>
    <t>16:10</t>
  </si>
  <si>
    <t>Pedro e seu snak favorito ! Doritos 
#elmachips 
#doritos 
#uruguai 
#vanlife 
#roadtrip 
#viajantes 
#viajeiros 
#viajandodemotorhome 
#wanderlust 
#conaprole 
#familyphotography 
#adventure 
#roadadventure</t>
  </si>
  <si>
    <t>Viver em KM</t>
  </si>
  <si>
    <t>San José</t>
  </si>
  <si>
    <t>Capurro</t>
  </si>
  <si>
    <t>16:09</t>
  </si>
  <si>
    <t>24.06.2019 16:10</t>
  </si>
  <si>
    <t>i wish they made doritos dinamita flat instead of rolled they would be bomb</t>
  </si>
  <si>
    <t>16:08</t>
  </si>
  <si>
    <t>25.06.2019 01:05</t>
  </si>
  <si>
    <t>No lies. 
#popular #populargirlsatmyschool #populargirls #girls #beautifulgirls #school #schoolmemes #niche #nichememes #nichememeaccounts #nichememeaccount #nichebaby #funny #hair #nailart #beauty</t>
  </si>
  <si>
    <t>Niche</t>
  </si>
  <si>
    <t>McDonalds,Doritos</t>
  </si>
  <si>
    <t>16:07</t>
  </si>
  <si>
    <t>Today's food Mackerel (1.5 syn), scrambled egg, spinach and tomatoes. 
Picky lunch of gammon, mini quiche (1 syn), cucumber, sugar snap peas and picked onions.
Tea was chilli, boiled rice and 7.5 syns of cheesy doritos. #swhull #slimmingworldjourney #slimmingworldhull #hullslimmingworld #hullslimmers #foodie #foodissues</t>
  </si>
  <si>
    <t>Joanne Talbot</t>
  </si>
  <si>
    <t>meal,appetizer,garnish,salad,vegetable,food</t>
  </si>
  <si>
    <t>16:04</t>
  </si>
  <si>
    <t>24.06.2019 16:08</t>
  </si>
  <si>
    <t>When mom doesnt notice the doritos in the basket</t>
  </si>
  <si>
    <t>When mom doesnt notice the doritos in the basket
Song: the git up</t>
  </si>
  <si>
    <t>Al From Al's Toy Barn</t>
  </si>
  <si>
    <t>16:02</t>
  </si>
  <si>
    <t>24.06.2019 16:12</t>
  </si>
  <si>
    <t>I suddenly want Doritos and salsa. But I don’t have chips, because in order to avoid eating them, I didn’t buy them. I’m also too lazy to drive to the store to get some. So basically my diet technique is working.</t>
  </si>
  <si>
    <t>Colie ⚡️</t>
  </si>
  <si>
    <t>المنطقة الشرقية</t>
  </si>
  <si>
    <t>طول</t>
  </si>
  <si>
    <t>@bidettt
WE ARE OUT OF DORITOS KAREN</t>
  </si>
  <si>
    <t>PIPER DAY</t>
  </si>
  <si>
    <t>24.06.2019 16:11</t>
  </si>
  <si>
    <t>@nigel_hove
Doritos encourages Cobrizo to dream big but this how big he can go  #TheRiver1Magic</t>
  </si>
  <si>
    <t>Kelvin Thabiso Hove</t>
  </si>
  <si>
    <t>I murdered these Doritos. I’m starving</t>
  </si>
  <si>
    <t>lil ma</t>
  </si>
  <si>
    <t>MetLife Investment Advisors LLC Cuts Stake in PepsiCo, Inc. (NASDAQ:PEP)</t>
  </si>
  <si>
    <t>sell rating, ten have issued a hold rating, twelve have given a buy rating and one has given a strong buy rating to the stock. PepsiCo presently has an average rating of “Buy” and an average target price of $124.65.
PepsiCo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</si>
  <si>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Clark Linder</t>
  </si>
  <si>
    <t>16:01</t>
  </si>
  <si>
    <t>24.06.2019 16:06</t>
  </si>
  <si>
    <t>A handful of Doritos will do a beautiful job of starting a fire! Who knew?! ⠀
.⠀
.⠀
.⠀
#barrieKOA #camp #camping #barrie #simcoecounty #love #happy #camper #barriekoa #KOA #springwater #cityescape #nature #naturelover #earth</t>
  </si>
  <si>
    <t>Barrie KOA Campground</t>
  </si>
  <si>
    <t>Барри</t>
  </si>
  <si>
    <t>24.06.2019 16:03</t>
  </si>
  <si>
    <t>Roque❤</t>
  </si>
  <si>
    <t>New research has found that Cannnabidiol is active against Gram-positive bacteria, including those responsible for many serious infections (such as Staphyloccocus aureus and Streptococcus pneumoniae), with potency similar to that of established antibiotic</t>
  </si>
  <si>
    <t>Sounds like we need to “smoke out” hospitals, like Cheech and Chong’s VW van.
Pretty sure society will find willing and able volunteers for this important task! It’s just how many pizzas, donuts, and Doritos need to be budgeted...</t>
  </si>
  <si>
    <t>IronyElSupremo</t>
  </si>
  <si>
    <t>Future(s) Studies</t>
  </si>
  <si>
    <t>16:00</t>
  </si>
  <si>
    <t>Have you used Doritos in a casserole before? 
I love Doritos and I love casseroles, so I think this might be a perfect match! ⤵️
https://www.facebook.com/homecookedrecipes/videos/1949222091867045/
Home Cooked Recipes
Dorito Casserole is one meal my whole family loves!
https://www.spendwithpennies.com/layered-doritos-casserole/</t>
  </si>
  <si>
    <t>Simple Family Recipes</t>
  </si>
  <si>
    <t>15:57</t>
  </si>
  <si>
    <t>Please sponsor me Doritos I'm broke and  Doing DVA cosplay at home surely felt weird but it was fun! Pictures took on my phone and no edit cuz I got lazy lol. 
Big thank you to @twintailcosplays
For the support and confidence boost that I needed love you! ❤️
#dva #D.VA #overwatch #overwatchcosplay #dvacosplay #dvaoverwatch #cosplay #casualdva #casualdvacosplay #cosplaynoob #doritos</t>
  </si>
  <si>
    <t>Zuza</t>
  </si>
  <si>
    <t>25.06.2019 10:22</t>
  </si>
  <si>
    <t>fragile little snowflakes</t>
  </si>
  <si>
    <t>And yet you felt compelled to post this...
Maybe chill. Shhh. Shh. Breath.Go back to eating Doritos and watching amazing atheist. Hush now. There ya go.</t>
  </si>
  <si>
    <t>Smoogy</t>
  </si>
  <si>
    <t>TrollX: You are now doing kegels.</t>
  </si>
  <si>
    <t>15:56</t>
  </si>
  <si>
    <t>24.06.2019 15:57</t>
  </si>
  <si>
    <t>@Doritos gives me the super power of silence! Cus when we need some quiet time from kids screaming and being loud, we open a bag of Doritos and Boom! All of a sudden kids are attentive, quiet and actually quite pleasant... at least until the bag is empty
#IncognitoDoritos #entry</t>
  </si>
  <si>
    <t>Mark-Anthony Padua</t>
  </si>
  <si>
    <t>15:52</t>
  </si>
  <si>
    <t>Mini memes #2</t>
  </si>
  <si>
    <t>Mini memes #2
Eeeee</t>
  </si>
  <si>
    <t>Harvey spink</t>
  </si>
  <si>
    <t>unas ganas d comer doritos</t>
  </si>
  <si>
    <t>A.M.G♧</t>
  </si>
  <si>
    <t>24.06.2019 15:59</t>
  </si>
  <si>
    <t>tengku</t>
  </si>
  <si>
    <t>15:51</t>
  </si>
  <si>
    <t>24.06.2019 15:56</t>
  </si>
  <si>
    <t>(◕‿◕✿)</t>
  </si>
  <si>
    <t>Колумбус</t>
  </si>
  <si>
    <t>24.06.2019 15:54</t>
  </si>
  <si>
    <t>ElizabethMorgan</t>
  </si>
  <si>
    <t>Chesterfield</t>
  </si>
  <si>
    <t>15:49</t>
  </si>
  <si>
    <t>24.06.2019 15:53</t>
  </si>
  <si>
    <t>Just a chill little line.  ( @nicole_vernonn ) -
-
-
-
-
-
-
-
-
-
#scoot #scootscoot #scootscootbangbang #scootscootbangbang #scootertricks #scooters #rampworx #rampworxskatepark #envyscooters #ethicscooters #bluntscooters #apexscooters #mgp #mgpscooters #maddgearproscooters #fasenscooters #doritos @mgp_actionsports @mgpflowteamofficial @dominatoractionsports @ride.858 @coreuk @rampworxh</t>
  </si>
  <si>
    <t>Dŷłâñ Tâŷłōr</t>
  </si>
  <si>
    <t>Southport</t>
  </si>
  <si>
    <t>Yay!!!!! Gay #doritos #happypride #happypridemonth #rainbowchips #gaypride #tastetherainbow</t>
  </si>
  <si>
    <t>Elmas AKGÜL</t>
  </si>
  <si>
    <t>24.06.2019 15:51</t>
  </si>
  <si>
    <t>Climate change denial in Texas is the Doritos Blaze to the rest of the country's Nacho Cheese: same basic shape, but the experience is another level of extreme. https://www.dallasobserver.com/news/to-understand-climate-denial-you-have-to-understand-texas-11692030</t>
  </si>
  <si>
    <t>Florida Frazier</t>
  </si>
  <si>
    <t>Wanna come into my big white van? I have Doritos...
••••••••••
#Kurtcobain | #Nirvana | #Grunge | #Daveghrol | #smellsliketeenspirit | #foofighters | #nevermind | #cobain | #greenday | #billiejoearmstrong | #trecool | #mikedirnt | #americanidiot | #dookie | #whitestripes | #jackwhite | #slash | #guitar | #rock | #rockmusic | #band | #punk | #punkrock | #axlrose | #appetitefordestruction | #gunsnroses | #gnr
_________________
 #album #musicians ️‍️‍</t>
  </si>
  <si>
    <t>PUNK ROCK</t>
  </si>
  <si>
    <t>I put my dikk in a bag of doritos</t>
  </si>
  <si>
    <t>Well.... *yea*</t>
  </si>
  <si>
    <t>LilRussionKiddo UwU</t>
  </si>
  <si>
    <t>15:48</t>
  </si>
  <si>
    <t>24.06.2019 15:50</t>
  </si>
  <si>
    <t>@doritos_pope bua tronco qué pesada yo la bloqueaba(??</t>
  </si>
  <si>
    <t>Huelo a sanjacopito</t>
  </si>
  <si>
    <t>bear,fur,raccoon</t>
  </si>
  <si>
    <t>wildlife</t>
  </si>
  <si>
    <t>Lisa</t>
  </si>
  <si>
    <t>15:46</t>
  </si>
  <si>
    <t>24.06.2019 15:55</t>
  </si>
  <si>
    <t>I want this bih just to go in a phone booth or an alley way and come back out Spidey
Want to score this Limited-Edition Doritos Spidey Suit? Tell us what super power Doritos gives you using #IncognitoDoritos #Entry for the chance to win! Rules @ https://bit.ly/2MXEpdc Be sure to check out #SpiderManFarFromHome, in theaters July 2!</t>
  </si>
  <si>
    <t>DonBelvin</t>
  </si>
  <si>
    <t>24.06.2019 15:46</t>
  </si>
  <si>
    <t>Pwoer to sgoot Doritos Locos TacoTM cumm  ywumm dude xtra spicylicious hehehehe #IncognitoDoritos #Entry
Want to score this Limited-Edition Doritos Spidey Suit? Tell us what super power Doritos gives you using #IncognitoDoritos #Entry for the chance to win! Rules @ https://bit.ly/2MXEpdc Be sure to check out #SpiderManFarFromHome, in theaters July 2!</t>
  </si>
  <si>
    <t>scrimshaw on me rickshaw as I fall down God's Maw</t>
  </si>
  <si>
    <t>15:45</t>
  </si>
  <si>
    <t>She woke up this morning &amp;amp; asked,
"Mommy, Daddy &amp;amp; Pippy KIDZ BOP?"
But, like all good things, including the small bag of Doritos that created this hot mess, they must come to an end...
#DoNotWorry
#SheWasJustAsHappy
#AtADoctorsApptThisMorning
#DatesWithMom
#AreHerJam
#OOTD
https://www.facebook.com/HappySoulProject/photos/a.592162164128007/2649870861690450/?type=3</t>
  </si>
  <si>
    <t>Happy Soul Project</t>
  </si>
  <si>
    <t>***W h a t-***</t>
  </si>
  <si>
    <t>Movaiiᗩnímαtєѕ ᔕtudíσѕ</t>
  </si>
  <si>
    <t>15:44</t>
  </si>
  <si>
    <t>I put my dikk in a bag of doritos
I won't be on yt for some time ;-; (I mean by that not making videos)</t>
  </si>
  <si>
    <t>25.06.2019 01:29</t>
  </si>
  <si>
    <t>Had a taste for these.... #balance</t>
  </si>
  <si>
    <t>Tradonna</t>
  </si>
  <si>
    <t>Doritos chellench met Lois</t>
  </si>
  <si>
    <t>luciene kuipers</t>
  </si>
  <si>
    <t>15:43</t>
  </si>
  <si>
    <t>ɐllǝᙠ</t>
  </si>
  <si>
    <t>24.06.2019 15:48</t>
  </si>
  <si>
    <t>Felurian</t>
  </si>
  <si>
    <t>24.06.2019 15:47</t>
  </si>
  <si>
    <t>kat</t>
  </si>
  <si>
    <t>Goès</t>
  </si>
  <si>
    <t>Because I need some motivation on this Monday! My hubs took both of these pictures (obviously he likes this angle ) •
Do you ever go through days thinking to yourself, “my body hasn’t changed!” “I look the same!” “All this work and it’s barely noticeable!”
•
Lately that’s been me! I’ve lost a little over 40 pounds and certain days and angles I feel like I look the exact same!! It makes me want to throw it all away and go get a snickers, some Doritos and a large Dr. Pepper (which used to be my daily breakfast!) BUT I know my</t>
  </si>
  <si>
    <t>Ashley’s Lifestyle Overhaul</t>
  </si>
  <si>
    <t>leggings,clothing</t>
  </si>
  <si>
    <t>24.06.2019 15:45</t>
  </si>
  <si>
    <t>I put my dick in a bag of Doritos and made this bitch suck the dust off the tip https://www.instagram.com/p/BzGo2nSJkwS/?igshid=1ecqyn2y4e44p</t>
  </si>
  <si>
    <t>Cash Tiger</t>
  </si>
  <si>
    <t>Demi-Quartier</t>
  </si>
  <si>
    <t>Quiero doritos</t>
  </si>
  <si>
    <t>andnegra</t>
  </si>
  <si>
    <t>24.06.2019 15:44</t>
  </si>
  <si>
    <t>#MJInnocent · #Justice4MJ</t>
  </si>
  <si>
    <t>24.06.2019 15:43</t>
  </si>
  <si>
    <t>Joanne</t>
  </si>
  <si>
    <t>15:42</t>
  </si>
  <si>
    <t>"They pop up like a 3D Dorito."
Doritos are already 3D??</t>
  </si>
  <si>
    <t>Max Williams</t>
  </si>
  <si>
    <t>I’m elbow deep in some cool ranch doritos now and I regret nothing</t>
  </si>
  <si>
    <t>Emma Link</t>
  </si>
  <si>
    <t>tattoo</t>
  </si>
  <si>
    <t>15:40</t>
  </si>
  <si>
    <t>24.06.2019 15:42</t>
  </si>
  <si>
    <t>The only Doritos that matter is the green packet. The Beyoncé of all Doritos
This is obviously the best flavor after spicy wings</t>
  </si>
  <si>
    <t>i am the boi</t>
  </si>
  <si>
    <t>fast food,food,snack,junk food</t>
  </si>
  <si>
    <t>15:38</t>
  </si>
  <si>
    <t>Combo novo
✅12 un de hot roll com couve crocante 
✅6 un Uramaki salmão 
✅11 un hot roll Doritos 
✅6 un Uramaki salmão grelhado
35 un POR APENAS 19,99
•••••••••••••••••••••••
PEDIDOS PELOS FONES ZAP OU LIGAÇÃO 
99702.9949 ou 3621.3424
RUA NOVA YORK 1854 EM FRENTE À RODOVIÁRIA 
•••••••••••••••••••••••
AS ENTREGAS SÃO FEITAS POR MOTO TÁXI VALOR COBRADO A PARTE DE $6,00
https://www.facebook.com/sushibaianojales/photos/a.432666683607223/1050079388532613/?type=3</t>
  </si>
  <si>
    <t>Sushi Baiano Jales</t>
  </si>
  <si>
    <t>vegetable,food</t>
  </si>
  <si>
    <t>15:37</t>
  </si>
  <si>
    <t>24.06.2019 15:40</t>
  </si>
  <si>
    <t>Rip Joshua j Gillis #doritos</t>
  </si>
  <si>
    <t>Josh Gillis</t>
  </si>
  <si>
    <t>24.06.2019 15:37</t>
  </si>
  <si>
    <t>Ósea que se puso de moda comer doritos?</t>
  </si>
  <si>
    <t>Litargirio</t>
  </si>
  <si>
    <t>15:35</t>
  </si>
  <si>
    <t>24.06.2019 15:36</t>
  </si>
  <si>
    <t>Tonight I had a bag of doritos, spir cream dip, 5 celebrations, a plum and a strawberry nesquik milkshake for dinner. Living on your own is THE BEST. ‍♀️</t>
  </si>
  <si>
    <t>Jade Mitchell</t>
  </si>
  <si>
    <t>24.06.2019 15:39</t>
  </si>
  <si>
    <t>los doritos, mi placer culposo
:                       cyr with bloom : 
36. Cuál es tu snack favorito.</t>
  </si>
  <si>
    <t>─嫌 bébé ponyo loves noah ☀</t>
  </si>
  <si>
    <t>Loving</t>
  </si>
  <si>
    <t>Can't wait to tune the radio to 107.5, find a nice parking spot, and open up a fresh bag of Doritos. Might even take in the views if I have time. #thedisruptingseries + #shotoniphone
@apple</t>
  </si>
  <si>
    <t>Fred Van Damme</t>
  </si>
  <si>
    <t>Loring Commerce Center</t>
  </si>
  <si>
    <t>reflection,sky,water</t>
  </si>
  <si>
    <t>15:34</t>
  </si>
  <si>
    <t>24.06.2019 15:41</t>
  </si>
  <si>
    <t>@CryptoWendyO DORITOS AS FOMO NO GOOD... do it right or not at all roiiittt</t>
  </si>
  <si>
    <t>fed master</t>
  </si>
  <si>
    <t>@CryptoWendyO Doritos? ‍♂️</t>
  </si>
  <si>
    <t>DudBits</t>
  </si>
  <si>
    <t>15:33</t>
  </si>
  <si>
    <t>Mountain Dew, Doritos
 She holds me so close and warm
 This must be line 3</t>
  </si>
  <si>
    <t>Remato</t>
  </si>
  <si>
    <t>Пернамбуку</t>
  </si>
  <si>
    <t>Ресифи</t>
  </si>
  <si>
    <t>24.06.2019 15:35</t>
  </si>
  <si>
    <t>Yvo</t>
  </si>
  <si>
    <t>yall ever wanna just put ur dick in a bag of Doritos and some thousand island dressing with the boys?? no homo tho.</t>
  </si>
  <si>
    <t>im here &amp; queer | kaytee</t>
  </si>
  <si>
    <t>15:30</t>
  </si>
  <si>
    <t>Medicated burgers with spinach and Doritos on top. Cooked with the always fire @Calderinsoil</t>
  </si>
  <si>
    <t>Brently</t>
  </si>
  <si>
    <t>Doritos Spiderman Instant Win Game (1,698 Winners!)</t>
  </si>
  <si>
    <t>Thank you</t>
  </si>
  <si>
    <t>karenm302</t>
  </si>
  <si>
    <t>freebieshark.com</t>
  </si>
  <si>
    <t>Freebie Shark</t>
  </si>
  <si>
    <t>15:29</t>
  </si>
  <si>
    <t>25.06.2019 01:49</t>
  </si>
  <si>
    <t>Pepa pig?? Aha
It’s my birthday yay   
Comment requests 
#pepapig #pepapig #peppapigedits #pepapigedit #pepapigmemes</t>
  </si>
  <si>
    <t>15:28</t>
  </si>
  <si>
    <t>Snacks! No accidental munch of a large bag of Doritos here  I still had one A and my B left so decided to have a wee mix of sweet and savoury. I’ve just put my boys to bed, now time to relax ❤️ #swsnacks #slimmingworld #slimmingworlduk</t>
  </si>
  <si>
    <t>Me</t>
  </si>
  <si>
    <t>15:27</t>
  </si>
  <si>
    <t>24.06.2019 15:29</t>
  </si>
  <si>
    <t>mi suegro me compró doritos lo tkm</t>
  </si>
  <si>
    <t>ᵐᶦˡ⁴ ˡᵒᵛᵉˢ ᵖᶦᵗᵒ</t>
  </si>
  <si>
    <t>Disley</t>
  </si>
  <si>
    <t>24.06.2019 15:32</t>
  </si>
  <si>
    <t>@Doritos_dj @HarvWulf @porshe418 Thuso mara!</t>
  </si>
  <si>
    <t>Hopie |♥BAE-Coupe</t>
  </si>
  <si>
    <t>speech,official</t>
  </si>
  <si>
    <t>15:26</t>
  </si>
  <si>
    <t>24.06.2019 15:27</t>
  </si>
  <si>
    <t>Blue crush
Grandmas sugar cookies
Doritos taco seasoning</t>
  </si>
  <si>
    <t>ᗩᒪᔕᗩᑕᕼI</t>
  </si>
  <si>
    <t>15:25</t>
  </si>
  <si>
    <t>Time to send this over to my brother @mpnejkosk 
3 new collabs are coming •
1 with Nejko 
2 with @etawdexofficial #doritos 
3 with my buddy @tixologymusic</t>
  </si>
  <si>
    <t>ＳＹＬEＮＴＨＳＴΛＲ</t>
  </si>
  <si>
    <t>15:24</t>
  </si>
  <si>
    <t>Fortnite doritos ramp rush</t>
  </si>
  <si>
    <t>speedyqvp</t>
  </si>
  <si>
    <t>This is what happens when someone says just make me a sandwich bro!!
.
Pasta on everything!!
.
Mac n cheese grilled cheese panini with buffalo chicken, jalapeño, green onions, Gouda cheese, cheese sauce, ranch dressing and topped with cool ranch Doritos! .
Boom goes the dynamite
@_grandpa__mac @c.sullivn_</t>
  </si>
  <si>
    <t>grandpa (MAC)</t>
  </si>
  <si>
    <t>Делавэр</t>
  </si>
  <si>
    <t>Rehoboth Beach</t>
  </si>
  <si>
    <t>salad,garnish,dessert,vegetable,appetizer,food</t>
  </si>
  <si>
    <t>I stuck my dick in a bag of Doritos and let a bitch lick the dust off my tip -S
°
°
°
#dankmemes #dank #memes #cringe #offensivememes #edgymemes #cancer #idubbbz #meme #xfiles #flithyfrank #vietnamflashback #triggered #911 #bushdid911 #obama #datboi #pepe #boi #yeet #spongegarrr #keemstar #dogger #only2genders #blacklivesmatter #2dank4u #killerkeemstar #hilter #dankmemescantmeltsteelbeams #pumpedupkicks</t>
  </si>
  <si>
    <t>Shmemes</t>
  </si>
  <si>
    <t>lighting</t>
  </si>
  <si>
    <t>15:22</t>
  </si>
  <si>
    <t>25.06.2019 00:45</t>
  </si>
  <si>
    <t>@thiagosrunaway1 .
.
#spsobretrilhos .
.
.
.
.
.
.
#sampa #saopaulo #metrosp
@thiagosrunaway1</t>
  </si>
  <si>
    <t>São Paulo Sobre Trilhos</t>
  </si>
  <si>
    <t>15:21</t>
  </si>
  <si>
    <t>24.06.2019 15:26</t>
  </si>
  <si>
    <t>@ExplosiveEnnui What if they teamed-up like Doritos and Taco Bell and you could buy a BMW with Cheeto dust interior?</t>
  </si>
  <si>
    <t>ѕαιηт ɢυʟıκ</t>
  </si>
  <si>
    <t>West Wittering</t>
  </si>
  <si>
    <t>15:20</t>
  </si>
  <si>
    <t>#114 UK - Spicy Salsa / Sizzling Salsa (2016)⠀
⠀
#doritos #DoritosUK #doritosoftheworld #snacks #tortillachips #chips #crisps #nachos #foodblogger #spicysalsa #sizzlingsalsa @doritosuk @doritos @doritosca @fritolayjp</t>
  </si>
  <si>
    <t>Doritos of the World</t>
  </si>
  <si>
    <t>15:19</t>
  </si>
  <si>
    <t>24.06.2019 15:22</t>
  </si>
  <si>
    <t>@Doritos Doritos gives me the power of super energy to work 14 consecutive hours without a break! #IncognitoDoritos #Entry</t>
  </si>
  <si>
    <t>Jason Hysell</t>
  </si>
  <si>
    <t>24.06.2019 15:21</t>
  </si>
  <si>
    <t>Momioc</t>
  </si>
  <si>
    <t>Naucalpan de Juárez</t>
  </si>
  <si>
    <t>Cheese and biscuits
Doritos, Max Strong or Sensations? RT + Reply with your favourite summer snack for the chance to #WIN an Amazon Echo or a case of crisps!  
Closes 25th June, T&amp;Cs: https://bit.ly/2ImAjqN</t>
  </si>
  <si>
    <t>GRAEME ANDERSON</t>
  </si>
  <si>
    <t>Doritos             Every girl ever 
           Flamin’ hot</t>
  </si>
  <si>
    <t>Kяistofer, Why?</t>
  </si>
  <si>
    <t>PRESS ROOM: LGBTLOL; A Night of Comedy at the Charleston Music Hall</t>
  </si>
  <si>
    <t>feuds with famous bigots.
“Half as relevant as me as me” – Television’s Nick Di Paolo, through a mouthful of Doritos
With:
Atlanta GA’s Julie Osborne was born in Cocoa FL and comes from a very diverse background. She started performing stand-up comedy in 2011 after spending many years using her wit and humor to “deal” with prison inmates as a correctional officer, and in managing crazy people in corporate America. Since 2012, she’s been hosting and producing comedy shows for the LGBT community all over Atlanta.
Ava Smartt is a native Texan and</t>
  </si>
  <si>
    <t>Black Press USA</t>
  </si>
  <si>
    <t>blackpressusa.com</t>
  </si>
  <si>
    <t>15:16</t>
  </si>
  <si>
    <t>@ICEgov You can easily pick up illegals at 7 am at 102 W Post Road White Plains NY. At least 2 dozen there daily drinking beer at 7 am and leaving Doritos bags.</t>
  </si>
  <si>
    <t>Cindy Fay-Hamilton</t>
  </si>
  <si>
    <t>Парана</t>
  </si>
  <si>
    <t>Flórida</t>
  </si>
  <si>
    <t>24.06.2019 15:25</t>
  </si>
  <si>
    <t>I put my dick in a bag of Doritos and made ur bitch lick the dust off the tip</t>
  </si>
  <si>
    <t>jde</t>
  </si>
  <si>
    <t>15:14</t>
  </si>
  <si>
    <t>24.06.2019 15:17</t>
  </si>
  <si>
    <t>I'll put u in a leglock if you give me a bag of doritos bro.
streaming meow on http://twitch.tv/jennalynnmeowri my dudes come thru</t>
  </si>
  <si>
    <t>potato</t>
  </si>
  <si>
    <t>trousers,clothing</t>
  </si>
  <si>
    <t>Minasan kon’nichiwa!  This is my first real and original illustration made digitally lol, and I'm really happy with how it turned out  It literally took ages to draw, sooo many hours of work  Hope you like it  •••••••••••••••••• #digitalart #hoodie #sketch #cola #chips #girl #cutegirl #noob #clipstudiopaint #art #woman #vendingmachine #snacks #pepsi #artist #Monday #80s #anime #manga #mangadrawing #animedrawing #allcolors #colors #bagofchips #doritos #lays #pringles #chocolate #lemonade #brownhair</t>
  </si>
  <si>
    <t>Chokoreto</t>
  </si>
  <si>
    <t>leggings,clothing,shoe</t>
  </si>
  <si>
    <t>15:13</t>
  </si>
  <si>
    <t>Everybody's Dead, Podcast</t>
  </si>
  <si>
    <t>24.06.2019 15:19</t>
  </si>
  <si>
    <t>Hey it’s Monday, so here is a useful tip to help you get through the week
If you ever need to start a fire use a bag of Doritos</t>
  </si>
  <si>
    <t>platosvillassm</t>
  </si>
  <si>
    <t>24.06.2019 19:43</t>
  </si>
  <si>
    <t>PepsiCo, Inc. (NASDAQ:PEP) Shares Sold by Rehmann Capital Advisory Group</t>
  </si>
  <si>
    <t>found here . Insiders sold 48,494 shares of company stock worth $6,173,705 in the last quarter. Company insiders own 0.28% of the company’s stock.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</si>
  <si>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Clarity Boaka</t>
  </si>
  <si>
    <t>15:12</t>
  </si>
  <si>
    <t>24.06.2019 15:14</t>
  </si>
  <si>
    <t>RiOn</t>
  </si>
  <si>
    <t>Doritos Spicy Sweet Chilli ↩️</t>
  </si>
  <si>
    <t>24.06.2019 15:24</t>
  </si>
  <si>
    <t>Doritos Sour Cream &amp; Millo chilli ↩️</t>
  </si>
  <si>
    <t>What’s your favorite Doritos!!? Mine are the salsa verde!! So bomb
.
.
.  @amandavochoa .
.
.
.
.
.
.
.
.
.
.
.
#spiderman #spidermancosplay #doritos #fritolay #Cosplay #chips #cosplayer #cosplaygirl #cosplayers #peterparker #cosplaying #cosplayersofinstagram #photography #cosplaymodel #cosplays #cosplayphotography #cosplaygirls #cosplaylife #cosplaywip #cosplayworld #cosplayerofinstagram #cosplayprogress #cosplayphoto #cosplayselfie #cosplaybabe #cosplayprop #cosplaylove #cosplayphotoshoot #cosplayphotography
@doritos @spidermanmovie @fritolay</t>
  </si>
  <si>
    <t>24.06.2019 15:13</t>
  </si>
  <si>
    <t>'s post 
❤date: 24-06-2019❤
QOTD: Favorite Disney princess?
answer: Mulan, Pocahontas or Jasmine
FC: 677
☆
☆
☆
☆
☆
☆
☆ Tags
#nichememe #nichememes #niche #aesthetic #meme #memes #explorepage #follow #nichememeaccount #nichememer #nichememeaccounts #nichememecommunity  #selfcare #explore #nichememers #nichememeideas #funny #tumblr #niches #funnymemes #memesdaily #moodboards #lol #lfl
@pnglush</t>
  </si>
  <si>
    <t>♡niche account♡</t>
  </si>
  <si>
    <t>24.06.2019 15:18</t>
  </si>
  <si>
    <t>Admission time: I have no self control when it comes to chips. Cool Ranch Doritos, plain Lays, and Cheetos are just a few of my addiction issues.
So how do I stop myself from overindulging?
I don’t buy them!
I have realized that the moment I eat a bag of chips, I ignite a craving that can last for weeks. Therefore, I don’t create the temptation by buying them.
But I’m not completely deprived. I get these awesome chips from our local grocer that are completely salt free! They’re super thin and flaky and pair excellently with my homemade</t>
  </si>
  <si>
    <t>Weather in April</t>
  </si>
  <si>
    <t>15:11</t>
  </si>
  <si>
    <t>Napolitano’s Pizza in New London, Connecticut - After the two previous slices of New London I was surprised by the aesthetic appeal of this one when it came across the counter. This slice is thin, it has a light amount of tasteless cheese and sauce - but together these tasteless elements come together to make for an artificial Doritos-like flavoring - it’s strange because, like I said before, the cheese alone is tasteless.
The shop has a sign out front proclaiming New York style authenticity - if I were in historical downtown New London and</t>
  </si>
  <si>
    <t>The Great American Pizza Tour</t>
  </si>
  <si>
    <t>meat,food,fried food</t>
  </si>
  <si>
    <t>15:10</t>
  </si>
  <si>
    <t>24.06.2019 15:23</t>
  </si>
  <si>
    <t>I wish I could eat a whole bag of red Doritos rn lmao</t>
  </si>
  <si>
    <t>leezA</t>
  </si>
  <si>
    <t>15:06</t>
  </si>
  <si>
    <t>24.06.2019 15:10</t>
  </si>
  <si>
    <t>GET THE BAG  • CHIPOTLE • EATING SHOW • MUKBANG • VEGAN</t>
  </si>
  <si>
    <t>GET THE BAG  • CHIPOTLE • EATING SHOW • MUKBANG • VEGAN
 ASMR  :  Franks Hot Sauce : Eating Chewing Sucking Sounds : NO TALKING 
https://youtu.be/42MxFpzd1Tk
 HOW TO TWERK TUTORIALS 
https://www.youtube.com/playlist?list=PLjBYE8L9Gi9cg-t2KTqppxD2Mh7vAFayY
OMORC, A Healthy Diet Appliance 
AIR FRYER 
Link: http://bit.ly/2ELBDlu
Promo Code: save30off • $30.00 Off
 SHRIMP BOIL  • (HEADS ON) • EATING SHOW • MUKBANG https://youtu.be/begk2Kc6XTA
KIMCHI • DORITOS •  NOODLES  • EATING SHOW • MUKBANG https://youtu.be/s5Ldg17C3qE
BULLYMAKE • Loyal • https://bullymake.com/?ref=58 
 WISH LIST 
https://www.amazon.com/registry/wishlist/730JPOHORJQG/ref=cm_sw_r_sms_awwl_xs_OWbbBb5YMFWXE
 • ONLY FANS •  • https://onlyfans.com/ninaunrated?ref=1118007</t>
  </si>
  <si>
    <t>NINAUNRATED EATS</t>
  </si>
  <si>
    <t>15:05</t>
  </si>
  <si>
    <t>Rosanna Arquette: &amp;#8216;Every Minute, The United States is Abusing Children at the Border</t>
  </si>
  <si>
    <t>You wanna talk about abuse, Rosanna, then look at your sister. Thirty years ago, she was amazingly sexy as Alabama Worley in True Romance, but she's abused her body with Big Macs and Doritos and now she looks like a blobfish. And you aren't doing much better with that hideous Skeletor face. Why are you abusing us by being seen in public??</t>
  </si>
  <si>
    <t>The Sexorcist</t>
  </si>
  <si>
    <t>2Cups Shakur</t>
  </si>
  <si>
    <t>Soweto</t>
  </si>
  <si>
    <t>24.06.2019 15:16</t>
  </si>
  <si>
    <t>MelaniasHair</t>
  </si>
  <si>
    <t>15:04</t>
  </si>
  <si>
    <t>24.06.2019 15:07</t>
  </si>
  <si>
    <t>@NisaLocally Some doritos and dip</t>
  </si>
  <si>
    <t>Lauren P</t>
  </si>
  <si>
    <t>Борнмут</t>
  </si>
  <si>
    <t>15:03</t>
  </si>
  <si>
    <t>24.06.2019 15:05</t>
  </si>
  <si>
    <t>24.06.2019 15:04</t>
  </si>
  <si>
    <t>Karensuca</t>
  </si>
  <si>
    <t>Нуэво-Леон</t>
  </si>
  <si>
    <t>Tony Tries Doritos JACKED!!!!!!!(hot wing and ranch)</t>
  </si>
  <si>
    <t>Tony Tries Doritos JACKED!!!!!!!(hot wing and ranch)
today i try Doritos Jacked!!!!</t>
  </si>
  <si>
    <t>Tony Tries</t>
  </si>
  <si>
    <t>couch,furniture</t>
  </si>
  <si>
    <t>15:02</t>
  </si>
  <si>
    <t>LIGHT SNACK
#HOMEMADE CHEESE DORITOS SUPREME</t>
  </si>
  <si>
    <t>Toya Renee</t>
  </si>
  <si>
    <t>garnish,soup,salad,vegetable,food</t>
  </si>
  <si>
    <t>@noctilucarum Which? The rubber tongue prosthetic, the box of worms, or the doritos hoodie it always tries to sell me in Facebook ads.</t>
  </si>
  <si>
    <t>J</t>
  </si>
  <si>
    <t>15:01</t>
  </si>
  <si>
    <t>24.06.2019 15:03</t>
  </si>
  <si>
    <t>Zinger burger chips and salad 
7.5 suns for the doritos and 2 syns for the light pepper mayo.. unreal!!</t>
  </si>
  <si>
    <t>Samantha Louise Close</t>
  </si>
  <si>
    <t>french fries,fried food,meal,sandwich,junk food,fast food,food</t>
  </si>
  <si>
    <t>15:00</t>
  </si>
  <si>
    <t>24.06.2019 15:02</t>
  </si>
  <si>
    <t>*TODAYS MEALS*
Breakfast: 45g of bran flakes (hexb) with semi skimmed milk (1 hexa)  .
Lunch: 1/2 cucumber and a SW burger (syn free)  .
Snack: Fudge bar (3 syns).
Dinner: Chilli with rice, cucumber and lasagne Doritos - I won’t syn this tweak - .
I’ll have dessert later .
.
.
.
#slimmingworld #sw #swinsta #foodblog #swjourney #weightlossjourney #slimming #foodoptimising #weightloss #motivation #extraeasy #healthyeating #c25k #slimmingworlduk #slimmingworldplan #slimmingworldworks #swworks #slimmingworldsupport #swfollowers #swlife #swcommunity #swmotivation #weighday #slimmingworldrecipes #slimmingworldfamily #slimmingworldstudent #slimmingworlddiary #imagetherapy #speedfood</t>
  </si>
  <si>
    <t>Sydney</t>
  </si>
  <si>
    <t>cookware and bakeware,salad,vegetable,meal,food</t>
  </si>
  <si>
    <t>http://mumblebeeinc.com/2019/05/doritos-spider-man-far-from-home-activate-your-spidey-senses-promotion/
DORITOS® Spider Man Far From Home Activate Your Spidey Senses Promotion | MumbleBee Inc
You could win a European adventure for two and many other prizes when you enter in a code from specially marked Doritos® bags! NO PURCHASE OR PAYMENT OF ANY KIND IS NECESSARY TO ENTER OR WIN. A PURCHASE WILL NOT INCREASE YOUR CHANCE OF WINNING. VOID IN ALASKA, HAWAII AND WHERE PROHIBITED.</t>
  </si>
  <si>
    <t>MumbleBeeInc Deals and Steals</t>
  </si>
  <si>
    <t>24.06.2019 15:00</t>
  </si>
  <si>
    <t>oh sweet jesus oh sour jesus    oh BBQ jesus    oh cool ranch jesus    oh doritos locos tacos jesus</t>
  </si>
  <si>
    <t>Hidden facts</t>
  </si>
  <si>
    <t>14:57</t>
  </si>
  <si>
    <t>24.06.2019 15:12</t>
  </si>
  <si>
    <t>I decided to cheat and make a gigantic grilled cheese sandwich with doritos on the side. Got out all the ingredients and realized I didn't have bread. Thank goodness! I would have been so mad at myself if I did that. 
Breakfast was low-fat strawberry yogurt with chia seeds and a few chocolate chips. The chips should have stayed out honestly. Lunch is grilled chicken with brocolli, yellow squash, and cauliflower rice with some soy sauce. 
Trying to stay focused. Trying to do this right. 
#lowcarb #weightlossjourney #tryingtolose #learningtoeatright #stayfocused</t>
  </si>
  <si>
    <t>broccoli,fried food,food</t>
  </si>
  <si>
    <t>24.06.2019 15:11</t>
  </si>
  <si>
    <t>I was so #excited to try these. The description on the bag says green olive, cheddar cheese and manchego cheese corn snacks with red pepper and coriander. Unfortunately all you can taste is the #cheddar, which is fine in itself, like #posh #doritos but I was hoping for a more exciting #flavour. #tortillachips #flametoasted #glutenfree #trysomethingnew @aldiuk</t>
  </si>
  <si>
    <t>Nina</t>
  </si>
  <si>
    <t>14:56</t>
  </si>
  <si>
    <t>24.06.2019 14:57</t>
  </si>
  <si>
    <t>Making My Ride! (Wasteland Survival) Ep 2</t>
  </si>
  <si>
    <t>Making My Ride! (Wasteland Survival) Ep 2
Hello, fellow Doritos! Today, I played Wasteland Survival. Its free on steam, so if you wanna play it yourself, you can get it! This is a fun zombie game, and I recommend it!</t>
  </si>
  <si>
    <t>14:55</t>
  </si>
  <si>
    <t>When Mum finds the Doritos *sad gamer moment*</t>
  </si>
  <si>
    <t>When Mum finds the Doritos *sad gamer moment*
Mum finds the Doritos and I’m not happy with that</t>
  </si>
  <si>
    <t>MaddLaddSaddLadd</t>
  </si>
  <si>
    <t>14:54</t>
  </si>
  <si>
    <t>Hey friends! Are u making new friends?
Snack:Tohato Caramel Corn Sweet Parfait flavour
~It’s sweet and delish however doesn’t taste like parfait in any way. Still MATCHA FLAVOUR THE BEST! But keep the Creative flavour going!
7/10
Snack:Eureka Sour Cream and Onion Flavour Popcorn
~Doesn’t taste as good as the Hot and Spicy ones! This one taste more like cheese than the expected sour cream and onion taste. Abit disappointing but their popcorn quality is always the one that redeems it!
5.6/10
Snack:Doritos</t>
  </si>
  <si>
    <t>GetAwayED</t>
  </si>
  <si>
    <t>14:53</t>
  </si>
  <si>
    <t>24.06.2019 14:56</t>
  </si>
  <si>
    <t>Doritos roulette châle ch #like en aboneer</t>
  </si>
  <si>
    <t>Bilal gaming _YT</t>
  </si>
  <si>
    <t>24.06.2019 15:01</t>
  </si>
  <si>
    <t>Paaaaa las ganas de comer doritos que tengo</t>
  </si>
  <si>
    <t>Pamelitaaa</t>
  </si>
  <si>
    <t>Канелонес</t>
  </si>
  <si>
    <t>Canelones</t>
  </si>
  <si>
    <t>14:52</t>
  </si>
  <si>
    <t>Potheads: Wouldn't it be awesome to have popcorn and doritos at the same time?
Cinepolis: Hold my beer
De las mejores amistades salen grandes cosas... ¡Invita a tu mejor amigo y atrévanse a probar las nuevas Palomitas Cinépolis con @Doritos_Mx Nacho®!</t>
  </si>
  <si>
    <t>Solrac Alemag</t>
  </si>
  <si>
    <t>24.06.2019 14:55</t>
  </si>
  <si>
    <t>UrNotEvenKawaii</t>
  </si>
  <si>
    <t>24.06.2019 14:54</t>
  </si>
  <si>
    <t>@Doritos : giving you the power to properly snack-ify summer picnics! #IncognitoDoritos #Entry</t>
  </si>
  <si>
    <t>Shayna</t>
  </si>
  <si>
    <t>14:51</t>
  </si>
  <si>
    <t>24.06.2019 14:53</t>
  </si>
  <si>
    <t>Now in the Netherlands. The charcuterie at the local supermarket in The Hague was amazing, and cheap! And whats with the Roulette Doritos!? This is what dreams are made of  #charcuterie #doritosroulette #pork #salami #chorizo #meat #thehague #denhaagfood #foodie #eurofood #doritos #pig #eats</t>
  </si>
  <si>
    <t>Esse</t>
  </si>
  <si>
    <t>Южная Голландия</t>
  </si>
  <si>
    <t>Гаага</t>
  </si>
  <si>
    <t>14:50</t>
  </si>
  <si>
    <t>Not just all our love but Jesus’ live too #doritofam —————————————
•
• 
#yeet •
•
#lovedoritos #doritosquad #doritofam #jesus #jesuschrist #doritos #doritoscommercial #heaven #mine #bae #chilli #chillidorito #chilliheatwave #tangy #cheese #yumyum #saucymemes #saucy #yeet
@doritosuk @_live_lifeeeee_ @i_love.doritos @doritos_futurelive @doritosdowhatyoucant @doritosqueen123 @doritos.in.speedos @elmo_like_doritos_ @doritosoftheworld @chipalytics @doritos_fannn @doritos_fortnite @elmo_doritos</t>
  </si>
  <si>
    <t>Dorrriitttooosss</t>
  </si>
  <si>
    <t>14:49</t>
  </si>
  <si>
    <t>@MaraWilson I wish people could throw my childhood achievements in my face when I get too political.  “Calm down with the politics Mr. Eats whole family size bag of Doritos.”</t>
  </si>
  <si>
    <t>Scott Bodenhamer</t>
  </si>
  <si>
    <t>Гейлсберг</t>
  </si>
  <si>
    <t>Nice.
.
.
.
.
.
We back bois.
.
.
.
.
.
cringememes #shittymemes #wetchips #badimages ##ph #pornhub #world #worldpopulation #pornhubmemes  #nolife #doggo #ss #dogmemes #dogememes  #sweetchilli #wetdreams #moistimages #meme #dankmeme #Doritos #soggiecookie #memepage  #memes</t>
  </si>
  <si>
    <t>14:48</t>
  </si>
  <si>
    <t>Orange
Bout to have the best Doritos. Which flavour am I talking about?</t>
  </si>
  <si>
    <t>Boitumelo</t>
  </si>
  <si>
    <t>14:44</t>
  </si>
  <si>
    <t>24.06.2019 14:45</t>
  </si>
  <si>
    <t>Mountain Dew, Doritos
 She holds me so close and warm
 I fukked ur mum near Tesco's</t>
  </si>
  <si>
    <t>24.06.2019 14:48</t>
  </si>
  <si>
    <t>*giggles* "I'll take more of that!"
~
Cosplay: D.va casual from Overwatch
~
 and  by @midoucloud_photo
~
#dva #dvaoverwatch #dvacasual #dvacosplay #overwatch #heroesofthestorm #heroesofthestormcosplay #dvamakeup #doritos #overwatchgirl #overwatchcosplay #kawaiioutfit #urban #hanasong #shootingstar #nerfthis #meka #converse #videogame #shooter #blizzardgames #blizzard #waifu #kawaii #pink #cosplay #cosplayer #cosplaygirl #casualcosplay #casualdvacosplay
@twitch @blizzard @playoverwatch @directoriocosplay @overwatcheu @enfreakados @midoucloud_photo</t>
  </si>
  <si>
    <t>Belacqua</t>
  </si>
  <si>
    <t>Кёнсан-Пукто</t>
  </si>
  <si>
    <t>김천시</t>
  </si>
  <si>
    <t>14:42</t>
  </si>
  <si>
    <t>Gotta love when the littles fall asleep and leave Dorito crumbs behind lol!!! #doritos #dorito #doritocrumbs #littlebaby #littles #kidslovehearts #kidsseehearts #kidsfindinghearts #heartseverywhere #loveislove #lovehearts #sharinghearts #spreadinglove #spreadingsmiles #the_heart_movement #welovehearts #weseeheartseverywhere #ihaveathingforhearts #iseeheartseverywhere #iHaveThisThiNgWithHeaRts @msbesterly @nariahanne @tjewettii
@nariahanne @tjewettii @msbesterly</t>
  </si>
  <si>
    <t>The_Heart_Movement</t>
  </si>
  <si>
    <t>14:41</t>
  </si>
  <si>
    <t>24.06.2019 14:50</t>
  </si>
  <si>
    <t>Swim day #niece #poolside #doritos</t>
  </si>
  <si>
    <t>Eric Nelson</t>
  </si>
  <si>
    <t>lawn,tree,plant</t>
  </si>
  <si>
    <t>leisure,grass</t>
  </si>
  <si>
    <t>24.06.2019 14:47</t>
  </si>
  <si>
    <t>Keep your canine out of your cannabis</t>
  </si>
  <si>
    <t>depending on the strength and amount of marijuana the dog has eaten.
Otten, who formerly worked as an emergency vet, joked about what he used to tell pet owners: “We’re gonna take your dog in, we’re gonna put him in a quiet room. We’re gonna play some Led Zeppelin for him and give him some Doritos, and you can pick him up in the morning.”HOW MUCH DOES TREATING YOUR DOG COST?While my own vet bill put us out $300, veterinarian John de Jong, president of the
American Veterinary Medical Association, said interventions like bloodwork and IV fluids could</t>
  </si>
  <si>
    <t>Henry J. Kaiser</t>
  </si>
  <si>
    <t>phillyvoice.com</t>
  </si>
  <si>
    <t>Second clip] Sweet day with @decarvai brought out his FD, sounding nice   @warriorprinceofceylon #wrx #subie #mazda #rx7 #fdrx7 #red #boost #turbo #boosted #stinkeyewrx #subaru #doritos #brap #rotaryengine</t>
  </si>
  <si>
    <t>Mahela Wijeraythna</t>
  </si>
  <si>
    <t>25.06.2019 02:05</t>
  </si>
  <si>
    <t>ANTIFA AND THE KKK ARE THE SAME!!!!¡!¡¡!! : ENLIGHTENEDCENTRISM</t>
  </si>
  <si>
    <t>nah we just sit in a tent stoned eating doritos talking about how to improve the toaster and such things,</t>
  </si>
  <si>
    <t>connectivity_problem</t>
  </si>
  <si>
    <t>STRAYING OUTSIDE OF THE STATUS QUO IS FOR MELVINS</t>
  </si>
  <si>
    <t>14:39</t>
  </si>
  <si>
    <t>Which one is it?: "I can't see anyone in BF V!!" or "Spotting was easy-mode, glad it is gone." - Page 11</t>
  </si>
  <si>
    <t>Quote: : »
it is the lesser of two evils.
In order to not need doritos, they will need to overhaul the BF art so it does not blend the terrain and the soldiers so much
Yeah I guess so, I would still rather a compromise like squad spotting or local proximity spotting instead of team wide.</t>
  </si>
  <si>
    <t>JamieCurnock</t>
  </si>
  <si>
    <t>14:38</t>
  </si>
  <si>
    <t>24.06.2019 14:39</t>
  </si>
  <si>
    <t>SPEED RUN + GIVEAWAY!!! (Roblox)</t>
  </si>
  <si>
    <t>LETSGETHACKEDBOI
(Using this account in Mexico,the only place to find 3D Doritos )
That was the default dance btw</t>
  </si>
  <si>
    <t>Gerald -AFK</t>
  </si>
  <si>
    <t>ShadowMaster RBX</t>
  </si>
  <si>
    <t>14:37</t>
  </si>
  <si>
    <t>Verena Oconnell</t>
  </si>
  <si>
    <t>Форт-Уэрт</t>
  </si>
  <si>
    <t>14:36</t>
  </si>
  <si>
    <t>24.06.2019 14:43</t>
  </si>
  <si>
    <t>Fortnite doritoz ramp rush</t>
  </si>
  <si>
    <t>Fortnite doritoz ramp rush
SHAREfactory™
https://store.playstation.com/#!/nl-nl/tid=CUSA00572_00</t>
  </si>
  <si>
    <t>the freerun squad</t>
  </si>
  <si>
    <t>24.06.2019 14:44</t>
  </si>
  <si>
    <t>Угадай чипсы)</t>
  </si>
  <si>
    <t>Doritos❤</t>
  </si>
  <si>
    <t>Temirlan Assimkhanov</t>
  </si>
  <si>
    <t>Дастан Муксенов</t>
  </si>
  <si>
    <t>Kazakhstan</t>
  </si>
  <si>
    <t>Астана</t>
  </si>
  <si>
    <t>Sweet day with @decarvai brought out his FD, sounding nice   @warriorprinceofceylon #wrx #subie #mazda #rx7 #fdrx7 #red #boost #turbo #boosted #stinkeyewrx #subaru #doritos #brap #rotaryengine</t>
  </si>
  <si>
    <t>24.06.2019 14:37</t>
  </si>
  <si>
    <t>Can someone buy me this I will buy Doritos next time please</t>
  </si>
  <si>
    <t>Bald Nerd</t>
  </si>
  <si>
    <t>vegetable,snack,fruit,food</t>
  </si>
  <si>
    <t>14:33</t>
  </si>
  <si>
    <t>24.06.2019 14:34</t>
  </si>
  <si>
    <t>Graeme watson</t>
  </si>
  <si>
    <t>Данфермлин</t>
  </si>
  <si>
    <t>14:32</t>
  </si>
  <si>
    <t>24.06.2019 14:38</t>
  </si>
  <si>
    <t>@BethuneTheory Before this I thought humans were hardwired to want Doritos
Never seen a baby have to be convinced to eat a Doritos before hehe</t>
  </si>
  <si>
    <t>morgaine lefayle</t>
  </si>
  <si>
    <t>Summer is here! Enjoy Doritos's Salsa Verde chips fitting for any summer event! 
-
-
- 
#thick #gaming #doritos #tasty #food #metal #summer</t>
  </si>
  <si>
    <t>14:31</t>
  </si>
  <si>
    <t>24.06.2019 14:32</t>
  </si>
  <si>
    <t>Elle: Turkey sub plain no mayo
Doritos
2 Oatmeal Cookies
Drink: Pepsi</t>
  </si>
  <si>
    <t>Lady Goddess</t>
  </si>
  <si>
    <t>Goose Creek</t>
  </si>
  <si>
    <t>Presearing Blacklist [Scammers] |</t>
  </si>
  <si>
    <t>names = same account chars
 Northlands Champion
Silent Arrow Of Ice
Northlands Champion
L I T R I T
 Golden Empire
Huril Pirt
Purto Doritos
Ixl Dshot Ixl
Ascalon Stalker
Cute Pre ( deleted )
Anonymous Gamblt
Golden Empire
Ahzidal Vahlok
Zephyr Asteria
Wicked Witch Wilty
Solaire De Lionhart
Wilt In The Shadow
Magickal Wilt
Nono Too
Pargona Zornd
Sherlff Hood
 Snow Of Pre
Snow Of Pre Da Besst Farmer
Ecto Farmin Time ( deleted )
Perma Dragon Lord ( deleted )
Decaying Pre
O Destroyer O
I Half Baked I
You Dnt Wnt It
I Pickle Rick I
Duece Man
Ranger From</t>
  </si>
  <si>
    <t>GET OVER MEIR!</t>
  </si>
  <si>
    <t>boards.net</t>
  </si>
  <si>
    <t>Pre-to-Post Transactions |</t>
  </si>
  <si>
    <t>14:28</t>
  </si>
  <si>
    <t>The Day Thread Dresses in Drag and Does the Hula</t>
  </si>
  <si>
    <t>Coming to KFC, July 1st, The Cheetos Chicken Sandwich!  Take that Doritos Loco Taco!
 https://uploads.disquscdn.c...</t>
  </si>
  <si>
    <t>Wynstone</t>
  </si>
  <si>
    <t>the-avocado.org</t>
  </si>
  <si>
    <t>The Avocado</t>
  </si>
  <si>
    <t>//uploads.disquscdn.com/images/2d423bcf926596643e44556e9533b48f69a43aa765bfbbca2af001fb23a9bcc8.jpg</t>
  </si>
  <si>
    <t>14:26</t>
  </si>
  <si>
    <t>24.06.2019 14:26</t>
  </si>
  <si>
    <t>Doritos tutan parmağını yalar</t>
  </si>
  <si>
    <t>*ÇatlakKafa*</t>
  </si>
  <si>
    <t>Nicaragua</t>
  </si>
  <si>
    <t>14:24</t>
  </si>
  <si>
    <t>Trust Co. of Toledo NA OH Decreases Holdings in PepsiCo, Inc. (NASDAQ:PEP)</t>
  </si>
  <si>
    <t>publication, it was illegally copied and reposted in violation of US &amp; international trademark and copyright legislation. The legal version of this piece can be read at https://techknowbits.com/2019/06/24/trust-co-of-toledo-na-oh-decreases-holdings-in-pepsico-inc-nasdaqpep.html.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</si>
  <si>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14:23</t>
  </si>
  <si>
    <t>24.06.2019 14:25</t>
  </si>
  <si>
    <t>‍♀️ Ash ツ ‍♀️</t>
  </si>
  <si>
    <t>there was a winnie hut junior mode, where players like you can run around and have all the time to react in the world, max sensitivity settings are limited( can't get too twitchy), and Nacho Cheese Doritos litter the map? I can play the classic mode (with ongoing balance improvements of course), and the mil-sim people can play actual hardcore.
0</t>
  </si>
  <si>
    <t>14:22</t>
  </si>
  <si>
    <t>Me everyday ❤ .
.
.
.
.
.
.
.
.
.
.
.
#jade @jadethirlwall #jesy @jesynelson #perrie @perrieedwards #leighanne @leighannepinnock #littlemix @littlemix @lmxbeauty #f4f #fff #followforfollow #follow4follow #l4l #lfl #likeforlike #like4like #mileycyrus #arianagrande #demilovato #selenagomez #xtina #beyonce #jessiej #adele #justinbieber #onedirection #onerepublic #imaginedragons #drake #zaynmalik #louisetomlinson #harrystyles #liampayne</t>
  </si>
  <si>
    <t>leighade_world</t>
  </si>
  <si>
    <t>24.06.2019 14:22</t>
  </si>
  <si>
    <t>SNICKERS DORITOS N A POWERADE.</t>
  </si>
  <si>
    <t>Agustin F. Trejo Guerrero</t>
  </si>
  <si>
    <t>Бейкерсфилд</t>
  </si>
  <si>
    <t>a baby girl</t>
  </si>
  <si>
    <t>Pitsburg</t>
  </si>
  <si>
    <t>14:21</t>
  </si>
  <si>
    <t>24.06.2019 14:24</t>
  </si>
  <si>
    <t>@sweeteniana yes we can share i have cool ranch doritos</t>
  </si>
  <si>
    <t>uɯnʇnɐ</t>
  </si>
  <si>
    <t>14:20</t>
  </si>
  <si>
    <t>no ay sistema</t>
  </si>
  <si>
    <t>Bogotá Distrito Capital</t>
  </si>
  <si>
    <t>Богота</t>
  </si>
  <si>
    <t>24.06.2019 14:20</t>
  </si>
  <si>
    <t>If this ain't true ion know what is..
Follow: @0fficialmcqueen</t>
  </si>
  <si>
    <t>A R I E S</t>
  </si>
  <si>
    <t>Pretty sure my family would love this one -
https://www.facebook.com/homecookedrecipes/videos/1949222091867045/
Home Cooked Recipes
Dorito Casserole is one meal my whole family loves!
https://www.spendwithpennies.com/layered-doritos-casserole/</t>
  </si>
  <si>
    <t>30 days</t>
  </si>
  <si>
    <t>14:17</t>
  </si>
  <si>
    <t>Doritos or Plain chips
Beef, Turkey, Chicken, Shrimp and Steak Queso Dip
Optional Toppings:
Shredded lettuce
Sour cream
Jalapenos 
Salsa or green chile salsa
⚠️Deposit required⚠️
⚠️Must order by 8pm Fri for Saturday delivery and 8pm Sat for Sunday delivery⚠️
Text 4702360804</t>
  </si>
  <si>
    <t>Chemi</t>
  </si>
  <si>
    <t>ali ovaj hot doritos je top</t>
  </si>
  <si>
    <t>da li da li u</t>
  </si>
  <si>
    <t>Serbia</t>
  </si>
  <si>
    <t>Центральная Сербия</t>
  </si>
  <si>
    <t>Белград</t>
  </si>
  <si>
    <t>14:16</t>
  </si>
  <si>
    <t>Being an adult can be awesome sometimes. Especially when you choose this to be your supper.  #yummystuff #nodiet #hatersgonnahate #idontcare #hungry #hotellife #iwalkedverylongforthissoihaveearnedit #lazymonday #enjoyinglife #junkfood #veggie</t>
  </si>
  <si>
    <t>Theresa</t>
  </si>
  <si>
    <t>Баден-Вюртемберг</t>
  </si>
  <si>
    <t>Хайдельберг</t>
  </si>
  <si>
    <t>convenience food,junk food,food,snack</t>
  </si>
  <si>
    <t>24.06.2019 14:23</t>
  </si>
  <si>
    <t>Sweet Chilli Heat Supreme Crunch Wrap because who needs Taco Bell  •Tortilla Wraps
•Ground Beef
•White Rice
•Red Bell Pepper
•Shredded Cheese
•Romaine Lettuce •Ranch •BBQ Sauce •Sweet Chilli Heat Doritos 
#SolidMeals #AverageJoe #AverageMeals #TacoBell #Doritos #SideOfFries #FoodLover #MealOfTheDay</t>
  </si>
  <si>
    <t>SolidSuppers</t>
  </si>
  <si>
    <t>meal,fried food,food,fast food,french fries,junk food</t>
  </si>
  <si>
    <t>14:14</t>
  </si>
  <si>
    <t>Vlog episode#1 Doritos</t>
  </si>
  <si>
    <t>Vlog episode#1  Doritos
Sorry for shitty Quality it was film in my phone</t>
  </si>
  <si>
    <t>Evil _one</t>
  </si>
  <si>
    <t>14:13</t>
  </si>
  <si>
    <t>24.06.2019 14:19</t>
  </si>
  <si>
    <t>Chels ♓️</t>
  </si>
  <si>
    <t>Fuck Doritos</t>
  </si>
  <si>
    <t>local graton man</t>
  </si>
  <si>
    <t>24.06.2019 14:16</t>
  </si>
  <si>
    <t>El Pequeño Chati</t>
  </si>
  <si>
    <t>Paraguay</t>
  </si>
  <si>
    <t>Distrito Capital de Paraguay</t>
  </si>
  <si>
    <t>Асунсьон</t>
  </si>
  <si>
    <t>Medic Without a Cause</t>
  </si>
  <si>
    <t>Carter Kubik ❁</t>
  </si>
  <si>
    <t>24.06.2019 14:14</t>
  </si>
  <si>
    <t>machop</t>
  </si>
  <si>
    <t>24.06.2019 14:13</t>
  </si>
  <si>
    <t>24.06.2019 14:18</t>
  </si>
  <si>
    <t>Maurice Richard, give me strength.
Poutine Doritos Ketchup.  cc @alexxxperron</t>
  </si>
  <si>
    <t>S Lefebvre</t>
  </si>
  <si>
    <t>Jupiter</t>
  </si>
  <si>
    <t>14:10</t>
  </si>
  <si>
    <t>what’s ur fav snack?
mines prob doritos
••
#thiccslime #pinkslime #slime #clearslime #clearpinkslime #cleargreenslime #blueclearslime #slimeasmr #asmrslime #amazingslime #cloudslime #crunchyslime #pinkcloudslime #thickslime #slime #clearslimemixing</t>
  </si>
  <si>
    <t>ѕтσcкє∂</t>
  </si>
  <si>
    <t>14:05</t>
  </si>
  <si>
    <t>24.06.2019 14:11</t>
  </si>
  <si>
    <t>@hwanghoney And do you know what Jaehyun does to Doritos? He crushes them. It's over for you.</t>
  </si>
  <si>
    <t>Vαny ♡</t>
  </si>
  <si>
    <t>Борно</t>
  </si>
  <si>
    <t>Mile Ninety</t>
  </si>
  <si>
    <t>24.06.2019 14:10</t>
  </si>
  <si>
    <t>Kiki</t>
  </si>
  <si>
    <t>24.06.2019 14:09</t>
  </si>
  <si>
    <t>Send doritos y plátanitos dulces.</t>
  </si>
  <si>
    <t>Una maldita reina del drama.</t>
  </si>
  <si>
    <t>Лланвайр Пуллгвингилл</t>
  </si>
  <si>
    <t>24.06.2019 20:51</t>
  </si>
  <si>
    <t>Bruh Orange Cassidy lmao</t>
  </si>
  <si>
    <t>I know right?! I almost pissed in my bag of doritos when I read the 713th comment about how his disinterested punches are absolutely SAVAGE! HAHAHAH lollollol!!!</t>
  </si>
  <si>
    <t>Zschaus1</t>
  </si>
  <si>
    <t>14:03</t>
  </si>
  <si>
    <t>24.06.2019 14:07</t>
  </si>
  <si>
    <t>Chilli Heatwave Dorito Chicken Burger  So I really wanted to mix my favourite pack of crisps with a meal and here it is, all you need is chicken,flour,egg, Doritos and a frierEnjoy
#foodporn #food #foodie #asmr #asmreating #foodvideos</t>
  </si>
  <si>
    <t>Jude Forbes</t>
  </si>
  <si>
    <t>This is Hank. Hank is 34. For a horse to reach 34 is like a human making it to 109. He loves his sunsets  : aww</t>
  </si>
  <si>
    <t>I think it’s how I feel about cooler ranch Doritos</t>
  </si>
  <si>
    <t>TravelFar_RideHorses</t>
  </si>
  <si>
    <t>14:01</t>
  </si>
  <si>
    <t>24.06.2019 14:01</t>
  </si>
  <si>
    <t>14:00</t>
  </si>
  <si>
    <t>And what a sad, sad book it is...
https://www.facebook.com/AuthorPaigeKellerman/photos/a.455614881204750/1838311639601727/?type=3
Paige Kellerman, Author-Humorist
Chapter 2: I convince myself three bags of Doritos are better than one.</t>
  </si>
  <si>
    <t>Kisses From Boys with Krista Ward</t>
  </si>
  <si>
    <t>Funny as hell dudes</t>
  </si>
  <si>
    <t>Funny as hell dudes
My sister choked on doritos</t>
  </si>
  <si>
    <t>Savage 261</t>
  </si>
  <si>
    <t>24.06.2019 14:05</t>
  </si>
  <si>
    <t>~ Wowie
.
.
.
QOTD: The colour of you t-shirt and that last thing you ate is your superhero name...what is it?
AOTD: Black Doritos
.
.
.
Tagging: @bradleywillsimpson @connorball @jamesmcvey @thevampstris @thevamps .
.
.
#TheVampsBand #TheVamps #Brad #Bradley #BradSimpson #BradleySimpson #BradleyWillSimpson #Con #Connor #ConnorBall #ConnorSamuelJohnBall #James #JamesMcvey #JamesDanielMcvey #Tris #Tristan #TristanEvans #TristanOliverVanceEvans #Tradley #Jadley #Bronnor #Tronnor #Jonnor #Trames #Vampette #Vampettes #VampetteForlife #VampetteForever #Vamily #NoVamilyHate ~
@bradleywillsimpson @thevampstris @jamesmcvey @connorball @thevamps</t>
  </si>
  <si>
    <t>•Paige|6,839 Best Friends •✌•</t>
  </si>
  <si>
    <t>13:58</t>
  </si>
  <si>
    <t>24.06.2019 14:02</t>
  </si>
  <si>
    <t>Tobey the pug eating Doritos</t>
  </si>
  <si>
    <t>Tobey the pug eating Doritos
He loves anything you give him</t>
  </si>
  <si>
    <t>Billy jrs Unboxing</t>
  </si>
  <si>
    <t>24.06.2019 13:58</t>
  </si>
  <si>
    <t>@dcffk @PhoenixTruths @mackswift @678GUY @wellsm8 @SageThinker99 @SuchAngerLilSam @gnvrbyd @JohnFis87569576 @_ad_libertatum_ @ProletariatRis1 @vrijomslachtig @rickballan @PrimateBri @mwhi4321 @anonbene5 @triadaxiom @MarkRPellegrino @TeresaRJ3 @Musicfreak78 @The_Real_BiM Humans existed for millennia without running water, electricity, toilets, refrigerators, televisions, cars, buses, telephones, Doritos, schools, beer, or knowing when they will eat next. Most poor people in America, it seems, are overweight and have access to all those things.</t>
  </si>
  <si>
    <t>John Galt's Plumber</t>
  </si>
  <si>
    <t>Town of East Hartford</t>
  </si>
  <si>
    <t>13:53</t>
  </si>
  <si>
    <t>24.06.2019 13:55</t>
  </si>
  <si>
    <t>Smecksie doritos 69 are back the ultimate squad ps fuck kyle raffy</t>
  </si>
  <si>
    <t>Smecksie doritos 69 are back the ultimate squad ps fuck kyle raffy
Please like my videosand subscribe☺</t>
  </si>
  <si>
    <t>toxic raize</t>
  </si>
  <si>
    <t>13:52</t>
  </si>
  <si>
    <t>#mondaydinner #nachos #lovethearoma #lovetheflavour</t>
  </si>
  <si>
    <t>Aletta Coetzee</t>
  </si>
  <si>
    <t>fried food,salad,appetizer,vegetable,fast food,junk food,meal,food</t>
  </si>
  <si>
    <t>24.06.2019 14:08</t>
  </si>
  <si>
    <t>I want those Doritos you have there
#fatcatsofinstagram #cats #cutecatsofinstagram #cutcat #mycatiscuterthanyours #iwantfood #adorablecats</t>
  </si>
  <si>
    <t>Louie</t>
  </si>
  <si>
    <t>Mmmm ganas de altos doritos</t>
  </si>
  <si>
    <t>Julietaa☄</t>
  </si>
  <si>
    <t>Get Mister Snazzy Trousers over here.
(looks like yes?)
https://corp.7-eleven.com/c... https://disq.us/url?url=https://corp.7-eleven.com/corp-press-releases/07-02-2014-doritos-loaded-snacks-and-mtn-dew-solar-flare-launch:ri1ehRDIBCdc8jKHy5HwW0OzsAA&amp;cuid=5299687</t>
  </si>
  <si>
    <t>Some Dude</t>
  </si>
  <si>
    <t>Mullidita⚡️</t>
  </si>
  <si>
    <t>13:51</t>
  </si>
  <si>
    <t>Alkuna</t>
  </si>
  <si>
    <t>24.06.2019 13:56</t>
  </si>
  <si>
    <t>Hey all!! I'm back with another vid of a new slime I made
⠀⠀
: Cookie Monster Cookie Dough
: clay with brown and light brown foam chunks and blue foam beads
: oatmeal cookie dough
⠀⠀
Ｄｉｓｃｌａｉｍｅｒｓ:
This slime does not have a label sticker yet or a logo sticker!! &amp;&amp;Sorry about the slime sticking to me!! ⠀⠀ ⠀⠀ ⠀⠀ ⠀⠀ ⠀⠀ ⠀ ⠀⠀ ⠀⠀ ⠀⠀ ⠀⠀ ⠀⠀ ⠀ ⠀⠀ ⠀⠀ ⠀ ⠀⠀ ⠀⠀⠀ The last digit of your like determines what you will eat!
1. Pizza rolls
2. Cupcake 
3. Doritos
4. A single slice of bread
5. A fruit salad
6. Burger &amp; fries
7</t>
  </si>
  <si>
    <t>Poptart Squish</t>
  </si>
  <si>
    <t>24.06.2019 13:52</t>
  </si>
  <si>
    <t>How is it that nuts from California cost less in Spain than in CA?
Water, shipping, labor and the price includes the taxes here too (not added in at check out).  For fun I added in some great organic Rioja Wine and Doritos prices. — in Ayamonte, Spain https://www.facebook.com/1069391162/posts/10217041696369131/</t>
  </si>
  <si>
    <t>Veronica Ondrejech</t>
  </si>
  <si>
    <t>13:50</t>
  </si>
  <si>
    <t>Does 7/11 still sell those Loaded Doritos?</t>
  </si>
  <si>
    <t>Councilman Les Wynan</t>
  </si>
  <si>
    <t>13:49</t>
  </si>
  <si>
    <t>❤️Carly Belsey❤️</t>
  </si>
  <si>
    <t>13:48</t>
  </si>
  <si>
    <t>2 Trash Talkers Get Rekt With Mlg Edits</t>
  </si>
  <si>
    <t>2 Trash Talkers Get Rekt With Mlg Edits
Scartesu Best Tesu</t>
  </si>
  <si>
    <t>Scartesu</t>
  </si>
  <si>
    <t>13:47</t>
  </si>
  <si>
    <t>24.06.2019 13:49</t>
  </si>
  <si>
    <t>@JulioVegaaa That’s when I use to tell y’all to save a zombie so I could go to 7/11 and get some Doritos and Mountain Dew for the double xp. Them were the days!!</t>
  </si>
  <si>
    <t>Stoopid!!</t>
  </si>
  <si>
    <t>Айова</t>
  </si>
  <si>
    <t>13:45</t>
  </si>
  <si>
    <t>Cheeto dorito vro</t>
  </si>
  <si>
    <t>When you go get food for your friends but the don’t want Cheetos, Doritos, and Fritos</t>
  </si>
  <si>
    <t>A_KULT_KILLAH</t>
  </si>
  <si>
    <t>13:44</t>
  </si>
  <si>
    <t>24.06.2019 13:57</t>
  </si>
  <si>
    <t>honey turkey, cheddar cheese and eggs on a hero with purple Doritos on the side, you hoes ain’t securing $6 meals like me</t>
  </si>
  <si>
    <t>andy</t>
  </si>
  <si>
    <t>24.06.2019 13:54</t>
  </si>
  <si>
    <t>Changing Time for chips</t>
  </si>
  <si>
    <t>Changing Time for chips
Sonny and Tubbs discover that Izzy stole 2 bags of doritos and they have to stop him and use time travel to get the chips back
This is a short video (film) i made in film class it isn't one of my most favorite films i have made but my class seemed to enjoy it a lot.
Planning to make new videos that are different soon once i have time to do so</t>
  </si>
  <si>
    <t>Ajthelizard</t>
  </si>
  <si>
    <t>13:42</t>
  </si>
  <si>
    <t>24.06.2019 19:59</t>
  </si>
  <si>
    <t>7-Eleven pins San Antonio for service that delivers virtually anywhere</t>
  </si>
  <si>
    <t>orders under $15, there is no minimum order amount. The first three delivery fees are also waived for new customer within 30 days of the first order. The app also offers real-time tracking to let customers know when they can expect their Cool Ranch Doritos.
Though the introduction of 7NOW Pins may mean that customers never have to set foot in a physical store, 7-Eleven is hardly abandoning its core business model. In March, the company debuted a test concept in Dallas that included made-to-order coffee, wine and beer on tap, and an outpost of fast-casual chain Laredo Taco Co. Read These Next</t>
  </si>
  <si>
    <t>Brandon Watson</t>
  </si>
  <si>
    <t>sanantonio.culturemap.com</t>
  </si>
  <si>
    <t>13:41</t>
  </si>
  <si>
    <t>24.06.2019 13:43</t>
  </si>
  <si>
    <t>“it’s a disgrace to human kind.” - rjb
~
hi here’s a little cartoon drawing of @newhopereece being disgusting by nacho cheese doritos   i hope you all like it cause ngl i’m quite proud of it♥️
~
@newhopereece @newhopeclub ♥️
~
&lt;tags • ignore&gt;
#newhopeclub #reecebibby #georgesmith #blakerichardson #nhc #newhopeclubart #art #cartoon #digitalart #reecebibbyart #reecebibbyedit #thevamps #jamesmcvey #bradsimpson #tristanevans #connorball
@newhopereece @biberella @newhopeclub @bibbingtons</t>
  </si>
  <si>
    <t>alex♏️</t>
  </si>
  <si>
    <t>13:38</t>
  </si>
  <si>
    <t>Meghan McCain compares her doubts about Trump rape allegations to accuser&amp;#8217;s claims</t>
  </si>
  <si>
    <t>Shut up, Meg.  Shut your vapid, clueless, annoying, screeching, Doritos hole.  Also, fuck your scumbag husband.</t>
  </si>
  <si>
    <t>Aaron Scheff</t>
  </si>
  <si>
    <t>rawstory.com</t>
  </si>
  <si>
    <t>Raw Story</t>
  </si>
  <si>
    <t>13:37</t>
  </si>
  <si>
    <t>24.06.2019 13:41</t>
  </si>
  <si>
    <t>Mortal combat</t>
  </si>
  <si>
    <t>Today I’m eating Doritos</t>
  </si>
  <si>
    <t>Unnoticed Wolf</t>
  </si>
  <si>
    <t>King SY</t>
  </si>
  <si>
    <t>13:36</t>
  </si>
  <si>
    <t>24.06.2019 13:45</t>
  </si>
  <si>
    <t>Janet from anotha planet</t>
  </si>
  <si>
    <t>24.06.2019 13:42</t>
  </si>
  <si>
    <t>KRS1</t>
  </si>
  <si>
    <t>24.06.2019 13:36</t>
  </si>
  <si>
    <t>All i want is to eat Doritos while in the shower</t>
  </si>
  <si>
    <t>aleena bokhari</t>
  </si>
  <si>
    <t>Прованс-Альпы-Лазурный Берег</t>
  </si>
  <si>
    <t>Aspres-lès-Corps</t>
  </si>
  <si>
    <t>nechi</t>
  </si>
  <si>
    <t>Ла-Либертад</t>
  </si>
  <si>
    <t>Трухильо</t>
  </si>
  <si>
    <t>13:35</t>
  </si>
  <si>
    <t>Got a gslse 13b from the junk yard over the weekend and I have enough reason to believe that it still has good compression. Going to test it once I’m off of work today but I may be throwing this in the first gen until I have my t2 swap ready #13b #12a #fb3s #fc3s #fd3s #turbo2 #rotary #braap #gslse #rx7 #doritos #braap</t>
  </si>
  <si>
    <t>Deshawn Smith</t>
  </si>
  <si>
    <t>How To Play Arena | Stream Highlight</t>
  </si>
  <si>
    <t>How To Play Arena | Stream Highlight
Hello everybody welcome back to another video here is Trapper Beb and Trapper Doritoz insane arena game play watch till the end. hope you enjoy
 Trapper Beb's instagram: https://www.instagram.com/trapper_beb/
Trapper Beb’s YouTube: https://www.youtube.com/channel/UCHVuScTVEoAjWbioEMm_PIQ
Trapper Doritoz's Instagram: https://www.instagram.com/trapper_doritoz/
Trapper Doritoz's YouTube: https://www.youtube.com/channel/UCWoVumqIr3kVe9Ti10hgrlw
Team Trapper socials
Instagram: https://www.instagram.com/team_trapper/
discord: https://discordapp.com/invite/yT2Bxvu
DON'T CLICK THIS! - http://bit.ly/2VXOudt
?sub_confirmation=1</t>
  </si>
  <si>
    <t>Team Trapper</t>
  </si>
  <si>
    <t>13:34</t>
  </si>
  <si>
    <t>24.06.2019 13:39</t>
  </si>
  <si>
    <t>Kevin Saunders. Balding slightly, with his thin fair hair and friendly, chubby face, whispers quietly under his breath to himself at the Asda self-service machine...
‘Big bag of cans for the lads’ 
Fridge pack of BudLight, Doritos Hot One Roulette (“the guys will love this!”) and a small tub of Flora (“I was nearly out”) Stacy, a chirpy 23yr old with clumsy make up saunters over, swishes, punches in code, walks away ignoring him fantastically. 
Kevin loves her but in a way he’s not ready to deal with. An Ed Sheeran song that didn’t make the</t>
  </si>
  <si>
    <t>Tiny Beer</t>
  </si>
  <si>
    <t>13:33</t>
  </si>
  <si>
    <t>24.06.2019 13:40</t>
  </si>
  <si>
    <t>Mountain Dew, Doritos
 Passing over our village
 Tears return to soil</t>
  </si>
  <si>
    <t>24.06.2019 13:34</t>
  </si>
  <si>
    <t>yoghurt and blueberries
Doritos, Max Strong or Sensations? RT + Reply with your favourite summer snack for the chance to #WIN an Amazon Echo or a case of crisps!  
Closes 25th June, T&amp;Cs: https://bit.ly/2ImAjqN</t>
  </si>
  <si>
    <t>alexlukeshelby</t>
  </si>
  <si>
    <t>This thing looks crazy!
https://kiss951.com/2019/06/24/the-internet-is-freaking-out-about-the-new-cheetos-chicken-sandwich/
The Internet Is Freaking Out About The New Cheetos Chicken Sandwich
Would you try it? Fast food restaurants are getting more and more creative when it comes to inventing new items for their menu; just look at the doritos locos tacos, or the nacho fries. Well now, we have the Cheetos Chicken Sandwich. KFC announced the new limited time menu item that will be around f...</t>
  </si>
  <si>
    <t>Kiss 95.1</t>
  </si>
  <si>
    <t>fast food,snack,junk food,food,fried food</t>
  </si>
  <si>
    <t>13:32</t>
  </si>
  <si>
    <t>24.06.2019 19:25</t>
  </si>
  <si>
    <t>PepsiCo, Inc. (NASDAQ:PEP) Shares Bought by Dixon Hubard Feinour &amp; Brown Inc. VA</t>
  </si>
  <si>
    <t>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</si>
  <si>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13:31</t>
  </si>
  <si>
    <t>24.06.2019 13:44</t>
  </si>
  <si>
    <t>Bluegills, size of your hand, boy!
#takeakidfishing | #fishfry | #midwestoutdoors | #metro | #citylimits | #doritos | #mnoutdoornews | #alumacraftboats | #yamahaoutboards | #bluegillfishing | #speedo | #floodedtimber | #getoutside | #shimanoreels | #stcroixrods | #stringerringer | #fishidy | #abugarcia |</t>
  </si>
  <si>
    <t>Adam</t>
  </si>
  <si>
    <t>fish</t>
  </si>
  <si>
    <t>13:30</t>
  </si>
  <si>
    <t>I cant catch a peacock bass so might as well feed some dang iguanas some Doritos... #miami</t>
  </si>
  <si>
    <t>rock,tree,plant,soil</t>
  </si>
  <si>
    <t>leaf,grass</t>
  </si>
  <si>
    <t>The time is here to start saving on your favorite 4th of July picnic items!  Enjoy great savings on Pepsi, Coca Cola, Doritos, and much more!  Sale valid June 24- July 7th, 2019.
Watch for our ad in this week's RetailMeNot Everyday mailer! 
https://www.facebook.com/countryfairstores/photos/a.768291446543073/2501750189863848/?type=3
Photos from Country Fair's post</t>
  </si>
  <si>
    <t>Country Fair</t>
  </si>
  <si>
    <t>13:29</t>
  </si>
  <si>
    <t>24.06.2019 13:35</t>
  </si>
  <si>
    <t>Alejandra Flores Valero</t>
  </si>
  <si>
    <t>Сан-Луис-Потоси</t>
  </si>
  <si>
    <t>San Antonio Zaragoza</t>
  </si>
  <si>
    <t>13:28</t>
  </si>
  <si>
    <t>24.06.2019 13:31</t>
  </si>
  <si>
    <t>David ☄️</t>
  </si>
  <si>
    <t>24.06.2019 13:29</t>
  </si>
  <si>
    <t>Master of retweets</t>
  </si>
  <si>
    <t>13:26</t>
  </si>
  <si>
    <t>24.06.2019 13:47</t>
  </si>
  <si>
    <t>Do you like Starscream’s design? #starscream #doritos #pizza #decepticon #transformers #michaelbay</t>
  </si>
  <si>
    <t>MegatronTraps</t>
  </si>
  <si>
    <t>24.06.2019 14:40</t>
  </si>
  <si>
    <t>I grew up pretty far out in the rural area. Nothing close though =p</t>
  </si>
  <si>
    <t>The nearest fast food was 20 miles away.  Grandpa's fried bologna and  Doritos sandwich with a little debbie oatmeal pie would beat a McDonald's anyday.</t>
  </si>
  <si>
    <t>Fezzik Fleabaggins</t>
  </si>
  <si>
    <t>Anthrocon 2019 ABDL/Babyfur Chat</t>
  </si>
  <si>
    <t>BeeKay</t>
  </si>
  <si>
    <t>Фри-Стейт</t>
  </si>
  <si>
    <t>Блумфонтейн</t>
  </si>
  <si>
    <t>13:25</t>
  </si>
  <si>
    <t>Post Vid Lunch! Just filmed a new Son vs Dad Video! Make sure you are subscribed and have notifications on to see when it is uploaded! You don’t want to miss this one!
@doritos @subway @bearinthebackyard.yt</t>
  </si>
  <si>
    <t>BearInTheBackyard.YT</t>
  </si>
  <si>
    <t>24.06.2019 13:28</t>
  </si>
  <si>
    <t>macy weathers</t>
  </si>
  <si>
    <t>@midwestrash Oh now you're teaching your kids theft??? It really NEVER ends with you! First doritos and now THEFT.....  (jk)</t>
  </si>
  <si>
    <t>13:20</t>
  </si>
  <si>
    <t>24.06.2019 13:24</t>
  </si>
  <si>
    <t>@absdlyevil Sim! Ombros largos e cintura fina. Como um doritos</t>
  </si>
  <si>
    <t>Clint</t>
  </si>
  <si>
    <t>24.06.2019 13:23</t>
  </si>
  <si>
    <t>ً</t>
  </si>
  <si>
    <t>24.06.2019 13:22</t>
  </si>
  <si>
    <t>@sPiCeR_8o @LCFC Anything less than Chilli Heatwave Doritos and I’m done.</t>
  </si>
  <si>
    <t>Scott</t>
  </si>
  <si>
    <t>13:19</t>
  </si>
  <si>
    <t>24.06.2019 13:21</t>
  </si>
  <si>
    <t>neckbonejuice</t>
  </si>
  <si>
    <t>24.06.2019 13:20</t>
  </si>
  <si>
    <t>imma put my dick in a bag of doritos and make mark and jude suck the dust off the tip</t>
  </si>
  <si>
    <t>the wytches stan acc</t>
  </si>
  <si>
    <t>Kieran Walsh</t>
  </si>
  <si>
    <t>24.06.2019 22:06</t>
  </si>
  <si>
    <t>•People watching love island •
-
-
-
-
-
•Do you watch love island,, if you do would you do this?•
#nichememes #loveisland #whosyourfavcouple - mine amber and Micheal</t>
  </si>
  <si>
    <t>•Three OwnersXx</t>
  </si>
  <si>
    <t>13:15</t>
  </si>
  <si>
    <t>24.06.2019 21:43</t>
  </si>
  <si>
    <t>Monday be like  #ramen #udon</t>
  </si>
  <si>
    <t>Tease&amp;Tame</t>
  </si>
  <si>
    <t>Сан-Антонио</t>
  </si>
  <si>
    <t>junk food,drink,food</t>
  </si>
  <si>
    <t>24.06.2019 13:16</t>
  </si>
  <si>
    <t>Let's see what flares up...... http://time.com/4038837/doritos-rainbow-chips-pride-lgbt/?utm_source=facebook.com&amp;utm_medium=social&amp;utm_campaign=social-share-article&amp;utm_content=20190411</t>
  </si>
  <si>
    <t>Jesus Soliz</t>
  </si>
  <si>
    <t>Porterville</t>
  </si>
  <si>
    <t>13:14</t>
  </si>
  <si>
    <t>24.06.2019 13:14</t>
  </si>
  <si>
    <t>@tanya2rl Dove
Lux
Close up
Sedaap
Pepsi
Doritos
Pnb
Asus</t>
  </si>
  <si>
    <t>moon</t>
  </si>
  <si>
    <t>24.06.2019 13:19</t>
  </si>
  <si>
    <t>Ideal body goals  don’t even speak  to me  if your  not built like this 
Sorry for it being so long since posting, I’ve been very busy, had a trip (which I really loved) and tbh am just forgetting. ~.~
#meme#funny#omghaha#lol#dankmemes#ironicmemes#hilarious#pyrocynical#memeulous#schoolmemes#cursedimages#epic#gaming#gamer#savagememes#pewdiepie#pewdiepiememes#musically#tiktok#vine#vines#funnyvideos#mlgmemes#trending#childishgambino#relatablememes#tiktokcringe#tiktokmemes#funniestmemes#doritos
@crumble_time @420coochie</t>
  </si>
  <si>
    <t>your mum lololol</t>
  </si>
  <si>
    <t>13:13</t>
  </si>
  <si>
    <t>GRAVY PULLED UP TO MY PLACE iN LA DRiViNG A SELF DRiViNG AN ALBiNO SNOW STORM TESLA CAR ... BEARFOOT WE WENT iNSiDE AND i iNTRODUCED HiM TO MY FRiENDS &amp;amp; FAMiLY (I know surprising that I have friends  &amp;amp; family right?) ... i THEN LET HiM TRY SOME OF MY WORLD FAMOUS MANGO SHRiMP CEViCHÉ  WiTH HAND MADE BRiCK OVEN BAKED CORNMEAL TRiANGLES ... YOU MAY KNOW THEM AS “COOL RANCH DORiTOS” .. HE FORGOT SOMETHiNG FROM HiS CAR AND WE HAD TO SHOW HiM HOW TO PARK iN THE DRiVE WAY ANYWAYS SO WE HEAD BACK DOWNSTAiRS .. AS i CAME OUTSiDE HE RAN</t>
  </si>
  <si>
    <t>Riff Raff</t>
  </si>
  <si>
    <t>street</t>
  </si>
  <si>
    <t>24.06.2019 13:30</t>
  </si>
  <si>
    <t>DORITOS VS LAY CHIPS @doritos #chip</t>
  </si>
  <si>
    <t>Lord4940</t>
  </si>
  <si>
    <t>Lays,Doritos</t>
  </si>
  <si>
    <t>convenience food,fast food,food,junk food,snack</t>
  </si>
  <si>
    <t>13:12</t>
  </si>
  <si>
    <t>24.06.2019 13:33</t>
  </si>
  <si>
    <t>send me doritos pls i’m so skint
@sample.co</t>
  </si>
  <si>
    <t>fashion accessory</t>
  </si>
  <si>
    <t>24.06.2019 13:18</t>
  </si>
  <si>
    <t>jacoboprado</t>
  </si>
  <si>
    <t>@TheLordOfLard Fio orders a doritos loco taco with a fritos crunchwrap asmr</t>
  </si>
  <si>
    <t>Mazoku Priest</t>
  </si>
  <si>
    <t>24.06.2019 13:17</t>
  </si>
  <si>
    <t>nick</t>
  </si>
  <si>
    <t>cameryn</t>
  </si>
  <si>
    <t>Laura Balgo</t>
  </si>
  <si>
    <t>13:11</t>
  </si>
  <si>
    <t>@tanya2rl Head and Shoulders
Dettol
Colgate
Sedaap
Milkis
Doritos
Off White/Uniqlo/A Bathing Ape
iPhone</t>
  </si>
  <si>
    <t>Dodon Dwi Prastyo</t>
  </si>
  <si>
    <t>Восточная Ява</t>
  </si>
  <si>
    <t>Сурабая</t>
  </si>
  <si>
    <t>@liamr_03v2 @camilaisthegoat @JALLEN_____ Exactly, spicy Doritos dipped in milk makes my skin crawl</t>
  </si>
  <si>
    <t>sean</t>
  </si>
  <si>
    <t>Дублин</t>
  </si>
  <si>
    <t>13:10</t>
  </si>
  <si>
    <t>Aon plc (AON) Reaches $193.95 High on Jun, 24; Special Opportunities Fund (SPE)’s Sentiment Is 1</t>
  </si>
  <si>
    <t>Estimates, Says Food Delivery Service Losing Share Of Diner Spending – Benzinga” on June 10, 2019, also Seekingalpha.com with their article: “SPE: Regular Distribution Imminent – Seeking Alpha” published on March 15, 2019, Seekingalpha.com published: “Special Opportunities Fund declares $0.21875 dividend – Seeking Alpha” on June 07, 2019. More interesting news about Special Opportunities Fund, Inc. (NYSE:SPE) were released by: Prnewswire.com and their article: “‘Incognito Doritos’ Unveiled To Help Spider-Manâ„¢ Conceal His Iconic Suit</t>
  </si>
  <si>
    <t>13:08</t>
  </si>
  <si>
    <t>Bir cipsten fazlası #cips #doritos #keyif #kedi #cat #catsoninstagram #catsofinstagram  #catstagram #chips #eat</t>
  </si>
  <si>
    <t>pati</t>
  </si>
  <si>
    <t>13:06</t>
  </si>
  <si>
    <t>24.06.2019 13:10</t>
  </si>
  <si>
    <t>ACILI DORİTOS YEME CHALLENGE (SU İÇMEDEN)</t>
  </si>
  <si>
    <t>Ömer Akif HD</t>
  </si>
  <si>
    <t>13:03</t>
  </si>
  <si>
    <t>esquvidu</t>
  </si>
  <si>
    <t>rubia</t>
  </si>
  <si>
    <t>Ifuna ungabi ivila embheden.
Why uma uvakashela indoda ivele ikuthengele iyogurt nePizza, Doritos,  Strawberries ?</t>
  </si>
  <si>
    <t>Teddy Thobani Biyela</t>
  </si>
  <si>
    <t>Квазулу-Наталь</t>
  </si>
  <si>
    <t>Дурбан</t>
  </si>
  <si>
    <t>Cute Party Meme (Remake)</t>
  </si>
  <si>
    <t>Nagi Sugar - ̗̀。</t>
  </si>
  <si>
    <t>24.06.2019 13:07</t>
  </si>
  <si>
    <t>So what’s Doritos dust then #peen #penis #hand #body #humanmemes #memes #edgy #yeet #whatamidoingwithmylife #idk</t>
  </si>
  <si>
    <t>Do It For State</t>
  </si>
  <si>
    <t>24.06.2019 13:05</t>
  </si>
  <si>
    <t>Unas ganas de Fernet+Doritos+Netflix</t>
  </si>
  <si>
    <t>Lara</t>
  </si>
  <si>
    <t>Gi</t>
  </si>
  <si>
    <t>13:02</t>
  </si>
  <si>
    <t>24.06.2019 13:09</t>
  </si>
  <si>
    <t>NAV PRESENTS: Top 5 Reasons Dub is afraid of the 2019 49ers.</t>
  </si>
  <si>
    <t>Lol. I just saw a video where a chick put the hottest chip in the world in her husband's Doritos bag</t>
  </si>
  <si>
    <t>KZ Rider</t>
  </si>
  <si>
    <t>spikedkoolaid.com</t>
  </si>
  <si>
    <t>spikedkoolaid</t>
  </si>
  <si>
    <t>12:59</t>
  </si>
  <si>
    <t>24.06.2019 13:03</t>
  </si>
  <si>
    <t>my first @thevegankind subscription box  already chomped my way through the @misterfreedtortillas they were like cheesy doritos! &amp; also the @vegums which are such a great idea! #vegansubscriptionbox #bekind #treatday #birthdaypresent #vegangoodies #vegansnacks #tortillachips #veganshake #vitamins #monthlysubscription #ukvegan #veganfood #protein #veganprotein #vegan #plantbased #vegansofig #veganism #govegan #veganlife #vegansofinstagram #foodie #veganeats #instafood #veganlifestyle #veganshare #plantpower #foodblog #poweredbyplants</t>
  </si>
  <si>
    <t>vgang_hope</t>
  </si>
  <si>
    <t>Wigan</t>
  </si>
  <si>
    <t>I like Doritos</t>
  </si>
  <si>
    <t>Draw And gacha</t>
  </si>
  <si>
    <t>12:58</t>
  </si>
  <si>
    <t>24.06.2019 13:02</t>
  </si>
  <si>
    <t>My appetizer plate at my nephew's 10th birthday party. Happy Birthday James! #pawneesalad #healthy #America #orange #smarties #doritos #weenietots #starburst4life #stoplookinatmygut</t>
  </si>
  <si>
    <t>Catherine Matteson</t>
  </si>
  <si>
    <t>snack,french fries,food,fast food,fried food,junk food</t>
  </si>
  <si>
    <t>24.06.2019 13:12</t>
  </si>
  <si>
    <t>Why R Doritos shaped like a triangle? Its part of the Illuminati agenda. Its a triangle, when u eat em, they turn into little sharper triangles that can make the top of ur gums gush with blood, blood thats poured onto the little Doritos is self sacrifice. Coincidence? I think not</t>
  </si>
  <si>
    <t>Chilla</t>
  </si>
  <si>
    <t>baked goods,fried food,food</t>
  </si>
  <si>
    <t>12:56</t>
  </si>
  <si>
    <t>am i the only one who’s sad 4 no reason at all, but then i eat doritos and everything’s fine?¿ no? okay</t>
  </si>
  <si>
    <t>dobrusv</t>
  </si>
  <si>
    <t>@abstractitude boopy bop floopy doop doritos but u right tbh id commit sudoku if doom wasnt in there somewhere</t>
  </si>
  <si>
    <t>dietrich</t>
  </si>
  <si>
    <t>24.06.2019 13:01</t>
  </si>
  <si>
    <t>I want me one of those sub sandwiches we used to have in high school with the pickles and cool ranch Doritos ..</t>
  </si>
  <si>
    <t>Queet MoneySavage</t>
  </si>
  <si>
    <t>Louisville</t>
  </si>
  <si>
    <t>12:53</t>
  </si>
  <si>
    <t>@schmutzie PepsiCo has mastered the guilty pleasure product synergy. The Doritos Locos Taco should be in the Hall of Fame for that.</t>
  </si>
  <si>
    <t>James Harris</t>
  </si>
  <si>
    <t>Кеймбридж</t>
  </si>
  <si>
    <t>12:52</t>
  </si>
  <si>
    <t>24.06.2019 12:56</t>
  </si>
  <si>
    <t>Me when I’ve been playing siege for 10 hours and my knees are barely functioning from sitting for so long and there’s nothing to snack on in the house
WE ARE OUT OF DORITOS KAREN</t>
  </si>
  <si>
    <t>Autumn △⃒⃘</t>
  </si>
  <si>
    <t>12:49</t>
  </si>
  <si>
    <t>24.06.2019 12:54</t>
  </si>
  <si>
    <t>Why is there no flavoring on @Doritos cool ranch anymore? Nacho Cheese has plenty. Every once in a while you get a cool ranch chip covered in delicious cool ranch but mostly it just tastes like a plain chip. #Doritos #coolranch</t>
  </si>
  <si>
    <t>big wife energy</t>
  </si>
  <si>
    <t>Brooklyn</t>
  </si>
  <si>
    <t>12:47</t>
  </si>
  <si>
    <t>24.06.2019 12:55</t>
  </si>
  <si>
    <t>do y'all want a doritos mukbang/asmr</t>
  </si>
  <si>
    <t>cass loves doritos</t>
  </si>
  <si>
    <t>Joanna Solis</t>
  </si>
  <si>
    <t>D</t>
  </si>
  <si>
    <t>24.06.2019 12:52</t>
  </si>
  <si>
    <t>I couldn't believe I was getting so many wishes for one of the original flavors of Doritos.
In fact, it's ranked number 2 on the top 25 best Doritos flavors! Cool Ranch seems to be nowhere in Asia 
Not to fear, Snack Genie is here!
#snackgenie #doritoscoolranch #chips #anysnacks #treatyoself</t>
  </si>
  <si>
    <t>Snack Genie</t>
  </si>
  <si>
    <t>24.06.2019 12:53</t>
  </si>
  <si>
    <t>I didn’t log off and left my work laptop on, got a message like haha looks like we’re both working late, if only he knew I’m sitting on Twitter with a family pack of Doritos</t>
  </si>
  <si>
    <t>exwhyzed</t>
  </si>
  <si>
    <t>Nicoletta</t>
  </si>
  <si>
    <t>Wtf is thisss.
It’s a @Doritos bag that turns into a Spider-Man suit? We’re truly living in the future. http://www.IncognitoDoritos.com</t>
  </si>
  <si>
    <t>✖️</t>
  </si>
  <si>
    <t>@CodyTrewz @LAYS That’s what I was thinking! I don’t like the Doritos ketchup one</t>
  </si>
  <si>
    <t>The Empress</t>
  </si>
  <si>
    <t>24.06.2019 12:50</t>
  </si>
  <si>
    <t>Into the James Graham-verse</t>
  </si>
  <si>
    <t>12:46</t>
  </si>
  <si>
    <t>24.06.2019 12:49</t>
  </si>
  <si>
    <t>After how many Doritos Pride campaigns young LGBTQI2+ will have access to free health care and comprehensive sexuality education?
¿Después de cuántas campañas de Doritos Pride lxs jóvenes LGBTQI+ tendrán acceso gratuito a servicios de salud y a educación sexual integral?
#Pride</t>
  </si>
  <si>
    <t>Pablo T Aguilera</t>
  </si>
  <si>
    <t>12:45</t>
  </si>
  <si>
    <t>24.06.2019 12:51</t>
  </si>
  <si>
    <t>Ball (BLL) Touches $67.64 High on Jun, 24; Special Opportunities Fund (SPE) Has 1 Sentiment</t>
  </si>
  <si>
    <t>Diner Spending – Benzinga” on June 10, 2019, also Seekingalpha.com with their article: “SPE: Regular Distribution Imminent – Seeking Alpha” published on March 15, 2019, Seekingalpha.com published: “Special Opportunities Fund declares $0.21875 dividend – Seeking Alpha” on June 07, 2019. More interesting news about Special Opportunities Fund, Inc. (NYSE:SPE) were released by: Prnewswire.com and their article: “‘Incognito Doritos’ Unveiled To Help Spider-Manâ„¢ Conceal His Iconic Suit – PRNewswire” published on June 19, 2019 as well as</t>
  </si>
  <si>
    <t>Robert Gomez</t>
  </si>
  <si>
    <t>nbonews.com</t>
  </si>
  <si>
    <t>24.06.2019 18:50</t>
  </si>
  <si>
    <t>Nacho cheese doritos sausage</t>
  </si>
  <si>
    <t>Nacho cheese doritos sausage" https://i.imgur.com/bzsDhSC.jpg</t>
  </si>
  <si>
    <t>hi_im_nate</t>
  </si>
  <si>
    <t>StupidFood : Pretentiousness. On a plate. Without the plate.</t>
  </si>
  <si>
    <t>12:44</t>
  </si>
  <si>
    <t>24.06.2019 12:47</t>
  </si>
  <si>
    <t>NEW TWO FOOT LONG DORITOS MAC N CHEESE DOG at @REDBLACKS (Cred: @LevyRestaurants)</t>
  </si>
  <si>
    <t>CelebracíonEncarnarcíon</t>
  </si>
  <si>
    <t>fried food,snack,junk food,fast food,food</t>
  </si>
  <si>
    <t>12:42</t>
  </si>
  <si>
    <t>24.06.2019 12:46</t>
  </si>
  <si>
    <t>@tanya2rl pentin
lux
pepsodent
indomie
sarang walet :(
doritos
colorbox
apple</t>
  </si>
  <si>
    <t>#ForHanbin | Pricilu</t>
  </si>
  <si>
    <t>12:41</t>
  </si>
  <si>
    <t>24.06.2019 12:57</t>
  </si>
  <si>
    <t>week I did indulge with some of my old friends, Pizza, Doritos and Rice crispy treats—a nice little reminder that some friends are just better in small doses . So here’s my first step towards back-to-normal Summertime brings out a feeling of wanting freedom in everyone. Everyone wants to take a break from life’s demands, whatever that may be, and including taking care of your body by making certain choices. Even just a couple of days of eating “whatever” can really through off motivation to stay the course, and getting back on track can</t>
  </si>
  <si>
    <t>Clean Kitchen</t>
  </si>
  <si>
    <t>summer,leisure,vacation</t>
  </si>
  <si>
    <t>12:38</t>
  </si>
  <si>
    <t>Necesito unos Doritos.</t>
  </si>
  <si>
    <t>Kar</t>
  </si>
  <si>
    <t>@platinumDisco_ Mi doritos</t>
  </si>
  <si>
    <t>totora</t>
  </si>
  <si>
    <t>24.06.2019 12:44</t>
  </si>
  <si>
    <t>@AlxsBryan @Doritos_Mx Si lo separadas dice Doritos come bolas</t>
  </si>
  <si>
    <t>Sebastian</t>
  </si>
  <si>
    <t>San Luis Rio Colorado</t>
  </si>
  <si>
    <t>12:37</t>
  </si>
  <si>
    <t>“Incognito Doritos” Launched to Help Spider-Man “Incognito Doritos” Launched to Help Spider-Man</t>
  </si>
  <si>
    <t>DoritosCourtesy: Doritos</t>
  </si>
  <si>
    <t>Blouin ArtInfo</t>
  </si>
  <si>
    <t>in.blouinartinfo.com</t>
  </si>
  <si>
    <t>24.06.2019 12:40</t>
  </si>
  <si>
    <t>@taraaobrienx @Emily_Hannahhh @partofnoworld @Ellenrose42 @heyitsorlagh that one on the floor is me choking on my chilli heatwave doritos x</t>
  </si>
  <si>
    <t>lisa ♡</t>
  </si>
  <si>
    <t>12:31</t>
  </si>
  <si>
    <t>– but it varies depending on the strength and amount of marijuana the dog has eaten.
Otten, who formerly worked as an emergency vet, joked about what he used to tell pet owners: "We're gonna take your dog in, we're gonna put him in a quiet room. We're gonna play some Led Zeppelin for him and give him some Doritos, and you can pick him up in the morning."
HOW MUCH DOES TREATING YOUR DOG COST?
While my own vet bill put us out $300, veterinarian John de Jong, president of the American Veterinary Medical Association, said interventions like</t>
  </si>
  <si>
    <t>idahostatesman.com</t>
  </si>
  <si>
    <t>12:29</t>
  </si>
  <si>
    <t>24.06.2019 12:32</t>
  </si>
  <si>
    <t>@ElHermanopls I would cause I never like Doritos at least Lays are something I would eat with no problem</t>
  </si>
  <si>
    <t>PPringlesMan</t>
  </si>
  <si>
    <t>24.06.2019 12:31</t>
  </si>
  <si>
    <t>Cardi B⭑</t>
  </si>
  <si>
    <t>12:28</t>
  </si>
  <si>
    <t>24.06.2019 12:29</t>
  </si>
  <si>
    <t>@heradasha The hot ruffles or cool ranch doritos are also a really good addition</t>
  </si>
  <si>
    <t>Runaway Supernova</t>
  </si>
  <si>
    <t>12:27</t>
  </si>
  <si>
    <t>24.06.2019 12:41</t>
  </si>
  <si>
    <t>Upping the #doritos game, Modern Mexican-style. : Doritos Chilaquiles / @seohungry
@lamagfood @latimesfood @eater_la @abc7eyeonla @abc7vista @infatuation_la @ocweeklyfood @michelinguide</t>
  </si>
  <si>
    <t>Amor y Tacos ™️</t>
  </si>
  <si>
    <t>Cerritos</t>
  </si>
  <si>
    <t>12:25</t>
  </si>
  <si>
    <t>24.06.2019 12:27</t>
  </si>
  <si>
    <t>If you guys know me, you know that Doritos are my favorite. Chips. Ever.  - Even better is that @doritosca brought back #DoritosKetchup (which is also one of my favorite flavors)! Want to win a year’s supply of Doritos chips and some sick gear? Visit KetchupSpotting.ca 
.
K. Brb. Was typing all of this while snacking on Doritos. #Ad
@doritosca</t>
  </si>
  <si>
    <t>Thirmizi S.</t>
  </si>
  <si>
    <t>12:24</t>
  </si>
  <si>
    <t>24.06.2019 12:26</t>
  </si>
  <si>
    <t>Lunch was Turkey slices, coleslaw and cheese doritos.
I'm just fed up with food these days so winging it sometimes.  Still not too bad 
#cleaneating #cleaneats #eatingright #eatclean #protein #exercise #workout #fitspo #fitness #fitgirl #losingpounds #gym #workouthard #instafit #fitlife #weightlossblog #weightlosscommunity #weightloss #weightlosstransformation #lowcalorie</t>
  </si>
  <si>
    <t>Natalie</t>
  </si>
  <si>
    <t>24.06.2019 20:20</t>
  </si>
  <si>
    <t>️‍ #paradagay #paradagaysp #lgbt #lgbtq  #pride #doritosrainbow 
#goodafternoon #look #instagram #instalike  #fashion  #perfect #love  #happiness  #beautiful #flawless  #girl #boy #instagay #gay #people #bestfriends #city #saopaulo #brazil #world #kiss
@paradasp @doritosbrasil</t>
  </si>
  <si>
    <t>Rodrigo Menchão</t>
  </si>
  <si>
    <t>sunglasses</t>
  </si>
  <si>
    <t>Follow kro @royal_mekhma
.
.
#jammu #jammukashmir #punjab #chandigarh #ludhiana #patiala #pb02 #jko2 #diljitdosanjh #tarsemjassar #fitness #model #beauty #travel #photography #food #sensational #sexy #jattlife #jattizm #royal #mekhma #bollywood #pollywood #tollywoodhotactress #hollywood</t>
  </si>
  <si>
    <t>ROYAL MEKHMA</t>
  </si>
  <si>
    <t>dress,clothing</t>
  </si>
  <si>
    <t>street,fashion</t>
  </si>
  <si>
    <t>12:23</t>
  </si>
  <si>
    <t>Last week was a great example of an experience that you can’t put a price on. Thanks @its_a_lizaster for making the trip even more special from parades to Ketchup Doritos...
#raptors #nbachamps
@its_a_lizaster</t>
  </si>
  <si>
    <t>Adam Francis</t>
  </si>
  <si>
    <t>24.06.2019 12:24</t>
  </si>
  <si>
    <t>Jesus Christ LMFAO
I put my dick in a bag of Doritos &amp; made this nigga bitch suck the dust of the tip</t>
  </si>
  <si>
    <t>12:21</t>
  </si>
  <si>
    <t>24.06.2019 12:25</t>
  </si>
  <si>
    <t>Sibalukhulu ‍♀️</t>
  </si>
  <si>
    <t>12:19</t>
  </si>
  <si>
    <t>24.06.2019 12:19</t>
  </si>
  <si>
    <t>@Rugged_Legacy Prob is with governments. Add a junk tax . Price doritos.. 300% make  fruits.... Cheaper. But yeah some parents give their children fruit tellas for the fruit in it</t>
  </si>
  <si>
    <t>FoxBilder</t>
  </si>
  <si>
    <t>@tanya2rl sunsilk
biore
pepsodent
indomie seleraku
sprite
doritos
casual
xiaomi</t>
  </si>
  <si>
    <t>teena</t>
  </si>
  <si>
    <t>MK .</t>
  </si>
  <si>
    <t>12:17</t>
  </si>
  <si>
    <t>24.06.2019 12:23</t>
  </si>
  <si>
    <t>Freedah</t>
  </si>
  <si>
    <t>24.06.2019 12:21</t>
  </si>
  <si>
    <t>Tellurium Beryllium</t>
  </si>
  <si>
    <t>Ачех</t>
  </si>
  <si>
    <t>Rikit Dekat</t>
  </si>
  <si>
    <t>12:16</t>
  </si>
  <si>
    <t>24.06.2019 12:17</t>
  </si>
  <si>
    <t>mam</t>
  </si>
  <si>
    <t>Why uma uvakashela indoda ivele ikuthengele iyogurt nePizza, Doritos,  Strawberries ?</t>
  </si>
  <si>
    <t>Killmonger</t>
  </si>
  <si>
    <t>Vaal Marina Community Center</t>
  </si>
  <si>
    <t>12:15</t>
  </si>
  <si>
    <t>PORKY’S REVENGE- pulled pork, ghost pepper bbq sauce, pepper jack cheese, jalapeño mac and cheese, and Flamin’Hot Doritos!! served on a toasted footlong or six inch sub roll!!! #epicdeli #thisweeksspecials #pulledpork #macandcheese #flaminhotdoritos #pulledporksandwich #chipsonsandwiches #ghostpepper #spicy
@chancetherapper @doritos</t>
  </si>
  <si>
    <t>EPICDELI</t>
  </si>
  <si>
    <t>Crystal Lake</t>
  </si>
  <si>
    <t>12:14</t>
  </si>
  <si>
    <t>24.06.2019 12:14</t>
  </si>
  <si>
    <t>3000</t>
  </si>
  <si>
    <t>East Berbice-Corentyne</t>
  </si>
  <si>
    <t>No. 62</t>
  </si>
  <si>
    <t>We've hit peak lazy. @7eleven in the U.S. will now not only deliver to your home, but when you're actually already out of the house. If you just can't be bothered to wander a few blocks for your Big Gulp or Doritos, they'll bring it to the park or beach.</t>
  </si>
  <si>
    <t>Brandie Weikle</t>
  </si>
  <si>
    <t>hat,fashion accessory,sunglasses,clothing</t>
  </si>
  <si>
    <t>24.06.2019 12:13</t>
  </si>
  <si>
    <t>I love people who get excited about opening a new bag of Doritos®, those are my people.</t>
  </si>
  <si>
    <t>WhatsYourNameAgain?</t>
  </si>
  <si>
    <t>' ℴ
-
-
-
-
I honestly love @vereenasayed 
Tag @vereenasayed in the comments -
-
-
-
is you hadn’t noticed I’m posting in rainbow order 
-
-
-
-
#niche #nichememe #nichememes #nichememesacc #nichestarterpack #nichememeideas #nichememecommunity #nichememers #nichememeaccount #explorepage #soft #softaesthetic #softmemes #aesthetic #nicheaesthetic
@babyy.nicheee</t>
  </si>
  <si>
    <t>ℯ ℳℯℯ</t>
  </si>
  <si>
    <t>12:06</t>
  </si>
  <si>
    <t>24.06.2019 12:09</t>
  </si>
  <si>
    <t>Caas ☪️ Commissions OPEN!</t>
  </si>
  <si>
    <t>Rumored - Paulie got paid 7 figures for BKFC fight Vs Artem | Page 3</t>
  </si>
  <si>
    <t>Obviously set up for a trilogy and the first fight went exactly like how they planned. Paulie getting robbed to set up the rematch where Paulie will win then the rubbermatch. I think it proves boxing is bigger than mma because they had to pay Paulie over a million and artem probably got like gas money, hotel fare and a bag of doritos.</t>
  </si>
  <si>
    <t>Bones245n4847</t>
  </si>
  <si>
    <t>UFC Discussion | Sherdog Forums | UFC, MMA &amp; Boxing Discussion</t>
  </si>
  <si>
    <t>pen for women</t>
  </si>
  <si>
    <t>dynamic crystal liquid pen .
china 2016 new vape pen royal 30w vaporizer pen for women china .
emoji stuff retractable ballpoint pen novelty cute pens for kids .
1 rachel on twitter women equal pay men pens for her women .
hilarious amazon reviewers take on bic s stupid sexist for her .
8pcs big crystal diamond pens beatiful bling metal ballpoint pen .
5 products for women only catcall .
bic pens for women womens post .
pens for women archives cartier montblanc and fine writing views .
bad marketing saved by user generated content matthew powers .
doritos lady friendly crisps prove it s crunch time for sexist .
magic pen mint for women magic white .
pink wood twist pen gifts for wife mother s day gifts etsy .
montblanc jfk fountain pen for sale montblanc ballpoint starwalker . Related post for Pen For Women</t>
  </si>
  <si>
    <t>24.06.2019 12:08</t>
  </si>
  <si>
    <t>#moodmonday focuses on the second generation of friends laughing uncontrollably because they successfully snuck a bag of Doritos up into the clubhouse... #marielolpphotography #lincolnphotographer #momtogs #momswithcameras #cameramama #mymagicalmoments</t>
  </si>
  <si>
    <t>Mariel Olp</t>
  </si>
  <si>
    <t>Линкольн</t>
  </si>
  <si>
    <t>24.06.2019 12:05</t>
  </si>
  <si>
    <t>March 7, 2012: Doritos Locos Tacos
August 19, 2014: Beefy Fritos Burritos
July 1, 2019: Cheetos Chicken Sandwich
March 8, 2020: Churro-d Filet-O-Fish
May 12, 2021: Fruit Gushers Stuffed Crust
October 3, 2021: Snack Food Singularity
October 4, 2021: End Of the World
#snacks</t>
  </si>
  <si>
    <t>Prof. NoFace</t>
  </si>
  <si>
    <t>Doritos risk</t>
  </si>
  <si>
    <t>Doritos risk
3 tl</t>
  </si>
  <si>
    <t>eymen demir</t>
  </si>
  <si>
    <t>12:01</t>
  </si>
  <si>
    <t>24.06.2019 12:11</t>
  </si>
  <si>
    <t>Jafta.</t>
  </si>
  <si>
    <t>24.06.2019 12:10</t>
  </si>
  <si>
    <t>@katelallyx Is...is that nachos made from cheesy Doritos?</t>
  </si>
  <si>
    <t>Cara Lisette ‍♀️</t>
  </si>
  <si>
    <t>12:00</t>
  </si>
  <si>
    <t>24.06.2019 12:07</t>
  </si>
  <si>
    <t>@hormalstylinyn @bestcataccount Yeah. Needs help getting more Doritos</t>
  </si>
  <si>
    <t>KAMP</t>
  </si>
  <si>
    <t>24.06.2019 12:04</t>
  </si>
  <si>
    <t>@SeeBeeGee1 @heartswomenfc My fee is a Yorkie and packet of Doritos (cool flavour) ⚽️</t>
  </si>
  <si>
    <t>Mark Martin ⚽️❤️</t>
  </si>
  <si>
    <t>24.06.2019 12:03</t>
  </si>
  <si>
    <t>T.L Mabena</t>
  </si>
  <si>
    <t>I made nachos at home it was an amazing experience and wanted to share it with you guys. All thanks to the recipe by @foodfusionpk. The link is
 https://youtu.be/pAUaLuHvt04
.
.
.
.
.
 Rating ( 8/10)
.
.
.
.
.
.
.
#nachos #cheesesauce #salsa #homemade #doritos #delicious #food #yummy #cheesy #foody #mood #hashtag #ashtags #like4like #follow4follow</t>
  </si>
  <si>
    <t>A.H.S</t>
  </si>
  <si>
    <t>24.06.2019 11:58</t>
  </si>
  <si>
    <t>Today’s the day! Head to #TacoBell from 2-6PM for your free Doritos® Locos Tacos. Or better yet, steal yours any time, all day online or on the app.</t>
  </si>
  <si>
    <t>Abu_Sukria</t>
  </si>
  <si>
    <t>@Doritos Gamer fuel powers</t>
  </si>
  <si>
    <t>Topazz</t>
  </si>
  <si>
    <t>KA</t>
  </si>
  <si>
    <t>Gorontalo</t>
  </si>
  <si>
    <t>Kuala Lumpur</t>
  </si>
  <si>
    <t>24.06.2019 11:56</t>
  </si>
  <si>
    <t>Chris Edmonds</t>
  </si>
  <si>
    <t>Weston-super-Mare</t>
  </si>
  <si>
    <t>Track Mania trikcs #1</t>
  </si>
  <si>
    <t>issoups</t>
  </si>
  <si>
    <t>@dallasneeley @Doritos Hello! We are so sorry to see that! We will let our team know about that incident. Additionally to that, we’d be happy to send you replacement vouchers so you can give this product a try again. Can you send us a private message as we would like to get more details? Thanks!</t>
  </si>
  <si>
    <t>Old El Paso</t>
  </si>
  <si>
    <t>24.06.2019 11:54</t>
  </si>
  <si>
    <t>@tanya2rl shampo: head&amp;shoulders
sabun: lux
odol: pepsodent
mie: indomie
minuman: teh botol sosro
snack: doritos
outfit: hnm
hp: iphone</t>
  </si>
  <si>
    <t>jen⚡</t>
  </si>
  <si>
    <t>ZWJ Investment Counsel Inc. Sells 3,822 Shares of PepsiCo, Inc. (NASDAQ:PEP)</t>
  </si>
  <si>
    <t>research analyst has rated the stock with a sell rating, ten have issued a hold rating, twelve have issued a buy rating and one has given a strong buy rating to the stock. PepsiCo presently has an average rating of “Buy” and a consensus target price of $124.65.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</si>
  <si>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Cindy Kellogue</t>
  </si>
  <si>
    <t>EP Wealth Advisors LLC Sells 1,540 Shares of PepsiCo, Inc. (NASDAQ:PEP)</t>
  </si>
  <si>
    <t>$120.00 and gave the stock a “hold” rating in a research note on Thursday, April 18th. One research analyst has rated the stock with a sell rating, ten have issued a hold rating, twelve have issued a buy rating and one has given a strong buy rating to the stock. PepsiCo presently has an average rating of “Buy” and a consensus target price of $124.65.
PepsiCo Company Profile
PepsiCo, Inc operates as a food and beverage company worldwide. The company's Frito-Lay North America segment offers branded dips; Cheetos cheese-flavored snacks; and Doritos</t>
  </si>
  <si>
    <t>@Doritos_dj @Jerrypleasure I like most breeds. Mara eseng bo jack le bo pug le bo sausage. I don’t really like the tiny ones that much.</t>
  </si>
  <si>
    <t>Hlakes</t>
  </si>
  <si>
    <t>How To Be a More Interesting Person?</t>
  </si>
  <si>
    <t>Never trade your. Doritos for a a cup of tea</t>
  </si>
  <si>
    <t>BLEACH</t>
  </si>
  <si>
    <t>disqus.com</t>
  </si>
  <si>
    <t>Rianul Kingdom</t>
  </si>
  <si>
    <t>24.06.2019 11:51</t>
  </si>
  <si>
    <t>. This is going to be a day to remember with hopefully many more to come. Let's keep the rotary community alive♥️Media coverage for our event by @rix_magazine &amp; @longislandexoticcarsny .  Thank you for your support everyone! #7sday#rotary#mazda#rx7#rx8#12a#13b#20b#longisland#trl_therotarylife#wankel#doritos#brap#carmeet#jdm#respect#zoomzoom#rx2#rx3#rx4</t>
  </si>
  <si>
    <t>Tony Starkz</t>
  </si>
  <si>
    <t>24.06.2019 11:53</t>
  </si>
  <si>
    <t>Amo
#Doritos
#Campinas,Sp</t>
  </si>
  <si>
    <t>Rapha Paiva</t>
  </si>
  <si>
    <t>3 Doritos después... #hermanos #primos #brothers #cousins #beforeandafter
@karenaires_nqn @eze.prado</t>
  </si>
  <si>
    <t>Axel Aires</t>
  </si>
  <si>
    <t>picture frame</t>
  </si>
  <si>
    <t>painting,art</t>
  </si>
  <si>
    <t>varies depending on the strength and amount of marijuana the dog has eaten.
Otten, who formerly worked as an emergency vet, joked about what he used to tell pet owners: "We're gonna take your dog in, we're gonna put him in a quiet room. We're gonna play some Led Zeppelin for him and give him some Doritos, and you can pick him up in the morning."
HOW MUCH DOES TREATING YOUR DOG COST?
While my own vet bill put us out $300, veterinarian John de Jong, president of the American Veterinary Medical Association, said interventions like bloodwork and</t>
  </si>
  <si>
    <t>myrtlebeachonline.com</t>
  </si>
  <si>
    <t>11:45</t>
  </si>
  <si>
    <t>24.06.2019 11:49</t>
  </si>
  <si>
    <t>A little New Jersey talk with MYQ KAPLAN on today's episode of @thenostalgicfrontpodcast! Go check out the full episode!
*
Link in bio!
Listen on PodBean!
Listen on Spotify!
Listen on Stitcher!
Subscribe on iTunes!
*
#1990s #1980s #2000s #90s #80s #00s #Retro #Nostalgia #Nostalgic #Television #TV #VideoGames #Podcast #Snacks #Comedy #Cartoons #Kids #GrowingUp #MyqKaplan #NewJersey #ComicBooks #ArchieComics #Spiderman #Batman #Comics #Camp #Doritos  #ComedyCentral #XMen #BonJovi
@reamkore @myqkaplan</t>
  </si>
  <si>
    <t>patrickhastie</t>
  </si>
  <si>
    <t>11:44</t>
  </si>
  <si>
    <t>24.06.2019 11:52</t>
  </si>
  <si>
    <t>quase publicitária</t>
  </si>
  <si>
    <t>11:43</t>
  </si>
  <si>
    <t>24.06.2019 11:50</t>
  </si>
  <si>
    <t>@Doritos Doritos give me the power to fight the good fight, to slay hunger it all its corners, to bring the end to hangry outbursts! #IncognitoDoritos #Entry</t>
  </si>
  <si>
    <t>Brayden Becker</t>
  </si>
  <si>
    <t>Webster Groves</t>
  </si>
  <si>
    <t>Jimmer Cork-Bottle</t>
  </si>
  <si>
    <t>Upper Canada Village</t>
  </si>
  <si>
    <t>24.06.2019 11:48</t>
  </si>
  <si>
    <t>HİLAL</t>
  </si>
  <si>
    <t>Стамбул</t>
  </si>
  <si>
    <t>TheMarc3</t>
  </si>
  <si>
    <t>Ансоатеги</t>
  </si>
  <si>
    <t>24.06.2019 11:45</t>
  </si>
  <si>
    <t>Angus Jenkins</t>
  </si>
  <si>
    <t>3 u 1 challenges (sa mojim frendom)</t>
  </si>
  <si>
    <t>3 u 1 challenges (sa mojim frendom)
Obavezno odite kupiti Doritose u Karlovčanku i u Müller kupiti Lego Minecraft.</t>
  </si>
  <si>
    <t>Sven Fajt</t>
  </si>
  <si>
    <t>24.06.2019 11:43</t>
  </si>
  <si>
    <t>chad loves working out, drinking protein shakes, calling people “dawg,” and eating nacho cheese doritos</t>
  </si>
  <si>
    <t>leo</t>
  </si>
  <si>
    <t>24.06.2019 11:42</t>
  </si>
  <si>
    <t>Someone had the audacity to ask for Doritos Loco Taco. Do your research.
The King Taco in Pico Rivera was WILDIN OUT</t>
  </si>
  <si>
    <t>rap game steve irwin</t>
  </si>
  <si>
    <t>24.06.2019 11:44</t>
  </si>
  <si>
    <t>This girl she drank my beers, ate my hot wings (12) and now she's eating my Doritos but says she's not ready for sex.. Any advice please because I am taken for a fool here..
O jewa ke eng ?</t>
  </si>
  <si>
    <t>Black Child</t>
  </si>
  <si>
    <t>Botswana</t>
  </si>
  <si>
    <t>Southern District</t>
  </si>
  <si>
    <t>Канье</t>
  </si>
  <si>
    <t>11:39</t>
  </si>
  <si>
    <t>24.06.2019 11:46</t>
  </si>
  <si>
    <t>Update on our 7sday event
We have 4 categories of awards on 7sday everyone to be fair TRL members wont be allowed to participate in the competition.
So rotorheads tag,share tell a friend we are fair to everyone♥️
East coast let's make some noise
1.Best in Show
2.Furthest traveled 
3.Deepest crew
4.Best old school 70s to 90!
#carshow#carevent#rotary#rx7 #7sday#rx8#eastcoast#wankel
#doritos#trl_therotarylife#family
#brap#mazda#team#squad#lit 
Please visit our store link in bio
@theseavey @mike_performance @built2apex @sendog13b @monstermills @dredtech_performance @rotary13b1com @sanjay_balange @eddie93rx7 @nigel20b @barryrampersad @mazdarew_tt @jpr_imports @oscarinart @rotary_compression_tester @gen3rx @rotarys4ever @thejohnherbster @stopmotionlighting @all_about_7s</t>
  </si>
  <si>
    <t>T R L The Rotary Life</t>
  </si>
  <si>
    <t>24.06.2019 11:41</t>
  </si>
  <si>
    <t>The Ex-Roadkill Rx-7 got a treatment of speed parts from its awesome new owners @v12ls . Now the rotary runs 13s with a 12a motor, 13b turbo and methanol injection. #hrpt2019 #HotRodPowertour2019 #rotary #doritos #roadkill #v12ls #dragracing #hotrod #12a #13b #wankleengine</t>
  </si>
  <si>
    <t>Maxwell Gray Amick</t>
  </si>
  <si>
    <t>Norwalk</t>
  </si>
  <si>
    <t>race car,vehicle,car</t>
  </si>
  <si>
    <t>road,motorsport</t>
  </si>
  <si>
    <t>Me and Doritos 
#doritos #tbilisiopenair2019</t>
  </si>
  <si>
    <t>Black Orchid</t>
  </si>
  <si>
    <t>Doritos Diablo  | From  | Available Now | #ordernow‼️ #exoticsnacks #curioussnax #doritos #diablo #snacksofinstagram</t>
  </si>
  <si>
    <t>24.06.2019 11:40</t>
  </si>
  <si>
    <t>HAMBÚRGUER DE SUSHI FRITO COM DORITOS - Comidas BIZARRAS DO IFOOD</t>
  </si>
  <si>
    <t>SANduBinhA</t>
  </si>
  <si>
    <t>Thiago Felipe</t>
  </si>
  <si>
    <t>tocadocoelho</t>
  </si>
  <si>
    <t>Ummmmm fala muleques e mulekas</t>
  </si>
  <si>
    <t>Cebolinha</t>
  </si>
  <si>
    <t>Which spicy flavor you pick? 1,2 or,3
If viewing please follow 
#plussizefashion #laiinocap #d1xdougie #d1xokay #novababe #hairstyles #trendy #outfits#gaintrick#gain #scout#love#followforfollowback#followers#likes#shoes#pickone#photooftheday#instagod#beautiful#happy#cute#tbt#me#selfie#summer#instadaily#repost#food#baddies</t>
  </si>
  <si>
    <t>Baddiezspam</t>
  </si>
  <si>
    <t>Cheguei kkk</t>
  </si>
  <si>
    <t>ZEL U</t>
  </si>
  <si>
    <t>Leon</t>
  </si>
  <si>
    <t>Samuel S.G</t>
  </si>
  <si>
    <t>Só eu que fiquei com fome ?</t>
  </si>
  <si>
    <t>Matheus Sousa</t>
  </si>
  <si>
    <t>11:35</t>
  </si>
  <si>
    <t>Come merda logo essa porra e só propaganda falsa</t>
  </si>
  <si>
    <t>Vitauros</t>
  </si>
  <si>
    <t>an emergency vet, joked about what he used to tell pet owners: "We're gonna take your dog in, we're gonna put him in a quiet room. We're gonna play some Led Zeppelin for him and give him some Doritos, and you can pick him up in the morning."HOW MUCH DOES TREATING YOUR DOG COST?While my own vet bill put us out $300, veterinarian John de Jong, president of the American Veterinary Medical Association, said interventions like bloodwork and IV fluids could cost up to $1,000.WHAT ABOUT CATS?It seems to be rarer for cats to ingest marijuana. Black said</t>
  </si>
  <si>
    <t>kansascity.com</t>
  </si>
  <si>
    <t>24.06.2019 11:36</t>
  </si>
  <si>
    <t>Emily Seldon</t>
  </si>
  <si>
    <t>Вустер</t>
  </si>
  <si>
    <t>doritoman</t>
  </si>
  <si>
    <t>Smokegaming</t>
  </si>
  <si>
    <t>11:34</t>
  </si>
  <si>
    <t>Vídeo 10/10</t>
  </si>
  <si>
    <t>Super Extreme</t>
  </si>
  <si>
    <t>Kkkk</t>
  </si>
  <si>
    <t>Wanderson Santos</t>
  </si>
  <si>
    <t>100 a da Like e 11 a comenta</t>
  </si>
  <si>
    <t>LOBOSOMEN 1000000</t>
  </si>
  <si>
    <t>SALVEE</t>
  </si>
  <si>
    <t>Dylangamerce</t>
  </si>
  <si>
    <t>11:33</t>
  </si>
  <si>
    <t>24.06.2019 11:35</t>
  </si>
  <si>
    <t>Doritos gives me the Super Mom I can handle just about anything today Power #IncognitoDoritos #Entry 
Want to score this Limited-Edition Doritos Spidey Suit? Tell us what super power Doritos gives you using #IncognitoDoritos #Entry for the chance to win! Rules @ https://bit.ly/2MXEpdc</t>
  </si>
  <si>
    <t>T.K.Fox</t>
  </si>
  <si>
    <t>Winter Springs</t>
  </si>
  <si>
    <t>24.06.2019 11:37</t>
  </si>
  <si>
    <t>Ooooohhhh YES!!!
Turning my day into a positive...date night indoors! Get in!! See you soon Mr Lake! 
#positive #positivevibes #datenight #pizza #wine #figrolls #doritos #lookingforwardtothis #turnitaround #WellnessThatWorks #yummy</t>
  </si>
  <si>
    <t>Suzanne Lake</t>
  </si>
  <si>
    <t>convenience food,meal,pizza,snack,fast food,junk food,food</t>
  </si>
  <si>
    <t>Eu queria ser o First</t>
  </si>
  <si>
    <t>14000605</t>
  </si>
  <si>
    <t>24.06.2019 11:34</t>
  </si>
  <si>
    <t>Mr. Baldy</t>
  </si>
  <si>
    <t>Каталония</t>
  </si>
  <si>
    <t>Барселона</t>
  </si>
  <si>
    <t>SALVEEEEEEE</t>
  </si>
  <si>
    <t>Gustavo Henrique Scatola</t>
  </si>
  <si>
    <t>Hehe mds cara</t>
  </si>
  <si>
    <t>Gabriel Monteiro</t>
  </si>
  <si>
    <t>24.06.2019 11:38</t>
  </si>
  <si>
    <t>Season 1: Episode 6: Talking with Bethany: #WORSTEACHEREVER ft. Doritos</t>
  </si>
  <si>
    <t>Lord Master of Awesomeness</t>
  </si>
  <si>
    <t>gadget,electronics</t>
  </si>
  <si>
    <t>Meu ovo seus nuttelas</t>
  </si>
  <si>
    <t>Tio_ Zamasu</t>
  </si>
  <si>
    <t>11:32</t>
  </si>
  <si>
    <t>Kkkkkkkk</t>
  </si>
  <si>
    <t>2k-madruga</t>
  </si>
  <si>
    <t>Machistaaaaasssss duroooo gostosoooooo</t>
  </si>
  <si>
    <t>Paulo Neto</t>
  </si>
  <si>
    <t>Que trem feio kk</t>
  </si>
  <si>
    <t>Big Boss</t>
  </si>
  <si>
    <t>Sacu cabeludo</t>
  </si>
  <si>
    <t>24.06.2019 19:20</t>
  </si>
  <si>
    <t>I can do this to any of your clips at the price of a shoutout dm me!
::::::::::::::::::::::::::::::::::::::::::::::::
#fortnite #edits #memes #fortnitememes #fortniteedits #freeedits #editer #cooledits #editfortnite</t>
  </si>
  <si>
    <t>Juczyy</t>
  </si>
  <si>
    <t>Reviveu jaraio</t>
  </si>
  <si>
    <t>Leziel Baka</t>
  </si>
  <si>
    <t>24.06.2019 19:32</t>
  </si>
  <si>
    <t>Halo 4 Matchmaking Update Adds A Bunch Of Fan-Made Maps To Playlists</t>
  </si>
  <si>
    <t>#166
Have you ever been married
38 year old Male seeking Female
Painting or drawing
3 Northern Mariana Islands
Length of marriage and age and health of each party
The Buffy the Vampire star is seen running away from a masked intruder, but can’t unlock her phone to call for help because it doesn’t recognize her face. I’ve been using Olay! It has totally transformed my skin,’ she tells her friend. The masked man finally breaks in, and even he can’t ignore Gellar’s complexion. Your skin’s glowing, you could be a movie star,’ he tells her. Doritos</t>
  </si>
  <si>
    <t>johnsongeneff1</t>
  </si>
  <si>
    <t>sextomariotienda.com</t>
  </si>
  <si>
    <t>juuuhuhhuuh</t>
  </si>
  <si>
    <t>Leeh Rodrigues</t>
  </si>
  <si>
    <t>HAMBÚRGUER DE SUSHI FRITO COM DORITOS - Comidas BIZARRAS DO IFOOD
MAIS MEMES: https://www.youtube.com/playlist?list=PLzArGEQOCXtFOVQtqsXh9RwCaNe76JdGB 
Assine: https://peticaopublica.com.br/pview.aspx?pi=BR112546
insta; @coelhitos
Contato comercial: mateiformiga.contatos@gmail.com</t>
  </si>
  <si>
    <t>11:30</t>
  </si>
  <si>
    <t>24.06.2019 11:32</t>
  </si>
  <si>
    <t>For Pete's sake clean your phone screen, dude.
Covered with DNA...
And Doritos dust.</t>
  </si>
  <si>
    <t>TecNickel</t>
  </si>
  <si>
    <t>24.06.2019 11:30</t>
  </si>
  <si>
    <t>Look at puffy barefaced jungoo munching on doritos baby bunny ☹️ just wanna squish and bite his cheeks 
_____________________
Make sure to turn on my post notifications^^ i post daily and updates! ❤️
_____________________
#jeonjeongguk #jeongguk #btsjungkookie #jungkookiebts #jeonhoseok #btstae #seokjinbts #bangtantv #taehyungedit #kookiebts #taetaebts #bangtanbomb #dionysus #namjoonbts #taejin #vminkook #btsfunny #bighitent #txtbighit #bangtanmemes #btstwt #kpopl4l #shooky #btsrun #maknaeline #btsimagines #btsvideos #btsbighit #hopeworld #weeklyidol</t>
  </si>
  <si>
    <t>BTS JUNGKOOK | 정국</t>
  </si>
  <si>
    <t>24.06.2019 11:29</t>
  </si>
  <si>
    <t>@onanimate @Krekk0v @ReshAnims for some reason this makes me really hungry Doritos and mountain dew</t>
  </si>
  <si>
    <t>half a goat</t>
  </si>
  <si>
    <t>Cool Original Doritos &gt;&gt;&gt;&gt;</t>
  </si>
  <si>
    <t>BEKSDASH.</t>
  </si>
  <si>
    <t>24.06.2019 11:39</t>
  </si>
  <si>
    <t>U.KAT</t>
  </si>
  <si>
    <t>Me: The Doritos website should be a .edu because it's a SCHOOL FOR YOUR TASTE BUDS!!!
The Supreme Court: Again, we agree with you, but we don't have the jurisdiction to make that happen.
Me: The Constitution has failed us all.
*every bald eagle dies*
*it's just a coincidence*</t>
  </si>
  <si>
    <t>Autumn Dreisbach</t>
  </si>
  <si>
    <t>Carleton</t>
  </si>
  <si>
    <t>11:25</t>
  </si>
  <si>
    <t>24.06.2019 11:57</t>
  </si>
  <si>
    <t>Doritos {Slime Reviews} yay!!!! ————
By: @floamslimes_ 
Sorry for such a short and weird video..? Lol idek just enjoy I guess..
————
#neonslime #slimez #slimedrizzle #slimegiveaway #slimereview #floamslimesproof #slime #asmr #slimepressing #slimesmoothie</t>
  </si>
  <si>
    <t>0.9k</t>
  </si>
  <si>
    <t>#doritosrainbow  #paradagay #doritos #adorei #sp #rolepSp</t>
  </si>
  <si>
    <t>Milene Dos Santos</t>
  </si>
  <si>
    <t>PabloParo</t>
  </si>
  <si>
    <t>11:23</t>
  </si>
  <si>
    <t>newsobserver.com</t>
  </si>
  <si>
    <t>24.06.2019 11:25</t>
  </si>
  <si>
    <t>Ketchup SEASON? welp we found out what white culture is today
Hey Canada, Ketchup Season is finally here! Spot the #DoritosKetchup chips and upload a screenshot for a chance to win a year’s supply of Doritos. #MadeInCanada</t>
  </si>
  <si>
    <t>Kashdoll Jr.</t>
  </si>
  <si>
    <t>(10459454) Finally, in Maine, a challenger appears *FFVII Battle Music*</t>
  </si>
  <si>
    <t>"true evil" but she's certainly her own monster and a worthy battle.
And no, I have not played Chrono Cross, and much as Cloud invented the story of being in Shinra, I have invented a fictional reality in my head over the last twenty years in which I pretend that I have played a videogame, in the pursuit of becoming a first-class videogame journalist.
But no matter how many Mountain Dews and Doritos I consume, the future refuses to change. Sad.
Attack Collins when her "I want to see your manager" hairdo is up!</t>
  </si>
  <si>
    <t>Klivian</t>
  </si>
  <si>
    <t>fark.com</t>
  </si>
  <si>
    <t>FARK.com: Politics links</t>
  </si>
  <si>
    <t>24.06.2019 11:22</t>
  </si>
  <si>
    <t>Taken for a fool because you feel entitled over some wings and beers nyana boy STFU
This girl she drank my beers, ate my hot wings (12) and now she's eating my Doritos but says she's not ready for sex.. Any advice please because I am taken for a fool here..</t>
  </si>
  <si>
    <t>aunty donna .</t>
  </si>
  <si>
    <t>24.06.2019 11:28</t>
  </si>
  <si>
    <t>Legal weed’s a growing danger to dogs, so keep your canine out of your cannabis How cute chicks and ducklings led to a 41-state salmonella outbreak</t>
  </si>
  <si>
    <t>miamiherald.com</t>
  </si>
  <si>
    <t>Fin de la vidéo de DORITOS</t>
  </si>
  <si>
    <t>Fin de la vidéo de DORITOS
Britany</t>
  </si>
  <si>
    <t>Carole lavoie</t>
  </si>
  <si>
    <t>11:18</t>
  </si>
  <si>
    <t>24.06.2019 15:30</t>
  </si>
  <si>
    <t>modbee.com</t>
  </si>
  <si>
    <t>11:17</t>
  </si>
  <si>
    <t>24.06.2019 11:23</t>
  </si>
  <si>
    <t>mader is using chopsticks to eat her doritos jfjdjdjdj</t>
  </si>
  <si>
    <t>sir nutcracker</t>
  </si>
  <si>
    <t>Gambia</t>
  </si>
  <si>
    <t>Central River</t>
  </si>
  <si>
    <t>Sare Batch</t>
  </si>
  <si>
    <t>24.06.2019 11:19</t>
  </si>
  <si>
    <t>I sold my soul to satan for 2 Doritos locos tacos, nacho bell grande, and a baha blast at my darkest hour #CancelStudentDebt</t>
  </si>
  <si>
    <t>Christian</t>
  </si>
  <si>
    <t>24.06.2019 11:21</t>
  </si>
  <si>
    <t>Luth_Cool</t>
  </si>
  <si>
    <t>Лимпопо</t>
  </si>
  <si>
    <t>Elim</t>
  </si>
  <si>
    <t>24.06.2019 11:17</t>
  </si>
  <si>
    <t>Stood in the isle with the doritos &amp; what not for a good 7mins tryna decide if I’m changing my life or nah</t>
  </si>
  <si>
    <t>Ewiva!</t>
  </si>
  <si>
    <t>Кливленд</t>
  </si>
  <si>
    <t>" but she's certainly her own monster and a worthy battle.
And no, I have not played Chrono Cross, and much as Cloud invented the story of being in Shinra, I have invented a fictional reality in my head over the last twenty years in which I pretend that I have played a videogame, in the pursuit of becoming a first-class videogame journalist.
But no matter how many Mountain Dews and Doritos I consume, the future refuses to change. Sad.</t>
  </si>
  <si>
    <t>Mike_LowELL</t>
  </si>
  <si>
    <t>11:16</t>
  </si>
  <si>
    <t>24.06.2019 11:26</t>
  </si>
  <si>
    <t>bellinghamherald.com</t>
  </si>
  <si>
    <t>PepsiCo (NASDAQ:PEP) Sets New 1-Year High at $135.24</t>
  </si>
  <si>
    <t>4th quarter. Sound Income Strategies LLC now owns 597 shares of the company’s stock worth $66,000 after purchasing an additional 201 shares during the last quarter. Hedge funds and other institutional investors own 70.85% of the company’s stock.
PepsiCo Company Profile ( NASDAQ:PEP )
PepsiCo, Inc operates as a food and beverage company worldwide. The company's Frito-Lay North America segment offers branded dips; Cheetos cheese-flavored snacks; and Doritos tortilla, Fritos corn, Lay's potato, Ruffles potato, and Tostitos tortilla chips. Its</t>
  </si>
  <si>
    <t>Ken Giver</t>
  </si>
  <si>
    <t>PepsiCo (NASDAQ:PEP) Sets New 12-Month High at $135.24</t>
  </si>
  <si>
    <t>Investments LLC grew its stake in PepsiCo by 13.2% during the first quarter. Horizon Investments LLC now owns 39,649 shares of the company’s stock worth $4,859,000 after purchasing an additional 4,624 shares during the period. 70.85% of the stock is owned by institutional investors.
PepsiCo Company Profile ( NASDAQ:PEP )
PepsiCo, Inc operates as a food and beverage company worldwide. The company's Frito-Lay North America segment offers branded dips; Cheetos cheese-flavored snacks; and Doritos tortilla, Fritos corn, Lay's potato, Ruffles potato</t>
  </si>
  <si>
    <t>ledger-enquirer.com</t>
  </si>
  <si>
    <t>What’s PepsiCo, Inc. (PEP) Upside After Reaching All-Time High?</t>
  </si>
  <si>
    <t>expectations – Nasdaq” with publication date: May 29, 2019.
PepsiCo, Inc. operates as a food and beverage firm worldwide. The company has market cap of $188.14 billion. The Company’s Frito-Lay North America segment offers LayÂ’s and Ruffles potato chips; Doritos, Tostitos, and Santitas tortilla chips; and Cheetos cheese-flavored snacks, branded dips, and Fritos corn chips. It has a 15.15 P/E ratio. The companyÂ’s Quaker Foods North America segment provides Quaker oatmeal, grits, rice cakes, granola, and oat squares; and Aunt Jemima mixes and syrups, Quaker Chewy granola bars, CapÂ’n Crunch cereal, Life cereal, and Rice-A-Roni side dishes.</t>
  </si>
  <si>
    <t>Richard Stewart</t>
  </si>
  <si>
    <t>11:13</t>
  </si>
  <si>
    <t>islandpacket.com</t>
  </si>
  <si>
    <t>bradenton.com</t>
  </si>
  <si>
    <t>11:12</t>
  </si>
  <si>
    <t>Spicy nacho Godzilla is so kawaii • J • .
.
.
.
.
#edgy #humor  #memes #dankmemes #funny  #funnymemes #explore #photography #dank #art #meme #anime #comedy #offensivememes #dankmeme #cute #fortnite #lol #offensive #edgymemes #fun #fortnitememes #lmao #fashion #memesdaily #cringe #sonic #mario</t>
  </si>
  <si>
    <t>Real Talk Comics</t>
  </si>
  <si>
    <t>Kansas</t>
  </si>
  <si>
    <t>kansas.com</t>
  </si>
  <si>
    <t>24.06.2019 11:12</t>
  </si>
  <si>
    <t>Yuck
NEW TWO FOOT LONG DORITOS MAC N CHEESE DOG at @REDBLACKS (Cred: @LevyRestaurants)</t>
  </si>
  <si>
    <t>Scott Strasemeier</t>
  </si>
  <si>
    <t>Naval Academy</t>
  </si>
  <si>
    <t>charlotteobserver.com</t>
  </si>
  <si>
    <t>induce vomiting, pump a dog's stomach or give the dog activated charcoal, which will help remove the marijuana from the dog's system.
On average, it typically takes about 24 hours for a dog to return to normal – but it varies depending on the strength and amount of marijuana the dog has eaten.
Otten, who formerly worked as an emergency vet, joked about what he used to tell pet owners: "We're gonna take your dog in, we're gonna put him in a quiet room. We're gonna play some Led Zeppelin for him and give him some Doritos, and you can pick him up</t>
  </si>
  <si>
    <t>sacbee.com</t>
  </si>
  <si>
    <t>11:11</t>
  </si>
  <si>
    <t>What Will Happen to PepsiCo, Inc. (PEP) Next? The Stock Just Reaches Record High</t>
  </si>
  <si>
    <t>– Nasdaq” with publication date: June 10, 2019.
PepsiCo, Inc. operates as a food and beverage firm worldwide. The company has market cap of $188.14 billion. The Company’s Frito-Lay North America segment offers LayÂ’s and Ruffles potato chips; Doritos, Tostitos, and Santitas tortilla chips; and Cheetos cheese-flavored snacks, branded dips, and Fritos corn chips. It has a 15.15 P/E ratio. The companyÂ’s Quaker Foods North America segment provides Quaker oatmeal, grits, rice cakes, granola, and oat squares; and Aunt Jemima mixes and syrups, Quaker Chewy granola bars, CapÂ’n Crunch cereal, Life cereal, and Rice-A-Roni side dishes.
Receive News &amp; Ratings Via Email - Enter your email address below to receive a concise daily summary of the latest news and analysts' ratings with our FREE daily email newsletter.</t>
  </si>
  <si>
    <t>Cassandra Brown</t>
  </si>
  <si>
    <t>makdaily.com</t>
  </si>
  <si>
    <t>24.06.2019 11:14</t>
  </si>
  <si>
    <t>Lean Juarez</t>
  </si>
  <si>
    <t>24.06.2019 11:16</t>
  </si>
  <si>
    <t>centredaily.com</t>
  </si>
  <si>
    <t>sunherald.com</t>
  </si>
  <si>
    <t>11:08</t>
  </si>
  <si>
    <t>24.06.2019 11:10</t>
  </si>
  <si>
    <t>they were more enjoyable than the sauce itself. But because of the lime, we’d never try it again. Doesn’t mean they’re bad; we just don’t dig it personally. All that matters is, we now know.
•
#Foodie #Foodgasm #Tacobell #Fries #SpicyFood #Cinnabon #MountainDew #BajaBlast #PepsiCo #Pepsi #Chips #Crisps #JunkFood #Tasty #FoodPorn #foodstagram #sweet #sugar #hungry #IIFYM #fit #diet #fitfam #foodie #foodporn #cheatmeal #eeeeeats #macros
@mountaindew @tacobell @cinnabon @7eleven @doritos</t>
  </si>
  <si>
    <t>Marcus and Matthew</t>
  </si>
  <si>
    <t>fried food,fast food,junk food,meal,food</t>
  </si>
  <si>
    <t>macon.com</t>
  </si>
  <si>
    <t>24.06.2019 11:07</t>
  </si>
  <si>
    <t>When you're really tired, but love doritos! #rccutie #minigoldendoodle #doritos</t>
  </si>
  <si>
    <t>Doğan Tozlu</t>
  </si>
  <si>
    <t>11:06</t>
  </si>
  <si>
    <t>White bread and the blue doritos flavor. What is it? Sweet chilli pepper?
19. what’s a weird food combination you love?</t>
  </si>
  <si>
    <t>CAITLIN</t>
  </si>
  <si>
    <t>Kari Steele</t>
  </si>
  <si>
    <t>Финикс</t>
  </si>
  <si>
    <t>Primer día de cine con Martín 
.
.
.
.
.
#instagram #instamoment #instalike #instachile #photooftheday #photography #southamerica #chile #Quillota #weekend #cine #toystory #son #family #sisters #goodvibes #like4like #love</t>
  </si>
  <si>
    <t>Emmanuell Vergara Ahumada</t>
  </si>
  <si>
    <t>V Región de Valparaíso</t>
  </si>
  <si>
    <t>Кильота</t>
  </si>
  <si>
    <t>drink,toy</t>
  </si>
  <si>
    <t>11:04</t>
  </si>
  <si>
    <t>24.06.2019 19:01</t>
  </si>
  <si>
    <t>Holderness Investments Co. Has $1.20 Million Position in PepsiCo, Inc. (NASDAQ:PEP)</t>
  </si>
  <si>
    <t>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</si>
  <si>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Denise Davis</t>
  </si>
  <si>
    <t>Hendley &amp; Co. Inc. Has $2.50 Million Position in PepsiCo, Inc. (NASDAQ:PEP)</t>
  </si>
  <si>
    <t>11:02</t>
  </si>
  <si>
    <t>Take your mouth on a trip! @MunchPakSnacks is a monthly box curated with snack foods from countries all over the world!  ⠀⠀⠀⠀⠀⠀⠀⠀⠀
Shop our exclusive #MunchPak box in stores only at FYE! Find your nearest store using our store locator on FYE.com! .
..
...
....
.....
....
...
..
.
#snackstagram #snack #snacks #snackgram #munchpaksnacks #foodie #rarefood #uniquefood #junkfood #junkfoods #junkfoodjunkie #junkfoodlover #fye #officialfye
@munchpak</t>
  </si>
  <si>
    <t>FYE - For Your Entertainment</t>
  </si>
  <si>
    <t>#Doritos
Doritos, Max Strong or Sensations? RT + Reply with your favourite summer snack for the chance to #WIN an Amazon Echo or a case of crisps!  
Closes 25th June, T&amp;Cs: https://bit.ly/2ImAjqN</t>
  </si>
  <si>
    <t>les todd</t>
  </si>
  <si>
    <t>24.06.2019 11:09</t>
  </si>
  <si>
    <t>Diegø</t>
  </si>
  <si>
    <t>Канем</t>
  </si>
  <si>
    <t>Mbi</t>
  </si>
  <si>
    <t>24.06.2019 11:08</t>
  </si>
  <si>
    <t>Albúmina</t>
  </si>
  <si>
    <t>24.06.2019 11:02</t>
  </si>
  <si>
    <t>i wouldnt call it weird but fries and a frosty..... but if not then a peanut butter sandwich with doritos in it ITS GOOD DONT @ ME
19. what’s a weird food combination you love?</t>
  </si>
  <si>
    <t>Annie96 | soft hours | Au in pinned</t>
  </si>
  <si>
    <t>10:55</t>
  </si>
  <si>
    <t>24.06.2019 10:59</t>
  </si>
  <si>
    <t>ASMR TACO BELL NACHO FRIES DORITOS LOCOS CINNAMON TWIST | CRUNCHY MOUTH SOUNDS| NO TALKING</t>
  </si>
  <si>
    <t>ASMR TACO BELL NACHO FRIES  DORITOS LOCOS  CINNAMON TWIST | CRUNCHY MOUTH SOUNDS| NO TALKING
ASMR TACO BELL NACHO FRIES  DORITOS LOCOS  CINNAMON TWIST | CRUNCHY MOUTH SOUNDS| NO TALKING
Thanks For Watching!
Subscribe For More!!</t>
  </si>
  <si>
    <t>ASMRwiththeCarters</t>
  </si>
  <si>
    <t>meal,fast food,junk food,food</t>
  </si>
  <si>
    <t>24.06.2019 11:05</t>
  </si>
  <si>
    <t>Keep Your Canine Out of Your Cannabis</t>
  </si>
  <si>
    <t>emergency vet, joked about what he used to tell pet owners: "We're gonna take your dog in, we're gonna put him in a quiet room. We're gonna play some Led Zeppelin for him and give him some Doritos, and you can pick him up in the morning."How Much Does Treating Your Dog Cost?While my own vet bill put us out $300, veterinarian John de Jong, president of the American Veterinary Medical Association, said interventions like bloodwork and IV fluids could cost up to $1,000.What About Cats?It seems to be rarer for cats to ingest marijuana. Black said she has</t>
  </si>
  <si>
    <t>washington.edgemedianetwork.com</t>
  </si>
  <si>
    <t>10:54</t>
  </si>
  <si>
    <t>24.06.2019 10:55</t>
  </si>
  <si>
    <t>Dorito ...mmm cheese... #Me #Love #Photography #Selfie #EffYourBeautyStandards #Picture #Instagram #Instagood #Instalove #PicOfTheDay #Beautiful #Photo #Photos #Art #Artistic #TagsBlender #TagBlender #Color #Exposure #Artist #Artistic #Artists #Filtered #Unfiltered #Model #IAMME #RockYourConfidence #DitchTheLabel #IWeigh @i_weigh #BeautyIsNotASize #ShowUs
@instagram @foodnetwork @doritos</t>
  </si>
  <si>
    <t>Cʜᴀᴠᴏɴɴᴇ</t>
  </si>
  <si>
    <t>Brandon Ream</t>
  </si>
  <si>
    <t>24.06.2019 10:54</t>
  </si>
  <si>
    <t>Tops Markets</t>
  </si>
  <si>
    <t>24.06.2019 10:58</t>
  </si>
  <si>
    <t>emergency vet, joked about what he used to tell pet owners: "We're gonna take your dog in, we're gonna put him in a quiet room. We're gonna play some Led Zeppelin for him and give him some Doritos, and you can pick him up in the morning."
How Much Does Treating Your Dog Cost?
While my own vet bill put us out $300, veterinarian John de Jong, president of the American Veterinary Medical Association, said interventions like bloodwork and IV fluids could cost up to $1,000.
What About Cats?
It seems to be rarer for cats to ingest marijuana. Black</t>
  </si>
  <si>
    <t>dallas.edgemedianetwork.com</t>
  </si>
  <si>
    <t>Need some of theese.................#doritos #tomholland #peterparker #spidermanfarfromhome #meganjossa #flaminhotcheetos
@tomholland2013 @doritos @spiderman</t>
  </si>
  <si>
    <t>TomHollandFan❤️</t>
  </si>
  <si>
    <t>24.06.2019 10:57</t>
  </si>
  <si>
    <t>losangeles.edgemedianetwork.com</t>
  </si>
  <si>
    <t>lasvegas.edgemedianetwork.com</t>
  </si>
  <si>
    <t>24.06.2019 10:56</t>
  </si>
  <si>
    <t>Meijer Wisconsin Weekly Ad Clip | 23 June 2019 - 29 June 2019</t>
  </si>
  <si>
    <t>, bath tissue, beef meat, coca-cola, colby cheese, cottonelle, detergent, doritos, frozen, grapes, mayonnaise, miracle whip, rice, sausage, seedless grapes, spring water, steak sauce, tide, tomatoes, wipes, heinz, pineapple, pizza, pork meat, potato chips, chicken, pasta sauce, pepsi, organic, chips, steak, cheese, sparkling water, pizza rolls, pasta, lay's, sauce, ribs, drink, miller, coors, liquid, rolls, meat, laundry detergent; however, circular of Meijer offers many other discounts on goods like bread, corn, eggs, feta, mustard. If you want</t>
  </si>
  <si>
    <t>Weekly Ads &amp; Opportunity</t>
  </si>
  <si>
    <t>ftlauderdale.edgemedianetwork.com</t>
  </si>
  <si>
    <t>10:51</t>
  </si>
  <si>
    <t>edgemedianetwork.com</t>
  </si>
  <si>
    <t>When the #doritos nacho cheese sauce is on special you know it’s a good day.. I could literally drink it</t>
  </si>
  <si>
    <t>Daniel Lay</t>
  </si>
  <si>
    <t>Ньюкасл-андер-Лайм</t>
  </si>
  <si>
    <t>food,convenience food</t>
  </si>
  <si>
    <t>24.06.2019 10:52</t>
  </si>
  <si>
    <t>Is bunny hopping around
₍₎..⃗.EndlessRz
₍₎..⃗.Deviantart
══════ ∘◦❁◦∘ ═══════
『』￤Like/Comment/Share
『』￤Follow the @xbunnyhopx For more
══════ ∘◦❁◦∘ ═══════
[Tags] #dva #overwatch #Cute #Gamer #Love #Fanart #Overwatchdva #dvacosplay #Bunnies #Dvafanart #Doritos #Pcgamer #Progamer #Starcraft #Positive #Heroes
Thank you for visitingପ( •̤ᴗ•̤ )੭⁾⁾.｡.:✽・ﾟ＋</t>
  </si>
  <si>
    <t>10:50</t>
  </si>
  <si>
    <t>24.06.2019 10:51</t>
  </si>
  <si>
    <t>whole adults really out here consuming Doritos and soda for breakfast</t>
  </si>
  <si>
    <t>desreveR</t>
  </si>
  <si>
    <t>10:49</t>
  </si>
  <si>
    <t>ptown.edgemedianetwork.com</t>
  </si>
  <si>
    <t>providence.edgemedianetwork.com</t>
  </si>
  <si>
    <t>24.06.2019 10:53</t>
  </si>
  <si>
    <t>Nyena</t>
  </si>
  <si>
    <t>24.06.2019 10:49</t>
  </si>
  <si>
    <t>newyork.edgemedianetwork.com</t>
  </si>
  <si>
    <t>24.06.2019 11:00</t>
  </si>
  <si>
    <t>Mª Del Mar</t>
  </si>
  <si>
    <t>Eliud SF</t>
  </si>
  <si>
    <t>San Mateo Coapexco, Villa Guerrero Edo. Mex.</t>
  </si>
  <si>
    <t>24.06.2019 10:50</t>
  </si>
  <si>
    <t>Break open your week with our DORITOS MOZZARELLA STICKS! 
: @philmytummy
#CraftsmanRowSaloon
: @craftsmanrowphl
: Jeweler’s Row, Philadelphia
 TAG YOUR FRIENDS! 
@philmytummy @craftsmanrowphl</t>
  </si>
  <si>
    <t>Craftsman Row Saloon</t>
  </si>
  <si>
    <t>10:47</t>
  </si>
  <si>
    <t>sanfrancisco.edgemedianetwork.com</t>
  </si>
  <si>
    <t>The birthday Doritos™ skeleton has graced me with her presence!!!</t>
  </si>
  <si>
    <t>हेमन्तजब्ध</t>
  </si>
  <si>
    <t>He look so happy with his Doritos  and don’t forget the classic photo with Tom and his donut❤️ @tomholland2013 #tomholland #tomholland30dayidolchallenge  Day 3</t>
  </si>
  <si>
    <t>Tom Holland Fan15</t>
  </si>
  <si>
    <t>24.06.2019 10:47</t>
  </si>
  <si>
    <t>Siviwe Caga</t>
  </si>
  <si>
    <t>@Lzrrp @xTaii I've eaten Blaze Doritos so I feel I'm ready for anything</t>
  </si>
  <si>
    <t>ˢⁿᶦᶠᶠ bro ⛷</t>
  </si>
  <si>
    <t>boston.edgemedianetwork.com</t>
  </si>
  <si>
    <t>chicago.edgemedianetwork.com</t>
  </si>
  <si>
    <t>24.06.2019 11:06</t>
  </si>
  <si>
    <t>24.06.2019 10:48</t>
  </si>
  <si>
    <t>24.06.2019 10:46</t>
  </si>
  <si>
    <t>Doritos asmr eating
.
.
.
.
.
.
#asmr #asmrsounds #asmrsound #satisfy #satisfied #slime #asmrslime #asmreating #icecream #chocolate #milkshakes #drinking #crepecake #cakedecorating #cake #haribbo #candy #gummybears #boy #girls #chocolate #pizza #cheese #milka #toblerone #snack #snacks #milktea  #honey #onionrings
@moxiebeast</t>
  </si>
  <si>
    <t>ASMR videos</t>
  </si>
  <si>
    <t>10:41</t>
  </si>
  <si>
    <t>Imagine having to have sex for 12 wings, two beers and Doritos.
This girl she drank my beers, ate my hot wings (12) and now she's eating my Doritos but says she's not ready for sex.. Any advice please because I am taken for a fool here..</t>
  </si>
  <si>
    <t>Gomo</t>
  </si>
  <si>
    <t>24.06.2019 10:40</t>
  </si>
  <si>
    <t>On a brand new #FatManBeyond! We’re corporate whores galore when @marcbernardin and I show off @Ghostbusters sneakers sponsored by @KSWISS and a @SpiderManMovie suit sponsored by @Doritos while standing at the bar in the @SVCantina!
Fatman Beyond #252 with @marcbernardin &amp; @ThatKevinSmith from the @SVCantina is live....
Listen: https://www.smodcast.com/channel/fatmanbeyond?audio=252
Watch: https://youtu.be/4jShW0YwOOM</t>
  </si>
  <si>
    <t>24.06.2019 10:39</t>
  </si>
  <si>
    <t>Terence Chung</t>
  </si>
  <si>
    <t>10:37</t>
  </si>
  <si>
    <t>24.06.2019 10:44</t>
  </si>
  <si>
    <t>LP</t>
  </si>
  <si>
    <t>24.06.2019 10:42</t>
  </si>
  <si>
    <t>@royale_high I’m eating Doritos</t>
  </si>
  <si>
    <t>roualhihj</t>
  </si>
  <si>
    <t>다혜</t>
  </si>
  <si>
    <t>24.06.2019 10:38</t>
  </si>
  <si>
    <t>@saltscapes Dear Saltscapes, it’s June. Every parent packing a lunch is at the point where they’d send a bag of froot loops, Doritos, chips, pop, chocolate bars,  and a bottle of ranch dressing if they thought their child would be happy.</t>
  </si>
  <si>
    <t>Elizabeth Giffin</t>
  </si>
  <si>
    <t>Новая Шотландия</t>
  </si>
  <si>
    <t>Sheet Harbour</t>
  </si>
  <si>
    <t>Cats Face reveal</t>
  </si>
  <si>
    <t>Cats Face reveal
#YEET #DORITOS</t>
  </si>
  <si>
    <t>Wolfie Studios</t>
  </si>
  <si>
    <t>I am home alone in my house watching Rated R movies and eating Doritos at 9 a.m. This is my Carnival.</t>
  </si>
  <si>
    <t>LuminousBeingsNYC</t>
  </si>
  <si>
    <t>Sri Lanka</t>
  </si>
  <si>
    <t>Центральная провинция</t>
  </si>
  <si>
    <t>Woodside</t>
  </si>
  <si>
    <t>Mary</t>
  </si>
  <si>
    <t>10:35</t>
  </si>
  <si>
    <t>Delivery available tonight from 4:30 - 7pm. 
Message us to order 
#sweetooth#keekeessweets#whatsyourfavorite#newbusinessideas#order#delivery</t>
  </si>
  <si>
    <t>KeeKee’s</t>
  </si>
  <si>
    <t>Story time lol: so I was at the store yesterday and my mom and I spotted the SMFFH promo Doritos. My mom then asked me, “when does the movie come out?”. I nonchalantly say, “oh July 2nd” like it’s still a month away. My mom then replies, “oh so next week then”. My eyes widen because I had just realized we are really seeing SMFFH in a WEEK. NEXT TUESDAY 
Art by: @lyssaarts 
#zendayagraphics
@zendaya @lyssaarts</t>
  </si>
  <si>
    <t>Zendaya Art</t>
  </si>
  <si>
    <t>24.06.2019 10:36</t>
  </si>
  <si>
    <t>Ask her to go home and don't force her to do anything she isn't ready or willing to do 
No entitlement to anything mate. 
End it with dignity
This girl she drank my beers, ate my hot wings (12) and now she's eating my Doritos but says she's not ready for sex.. Any advice please because I am taken for a fool here..</t>
  </si>
  <si>
    <t>#DawnOfEllipsis</t>
  </si>
  <si>
    <t>which one gotta go ? this too hard.
.
.
.
#explorepage #explore #onegottago #chips</t>
  </si>
  <si>
    <t>kayonna.</t>
  </si>
  <si>
    <t>confectionery,convenience food,fast food,food,junk food,snack</t>
  </si>
  <si>
    <t>10:33</t>
  </si>
  <si>
    <t>24.06.2019 10:33</t>
  </si>
  <si>
    <t>@PedersenAhmed Two day old pizza, suspiciously dry Mandarins, a hand full of Takis for 10, Doritos for 7 and cookies that almost definitely don't meet the school’s health standards or but rules. 
And bubly because I'm out of juice boxes and I don't intend to buy them until September.</t>
  </si>
  <si>
    <t>HeatherDoo doo Doo do ️‍</t>
  </si>
  <si>
    <t>10:26</t>
  </si>
  <si>
    <t>24.06.2019 10:34</t>
  </si>
  <si>
    <t>@_xoxo_ariana She knows something about something  Doritos</t>
  </si>
  <si>
    <t>Big Corrie‍♂️</t>
  </si>
  <si>
    <t>City of Saginaw</t>
  </si>
  <si>
    <t>Doritos? Don’t mind if I do! 
#shihtzu #shihtzupuppy #shihtzuofinstagram #dogs #dogsofinstagram #doritos #doggo #shihtzupuppies #shihtzusofinstagram</t>
  </si>
  <si>
    <t>Leon Cadena</t>
  </si>
  <si>
    <t>fur</t>
  </si>
  <si>
    <t>SMH: Footage From 1978 Queens, NY Shows How White People Treated Black People Moving Into All White Neighborhoods!</t>
  </si>
  <si>
    <t>It's like one of those scenes from a movie where you zone out into fantasy land and beat all the crackers up then you snap back into reality and you're sitting next to a bag of Doritos with your phone on your belly</t>
  </si>
  <si>
    <t>ZAMBIA</t>
  </si>
  <si>
    <t>gabiru do paper mario☂</t>
  </si>
  <si>
    <t>Crescent</t>
  </si>
  <si>
    <t>10:25</t>
  </si>
  <si>
    <t>Thank you my Lord  Venezuelan around the world. ❤  #paradise #odellbeckhamjr #srilanka #india #mensstile #malemodels #gentleman #menswear #cine #tvc#thailand</t>
  </si>
  <si>
    <t>Julio Cesar Cabrera M.</t>
  </si>
  <si>
    <t>Махараштра</t>
  </si>
  <si>
    <t>Мумбаи</t>
  </si>
  <si>
    <t>Mackenzie</t>
  </si>
  <si>
    <t>24.06.2019 10:31</t>
  </si>
  <si>
    <t>kevo</t>
  </si>
  <si>
    <t>Санта-Катарина</t>
  </si>
  <si>
    <t>24.06.2019 10:30</t>
  </si>
  <si>
    <t>Imagine ubelwa iFleece throw, a bottle of wine, A PACKET OF DORITOS AND A BOTTLE OF MENTOS GUM  rhaaa amantombazana! Umntu ubela ntoni na?
If y'all could just steal less this would be great</t>
  </si>
  <si>
    <t>Ugandan Pablo</t>
  </si>
  <si>
    <t>24.06.2019 10:29</t>
  </si>
  <si>
    <t>idk what’s wrong with my child she always wanna eat some Doritos knowing she pose to be eating some breakfast‍♀️</t>
  </si>
  <si>
    <t>ari</t>
  </si>
  <si>
    <t>24.06.2019 10:26</t>
  </si>
  <si>
    <t>Doritos roulette challenge met Lars Pieters sub</t>
  </si>
  <si>
    <t>Geen haat</t>
  </si>
  <si>
    <t>Jorrit123 LOL</t>
  </si>
  <si>
    <t>Sander Van der hooft</t>
  </si>
  <si>
    <t>Heeyyy Sander lekker vreete
En intro’s nakken</t>
  </si>
  <si>
    <t>24.06.2019 10:27</t>
  </si>
  <si>
    <t>DeadPresident</t>
  </si>
  <si>
    <t>Полокване</t>
  </si>
  <si>
    <t>@Zeebrongis Doritos spiderman isn't real, he can't hurt you</t>
  </si>
  <si>
    <t>Wingdings</t>
  </si>
  <si>
    <t>24.06.2019 10:25</t>
  </si>
  <si>
    <t>Keabetswe</t>
  </si>
  <si>
    <t>Dear god this account is dying 
.
.
.
.
.
.
.
.
.
.
#meme #memes #dankmemes #dank #lol #lmao #roflmao #rofl #autisticmemes #cancerousmemes #dankmemesmeltsteelbeams #oof #funny #funnymemes # #spongebobmemes #money #instagram #ohshit #memes #memesdaily #yum #music #eat #instagram #doritos #goodmorning</t>
  </si>
  <si>
    <t>Mika Brošinić</t>
  </si>
  <si>
    <t>Ik doe egt altijd de doritos❤️</t>
  </si>
  <si>
    <t>Kimo Keeper Games</t>
  </si>
  <si>
    <t>10:23</t>
  </si>
  <si>
    <t>Wall Street Journal Runs Op-Ed Calling for Trump to Ditch Pence and Put Nikki Haley on 2020 Ticket</t>
  </si>
  <si>
    <t>Spaceman, take the Doritos!</t>
  </si>
  <si>
    <t>Roman Couldn’t Be Cleared</t>
  </si>
  <si>
    <t>mediaite.com</t>
  </si>
  <si>
    <t>Mediaite</t>
  </si>
  <si>
    <t>Salford</t>
  </si>
  <si>
    <t>You could always exchange the prize for a bag of doritos</t>
  </si>
  <si>
    <t>sweetknee2323y</t>
  </si>
  <si>
    <t>10:22</t>
  </si>
  <si>
    <t>Yo mouth probably stank too
this boy at my job eating blue Doritos early in the morning this nigga mouth about to be soo stank ..</t>
  </si>
  <si>
    <t>daéé.✨</t>
  </si>
  <si>
    <t>I know that man mouth stank af.
this boy at my job eating blue Doritos early in the morning this nigga mouth about to be soo stank ..</t>
  </si>
  <si>
    <t>24.06.2019 10:24</t>
  </si>
  <si>
    <t>Kopa di doritos
Match Day</t>
  </si>
  <si>
    <t>रानी 26'Nov</t>
  </si>
  <si>
    <t>table</t>
  </si>
  <si>
    <t>10:21</t>
  </si>
  <si>
    <t>Happy Father’s Day ! (a little late) I love my Daddy, Grandpa and Papa 
@mtitko @doritos</t>
  </si>
  <si>
    <t>Beckett William</t>
  </si>
  <si>
    <t>Wall Township</t>
  </si>
  <si>
    <t>10:20</t>
  </si>
  <si>
    <t>epic Xgamer</t>
  </si>
  <si>
    <t>Skunk vs Fox</t>
  </si>
  <si>
    <t>Skunk vs Fox
Date: 2019-06-24 
Time: 3:54am 
Menu: Doritos (Store Brand)
A new skunk shows up on this night and gets frisky with a fox.</t>
  </si>
  <si>
    <t>The Delaware Critter Diner</t>
  </si>
  <si>
    <t>Nice</t>
  </si>
  <si>
    <t>Lars Pieters</t>
  </si>
  <si>
    <t>@AbsoluteForum @Doritos To be invisible except for my cheesy fingers!  @Doritos #IncognitoDoritos #Entry</t>
  </si>
  <si>
    <t>mrstrooper</t>
  </si>
  <si>
    <t>Who doesn't love hot dogs!? Stop by and grab yours to go, even make it a meal with chips and a drink! Add our Blazing Pulled Chicken for even more AWESOME Flavor.  See you soon!
.
.
.
#florida #melbournefl #viera #rockledge #cocoa #cocoavillage #cocoabeach #melbbulldogs #melbournebulldogs #eaugallie #pinedacauseway #merritisland #cocoa #cocoabeach #cocoavillage #smallbusiness #eatlocal #highschool #highschoolevent #highschooler #wickhamrd #wickhamroad #sattelitebeach</t>
  </si>
  <si>
    <t>icecreamshoppeandcafe</t>
  </si>
  <si>
    <t>Мельбурн</t>
  </si>
  <si>
    <t>snack,meal,junk food,fast food,food</t>
  </si>
  <si>
    <t>Episode 110 - @myqkaplan!
We talk about growing up in #NewJersey, #ArchieComics, #SummerCamp, #Doritos, #Music and more!
No sponsor this week!
@podbeancom: https://nostalgicfront.podbean.com/e/episode-110-myq-kaplan/</t>
  </si>
  <si>
    <t>The Nostalgic Front Is A Podcast You Might Enjoy</t>
  </si>
  <si>
    <t>24.06.2019 10:23</t>
  </si>
  <si>
    <t>°°beautiful boy°° ️‍</t>
  </si>
  <si>
    <t>Doritos roulette challenge met Lars Pieters sub
Sub to Lars Pieters</t>
  </si>
  <si>
    <t>24.06.2019 10:22</t>
  </si>
  <si>
    <t>Aaron Blaze Clark</t>
  </si>
  <si>
    <t>Korongilum Zarma</t>
  </si>
  <si>
    <t>24.06.2019 10:20</t>
  </si>
  <si>
    <t>DomⓂ️⚪</t>
  </si>
  <si>
    <t>24.06.2019 10:19</t>
  </si>
  <si>
    <t>Little fires everywhere # # # # # # # # # #
@snickers @offficialhotcheetos @doritos @flaminhotcheetos @cheetos @hotsauce_lovers @cheetos_indonesia @cheetosegypt @worthasquirt @hotcheetoplug @cheetoshungary @cheetos_latvija @itsflaminhotcheetos</t>
  </si>
  <si>
    <t>Hot Cheetos &amp; Takis</t>
  </si>
  <si>
    <t>art,water</t>
  </si>
  <si>
    <t>Katherine~wearing shorts~⛵</t>
  </si>
  <si>
    <t>#comprex#tshirt#lfl#instagood</t>
  </si>
  <si>
    <t>ﾄ</t>
  </si>
  <si>
    <t>graffiti</t>
  </si>
  <si>
    <t>10:12</t>
  </si>
  <si>
    <t>24.06.2019 17:18</t>
  </si>
  <si>
    <t>' 
-
-
-
-
-
-
-
-
-
-
-
#outfitinsporation #gainpost #style  #outfits #gaintrick #nichememes #explore #moodboard #mood #fashion #fashioninspo #nichememeaccount #baddie #threads #vintage #niche #nichememe  #aesthetic #explorepage #explore #moodboard #selfcare #like  #niche #cute #love #vintage  #selfcare #nichecommunity
@elispethmcinnes</t>
  </si>
  <si>
    <t>&amp;  ✧</t>
  </si>
  <si>
    <t>So this is how the Canadian Civil War starts
Poutine Doritos Ketchup.  cc @alexxxperron</t>
  </si>
  <si>
    <t>Scott Matla</t>
  </si>
  <si>
    <t>Rochester</t>
  </si>
  <si>
    <t>Logan Cramer</t>
  </si>
  <si>
    <t>⭐️Sophie Cowling ⭐️</t>
  </si>
  <si>
    <t>De repente mi tinder huele a doritos</t>
  </si>
  <si>
    <t>neivy</t>
  </si>
  <si>
    <t>24.06.2019 10:21</t>
  </si>
  <si>
    <t>blue packet. can’t be anything else
Bout to have the best Doritos. Which flavour am I talking about?</t>
  </si>
  <si>
    <t>Boo boo the clown</t>
  </si>
  <si>
    <t>✘</t>
  </si>
  <si>
    <t>Lucía</t>
  </si>
  <si>
    <t>10:11</t>
  </si>
  <si>
    <t>24.06.2019 10:18</t>
  </si>
  <si>
    <t>วิรังรอง เอฟตี หนูรัตน์</t>
  </si>
  <si>
    <t>Doritos gives me super strength to combat weekday blues and Monday munchies! #IncognitoDoritos #Entry @Doritos</t>
  </si>
  <si>
    <t>Lex J.</t>
  </si>
  <si>
    <t>Магинданао</t>
  </si>
  <si>
    <t>Making</t>
  </si>
  <si>
    <t>24.06.2019 10:16</t>
  </si>
  <si>
    <t>top tier combos: salad, sausage, and spicy Doritos uwu</t>
  </si>
  <si>
    <t>fresh yamper butts</t>
  </si>
  <si>
    <t>Niue</t>
  </si>
  <si>
    <t>10:09</t>
  </si>
  <si>
    <t>24.06.2019 22:07</t>
  </si>
  <si>
    <t>#Repost @3_wanderers
• • • • • •
One of the best burgers available at the  @burgeroclock .....It is a heavenly combination of crunchy doritos,  fried cheese and a chicken fillet. A 5 Oz juicy beef patty / grilled chicken fillet, 2 oz mozzarella cheese patty, cucumber pickles, jalapenos, nachos, chipotle mayo sauce and iceberg lettuce. I would strongly suggest trying it once. And worth mentioning is the superb discount we got by using @savyourpk application.
 Lets do super mini review:
Product= Premium burgers
Flavor= Crunchos
Price = Rs 530</t>
  </si>
  <si>
    <t>Burger O'Clock</t>
  </si>
  <si>
    <t>bun,baked goods,sandwich,fried food,junk food,fast food,food</t>
  </si>
  <si>
    <t>24.06.2019 10:12</t>
  </si>
  <si>
    <t>TENTE NÃO RIR #4</t>
  </si>
  <si>
    <t>EU VAI SER UM DORITOS GIGANTE O ALGO ASSIM?</t>
  </si>
  <si>
    <t>gustavo sonico</t>
  </si>
  <si>
    <t>Celso Portiolli</t>
  </si>
  <si>
    <t>#gaysp #paradagaysp #doritos #lgbt</t>
  </si>
  <si>
    <t>Vitor Gabriel</t>
  </si>
  <si>
    <t>Yo: tengo que hacer dieta
Youtube: TUTORIAL DORITOS RELLENOS DE QUESO</t>
  </si>
  <si>
    <t>K✨</t>
  </si>
  <si>
    <t>Юкатан</t>
  </si>
  <si>
    <t>Мерида</t>
  </si>
  <si>
    <t>10:04</t>
  </si>
  <si>
    <t>24.06.2019 10:08</t>
  </si>
  <si>
    <t>Sheena Read</t>
  </si>
  <si>
    <t>24.06.2019 10:07</t>
  </si>
  <si>
    <t>Livvy</t>
  </si>
  <si>
    <t>Bexhill</t>
  </si>
  <si>
    <t>10:03</t>
  </si>
  <si>
    <t>24.06.2019 19:39</t>
  </si>
  <si>
    <t>We have been so incredibly busy and Doritos babies have been in the ER so Jenn didn't have time to photograph and name them until late last night. Sadly we lost one little girl this morning. Dr. Reno was concerned for two of Doritos babies because they were farther behind in development than the others. This morning little Blazin passed away. 
Stork is doing just fantastic as the fill in mama for these babies, she lays with them on her own and she is cleaning them all. Jenn says she's our little miracle mama. She doesn't have enough milk to</t>
  </si>
  <si>
    <t>10:02</t>
  </si>
  <si>
    <t>24.06.2019 10:09</t>
  </si>
  <si>
    <t>Danyels</t>
  </si>
  <si>
    <t>10:01</t>
  </si>
  <si>
    <t>Doritos!</t>
  </si>
  <si>
    <t>Doritos!
JamesGamerTV</t>
  </si>
  <si>
    <t>JamesGamerTV</t>
  </si>
  <si>
    <t>Doritos - Dibine Kadar Mixle</t>
  </si>
  <si>
    <t>Doritos - Dibine Kadar Mixle
DCC Film YouTube Kanalına Abone Olun: http://bit.do/eRRJq
#DCCFilm #dcc #reklamlar</t>
  </si>
  <si>
    <t>Climate change denial in Texas is the Doritos Blaze to the rest of the country's Nacho Cheese: same basic shape, but the experience is another level of extreme.
https://www.dallasobserver.com/news/to-understand-climate-denial-you-have-to-understand-texas-11692030
To Comprehend Trump’s Coal Rule, Come to Texas, See Bats in Our Belfry
Scientists should study Texas. We may be the secret to understanding climate change denial. In fact, the longer they fail to study Texas, the longer it will be before anybody figures out what’s wrong with people. What’s wrong is President Donald Trump. But Texas. Trump rolled back EPA controls o...</t>
  </si>
  <si>
    <t>Dallas Observer</t>
  </si>
  <si>
    <t>24.06.2019 10:05</t>
  </si>
  <si>
    <t>09:59</t>
  </si>
  <si>
    <t>‘s post 
—————————
self promo is okay
24th june
—————————
tags;
#niche #nichememes #nichememe #meme #nicheaccount #nichememeaccounts #nichecommunity #niches #nichememepage #nicheaesthetic #aesthetic #nichememer #nichememers #nicheaccount #nichememesacc
@pngcupcake</t>
  </si>
  <si>
    <t>young dumb and broke</t>
  </si>
  <si>
    <t>09:58</t>
  </si>
  <si>
    <t>A massive selection of Japanese snacks always await you at #napajapan  New products listed weekly and we have over 700 unique products in stockAll of your favorite brands with Japan specific flavors and special limited editions 
#Cheetos #Pringles #oreo #HiChew #cocacolavanillafloat #fanta #crunky #mitsuya #popincookin #Doritos #spidermanfarfromhome #jagabee #welchs #fettuccine #Kracie #meiji #japanesecandy #japanesesweets</t>
  </si>
  <si>
    <t>frozen food,toy,junk food,confectionery,food,convenience food,snack</t>
  </si>
  <si>
    <t>24.06.2019 10:02</t>
  </si>
  <si>
    <t>#Random thought while I post a photo from Epupa Falls, at the border of #Namibia and #Angola: no matter where I #travel, every damn fuel station in the world has Doritos.</t>
  </si>
  <si>
    <t>Gail at Large</t>
  </si>
  <si>
    <t>Северный</t>
  </si>
  <si>
    <t>Порту</t>
  </si>
  <si>
    <t>tree,rock</t>
  </si>
  <si>
    <t>valley,landscape,nature,fog,terrain,vegetation,mount scenery,hill,ridge,hill station,sky,highland,mountain,wilderness</t>
  </si>
  <si>
    <t>09:56</t>
  </si>
  <si>
    <t>24.06.2019 10:01</t>
  </si>
  <si>
    <t>@kylegriffin1 are they asking for donations of underwear and doritos?</t>
  </si>
  <si>
    <t>ashamed to be human</t>
  </si>
  <si>
    <t>09:54</t>
  </si>
  <si>
    <t>24.06.2019 10:00</t>
  </si>
  <si>
    <t>@ActorPenny @chellemybell22 Netflix and Doritos</t>
  </si>
  <si>
    <t>I AM LEGION</t>
  </si>
  <si>
    <t>24.06.2019 07:15</t>
  </si>
  <si>
    <t>JamieCurnock said: Quote: : »
A choice of spotting and not spotting servers. We used to call them normal and hardcore servers
I didn't used to play hardcore. Weren't there a few differences other than just the spotting mechanic?
I think spotting will be back for the next bf anyway so I imagine it will be Doritos all round again, which will be, um, awesome? it is the lesser of two evils.
In order to not need doritos, they will need to overhaul the BF art so it does not blend the terrain and the soldiers so much</t>
  </si>
  <si>
    <t>Hawxxeye</t>
  </si>
  <si>
    <t>09:48</t>
  </si>
  <si>
    <t>Employee of the month lol memes</t>
  </si>
  <si>
    <t>⁣   ⁣  Dammit I spilled my Doritos</t>
  </si>
  <si>
    <t>IgotThisAppForMemes8</t>
  </si>
  <si>
    <t>Thanks, I hate it</t>
  </si>
  <si>
    <t>09:47</t>
  </si>
  <si>
    <t>24.06.2019 09:55</t>
  </si>
  <si>
    <t>Have you ever seen a more "Seattle" photo? Here, we have my favorite photo from the @superstreet shoot.
@pikerphoto 
#DORI7OS #Doritos #PoweredbyDoritos #Mazda #RX7 #FDRX7 #FD3S #FD3SNation #Efini #13B #13BREW #rotary #rotaryengine #rotarypower #wankel #turbo #twinturbo #RHD #RightHandDrive #JDM #SuperStreet #F7LTHY #CandSPerformance #mazdamonday
@mazdausa @superstreet @phantasykolors @visracing @meganracing @candsperformance @f7lthy @cwestusa @enkeiwheels @pikerphoto @legend.motorsports @shineautoprojectusa</t>
  </si>
  <si>
    <t>24.06.2019 09:54</t>
  </si>
  <si>
    <t>the worst combinations if you ask me
-
-
#qotp do you like Doritos?+do you want more memes?
-#aotp not that much -
-
{ not hate to dramione it’s just a meme } -
Follow @potterxhowgarts for more
-
-
; 
#dramione #dramioneedit #dramioneedits #harrypotter #harrypottermemes #hpmemes #harrypotteredit #hpedit #hpedits #dracomalfoyedit #dracomalfoy #hermionegranger #hermionegrangeredit #drarry #drarrymemes #drarryedit</t>
  </si>
  <si>
    <t>ᴘᴏᴛᴛᴇʀʜᴇᴀᴅ</t>
  </si>
  <si>
    <t>The BEST Apex Legends Montage EVER...</t>
  </si>
  <si>
    <t>The BEST Apex Legends Montage EVER...
https://www.youtube.com/watch?v=haBERYQXOIE
https://www.youtube.com/watch?v=haBERYQXOIE
https://www.youtube.com/watch?v=haBERYQXOIE</t>
  </si>
  <si>
    <t>Colt</t>
  </si>
  <si>
    <t>machine,weapon,gun</t>
  </si>
  <si>
    <t>video game software,army</t>
  </si>
  <si>
    <t>24.06.2019 09:59</t>
  </si>
  <si>
    <t>Mapoleseng</t>
  </si>
  <si>
    <t>24.06.2019 09:57</t>
  </si>
  <si>
    <t>itzelitzel</t>
  </si>
  <si>
    <t>24.06.2019 09:56</t>
  </si>
  <si>
    <t>earfquakeshirt</t>
  </si>
  <si>
    <t>@Doritos The ultra skill while video gaming</t>
  </si>
  <si>
    <t>SUS Joke</t>
  </si>
  <si>
    <t>Taunton</t>
  </si>
  <si>
    <t>24.06.2019 09:52</t>
  </si>
  <si>
    <t>Sheri Darby</t>
  </si>
  <si>
    <t>24.06.2019 09:51</t>
  </si>
  <si>
    <t>24.06.2019 09:49</t>
  </si>
  <si>
    <t>Rob Bunny</t>
  </si>
  <si>
    <t>Selangor</t>
  </si>
  <si>
    <t>Shah Alam</t>
  </si>
  <si>
    <t>Dear Diary,
I put my fuckin,,, I put my dick in a bag of doritos and made this nigga bitch suck the dust off the tip
love,
nicole</t>
  </si>
  <si>
    <t>nic</t>
  </si>
  <si>
    <t>24.06.2019 16:42</t>
  </si>
  <si>
    <t>#pride #loveislove</t>
  </si>
  <si>
    <t>Fernanda França</t>
  </si>
  <si>
    <t>Chilli heatwave burger special.....
Chicken breast coated in chilli heatwave Doritos topped with bacon, cheese and chipotle mayo.....
Book your table now 01993778134..
https://www.facebook.com/532434786875831/photos/a.533397540112889/2221871551265471/?type=3</t>
  </si>
  <si>
    <t>Chequers Smoke House</t>
  </si>
  <si>
    <t>meal,fried food,french fries,sandwich,food,junk food,fast food</t>
  </si>
  <si>
    <t>24.06.2019 09:47</t>
  </si>
  <si>
    <t>Lerato wa love</t>
  </si>
  <si>
    <t>Восточно-Капская провинция</t>
  </si>
  <si>
    <t>Boschfontein</t>
  </si>
  <si>
    <t>09:39</t>
  </si>
  <si>
    <t>Taraji P. Henson: 'Tyler Perry Was The First Person Who Paid Me $500,000' - by Lyndon Abioye</t>
  </si>
  <si>
    <t>DON'T GET MAD AT ME BECAUSE YOU WENT TO THE BATHROOM THIS MORNING AND FOUND DEAD FLIES IN YOUR PANTIES...OLE STANKIN..DOO'DOO SMELLING "BISH" YOU ! ALSO..STOP STRIPPING AT GAS STATIONS AND EATING DORITOS OFF THE GROUND WHEN DROPPED....NASTY "ASS" NESTA !</t>
  </si>
  <si>
    <t>Vince</t>
  </si>
  <si>
    <t>mtonews.com</t>
  </si>
  <si>
    <t>MTONews.com</t>
  </si>
  <si>
    <t>Adia</t>
  </si>
  <si>
    <t>09:38</t>
  </si>
  <si>
    <t>It’s currently 8:30am down here in Mexico and I’m drinking Dos Equis and eating Doritos on our hotel balcony. Life is good.</t>
  </si>
  <si>
    <t>J Tol</t>
  </si>
  <si>
    <t>09:35</t>
  </si>
  <si>
    <t>24.06.2019 09:43</t>
  </si>
  <si>
    <t>Ever since I started eating Doritos now my farts have BASS lmao</t>
  </si>
  <si>
    <t>N.Malfoy</t>
  </si>
  <si>
    <t>Croatia</t>
  </si>
  <si>
    <t>Бродско-Посавская жупания</t>
  </si>
  <si>
    <t>Magić Mala</t>
  </si>
  <si>
    <t>09:34</t>
  </si>
  <si>
    <t>24.06.2019 09:46</t>
  </si>
  <si>
    <t>Molly Russell Bruce</t>
  </si>
  <si>
    <t>24.06.2019 09:40</t>
  </si>
  <si>
    <t>Doritos or Plain chips
Beef, Turkey, Chicken, Shrimp and Steak Queso Dip
Optional Toppings:
Shredded lettuce
Sour cream
Jalapenos 
Salsa or green chile salsa
⚠️Deposit required⚠️
⚠️Must order by 8pm Fri for Saturday delivery and 8pm Sat for Sunday delivery⚠️
Text 4702360804
.
.
.
.
.
.
.
.
.
.
#love #food #foodporn #yum #instafood #awholelottalove #atlanta #tasty #delicious #foodpic #eat #eating #foodpic #foodpics #hungry #hot #drinks #awllatl #yummy #amazing #instagood #dinner #lunch #fresh #tasty #delicious #nachoplatter #chips #queso #dip</t>
  </si>
  <si>
    <t>A Whole Lotta Love, LLC</t>
  </si>
  <si>
    <t>24.06.2019 09:42</t>
  </si>
  <si>
    <t>I can't cook food so today I DID A CHEF! I made Pasta With: bacon, sweet peppers, silver skinned onions, mushrooms, olives, tomato's, all covered in Doritos hot dipping sauce and hot sauce seasoned with pepper! I'm not one of these Instagram/Facebook food maker photo taker wankers, but GOD DAMN IT THIS IS GOOD! am I adult? I don't have freinds  let me be your husband 
#chef #husband #food #peepshow</t>
  </si>
  <si>
    <t>和Azeza</t>
  </si>
  <si>
    <t>pasta,junk food,meal,chinese noodles,spaghetti,food</t>
  </si>
  <si>
    <t>24.06.2019 09:45</t>
  </si>
  <si>
    <t>About to take these Doritos to pound town.</t>
  </si>
  <si>
    <t>24ᴷ Silverback</t>
  </si>
  <si>
    <t>hatred itself</t>
  </si>
  <si>
    <t>Сеара</t>
  </si>
  <si>
    <t>Форталеза</t>
  </si>
  <si>
    <t>24.06.2019 09:41</t>
  </si>
  <si>
    <t>That's why I have trust issues...
@Doritos</t>
  </si>
  <si>
    <t>Riccardo Pietri</t>
  </si>
  <si>
    <t>24.06.2019 09:36</t>
  </si>
  <si>
    <t>You are an animal
chill on me, i inky do this this to spicy nacho doritos but h don’t eat the chip after</t>
  </si>
  <si>
    <t>youngboy fan acct</t>
  </si>
  <si>
    <t>24.06.2019 09:38</t>
  </si>
  <si>
    <t>Here’s how analysts see YUM! Brands, Inc. (NYSE:YUM) after this past week.</t>
  </si>
  <si>
    <t>, Inc. (NYSE:YUM) news were published by: Bizjournals.com which released: “FIRST LOOK: KFC debuts new flagship restaurant in Louisville (PHOTOS) – Louisville Business First” on June 19, 2019, also Investorplace.com with their article: “Free Taco Bell 2019: How to Get Free Doritos Locos Tacos Today – Investorplace.com” published on June 18, 2019, Investorplace.com published: “KFC Cheetos Sandwich to Debut Nationwide on July 1 – Investorplace.com” on June 21, 2019. More interesting news about YUM! Brands, Inc. (NYSE:YUM) were released by: Finance</t>
  </si>
  <si>
    <t>Rene Ackley</t>
  </si>
  <si>
    <t>09:27</t>
  </si>
  <si>
    <t>HELP ME!!!!
.
M: I'm going to get some Doritos
B: No, you can't get that.... because you said no crumbs in the car
M:  You're right..Ahhhh... what do I get!!!
B: You can get candy....
.
Why is she always pushing me to get candy #badhabits #enablers #sheknowsmyweakness #Imjoiningagroup</t>
  </si>
  <si>
    <t>DiDi</t>
  </si>
  <si>
    <t>I had a burger at Feel Good Series in CPT &amp; it had Doritos and shit was delicious. Then I had the nachos burger at KFC, shit was delicious. Now when I get them chicken fillets to cook at home, I cop Doritos as well. I'm influenced.</t>
  </si>
  <si>
    <t>The Joker | Bukowski | Beast</t>
  </si>
  <si>
    <t>Yemen</t>
  </si>
  <si>
    <t>Сана</t>
  </si>
  <si>
    <t>مند</t>
  </si>
  <si>
    <t>09:25</t>
  </si>
  <si>
    <t>Indodana Yolahleko</t>
  </si>
  <si>
    <t>24.06.2019 09:29</t>
  </si>
  <si>
    <t>Yes. No. Doritos. Çalinge</t>
  </si>
  <si>
    <t>avni genç</t>
  </si>
  <si>
    <t>09:20</t>
  </si>
  <si>
    <t>24.06.2019 09:32</t>
  </si>
  <si>
    <t>GTA 5 TE GM-EN DORİT0ERKEN KUSARKEN YUENİ ARABAMI TANITTĞIMIM BALDİ GIRENİ VİDEOMUZ</t>
  </si>
  <si>
    <t>GTA 5 TE GM-EN DORİT0ERKEN KUSARKEN YUENİ ARABAMI TANITTĞIMIM BALDİ GIRENİ VİDEOMUZ
ARKADAŞLAR BUGÜN SİZLERLE BERABER GTA 5 TE GMOD MODUNDA MARİODA ARABADA SÜRERKEN SLİME ÇELINÇ YAPARKEN DORİTOS 2.3.4.5.6.7.8.9.10.0 YERKEN SLİME A BANDIRA BANDIRA YERKEN KÜVETTE GÜVERCENİN ÇEKTİĞİ İZLERKEN KÜVETTE SLİME ÇELINÇ YAPAN AYININ BALDİ BEYSİKS OYNARKEN LAMBORCİNİ SÜRDÜK!!!!!!!!!!!!!!!!!!!!!!!!!!!!!!!!!!!!!!!!!!!!!!!!!!!!!!!!!!!!!!!!!!!!!!!!!!!!!!!!!!!!!! KANALA ABONE OLMAYAN OROSPU EVLADI</t>
  </si>
  <si>
    <t>izexlesh</t>
  </si>
  <si>
    <t>09:19</t>
  </si>
  <si>
    <t>24.06.2019 09:33</t>
  </si>
  <si>
    <t>Ange</t>
  </si>
  <si>
    <t>24.06.2019 09:34</t>
  </si>
  <si>
    <t>celine</t>
  </si>
  <si>
    <t>Перт</t>
  </si>
  <si>
    <t>These Doritos really burning charcoal like lighter fluid</t>
  </si>
  <si>
    <t>Hugodadon</t>
  </si>
  <si>
    <t>Cheetos or Doritos
KeepCalm AhmadMiguel
#SahayaPlanoNiAhmad</t>
  </si>
  <si>
    <t>Miguelholics Pangasinan</t>
  </si>
  <si>
    <t>Пангасинан</t>
  </si>
  <si>
    <t>Hilmi</t>
  </si>
  <si>
    <t>09:18</t>
  </si>
  <si>
    <t>24.06.2019 09:26</t>
  </si>
  <si>
    <t>Rodrigo Chavez</t>
  </si>
  <si>
    <t>24.06.2019 09:24</t>
  </si>
  <si>
    <t>chill on me, i inky do this this to spicy nacho doritos but h don’t eat the chip after 
Lmao I cant believe people really out here licking ds flavor off chips den eating dem</t>
  </si>
  <si>
    <t>24.06.2019 09:28</t>
  </si>
  <si>
    <t>Hey Canada, Ketchup Season is finally here! Spot the #DoritosKetchup chips and upload a screenshot for a chance to win a year’s supply of Doritos. #MadeInCanada</t>
  </si>
  <si>
    <t>Daniel Triumph</t>
  </si>
  <si>
    <t>had a dream about baked doritos and i ate one 
I MISS THEM</t>
  </si>
  <si>
    <t>24.06.2019 09:25</t>
  </si>
  <si>
    <t>Payneshu</t>
  </si>
  <si>
    <t>09:09</t>
  </si>
  <si>
    <t>24.06.2019 09:15</t>
  </si>
  <si>
    <t>Ani Gamboa</t>
  </si>
  <si>
    <t>09:07</t>
  </si>
  <si>
    <t>24.06.2019 09:12</t>
  </si>
  <si>
    <t>@VICE Habanero wrap with American cheese. Southwest sauce. The pre cut/cubed chicken. Lettuce. Tomato. Red onion. Banana peppers..tie it all in with a side of cool ranch doritos or not but either way, you'll thank me for the party in your mouth</t>
  </si>
  <si>
    <t>philip pimentel</t>
  </si>
  <si>
    <t>South Boston</t>
  </si>
  <si>
    <t>24.06.2019 07:16</t>
  </si>
  <si>
    <t>Quote: : »
A choice of spotting and not spotting servers. We used to call them normal and hardcore servers
I didn't used to play hardcore. Weren't there a few differences other than just the spotting mechanic?
I think spotting will be back for the next bf anyway so I imagine it will be Doritos all round again, which will be, um, awesome? 0</t>
  </si>
  <si>
    <t>Quote: : »
A choice of spotting and not spotting servers. We used to call them normal and hardcore servers
I didn't used to play hardcore. Weren't there a few differences other than just the spotting mechanic?
I think spotting will be back for the next bf anyway so I imagine it will be Doritos all round again, which will be, um, awesome?</t>
  </si>
  <si>
    <t>09:06</t>
  </si>
  <si>
    <t>24.06.2019 09:14</t>
  </si>
  <si>
    <t>As Crown Holdings (CCK) Valuation Rose, Shareholder Brookside Capital Management Has Boosted Its Position; Pepsico (PEP) Holder New Mexico Educational Retirement Board Lowered Holding by $329,400 as Stock Value Rose</t>
  </si>
  <si>
    <t>stores have run out of Doritos, Cheetos and other Frito-Lay products â€” and snack fans can blame PepsiCo Chief Executive Indra Nooyi for their less crunchy lunches; 19/04/2018 – LISTEN: The Coke and Pepsi of lung cancer, a debatable drug price, and a cure for capitalism; 25/04/2018 – PepsiCo Bond Trading 34x Average; Clients Net Sellers
Brookside Capital Management Llc, which manages about $1.05 billion US Long portfolio, decreased its stake in Rh by 51,692 shares to 23,866 shares, valued at $2.46 million in 2019Q1, according to the filing. It</t>
  </si>
  <si>
    <t>Financial Advantage Has Increased Its Holding in Hanesbrands (HBI) as Stock Declined; As Pepsico (PEP) Shares Rose, Old Republic International Has Raised by $1.83 Million Its Stake</t>
  </si>
  <si>
    <t>— Earnings Review; 26/04/2018 – PepsiCo Sees About $2B Share Repurchases in 2018; 31/05/2018 – PepsiCo Foundation Gives Grants to Charities in New Bern, North Carolina — “Birthplace” of Pepsi-Cola; 25/05/2018 – PEPSICO CANADA – IMPACTED PRODUCT LIMITED TO 750 BAGS DISTRIBUTED TO SOME RETAILERS IN ONTARIO, NO IMPACTED PRODUCT SHIPPED TO OTHER PROVINCES OR U.S; 19/03/2018 – Scores of Big Apple convenience stores have run out of Doritos, Cheetos and other Frito-Lay products â€” and snack fans can blame PepsiCo Chief Executive Indra Nooyi for their less</t>
  </si>
  <si>
    <t>Jerry Peters</t>
  </si>
  <si>
    <t>stocksbeat.com</t>
  </si>
  <si>
    <t>09:05</t>
  </si>
  <si>
    <t>Every. Last. Crumb.
Have you tried the latest and greatest Doritos Spicy Wings flavour yet?
https://www.facebook.com/DoritosSouthAfrica/photos/a.405181301136/10156741512596137/?type=3</t>
  </si>
  <si>
    <t>https://scontent.xx.fbcdn.net/v/t1.0-9/p720x720/64981280_10156741512606137_8471540850663358464_o.jpg?_nc_cat=103&amp;_nc_oc=AQnNAv216mIzxLHOSLNQf6GPzM572uzCFebDitYT5ETVdCeAotb9Bji_92vonwseBzU&amp;_nc_ht=scontent.xx&amp;oh=83dbb8433df81aab5f7b9f0f16749320&amp;oe=5D79ECB0</t>
  </si>
  <si>
    <t>ASMR Ice Cream  &amp; Doritos</t>
  </si>
  <si>
    <t>ASMR Ice Cream  &amp; Doritos
The first time that we taste Doritos &amp; Ice Cream Coated Vanilla Flavor.! Thank for watching our videos.</t>
  </si>
  <si>
    <t>Keriya &amp; Marady</t>
  </si>
  <si>
    <t>24.06.2019 09:10</t>
  </si>
  <si>
    <t>Kerry on Wayward Son</t>
  </si>
  <si>
    <t>09:02</t>
  </si>
  <si>
    <t>Kick off summer right with these sensational summer savings! We have your favorite brands like Pepsi, Doritos, Keebler, Poland Spring Natural Spring Water, Coca-Cola and more at the best prices! Visit topsmarkets.com and view our weekly ad for more  ☀️
https://www.facebook.com/topsfriendlymarkets/photos/a.142511959151247/2223144027754686/?type=3</t>
  </si>
  <si>
    <t>Tops Friendly Markets</t>
  </si>
  <si>
    <t>24.06.2019 09:04</t>
  </si>
  <si>
    <t>Natalie Helen</t>
  </si>
  <si>
    <t>Бат</t>
  </si>
  <si>
    <t>24.06.2019 09:11</t>
  </si>
  <si>
    <t>jackie graham</t>
  </si>
  <si>
    <t>24.06.2019 09:09</t>
  </si>
  <si>
    <t>generic name</t>
  </si>
  <si>
    <t>@kevinrupard I fell asleep with Doritos in between my legs so now I have a morning snack ♥️</t>
  </si>
  <si>
    <t>Chrisy Nova</t>
  </si>
  <si>
    <t>Мазендеран</t>
  </si>
  <si>
    <t>مون</t>
  </si>
  <si>
    <t>24.06.2019 09:07</t>
  </si>
  <si>
    <t>carmel pickering</t>
  </si>
  <si>
    <t>Furu</t>
  </si>
  <si>
    <t>08:58</t>
  </si>
  <si>
    <t>#JusticeForDumiMasilela</t>
  </si>
  <si>
    <t>24.06.2019 09:03</t>
  </si>
  <si>
    <t>M A F A L O</t>
  </si>
  <si>
    <t>Russ</t>
  </si>
  <si>
    <t>Pff yo no tengo hoy doritos y es festivo</t>
  </si>
  <si>
    <t>Kaos</t>
  </si>
  <si>
    <t>Charla POKEGOLEON</t>
  </si>
  <si>
    <t>Arriba españa</t>
  </si>
  <si>
    <t>Arriba los Doritos</t>
  </si>
  <si>
    <t>24.06.2019 08:59</t>
  </si>
  <si>
    <t>Giant fish Found Making Funny Faces At Bag of Doritos As A Result Of Pokemon GO</t>
  </si>
  <si>
    <t>Pokemon Go Headlines</t>
  </si>
  <si>
    <t>Newport News City</t>
  </si>
  <si>
    <t>นูนู</t>
  </si>
  <si>
    <t>08:55</t>
  </si>
  <si>
    <t>24.06.2019 09:00</t>
  </si>
  <si>
    <t>Music Debates with @myfabolouslife over 
@doritos x @dussecognac 
R O C H E S T E R 
N Y 
#DusseNights  (@i_am_goodknews )
#TheFamily #dusse 
Youngest OG x Young OG</t>
  </si>
  <si>
    <t>İsmail DUMAN</t>
  </si>
  <si>
    <t>alcohol,drink</t>
  </si>
  <si>
    <t>@FirstLoveMrsH Cheesy Gordita crunch with a Doritos nacho cheese shell add onion</t>
  </si>
  <si>
    <t>Samantha.H.Layne</t>
  </si>
  <si>
    <t>24.06.2019 08:57</t>
  </si>
  <si>
    <t>Sophie</t>
  </si>
  <si>
    <t>SECRET GAME (state the name, dont mention)
1. Gene 
2. Wa
3. Mom
4. Dunno
5. 2? One
6. Bounce back by Little mix
7. Wa
8. Dunno
9. My friends, Doritos Fam/Ceciranians and si cruUuUshsh
10. 10</t>
  </si>
  <si>
    <t>ayabells</t>
  </si>
  <si>
    <t>Северная Суматра</t>
  </si>
  <si>
    <t>Perk. Blangkahan</t>
  </si>
  <si>
    <t>The Best and Funniest Doritos Kids Adverts 2019</t>
  </si>
  <si>
    <t>The Best and Funniest Doritos Kids Adverts 2019
doritos girl,
dorito's reaction,
doritos commercials,
doritos nachos,
doritos song,
doritos ad,
doritos blaze,
doritos kids,
doritos commercial dog,
doritos and mountain dew,
doritos add,
doritos advert,
doritos advertisement,
doritos and mountain dew commercial,
doritos and cheese,
doritos and sour cream,
doritos and mountain dew meme,
doritos animation,
doritos bon appetit,
doritos baby,
doritos bowl,
doritos beer,
doritos burrito,
doritos building,
doritos bowl 2018,
cardi b doritos,
cardi b doritos commercial,
doritos chips,
doritos chicken,
doritos commercial kids,
doritos commercial song,
doritos commercial 2019</t>
  </si>
  <si>
    <t>Ti3 P0w</t>
  </si>
  <si>
    <t>08:52</t>
  </si>
  <si>
    <t>24.06.2019 08:58</t>
  </si>
  <si>
    <t>we can keep the rotary community alive♥️Media coverage for our event by @rix_magazine @longislandexoticcarsny Thank you for your support everyone! #7sday#rotary#mazda#rx7#rx8#12a#13b#20b#longisland#trl_therotarylife#wankel#doritos#brap#carmeet#jdm#respect#zoomzoom#rx2#rx3#rx4</t>
  </si>
  <si>
    <t>Mike S @RED_EDITION_FD7</t>
  </si>
  <si>
    <t>24.06.2019 09:01</t>
  </si>
  <si>
    <t>I really hate those big bags of doritos cos I end up brainlessly eating most of them and feeling sick after x.x</t>
  </si>
  <si>
    <t>Kairimania AND Champions of Europe</t>
  </si>
  <si>
    <t>08:51</t>
  </si>
  <si>
    <t>24.06.2019 08:53</t>
  </si>
  <si>
    <t>@Tripledeathstar Doritos</t>
  </si>
  <si>
    <t>DRAGZ54</t>
  </si>
  <si>
    <t>08:50</t>
  </si>
  <si>
    <t>24.06.2019 08:52</t>
  </si>
  <si>
    <t>@fienemannia I didn’t know you were Lindsay Doritos! I love that one, I laughed for like ten minutes.</t>
  </si>
  <si>
    <t>emily ️‍⚾️</t>
  </si>
  <si>
    <t>Void-Vacon</t>
  </si>
  <si>
    <t>Defiant toddler still wants to eat these even though I told her they were spicy. Shes eating them, coughing and drinking loads of water  but on the plus side, we went to visit a nursery/preschool this morning and she loved it so I've done the application for her to start in September, 2 and a half days a week  hoping it's more successful than the last one  #toddler #threenager #defiant #crazyhair #3yearold</t>
  </si>
  <si>
    <t>Sensations yum!
Doritos, Max Strong or Sensations? RT + Reply with your favourite summer snack for the chance to #WIN an Amazon Echo or a case of crisps!  
Closes 25th June, T&amp;Cs: https://bit.ly/2ImAjqN</t>
  </si>
  <si>
    <t>Deb Shepherd</t>
  </si>
  <si>
    <t>24.06.2019 08:54</t>
  </si>
  <si>
    <t>Vratio sam se?! | Minecraft PvP #01</t>
  </si>
  <si>
    <t>IP Doritos Network-a: mc.doritosnetwork.gq
Ocekujem da sto vise vas dodje! :)</t>
  </si>
  <si>
    <t>Aytax_</t>
  </si>
  <si>
    <t>08:48</t>
  </si>
  <si>
    <t>24.06.2019 08:50</t>
  </si>
  <si>
    <t>Ight http://time.com/4038837/doritos-rainbow-chips-pride-lgbt/?utm_source=facebook.com&amp;utm_medium=social&amp;utm_campaign=social-share-article&amp;utm_content=20190411</t>
  </si>
  <si>
    <t>Tyler</t>
  </si>
  <si>
    <t>Уинстон-Сейлем</t>
  </si>
  <si>
    <t>Doritos Risk 3.0 Challenge (doğruluk/cesaretlik)</t>
  </si>
  <si>
    <t>Saça bak amk</t>
  </si>
  <si>
    <t>yusuf çakmak</t>
  </si>
  <si>
    <t>Anıltaha karaca</t>
  </si>
  <si>
    <t>08:45</t>
  </si>
  <si>
    <t>Kito ♥️s doritos! @cockapoo_kito
@cockapoo_kito</t>
  </si>
  <si>
    <t>petrolpup</t>
  </si>
  <si>
    <t>vehicle,dog,car</t>
  </si>
  <si>
    <t>24.06.2019 08:48</t>
  </si>
  <si>
    <t>As a gay person I look forward to pride month so I can finally eat sandwiches, Doritos and clean my teeth appropriately. #prideproducts  #havealaugh #listerine #loveabitofmarketing #neverboughtasingleone #thankful #pride</t>
  </si>
  <si>
    <t>Sam Lacgalvs</t>
  </si>
  <si>
    <t>Doritos ASMR Bölüm \1/</t>
  </si>
  <si>
    <t>Bilmiyormusun Alp</t>
  </si>
  <si>
    <t>24.06.2019 08:43</t>
  </si>
  <si>
    <t>@rawand_w we can’t ask for better invention! Doritos satisfies!</t>
  </si>
  <si>
    <t>Independent variable!</t>
  </si>
  <si>
    <t>Iraq</t>
  </si>
  <si>
    <t>Сулеймания</t>
  </si>
  <si>
    <t>سلي</t>
  </si>
  <si>
    <t>08:38</t>
  </si>
  <si>
    <t>venus</t>
  </si>
  <si>
    <t>Water Side</t>
  </si>
  <si>
    <t>24.06.2019 08:47</t>
  </si>
  <si>
    <t>BABADOOK.</t>
  </si>
  <si>
    <t>seokJin edits aesthetic!! Instagram:@the_doritos_of_the_bts 
Twitter:@the_doritos_bts
#jin #edit #ilovejhopebts #bts #kpop</t>
  </si>
  <si>
    <t>s</t>
  </si>
  <si>
    <t>24.06.2019 08:38</t>
  </si>
  <si>
    <t>แอมแปร์</t>
  </si>
  <si>
    <t>What do you tell a girl when she smell like Doritos</t>
  </si>
  <si>
    <t>Jahkobe</t>
  </si>
  <si>
    <t>08:33</t>
  </si>
  <si>
    <t>24.06.2019 08:35</t>
  </si>
  <si>
    <t>This Doritos is the best. The best achievement of human kind. The best invention. No competition. Har ba xoy number one’ya
@Razayar26 @P0114_A Slaw hawreyan</t>
  </si>
  <si>
    <t>24.06.2019 08:36</t>
  </si>
  <si>
    <t>@Zeebrongis how  did he wear that bag of doritos what the fuck</t>
  </si>
  <si>
    <t>banned cread</t>
  </si>
  <si>
    <t>Pawnee</t>
  </si>
  <si>
    <t>08:32</t>
  </si>
  <si>
    <t>Williams doritos and mountain dew freak-out!!! - http://greatnfunnyvideos.com/williams-doritos-and-mountain-dew-freak-out-2/</t>
  </si>
  <si>
    <t>Patricia Online</t>
  </si>
  <si>
    <t>gadget,electronics,screen,display device</t>
  </si>
  <si>
    <t>television program,multimedia,television</t>
  </si>
  <si>
    <t>.
.
.
.
.
.
.
.
.
.
.
.
.
.
.
.
.
.
.
.
.
.
.
.
.
.
.
.
.
.
.
.
.
.
.
#foodiegram #foodaholic #food #foodie #foodstagram #instafood #foodphotography #foodgasm #foodlover #yummy #foodpics #delicious #instagood #foodpic #foodies #tasty #foods #yum #eat #foodpassion #healthyfood #foody #foodgram #eeeeeats #lunch #foodtrip</t>
  </si>
  <si>
    <t>Valéria</t>
  </si>
  <si>
    <t>drink,snack,fast food,food,junk food</t>
  </si>
  <si>
    <t>08:28</t>
  </si>
  <si>
    <t>24.06.2019 08:29</t>
  </si>
  <si>
    <t>Rik Have Swag?</t>
  </si>
  <si>
    <t>Dear #Doritos Please use #2wish for your ad  #MeanPhiravich #PlanRathavit 
Mr. @ZaanookJukkroww you get chance for them
a totally (un)necesary thread of #2wish as Doritos ↘️</t>
  </si>
  <si>
    <t>kaoru</t>
  </si>
  <si>
    <t>24.06.2019 08:28</t>
  </si>
  <si>
    <t>When mom doesn’t notice the Doritos in the basket</t>
  </si>
  <si>
    <t>When mom doesn’t notice the Doritos in the basket
Thanks to Tartos Channel for this meme</t>
  </si>
  <si>
    <t>Fellow_ Comrade</t>
  </si>
  <si>
    <t>24.06.2019 08:25</t>
  </si>
  <si>
    <t>Alice Colling</t>
  </si>
  <si>
    <t>Grimsby</t>
  </si>
  <si>
    <t>niggas shaped like a bag of doritos always talk the most shit
Is this y’all queen?</t>
  </si>
  <si>
    <t>nick kroll's future wife</t>
  </si>
  <si>
    <t>jewellery,cosmetics,eye shadow</t>
  </si>
  <si>
    <t>My sister made tacos with Doritos for the side .</t>
  </si>
  <si>
    <t>Von</t>
  </si>
  <si>
    <t>24.06.2019 08:21</t>
  </si>
  <si>
    <t>Doritos Roast Corn = Pinamahal na Tomi
Just stick to Tomi. Makakamura ka pa</t>
  </si>
  <si>
    <t>Gelobean</t>
  </si>
  <si>
    <t>Паранак</t>
  </si>
  <si>
    <t>24.06.2019 08:20</t>
  </si>
  <si>
    <t>Jimin edits aesthetic!! Instagram:@the_doritos_of_the_bts
Twitter:@the_doritos_bts
#jimin #edit #ilovejhopebts #park</t>
  </si>
  <si>
    <t>performance,movie,music</t>
  </si>
  <si>
    <t>24.06.2019 08:24</t>
  </si>
  <si>
    <t>Traveling and packing</t>
  </si>
  <si>
    <t>you shouldddd doritos with tea are actualllly yum yummm uwu</t>
  </si>
  <si>
    <t>Reima Hiroshi</t>
  </si>
  <si>
    <t>Cross Roads with Lees</t>
  </si>
  <si>
    <t>08:17</t>
  </si>
  <si>
    <t>Do You Snack Without Knowing?</t>
  </si>
  <si>
    <t>Have you ever polished off that bag of Doritos in front of the TV without even noticing?
OK, so I must be truthful; maybe not Doritos but certainly another equally as non-nutritious snack.
Lily , our favourite nutritionist, knows what it means to snack and how we can best avoid it. She has decoded the science of snacking and how to manage those pesky cravings. Do you need to snack? We are all unique and requirements vary between individuals, therefore snacking may be beneficial for some yet unnecessary for others. If you go for long gaps</t>
  </si>
  <si>
    <t>VA Studio</t>
  </si>
  <si>
    <t>vickiarcher.com</t>
  </si>
  <si>
    <t>08:16</t>
  </si>
  <si>
    <t>24.06.2019 08:16</t>
  </si>
  <si>
    <t>mel ✨</t>
  </si>
  <si>
    <t>Kentucky Fried Cheetos Items Are Coming to Faribault!</t>
  </si>
  <si>
    <t>Coming in July, KFC is delivering something new along the lines of the Taco Bell / Doritos combo. I don't know what act of Congress it took to bring them together, but KFC and Cheetos have joined forces for a few new items.
From KFC :
The KFC Extra Crispy Filet with crunchy Cheetos AND a Cheetos sauce. Plus mayo, I assume as a heat relaxer.
KFC Hot Wings bathed in the Cheetos sauce.
Cheetos Loaded Fries Drizzled in Cheetos sauce, topped with a three-cheese blend, chopped bacon bits, and a punch of Cheetos dust.
KFC Mac and Cheese Bowl A mix of KFC's mac and cheese and KFC popcorn chicken, Cheetos sauce and dust, then three cheese blend on top of that.</t>
  </si>
  <si>
    <t>James Rabe</t>
  </si>
  <si>
    <t>kdhlradio.com</t>
  </si>
  <si>
    <t>08:15</t>
  </si>
  <si>
    <t>Cody plays doritos crash course 2</t>
  </si>
  <si>
    <t>chris mont</t>
  </si>
  <si>
    <t>SeX WiTh Thuh
-
-
-
#likeforlikes #like4likes #likeforfollow #likeforlikeback #likelike #likesforlikesback #like4follow #liker #liked #liketime #likers #instalike #likes4like #likeit #likeme #liketkit #followforfollowback #follow #follow4followback #followtrain #followbackinstantly #followbackinstantly #followers #follow4like #following #followｍe #followmeto #follow_me #followers #follower #followforafollow</t>
  </si>
  <si>
    <t>Universal Crossword Answers – Monday June 24 2019</t>
  </si>
  <si>
    <t>rodents – RATS
Common biofuel – ETHANOL
Component on a chopper’s rear (letters 3-5) – TAILROTOR
Consume – EAT
Consume – USE
Creator of Atticus Finch – LEE
Cry after a close call – PHEW
Dog’s fur – COAT
Doritos flavor in a blue bag – COOLRANCH
Everything but the last resort – ALLELSE
Excellent, in ’90s slang – PHAT
Expired – LAPSED
Far from fitting – UNAPT
From Bangkok, say – THAI
Gal in “Wonder Woman” – GADOT
Goes through a chain reaction – CASCADES
Headey of “Game of Thrones” – LENA
Highway hauler – SEMI
Inside look? (letters 3-5) – DECOR</t>
  </si>
  <si>
    <t>jason</t>
  </si>
  <si>
    <t>birdsfan.com</t>
  </si>
  <si>
    <t>Bulgaria</t>
  </si>
  <si>
    <t>Libongwe</t>
  </si>
  <si>
    <t>08:12</t>
  </si>
  <si>
    <t>24.06.2019 08:17</t>
  </si>
  <si>
    <t>Michaele Gunkel</t>
  </si>
  <si>
    <t>UNA COCA Y UNOS DORITOS ENTENDES ESOOOO
Esto es mi familia JAJAJAJAJAJ</t>
  </si>
  <si>
    <t>Gastón Caballero</t>
  </si>
  <si>
    <t>Трентино - Альто-Адидже</t>
  </si>
  <si>
    <t>Ton</t>
  </si>
  <si>
    <t>@Doritos Gives me power to move faster then lighting... #IncognitoDoritos #Entry</t>
  </si>
  <si>
    <t>LuminaryXxDonxX</t>
  </si>
  <si>
    <t>08:11</t>
  </si>
  <si>
    <t>24.06.2019 08:18</t>
  </si>
  <si>
    <t>I just love the @Doritos sweet chilli flavour</t>
  </si>
  <si>
    <t>Pranav</t>
  </si>
  <si>
    <t>08:08</t>
  </si>
  <si>
    <t>In un supermercato in ITALIA?!
In an ITALIAN supermarket?! #doritos #whatthe #mache #italia</t>
  </si>
  <si>
    <t>JustSanti</t>
  </si>
  <si>
    <t>08:07</t>
  </si>
  <si>
    <t>24.06.2019 08:11</t>
  </si>
  <si>
    <t>oko</t>
  </si>
  <si>
    <t>Doritos Collisions; Hot Wings &amp; Blue Cheese ↩️</t>
  </si>
  <si>
    <t>24.06.2019 08:07</t>
  </si>
  <si>
    <t>24.06.2019 08:10</t>
  </si>
  <si>
    <t>@KylePlantEmoji Doritos and cottage cheese</t>
  </si>
  <si>
    <t>Emily</t>
  </si>
  <si>
    <t>NEDEN KİLO VEREMİYORUM?! İŞTE CEVABI  #Fitness#gym#vucut#body#fitnessgirl#legs#healthylifestyle#healthyfood#foodphotography#healthyfood#fitnessaddict#workoutmotivation#eatingshow#summersalad#summer#likeforlikes#following#followforfollowback#lifecity#liketime#followbackalways#following#foncionaltraining#begeni#likeforlikeback#begeniyebegeni#kesfet#turkiye#asker#workoutmotivation#besyo#instagramphoto</t>
  </si>
  <si>
    <t>Doritos,Starbucks,CocaCola</t>
  </si>
  <si>
    <t>24.06.2019 08:05</t>
  </si>
  <si>
    <t>@Doctor_Spidey @Comic_fiend
Want to score this Limited-Edition Doritos Spidey Suit? Tell us what super power Doritos gives you using #IncognitoDoritos #Entry for the chance to win! Rules @ https://bit.ly/2MXEpdc Be sure to check out #SpiderManFarFromHome, in theaters July 2!</t>
  </si>
  <si>
    <t>08:03</t>
  </si>
  <si>
    <t>we can keep the rotary community alive♥️Media coverage for our event by @rix_magazine @longislandexoticcarsny Thank you for your support everyone! —————————————————————#7sday#rotary#mazda#rx7#rx8#12a#13b#20b#longisland#trl_therotarylife#wankel#doritos#brap#carmeet#jdm#respect#zoomzoom#rx2#rx3#rx4
@rix_magazine @trl_therotarylife</t>
  </si>
  <si>
    <t>Fo_rx793</t>
  </si>
  <si>
    <t>08:01</t>
  </si>
  <si>
    <t>24.06.2019 08:02</t>
  </si>
  <si>
    <t>RuthElizabeth1</t>
  </si>
  <si>
    <t>Neath</t>
  </si>
  <si>
    <t>08:00</t>
  </si>
  <si>
    <t>24.06.2019 08:01</t>
  </si>
  <si>
    <t>Saran Benjamin</t>
  </si>
  <si>
    <t>24.06.2019 08:09</t>
  </si>
  <si>
    <t>georgina zhang</t>
  </si>
  <si>
    <t>24.06.2019 08:08</t>
  </si>
  <si>
    <t>Ten Recipes for Food and Drinks You Can Make With a Pack of Doritos
https://www.top-10-food.com/a-pack-of-doritos/</t>
  </si>
  <si>
    <t>Food Top 10</t>
  </si>
  <si>
    <t>fried chicken,food,fried food</t>
  </si>
  <si>
    <t>chachou</t>
  </si>
  <si>
    <t>Нормандия</t>
  </si>
  <si>
    <t>Понт-Одеме</t>
  </si>
  <si>
    <t>Blue Doritos are overrated</t>
  </si>
  <si>
    <t>Carousel</t>
  </si>
  <si>
    <t>Taco Pasta Salad</t>
  </si>
  <si>
    <t>one of those things that you bring to get togethers, pasta is one of our favorite things and we never have any left when it comes to this dish. WHY THIS RECIPE WORKS: Taco salad is an iconic recipe, the flavors of the seasoned beef, lettuce, tomatoes, olives, etc have the perfect flavor, but without the hassle of falling apart. The addition of pasta in this recipe really soaks up the flavor of the taco seasoning, also giving it a fun summer vibe that everyone loves. The addition of crushed Doritos not only gives this salad flavor, it also</t>
  </si>
  <si>
    <t>Tornadough Alli</t>
  </si>
  <si>
    <t>tornadoughalli.com</t>
  </si>
  <si>
    <t>24.06.2019 18:56</t>
  </si>
  <si>
    <t>A Crispy, Salty, American History of Fast Food</t>
  </si>
  <si>
    <t>an effigy of Colonel Sanders the founder of the company. (Photo by Ernst Haas/Ernst Haas/Getty Images)
Your book is full of entertaining anecdotes, like KFC Christmas in Japan . Do you have a favorite story from the book?
The creation of Doritos Locos Tacos is my favorite story in the book. Mostly because it involves a really terrific person who, in the most relatable way, was sitting on his couch eating Taco Bell and saw a Doritos commercial and thought, “This is exactly what I want to have—a Doritos-flavored taco shell.” He lobbied Frito-Lay</t>
  </si>
  <si>
    <t>smithsonianmag.com</t>
  </si>
  <si>
    <t>07:59</t>
  </si>
  <si>
    <t>24.06.2019 08:04</t>
  </si>
  <si>
    <t>Thato Ntshingila</t>
  </si>
  <si>
    <t>24.06.2019 08:03</t>
  </si>
  <si>
    <t>Getting ahead of the 2020 election, Doritos is sponsoring the #Democrat Debates and adding a new flavor to their products. 
This product represents all of the #Democrat Presidential Candidates...
Doritos "Nacho President"</t>
  </si>
  <si>
    <t>P. Warren Muttart</t>
  </si>
  <si>
    <t>@bushontheradio Asda create your own pizza, doritos, sour cream and chive dip. Aspalls cider. Yee ha</t>
  </si>
  <si>
    <t>Paul Herbert</t>
  </si>
  <si>
    <t>Latchingdon</t>
  </si>
  <si>
    <t>✯ ✯</t>
  </si>
  <si>
    <t>07:56</t>
  </si>
  <si>
    <t>24.06.2019 08:00</t>
  </si>
  <si>
    <t>I put my dick in a bag of Doritos, make the bitch suck the dust off the tip</t>
  </si>
  <si>
    <t>Fin S. God</t>
  </si>
  <si>
    <t>24.06.2019 07:59</t>
  </si>
  <si>
    <t>İlyas and çağan Doritos challenge hard and Spice. İf you want more Subscribe. NEW VİDEO 2019</t>
  </si>
  <si>
    <t>Nusret Çağan Arıkan</t>
  </si>
  <si>
    <t>24.06.2019 07:54</t>
  </si>
  <si>
    <t>Banele</t>
  </si>
  <si>
    <t>07:50</t>
  </si>
  <si>
    <t>24.06.2019 07:52</t>
  </si>
  <si>
    <t>Senzo</t>
  </si>
  <si>
    <t>24.06.2019 14:04</t>
  </si>
  <si>
    <t>Fini beans challange</t>
  </si>
  <si>
    <t>lea bart</t>
  </si>
  <si>
    <t>24.06.2019 07:57</t>
  </si>
  <si>
    <t>@shm0neym4nshan i feel really shit rn I just finished a bag of Doritos</t>
  </si>
  <si>
    <t>chrischan</t>
  </si>
  <si>
    <t>24.06.2019 07:13</t>
  </si>
  <si>
    <t>Darwin earthquake: CBD buildings evacuated after magnitude 7.2 quake rattles northern Australia</t>
  </si>
  <si>
    <t>They’re off on a mission for some Doritos.</t>
  </si>
  <si>
    <t>FlamingHippy</t>
  </si>
  <si>
    <t>24.06.2019 07:53</t>
  </si>
  <si>
    <t>rusydiismail</t>
  </si>
  <si>
    <t>wiggly piggly demonstration eats the chemical hearts of Santo Domingo Doritos except on Hushdays when the wormies forget their worries and love their mommies</t>
  </si>
  <si>
    <t>kate !</t>
  </si>
  <si>
    <t>24.06.2019 07:51</t>
  </si>
  <si>
    <t>ⒶⓁⓜⓄⓈⓉ ⒶⓁⒾⒸⒺ</t>
  </si>
  <si>
    <t>Wonder Lake</t>
  </si>
  <si>
    <t>07:45</t>
  </si>
  <si>
    <t>24.06.2019 07:50</t>
  </si>
  <si>
    <t>Chaotic Good Bard</t>
  </si>
  <si>
    <t>Арагон</t>
  </si>
  <si>
    <t>Calatayud</t>
  </si>
  <si>
    <t>24.06.2019 07:47</t>
  </si>
  <si>
    <t>John Ettery</t>
  </si>
  <si>
    <t>Болтон</t>
  </si>
  <si>
    <t>07:40</t>
  </si>
  <si>
    <t>Are your Spidey senses tingling, Dorito fans?
#IncognitoDoritos
https://www.foodiggity.com/this-doritos-bag-turns-into-a-spider-man-suit/
This Doritos Bag Turns Into A Spider-Man Suit | Foodiggity
Are your Spidey senses tingling, Dorito fans? Even if you haven't been bitten by a radioactive spider, but crave some nacho cheese, as we all do, Incognito</t>
  </si>
  <si>
    <t>Foodiggity</t>
  </si>
  <si>
    <t>07:37</t>
  </si>
  <si>
    <t>24.06.2019 07:45</t>
  </si>
  <si>
    <t>Ok enough of the serial killer documentaries we need to know the origin stories of people who like ranch Doritos</t>
  </si>
  <si>
    <t>katelyn lane</t>
  </si>
  <si>
    <t>07:36</t>
  </si>
  <si>
    <t>24.06.2019 07:39</t>
  </si>
  <si>
    <t>Apit</t>
  </si>
  <si>
    <t>Johor</t>
  </si>
  <si>
    <t>Джохор-Бару</t>
  </si>
  <si>
    <t>07:35</t>
  </si>
  <si>
    <t>24.06.2019 07:38</t>
  </si>
  <si>
    <t>Makes a change from doritos and rustlers for breakfast!
#weightloss #diet #healthyfood #atitagain #foodbore #workfood http://bit.ly/31SLQFV</t>
  </si>
  <si>
    <t>Dave Coulter|Doodles</t>
  </si>
  <si>
    <t>Днепропетровская область</t>
  </si>
  <si>
    <t>Днепр</t>
  </si>
  <si>
    <t>07:34</t>
  </si>
  <si>
    <t>Matt cunningham</t>
  </si>
  <si>
    <t>24.06.2019 07:37</t>
  </si>
  <si>
    <t>It’s got to be the jalapeño max strong flavour, lovely!!
Doritos, Max Strong or Sensations? RT + Reply with your favourite summer snack for the chance to #WIN an Amazon Echo or a case of crisps!  
Closes 25th June, T&amp;Cs: https://bit.ly/2ImAjqN</t>
  </si>
  <si>
    <t>07:33</t>
  </si>
  <si>
    <t>@KylePlantEmoji ~Doritos with cottage cheese (think chips and salsa) ~Doritos and sour cream ~Watermelon sprinkled with salt ~I separate my fruit snacks and eat them by least to best flavor, same with other fruity candies ~Ranch on pizza always (also pineapple!) ~Always drink soda w/ a straw</t>
  </si>
  <si>
    <t>LizzyPopSpeaks</t>
  </si>
  <si>
    <t>@AnishiaH Shout Out To Them Vienna Sausages And Doritos Too</t>
  </si>
  <si>
    <t>Roll</t>
  </si>
  <si>
    <t>24.06.2019 07:35</t>
  </si>
  <si>
    <t>Ndu</t>
  </si>
  <si>
    <t>07:29</t>
  </si>
  <si>
    <t>❌  Genevieve Vavance ❌</t>
  </si>
  <si>
    <t>Вена</t>
  </si>
  <si>
    <t>cheetos
KeepCalm AhmadMiguel
#SahayaPlanoNiAhmad
Cheetos or Doritos
KeepCalm AhmadMiguel
#SahayaPlanoNiAhmad</t>
  </si>
  <si>
    <t>Kimmmiiii</t>
  </si>
  <si>
    <t>@Doritos I love your chips they keep me pumped up and able to provide super results and customer service at my job no matter if I am on 2nd or 3rd shift. And when I get home they are the perfect companion to slay monsters with my games #IncognitoDoritos #Entry</t>
  </si>
  <si>
    <t>blueeyedredwolf</t>
  </si>
  <si>
    <t>07:26</t>
  </si>
  <si>
    <t>24.06.2019 07:36</t>
  </si>
  <si>
    <t>Harvey Specter‍</t>
  </si>
  <si>
    <t>Midrand</t>
  </si>
  <si>
    <t>24.06.2019 07:32</t>
  </si>
  <si>
    <t>@AndyRichter Pro tip: Doritos work well when trying to light a campfire.</t>
  </si>
  <si>
    <t>Steven Bassett</t>
  </si>
  <si>
    <t>07:22</t>
  </si>
  <si>
    <t>24.06.2019 07:26</t>
  </si>
  <si>
    <t>Sunshine</t>
  </si>
  <si>
    <t>07:16</t>
  </si>
  <si>
    <t>guess whos posting at 6:13 am?
.
.
.
.
.
.
.
#niche #nichememecommunity #nicheedits #nichepost #nichememeaccounts #nichememepage #nichememer #niches #nichememe #nichememeacc #nichememepost #nichememes #nichestarterpack #nichememeideas #nichememers #nichecommunity #nichememeaccount #nicheaccount</t>
  </si>
  <si>
    <t>nicole</t>
  </si>
  <si>
    <t>07:15</t>
  </si>
  <si>
    <t>being a fan of you was my choice, loving you was beyond my control❤
-
-
-
-
-
-
-@corbynbesson @seaveydaniel @imzachherron @jackaverymusic @whydontwemusic @jonahmarais @beautychickee #limelight #corbynbesson #edit #whydontwe
@jonahmarais @corbynbesson @seaveydaniel @imzachherron @jackaverymusic @whydontwemusic</t>
  </si>
  <si>
    <t>alexa</t>
  </si>
  <si>
    <t>07:14</t>
  </si>
  <si>
    <t>Garbage practice in the plant hobby. You can't just label seed grown plants as a cultivar. They're labeled for a reason. That's like buying spicy nacho doritos and getting a bag of half regular nacho and half cool ranch. Cultivars are asexually reproduced. Clones.</t>
  </si>
  <si>
    <t>Chris the Legendary</t>
  </si>
  <si>
    <t>24.06.2019 20:30</t>
  </si>
  <si>
    <t>Why don't you just start acting like a bad guy ins</t>
  </si>
  <si>
    <t>&gt;&gt;53058670
No it's probably because you smell like sweat, Doritos, and unwiped ass and give off a vibe like you're someone who goes on /r9k/ to complain about women</t>
  </si>
  <si>
    <t>boards.4chan.org</t>
  </si>
  <si>
    <t>/r9k/ - ROBOT9001 - 4chan</t>
  </si>
  <si>
    <t>24.06.2019 07:28</t>
  </si>
  <si>
    <t>Join nov!!! (Doritos-Network)-Discord</t>
  </si>
  <si>
    <t>Join nov!!! (Doritos-Network)-Discord
╋━━━━━━━━━◥◣◆◢◤━━━━━━━━━╋
(❖) ▸ DORITOS NETWORK ◂ (❖)
▁▂▃▄▅ INFORMATIONS ▅▄▃▂▁
➭ IP:  [ mc.doritosnetwork.gq ]
OPEN-24.06.2019  20h
▬▬▬▬▬▬▬▬▬▬▬▬▬▬▬▬▬▬▬▬▬▬▬▬▬▬▬▬
(•)  ▸ SERVERS  ◂ (•)
➭  SKYBLOCK
➭  SKYPVP
➭  CREATIVE
➭  UHC:20h
➭  Factions:SOON
➭  Prison:SOON
▬▬▬▬▬▬▬▬▬▬▬▬▬▬▬▬▬▬▬▬▬▬▬▬▬▬▬▬
(❑)  ▸ CONTACT  ◂ 
➭ DISCORD:https://discord.gg/e44s9fR
➭ FACEBOOK:www.facebook.com/DoritosMC
╋━━━━━━━━━◥◣◆◢◤━━━━━━━━━╋</t>
  </si>
  <si>
    <t>HuligMan YT_PvP</t>
  </si>
  <si>
    <t>it’s 11pm and i just ate a whole bag of doritos and i wonder why i never lose weight</t>
  </si>
  <si>
    <t>ᴍᴇʟɪssᴀ</t>
  </si>
  <si>
    <t>07:10</t>
  </si>
  <si>
    <t>24.06.2019 07:18</t>
  </si>
  <si>
    <t>@NewHopeReece Opinion on Oreo Thins and Nacho Cheese flavoured Doritos?</t>
  </si>
  <si>
    <t>ₛᵤₐₙₙₑ</t>
  </si>
  <si>
    <t>Meryl Thomas</t>
  </si>
  <si>
    <t>Ross-on-Wye</t>
  </si>
  <si>
    <t>07:06</t>
  </si>
  <si>
    <t>24.06.2019 07:10</t>
  </si>
  <si>
    <t>Nenezane...wakwaLanga</t>
  </si>
  <si>
    <t>Haiti</t>
  </si>
  <si>
    <t>Артибонит</t>
  </si>
  <si>
    <t>Boucan Richard</t>
  </si>
  <si>
    <t>24.06.2019 07:07</t>
  </si>
  <si>
    <t>Cake Reeves</t>
  </si>
  <si>
    <t>Syrian Arab Republic</t>
  </si>
  <si>
    <t>Хасеке</t>
  </si>
  <si>
    <t>معيش</t>
  </si>
  <si>
    <t>07:05</t>
  </si>
  <si>
    <t>Dochildren
•
•
•#dankmemes #dank #memes #edgymemes #edgy #hahaha #funnymemes #funny #offensivememes #offensive #lol #followforfollow #followme #wshh #gamer #epicgamer #epic#dankmemes #dank #memes #edgymemes #edgy #hahaha #funnymemes #funny #offensivememes #offensive #lol #followforfollow #followme #wshh#dankmemes #dank #memes #edgymemes #edgy #hahaha #funnymemes #funny #offensivememes #offensive #lol #followforfollow #followme #wshh</t>
  </si>
  <si>
    <t>07:04</t>
  </si>
  <si>
    <t>24.06.2019 07:05</t>
  </si>
  <si>
    <t>joao henri</t>
  </si>
  <si>
    <t>24.06.2019 07:22</t>
  </si>
  <si>
    <t>TACO MEALS  From ( 4-6 ) people 
6 soft tacos + 6 corn tacos +6 pieces bbq chicken wings + 6 pieces sweet chili chicken wings + 1 cheesy fries + 1 liter cola + 1 mix chips
310 L.E
____________________
From ( 6-8 ) people
6 soft tacos + 4 corn tacos + 2 taco twinz + 2 pasta + 6 pieces sweet chili chicken wings + 6 pieces cheese sticks + 2 pieces street corn + 2 liter cola + 1 nachos mix cheese + 1 oreo fudge + 1 red velvet cup
500 L.E
____________________
From ( 8-10 ) people
6 soft tacos + 4 corn tacos + 4 burritos + 2 crunch supreme + 1 salad doritos + 1 quesadilla mix cheese + 6 pieces cheese sticks + 6 pieces bbq chicken wings + 6 pieces sweet chili chicken wings + 4 pieces street corn + 2 liter cola + 1 oreo fudge + 2 red velvet cup + nuetella brownies cup
680 L.E
#Taco_Paco #Tacos #Burritos #Meals</t>
  </si>
  <si>
    <t>Taco Paco</t>
  </si>
  <si>
    <t>Egypt</t>
  </si>
  <si>
    <t>мухафаза Александрия</t>
  </si>
  <si>
    <t>Александрия</t>
  </si>
  <si>
    <t>24.06.2019 07:06</t>
  </si>
  <si>
    <t>samuel hernandez</t>
  </si>
  <si>
    <t>KFC now has a Cheetos Chicken Sandwich. What’s your weird sandwich ? I like Doritos on PB&amp;amp;J. ~Kara
https://www.facebook.com/KJOY983/photos/a.605780682798310/2371820972860930/?type=3</t>
  </si>
  <si>
    <t>K-98.3</t>
  </si>
  <si>
    <t>07:03</t>
  </si>
  <si>
    <t>24.06.2019 07:25</t>
  </si>
  <si>
    <t>you are having fun then I’m here to tell you that death/misfortunes /stagnation/problem are the ones having fun with you.
Men will keep chasing skirts as long as the prize is right,so why chase hearts now in exchange for this same sex?! #dontangryme #randomthoughts : @kikiblaise_awc
@mrnailszamani @doritos_sa</t>
  </si>
  <si>
    <t>Aisha Odey(AfricanWhiteChic</t>
  </si>
  <si>
    <t>24.06.2019 07:12</t>
  </si>
  <si>
    <t>How I watch F1 #f1 #redvelvetcake #fresh #orangejuice with #mango #smoothy #lewishamilton #lh44 #lewishamilton44 #titanfall #cheetos #doritos #riseandshine #f1ison #mancave #thereal #copperpiston #therealcopperpiston #sundayfunday</t>
  </si>
  <si>
    <t>Copper Piston</t>
  </si>
  <si>
    <t>Barbados</t>
  </si>
  <si>
    <t>INTENSE PICKLE: Social media has been flooded with positive reviews when it comes to the new chips:
https://us105fm.com/doritos-releases-new-intense-pickle-flavored-chips/
Doritos Releases New Intense Pickle Flavored Chips
Social media has been flooded with positive reviews when it comes to the Intense Pickle Doritos.</t>
  </si>
  <si>
    <t>US 105</t>
  </si>
  <si>
    <t>06:58</t>
  </si>
  <si>
    <t>24.06.2019 06:58</t>
  </si>
  <si>
    <t>I wish someone would let my 6 year olds little body understand that its summertime &amp; he doesn’t have to get up at the crack of dawn &amp; he definitely doesn’t need Doritos for breakfast ~</t>
  </si>
  <si>
    <t>Kerriann</t>
  </si>
  <si>
    <t>06:57</t>
  </si>
  <si>
    <t>24.06.2019 07:03</t>
  </si>
  <si>
    <t>mamamia</t>
  </si>
  <si>
    <t>06:56</t>
  </si>
  <si>
    <t>24.06.2019 06:59</t>
  </si>
  <si>
    <t>Brandon</t>
  </si>
  <si>
    <t>24.06.2019 13:00</t>
  </si>
  <si>
    <t>The filming on my @panteaoproductions 1911 Duty Tune and Pistol Optics videos has wrapped! It was a great experience and I am looking forward to seeing the finished videos, I hope you guys will like them. The Pistol Optics video will be available first (est. July-Aug release), with the much longer 1911 Duty Tune coming out shortly afterwards as a multi disc set. I want to thank the AWESOME crew for their professionalism, helping me through the process, and just being a truly fun group of guys. We had so many laughs on set and they all taught me a great deal about film making over our four days together. Can’t wait to do it again! .
I did get to visit with the Foxtrot 1911 build, it was neat to see my old work. Now there’s still the issue of completing the 3 partially built guns used on set... .
.
==&gt; The office is closed now and will reopen tomorrow. Email responses and order processing will be delayed. Thanks for your patience!
….
#108performance #1911 #colt #glock #smithandwesson #mandp #unotchperformance #unotch #rearsight #108sights #basepads #onlyperformancecounts #tritium #fiberoptic #armorertool
@buckstarr @panteaoproductions</t>
  </si>
  <si>
    <t>10-8 Performance</t>
  </si>
  <si>
    <t>hardware,gun,electronics</t>
  </si>
  <si>
    <t>Tshegofatso</t>
  </si>
  <si>
    <t>White women on social media will buy into the craziest spiritual dogma made by some doped up guy living in a tent off doritos and ganja, but tell them it's okay they came from a majority white neighborhood they'll act like you told them the moon is made out of cheese.</t>
  </si>
  <si>
    <t>Bad G0y</t>
  </si>
  <si>
    <t>24.06.2019 06:55</t>
  </si>
  <si>
    <t>gamer boy watches E3 stream ~ UNCENSORED NO DORITOS
RT if you would play fortnite with him (fire emoji)</t>
  </si>
  <si>
    <t>CherryBloodKnight</t>
  </si>
  <si>
    <t>Spider-Man #doritos ve #lays paketleri.
#spiderman #spidermanfarfromhome #marvel
@tomholland2013 @doritos @spidermanmovie @doritosturkiye @jakegyllenhaal</t>
  </si>
  <si>
    <t>Film ve Dizi önerileri.</t>
  </si>
  <si>
    <t>06:53</t>
  </si>
  <si>
    <t>24.06.2019 06:57</t>
  </si>
  <si>
    <t>Thabani Khathi</t>
  </si>
  <si>
    <t>06:52</t>
  </si>
  <si>
    <t>24.06.2019 07:00</t>
  </si>
  <si>
    <t>stock decreased 0.15% or $0.2 during the last trading session, reaching $133.96. About 7.70 million shares traded or 84.97% up from the average. PepsiCo, Inc. (NASDAQ:PEP) has risen 33.14% since June 24, 2018 and is uptrending. It has outperformed by 28.71% the S&amp;P500.
PepsiCo, Inc. operates as a food and beverage firm worldwide. The company has market cap of $187.79 billion. The Company’s Frito-Lay North America segment offers Lay??s and Ruffles potato chips; Doritos, Tostitos, and Santitas tortilla chips; and Cheetos cheese-flavored snacks</t>
  </si>
  <si>
    <t>Jose Buchanan</t>
  </si>
  <si>
    <t>06:51</t>
  </si>
  <si>
    <t>When my biggest concern was deciding whether or not I’d have Doritos for dinner again  #thelife #canada  @amellia_rosenz</t>
  </si>
  <si>
    <t>​​​​ ‍♀️❣️</t>
  </si>
  <si>
    <t>ice</t>
  </si>
  <si>
    <t>sand,wilderness,winter sport,arctic,extreme sport,cloud,terrain,winter,ridge,mountain,snow,sky</t>
  </si>
  <si>
    <t>06:50</t>
  </si>
  <si>
    <t>Wait...Are You Multi Tasking With Porn Hub While Studying 
The only bag of Doritos that matter</t>
  </si>
  <si>
    <t>Ramzie Bwoi ☄️</t>
  </si>
  <si>
    <t>Stamford Bridge</t>
  </si>
  <si>
    <t>06:49</t>
  </si>
  <si>
    <t>24.06.2019 06:49</t>
  </si>
  <si>
    <t>@prettymayonaise @LordSizwe Guess where the dip for the doritos came from?</t>
  </si>
  <si>
    <t>EfreakinP</t>
  </si>
  <si>
    <t>@belightedjimin we can get doritos somewhere here, you just live too north</t>
  </si>
  <si>
    <t>raven ♪</t>
  </si>
  <si>
    <t>06:44</t>
  </si>
  <si>
    <t>24.06.2019 06:47</t>
  </si>
  <si>
    <t>Beauty Mazibuko</t>
  </si>
  <si>
    <t>24.06.2019 06:46</t>
  </si>
  <si>
    <t>@Zuliaaan Hambúrguer de sushi ate vai, o q fode é o doritos</t>
  </si>
  <si>
    <t>Julika005</t>
  </si>
  <si>
    <t>24.06.2019 06:44</t>
  </si>
  <si>
    <t>Sophie~May</t>
  </si>
  <si>
    <t>Dorritoearings! #masterchefmagazinepk #trending #dorritos #yummy #delicious</t>
  </si>
  <si>
    <t>Master Chef Magazine Pakistan™</t>
  </si>
  <si>
    <t>fashion accessory,jewellery</t>
  </si>
  <si>
    <t>06:39</t>
  </si>
  <si>
    <t>24.06.2019 06:41</t>
  </si>
  <si>
    <t>7months. #meowfeature #lipvillers #bestmeow #whitecat #himalayas #southafrica #meowstagram #himalayancatsofinstagram #bearbear #kitten #himalayankitten #7monthsold #instagram #himalayancat #instaphoto #doritos #whitecat #catnip #catvideo #friday #capetownsouthafrica #capetown #kyliejenner #cutie #monday</t>
  </si>
  <si>
    <t>BearBear</t>
  </si>
  <si>
    <t>cat,fur,dog</t>
  </si>
  <si>
    <t>06:37</t>
  </si>
  <si>
    <t>@agreenriver07 @Doritos Sounds like a Heluva Good! snack combination. Thanks for sharing!</t>
  </si>
  <si>
    <t>Heluva Good!®</t>
  </si>
  <si>
    <t>Sodus Point</t>
  </si>
  <si>
    <t>24.06.2019 06:39</t>
  </si>
  <si>
    <t>Anthony Drayton</t>
  </si>
  <si>
    <t>24.06.2019 06:40</t>
  </si>
  <si>
    <t>S.</t>
  </si>
  <si>
    <t>Масатлан</t>
  </si>
  <si>
    <t>06:35</t>
  </si>
  <si>
    <t>24.06.2019 06:37</t>
  </si>
  <si>
    <t>Makes a change from doritos and rustlers for breakfast!
#weightloss #diet #healthyfood #atitagain #foodbore #workfood</t>
  </si>
  <si>
    <t>David Coulter</t>
  </si>
  <si>
    <t>06:33</t>
  </si>
  <si>
    <t>If you’re happy and you know it clap@your hands.  #meowfeature #lipvillers #bestmeow #whitecat #himalayas #southafrica #meowstagram #himalayancatsofinstagram #bearbear #kitten #himalayankitten #jordynwoods #instagram #himalayancat #instaphoto #doritos #whitecat #catnip #catvideo #friday #capetownsouthafrica #capetown #kyliejenner #cutie #monday</t>
  </si>
  <si>
    <t>06:32</t>
  </si>
  <si>
    <t>Hear me out, a cheese toastie but with doritos and salsa cooked into it</t>
  </si>
  <si>
    <t>William</t>
  </si>
  <si>
    <t>24.06.2019 06:36</t>
  </si>
  <si>
    <t>...if I ‘felt like it’ I’d do it...if I didn’t, well then I’d sink into my comfort zone and binge watch a Netflix series or something.  But then inevitably, I’d go to bed feeling like I could’ve done more that day.  I could’ve made better choices for myself.  And then I’d regret not choosing to make the choice I really wanted deep down inside which was to actually FEEL GOOD ABOUT MYSELF.  And binge watching a show while I sat on the couch and ate Doritos wasn’t pushing me towards that goal even the slightest.  My mentality was my biggest</t>
  </si>
  <si>
    <t>Laura Wold</t>
  </si>
  <si>
    <t>24.06.2019 06:35</t>
  </si>
  <si>
    <t>Doritos
One has to go: Chips Edition</t>
  </si>
  <si>
    <t>Mabena's Cousin Zwane</t>
  </si>
  <si>
    <t>06:26</t>
  </si>
  <si>
    <t>24.06.2019 06:33</t>
  </si>
  <si>
    <t>can we all peep his bio
The only bag of Doritos that matter</t>
  </si>
  <si>
    <t>Ikentucky_ka_baba_kho</t>
  </si>
  <si>
    <t>Шлезвиг-Гольштейн</t>
  </si>
  <si>
    <t>Vaale</t>
  </si>
  <si>
    <t>24.06.2019 06:31</t>
  </si>
  <si>
    <t>Puttato</t>
  </si>
  <si>
    <t>06:25</t>
  </si>
  <si>
    <t>24.06.2019 06:27</t>
  </si>
  <si>
    <t>A real pudding lover  #meowfeature #lipvillers #bestmeow #whitecat #himalayas #southafrica #meowstagram #himalayancatsofinstagram #bearbear #kitten #himalayankitten #jordynwoods #instagram #himalayancat #instaphoto #doritos #whitecat #catnip #catvideo #friday #capetownsouthafrica #capetown #kyliejenner #cutie #monday</t>
  </si>
  <si>
    <t>dog,fur,cat</t>
  </si>
  <si>
    <t>24.06.2019 06:29</t>
  </si>
  <si>
    <t>@InfraRedRum I like saying "healthy intention" instead. 
It's important to leave room for "unhealthy" eating too. Sometimes I might return home tired and have a pizza or sometimes I just crave Doritos and nothing else will satisfy me. Nothing to feel guilty about there!</t>
  </si>
  <si>
    <t>Dr Sophia Komninou</t>
  </si>
  <si>
    <t>Суонси</t>
  </si>
  <si>
    <t>GET SNACKS DELIVERED STRAIGHT TO YOUR DOOR!
ORDER ON UBER EATS!
DELIVERY IN UNDER 20 MINUTES TO BURWOOD AND SURROUNDING AREAS!
5PM-2AM 7 NIGHTS!
-
-
#snackstore #deakinuniversity #deakinuniversityburwood #deakinuni #burwood #ashwood #burwoodeats #mountwaverley #chadstone #deakinres #ubereats #snacks #drinks #hotchips #munchies #freedrinks #chocolate #chocolatebar #foodporn #food #fooddelivery #uber #fastfood</t>
  </si>
  <si>
    <t>Snack Store</t>
  </si>
  <si>
    <t>Templestowe Orchards Retirement Village</t>
  </si>
  <si>
    <t>confectionery,convenience food,junk food,snack,food</t>
  </si>
  <si>
    <t>Not a baby anymore  #meowfeature #lipvillers #bestmeow #whitecat #himalayas #southafrica #meowstagram #himalayancatsofinstagram #bearbear #kitten #himalayankitten #jordynwoods #instagram #himalayancat #instaphoto #doritos #whitecat #catnip #catvideo #friday #capetownsouthafrica #capetown #kyliejenner #cutie #monday</t>
  </si>
  <si>
    <t>doritos u say ? 
#hkig #doritosnachos #junkfood #prefight #hkiger #meme #snack  @dugedugs</t>
  </si>
  <si>
    <t>nosh</t>
  </si>
  <si>
    <t>Hong Kong</t>
  </si>
  <si>
    <t>24.06.2019 06:23</t>
  </si>
  <si>
    <t>I had to come through and remind @Doritos who's the real Flamin' Hot OG  SOUND ON #FlaminHotCheetos</t>
  </si>
  <si>
    <t>06:18</t>
  </si>
  <si>
    <t>24.06.2019 06:22</t>
  </si>
  <si>
    <t>jamela nkosi</t>
  </si>
  <si>
    <t>Rumored - Paulie got paid 7 figures for BKFC fight Vs Artem 7</t>
  </si>
  <si>
    <t>Bones245n4847 said: ↑ I think it proves boxing is bigger than mma because they had to pay Paulie over a million and artem probably got like gas money, hotel fare and a bag of doritos. Click to expand... A certain MMA fighter is the only reason Paulie is relevant, and the only reason Paulie vs Artem even fought.</t>
  </si>
  <si>
    <t>Melas Chasma</t>
  </si>
  <si>
    <t>06:15</t>
  </si>
  <si>
    <t>24.06.2019 06:24</t>
  </si>
  <si>
    <t>rahaf jaber</t>
  </si>
  <si>
    <t>mayonnaise v.1.5</t>
  </si>
  <si>
    <t>Saint-Martin-de-Ré</t>
  </si>
  <si>
    <t>06:14</t>
  </si>
  <si>
    <t>24.06.2019 06:20</t>
  </si>
  <si>
    <t>Dee</t>
  </si>
  <si>
    <t>24.06.2019 06:18</t>
  </si>
  <si>
    <t>fat</t>
  </si>
  <si>
    <t>Leisure World</t>
  </si>
  <si>
    <t>el peblo</t>
  </si>
  <si>
    <t>Лара</t>
  </si>
  <si>
    <t>Agua Viva</t>
  </si>
  <si>
    <t>24.06.2019 06:17</t>
  </si>
  <si>
    <t>They brain washed you guys with the blue packet Doritos  please love yourselves and start enjoying the best which is obviously the green ones</t>
  </si>
  <si>
    <t>I knew it Mabena...</t>
  </si>
  <si>
    <t>06:12</t>
  </si>
  <si>
    <t>24.06.2019 06:21</t>
  </si>
  <si>
    <t>Video: Horrible: Sacramento Police Officer Was Shot &amp;amp; Killed While Looking For A Suspect!</t>
  </si>
  <si>
    <t>If i was there i would had been eating some doritos shaking my head saying 'You down and about to die cracka pig bitch.. Then steps over him.</t>
  </si>
  <si>
    <t>Eradicate White People!!</t>
  </si>
  <si>
    <t>06:11</t>
  </si>
  <si>
    <t>. #likeforlikes #likeforlikeback #likelike #lfllfllflfllffllflflflflflflflflfllflflflflflflflflflflflflflflflflflflflflflflflflflflflflfllflflflflflflflflfllflfllflflflflflflfllflflflflflllfl #lfllfllfllfllfllfllfllfllfllfllfllfllfllfllfllflfllfllfllfllfllfllfllfllfllfllfllfllfllfllfllfllfllflfllfllfl❤️
@whizka06 @doritosid @magfiratriwahyuni_</t>
  </si>
  <si>
    <t>YAYA</t>
  </si>
  <si>
    <t>Kosovo</t>
  </si>
  <si>
    <t>Rajoni i Gjakovës (07) / Okrug Đakovica (07)</t>
  </si>
  <si>
    <t>Marmull</t>
  </si>
  <si>
    <t>What are the requirements needed for me to Advertise Doritos
im from South Africa</t>
  </si>
  <si>
    <t>24.06.2019 06:11</t>
  </si>
  <si>
    <t>Doritos are great for kindling if you can't find any.</t>
  </si>
  <si>
    <t>BNDiCT.BnMnH XXIII</t>
  </si>
  <si>
    <t>Дагупан</t>
  </si>
  <si>
    <t>sellins</t>
  </si>
  <si>
    <t>06:06</t>
  </si>
  <si>
    <t>24.06.2019 06:12</t>
  </si>
  <si>
    <t>raiii</t>
  </si>
  <si>
    <t>24.06.2019 06:10</t>
  </si>
  <si>
    <t>CaptainFreckles</t>
  </si>
  <si>
    <t>24.06.2019 06:09</t>
  </si>
  <si>
    <t>Cheats</t>
  </si>
  <si>
    <t>24.06.2019 06:07</t>
  </si>
  <si>
    <t>เนย ft.ลดความอ้วน</t>
  </si>
  <si>
    <t>BROKE BITCH CARTIER</t>
  </si>
  <si>
    <t>Северная Капская провинция</t>
  </si>
  <si>
    <t>Jenn-Heaven</t>
  </si>
  <si>
    <t>If you don’t think tequila will make you act crazy just know I slept walked last night and woke up covered in Dorito dust and Doritos all over my room and in my bed.</t>
  </si>
  <si>
    <t>Sleepwalking Tweets</t>
  </si>
  <si>
    <t>24.06.2019 06:13</t>
  </si>
  <si>
    <t>ÇOCUKLAR VR BEBEK İÇİN CEM YILMAZ İLE KOMİK REKLAMLAR</t>
  </si>
  <si>
    <t>ÇOCUKLAR VR BEBEK İÇİN  CEM YILMAZ İLE KOMİK REKLAMLAR
#CEM #YILMAZ #DORİTOS #REKLAM #REKLAMLAR #ÇOCUKLAR #BEBEKLER #BERNİS</t>
  </si>
  <si>
    <t>bernis 1 dk video's</t>
  </si>
  <si>
    <t>06:02</t>
  </si>
  <si>
    <t>24.06.2019 12:00</t>
  </si>
  <si>
    <t>cutest movie night ever ! 
•
•
•
•follow me ( @vscocouplesxo ) ❤️ for more
•
•
•
•tag bae/someone you want to do this with 
#couplegoals #cutecouples #explore #explorepage #love #couples #vsco #cute #follow #dt #likethis #couplesgoals #couple #couplevideos #couplestyle #vscocouples</t>
  </si>
  <si>
    <t>vsco goals ❤️</t>
  </si>
  <si>
    <t>Sir Eucharist</t>
  </si>
  <si>
    <t>06:01</t>
  </si>
  <si>
    <t>24.06.2019 06:02</t>
  </si>
  <si>
    <t>❤️❤️ lucy robinson ❤️❤️</t>
  </si>
  <si>
    <t>24.06.2019 06:03</t>
  </si>
  <si>
    <t>Akun Badut Internasional</t>
  </si>
  <si>
    <t>Niggas be studying and still be on Xvideos 
The only bag of Doritos that matter</t>
  </si>
  <si>
    <t>ⓂalomeSphiwe</t>
  </si>
  <si>
    <t>Republic</t>
  </si>
  <si>
    <t>Who Stole My Money?..
Whites:I Don't Know
Blacks:I Saw Tshepo eating Doritos I Don't Know Who Gave Him Money</t>
  </si>
  <si>
    <t>Daniella ya dig❤?</t>
  </si>
  <si>
    <t>Albania</t>
  </si>
  <si>
    <t>Shqipëria veriore</t>
  </si>
  <si>
    <t>Дуррес</t>
  </si>
  <si>
    <t>glasses,suit,clothing</t>
  </si>
  <si>
    <t>event,official</t>
  </si>
  <si>
    <t>24.06.2019 05:59</t>
  </si>
  <si>
    <t>Every Username Was Taken</t>
  </si>
  <si>
    <t>@ericswalwell They only came to pick up their bag of chips for their $1.00 donation wasted. 
Doritos please</t>
  </si>
  <si>
    <t>HE’S MY PRESIDENT❤️#MAGA</t>
  </si>
  <si>
    <t>05:54</t>
  </si>
  <si>
    <t>@prettymayonaise @Gomolemo_17 Let me buy you the Doritos mini packet on your birthday then</t>
  </si>
  <si>
    <t>Themba</t>
  </si>
  <si>
    <t>Мпумаланга</t>
  </si>
  <si>
    <t>official,speech</t>
  </si>
  <si>
    <t>24.06.2019 05:56</t>
  </si>
  <si>
    <t>QUESADILLA DOGS VIDEO | RICHARD IN THE KITCHEN</t>
  </si>
  <si>
    <t>Dortios Nacho Cheese chips.
Shopping List:
Servings: 3
3 all beef bun length hot dogs
6 small flour tortillas
4 blend Mexican shredded cheese
Finely diced jalapeno pepper
Cooking oil
Nacho cheese sauce
Chili powder
Finely diced green onion
Chopped cilantro
Finely chopped Doritos nacho chips
Sour cream (optional)
Directions:
In a sauce pan or microwave, heat the nacho cheese sauce and keep warmed.
Heat a skillet over medium heat.  Add 1 tortilla big bubbles side down and top with the 4 blend Mexican cheese, green onion, jalapeno and chili powder</t>
  </si>
  <si>
    <t>RICHARD IN THE KITCHEN</t>
  </si>
  <si>
    <t>05:53</t>
  </si>
  <si>
    <t>24.06.2019 06:05</t>
  </si>
  <si>
    <t>We did it again, fam!  Doritos has once again scored the Coolest Snack Brand award at last night’s Generation Next Awards. #ForTheBold
We’re Number 1! We really could not done this without you, fam!</t>
  </si>
  <si>
    <t>charmainewicks</t>
  </si>
  <si>
    <t>05:50</t>
  </si>
  <si>
    <t>24.06.2019 05:53</t>
  </si>
  <si>
    <t>Yummmmmers  #jerseyshore #yeahbuddy #djpaulyd #doritos #doritoguido #lays #fritolay 
@mtv @djpaulyd @realronniemagro @vinnyguadagnino @jwoww @lays @fritolay @djpaulydshop</t>
  </si>
  <si>
    <t># 1 PAGE FOR @djpaulyd</t>
  </si>
  <si>
    <t>05:49</t>
  </si>
  <si>
    <t>24.06.2019 05:52</t>
  </si>
  <si>
    <t>Tee</t>
  </si>
  <si>
    <t>Malalane</t>
  </si>
  <si>
    <t>just had some doritos yummy</t>
  </si>
  <si>
    <t>joe</t>
  </si>
  <si>
    <t>05:48</t>
  </si>
  <si>
    <t>24.06.2019 05:50</t>
  </si>
  <si>
    <t>We figured we might as well buy just about anything I pass by at the store cause yall don't know what you wanna eat anyway 
The next one I'm teaching her a lesson, I'm coming home with a sack of lemon @ItsOwh
Why uma uvakashela indoda ivele ikuthengele iyogurt nePizza, Doritos,  Strawberries ?</t>
  </si>
  <si>
    <t>Percy Darnell</t>
  </si>
  <si>
    <t>24.06.2019 05:45</t>
  </si>
  <si>
    <t>Bernie</t>
  </si>
  <si>
    <t>05:38</t>
  </si>
  <si>
    <t>24.06.2019 05:41</t>
  </si>
  <si>
    <t>Yall zoom on that tablet in second frame
The only bag of Doritos that matter</t>
  </si>
  <si>
    <t>Tony Stark</t>
  </si>
  <si>
    <t>05:37</t>
  </si>
  <si>
    <t>24.06.2019 05:39</t>
  </si>
  <si>
    <t>Samantha Natalia</t>
  </si>
  <si>
    <t>05:33</t>
  </si>
  <si>
    <t>24.06.2019 05:36</t>
  </si>
  <si>
    <t>*opens bag of doritos*
shit did i just hear tori</t>
  </si>
  <si>
    <t>ernie's bot</t>
  </si>
  <si>
    <t>24.06.2019 07:17</t>
  </si>
  <si>
    <t>YouTube Still Sucks: : ChapoTrapHouse</t>
  </si>
  <si>
    <t>Jackin it in my Doritos boxers</t>
  </si>
  <si>
    <t>mostspitefulguy</t>
  </si>
  <si>
    <t>Google</t>
  </si>
  <si>
    <t>05:31</t>
  </si>
  <si>
    <t>24.06.2019 05:31</t>
  </si>
  <si>
    <t>Gaynor Rees</t>
  </si>
  <si>
    <t>Great Walsingham</t>
  </si>
  <si>
    <t>05:29</t>
  </si>
  <si>
    <t>24.06.2019 05:35</t>
  </si>
  <si>
    <t>@KamiiiSamaa The real question is: why is my man wearing a Doritos-themed kimono?</t>
  </si>
  <si>
    <t>Kid Kaos</t>
  </si>
  <si>
    <t>24.06.2019 05:33</t>
  </si>
  <si>
    <t>best doritos flavour is thai sweet chilli</t>
  </si>
  <si>
    <t>i love twilight if u didn't know</t>
  </si>
  <si>
    <t>24.06.2019 11:27</t>
  </si>
  <si>
    <t>Php150
Weekly specials from the supermarket is here. Grab yourself a bargain. Promo ends Saturday 29 June. #filipino #philippines #love #follow #filipinopride #instagram #like #bhfyp #onlineshopping #onlineshop #onlineboutique #onlinestore #shoppingonline #online #shop #instagood #sale #olshop #trustedseller #everythingaustophils</t>
  </si>
  <si>
    <t>Everything Aus to Phil</t>
  </si>
  <si>
    <t>24.06.2019 05:32</t>
  </si>
  <si>
    <t>Stark</t>
  </si>
  <si>
    <t>05:27</t>
  </si>
  <si>
    <t>24.06.2019 05:28</t>
  </si>
  <si>
    <t>‍♀️⭐️‍♀️Emma Gough ‍♀️⭐️‍♀️</t>
  </si>
  <si>
    <t>Херефорд</t>
  </si>
  <si>
    <t>24.06.2019 05:38</t>
  </si>
  <si>
    <t>@BlinkinMad “Lena, I swear to Allah if you don’t quit I’ll shove you into Hana’s locker and the gods KNOW it reeks of stale Doritos.”</t>
  </si>
  <si>
    <t>Fareeha Amari.</t>
  </si>
  <si>
    <t>мухафаза Гиза</t>
  </si>
  <si>
    <t>Sweetybility</t>
  </si>
  <si>
    <t>El Salvador</t>
  </si>
  <si>
    <t>Departamento de La Paz</t>
  </si>
  <si>
    <t>El Rosario</t>
  </si>
  <si>
    <t>05:21</t>
  </si>
  <si>
    <t>24.06.2019 05:21</t>
  </si>
  <si>
    <t>24.06.2019 07:42</t>
  </si>
  <si>
    <t>new mountain dew flavor</t>
  </si>
  <si>
    <t>wikia .
who has tried the newest mountain dew flavors off topic giant bomb .
itt kiwi farm s best mtn dew flavor of all time at this given .
what is the best flavor of mountain dew quora .
mountain dew dewmocracy flavors supernova revolution and .
pepsi has created doritos flavored mountain dew ign news .
mountain dew chose its new permanent flavor by tapping into cult .
mountain dew s new game fuel drink has a seriously interesting can .
4 new mtn dew flavors for 2019 mtn dew kid .
mtn dew linpepco .
mountain dew s new soda just mixes flavors</t>
  </si>
  <si>
    <t>scandinavianhomestaging.com</t>
  </si>
  <si>
    <t>05:20</t>
  </si>
  <si>
    <t>24.06.2019 05:25</t>
  </si>
  <si>
    <t>Doritos is nothing but surf ke paani mein dubaaye huye triangle chips</t>
  </si>
  <si>
    <t>Shriti</t>
  </si>
  <si>
    <t>Чхаттисгарх</t>
  </si>
  <si>
    <t>Mahasamund</t>
  </si>
  <si>
    <t>05:19</t>
  </si>
  <si>
    <t>Back in the swing of edits - bag of Doritos before 9.30.</t>
  </si>
  <si>
    <t>Sarah Reeson   Writer/Content Creator</t>
  </si>
  <si>
    <t>05:18</t>
  </si>
  <si>
    <t>24.06.2019 19:54</t>
  </si>
  <si>
    <t>+ 1 salad doritos + 1 quesadilla mix cheese + 6 pieces cheese sticks + 6 pieces bbq chicken wings + 6 pieces sweet chili chicken wings + 4 pieces street corn + 2 liter cola + 1 oreo fudge + 2 red velvet cup + nuetella brownies cup
680 L.E
#Taco_Paco #Tacos #Burritos #Meals
https://www.facebook.com/TacoPacoEgypt/photos/a.526481404379808/872822429745702/?type=3
Photos from Taco Paco Egypt's post</t>
  </si>
  <si>
    <t>Taco Paco Egypt</t>
  </si>
  <si>
    <t>05:17</t>
  </si>
  <si>
    <t>24.06.2019 05:17</t>
  </si>
  <si>
    <t>Nikki Harwood</t>
  </si>
  <si>
    <t>05:15</t>
  </si>
  <si>
    <t>24.06.2019 05:16</t>
  </si>
  <si>
    <t>Welsh National Opera</t>
  </si>
  <si>
    <t>Faverges-de-la-Tour</t>
  </si>
  <si>
    <t>05:11</t>
  </si>
  <si>
    <t>24.06.2019 05:13</t>
  </si>
  <si>
    <t>lily05ruby08</t>
  </si>
  <si>
    <t>24.06.2019 05:11</t>
  </si>
  <si>
    <t>#Bombay #BombayChocnNut #best #doritos #mexican #antisweet</t>
  </si>
  <si>
    <t>Bombaychocnnuts</t>
  </si>
  <si>
    <t>24.06.2019 05:10</t>
  </si>
  <si>
    <t>blessed..</t>
  </si>
  <si>
    <t>24.06.2019 05:09</t>
  </si>
  <si>
    <t>disappointed mf doom be like that wasn't very cheetos fritos and doritos of you</t>
  </si>
  <si>
    <t>villain babyy</t>
  </si>
  <si>
    <t>Lost Hills</t>
  </si>
  <si>
    <t>Kacey</t>
  </si>
  <si>
    <t>#Bombay #BombayChocnNut #best #doritos #mexican #antisweet
https://www.facebook.com/bombaychocnnuts/photos/a.500409956650831/3434727899885674/?type=3</t>
  </si>
  <si>
    <t>Bombay CHOC n NUTS</t>
  </si>
  <si>
    <t>24.06.2019 05:08</t>
  </si>
  <si>
    <t>#JaggedHot699 - SESSION Monday, June 24, 2019
ToolFarm-to-table359: hi
JaggedHot699: whats up
ToolFarm-to-table359: i am chock full of dick
JaggedHot699: please yes
ToolFarm-to-table359: (IMAGE)
JaggedHot699: baroque
JaggedHot699: thats so doritos
ToolFar</t>
  </si>
  <si>
    <t>Cobra Club</t>
  </si>
  <si>
    <t>[TDM] Pubg Mobile - succ gameplay</t>
  </si>
  <si>
    <t>[TDM] Pubg Mobile - succ gameplay
Device: Asus Zenfone Max Pro M1
In game graphics: High(30fps)/Smooth
Screen Recorder: AZ screen recorder
Editing app: Kinemaster
I'm succ :(</t>
  </si>
  <si>
    <t>nathsucc</t>
  </si>
  <si>
    <t>05:03</t>
  </si>
  <si>
    <t>24.06.2019 05:04</t>
  </si>
  <si>
    <t>.@JayDade tagged me in this yesterday, and I can’t stop thinking about it. Mostly because now I want Doritos, and they don’t really sell those in Belgium
Me: My beautiful daughter, I would cross oceans and move mountains for you. I would fly into the darkness if I knew it would make you happy.
Daughter: Can I have a Dorito?
Me: I’m sorry but these are, unfortunately, my Doritos.</t>
  </si>
  <si>
    <t>Caroline Dade</t>
  </si>
  <si>
    <t>04:59</t>
  </si>
  <si>
    <t>ENDGAME | Warriors</t>
  </si>
  <si>
    <t>from home cast q&amp;a,
spider man far from home costume,
spider man far from home clip jimmy kimmel,
spider man far from home cosplay,
spider man far from home comic,
spider man far from home commercial,
spider man far from home cartoon,
spider man far from home captain marvel,
spider man far from home clip ellen,
spider man far from home c,
spider man far from home trailer c,
spider man far from home disneyland,
spider man far from home doritos,
spider man far from home date,
spider man far from home dr pepper,
spider man far from home deadpool</t>
  </si>
  <si>
    <t>Rick Grimes</t>
  </si>
  <si>
    <t>movie</t>
  </si>
  <si>
    <t>04:56</t>
  </si>
  <si>
    <t>24.06.2019 04:59</t>
  </si>
  <si>
    <t>AJSIMPSON</t>
  </si>
  <si>
    <t>@crownvelasco @rodsounds @Doritos</t>
  </si>
  <si>
    <t>nicolas vicens</t>
  </si>
  <si>
    <t>24.06.2019 04:57</t>
  </si>
  <si>
    <t>got food poison by eating Doritos</t>
  </si>
  <si>
    <t>LEVIATHAN™</t>
  </si>
  <si>
    <t>May fav hooman snack is Doritos...I will litrrally jump through walls to have them ❤ Purring has just quadrupled 
#doritos #foodjunkie #crazycat #purrfect #tuexdocat</t>
  </si>
  <si>
    <t>Jasper</t>
  </si>
  <si>
    <t>@mumigegpoid monster energy slurp juice, doritos medkit. fornite gamer edition</t>
  </si>
  <si>
    <t>Grimmy @ TH 17</t>
  </si>
  <si>
    <t>24.06.2019 04:53</t>
  </si>
  <si>
    <t>(´・ω・｀)</t>
  </si>
  <si>
    <t>04:48</t>
  </si>
  <si>
    <t>24.06.2019 04:48</t>
  </si>
  <si>
    <t>No tengo ganas ni de Doritos</t>
  </si>
  <si>
    <t>Name cannot be blank</t>
  </si>
  <si>
    <t>L A M A</t>
  </si>
  <si>
    <t>do I go down the street to get some more Doritos for nachos? The places closes in half an hour</t>
  </si>
  <si>
    <t>✧･ﾟ: *✧･ﾟ:*(OwO )*:･ﾟ✧*:･ﾟ✧</t>
  </si>
  <si>
    <t>24.06.2019 04:52</t>
  </si>
  <si>
    <t>man i’m bout hungry as fuck now and there’s nothing to eat but stale doritos 
Pizza in a whole new form</t>
  </si>
  <si>
    <t>kesean</t>
  </si>
  <si>
    <t>Stafford</t>
  </si>
  <si>
    <t>baked goods,cookware and bakeware,pizza,food</t>
  </si>
  <si>
    <t>04:47</t>
  </si>
  <si>
    <t>Soviet Cosmonaut Sergei Krikalev stuck in space during the collapse of the Soviet Union in 1991 space</t>
  </si>
  <si>
    <t>Somebody get this dude a bag of doritos and some mountain dew</t>
  </si>
  <si>
    <t>opusx28</t>
  </si>
  <si>
    <t>OldSchoolCool: History's cool kids, looking fantastic</t>
  </si>
  <si>
    <t>04:46</t>
  </si>
  <si>
    <t>Dm us for any questions.
Now in stock! 
#fantadoublepeach #fanta #fantaexotic #guanaba #sandiego #japansoda #leandrink #purpledrinks #thcsyrup #syrup #munchies #cupcakefactory #lasvegassmokeshop #lasvegassmokersclub #miamismokeshop #miamismokers #thc #cbd #purple #blue #doritos #rainbow #smokeshop #rare #exoticdrinks</t>
  </si>
  <si>
    <t>Jap Industries</t>
  </si>
  <si>
    <t>drink,plastic bottle,bottle</t>
  </si>
  <si>
    <t>water</t>
  </si>
  <si>
    <t>04:41</t>
  </si>
  <si>
    <t>24.06.2019 04:43</t>
  </si>
  <si>
    <t>Erik Olsson</t>
  </si>
  <si>
    <t>24.06.2019 04:41</t>
  </si>
  <si>
    <t>AHHHHHHH
¿Por qué todo lo bueno casi no llega a México? ;-;
Want to score this Limited-Edition Doritos Spidey Suit? Tell us what super power Doritos gives you using #IncognitoDoritos #Entry for the chance to win! Rules @ https://bit.ly/2MXEpdc Be sure to check out #SpiderManFarFromHome, in theaters July 2!</t>
  </si>
  <si>
    <t>Riflo</t>
  </si>
  <si>
    <t>Чиуауа</t>
  </si>
  <si>
    <t>04:38</t>
  </si>
  <si>
    <t>24.06.2019 04:45</t>
  </si>
  <si>
    <t>The green ones 
Bout to have the best Doritos. Which flavour am I talking about?</t>
  </si>
  <si>
    <t>T S E B O</t>
  </si>
  <si>
    <t>04:37</t>
  </si>
  <si>
    <t>24.06.2019 04:39</t>
  </si>
  <si>
    <t>kay fool</t>
  </si>
  <si>
    <t>24.06.2019 04:37</t>
  </si>
  <si>
    <t>Welcome to a Motivational Monday!</t>
  </si>
  <si>
    <t>https://twitter.com/AdorabI... https://disq.us/url?url=https://twitter.com/AdorabIeAnimal/status/1142974965307719680:XsSeuFt2Z9IoeEodi2umwsFrA4k&amp;cuid=4461036 
https://twitter.com/AdorabI... https://disq.us/url?url=https://twitter.com/AdorabIeAnimal/status/1142975000279830528:ZpI0xKaYMwGbgrumth7WgYNXLs8&amp;cuid=4461036 
https://twitter.com/bestcat... https://disq.us/url?url=https://twitter.com/bestcataccount/status/1142894594440536065:PY2zR9VPnuGI5TcHHcrgbxY6jdw&amp;cuid=4461036
Perfect Animals on Twitter
So fluffy https://t.co/dsqi5ao0Pd
Cats  on Twitter
WE ARE OUT OF DORITOS KAREN
Perfect Animals on Twitter
OMG SO MUCH FLUFFINESS https://t.co/jBajibpLFo</t>
  </si>
  <si>
    <t>CaliCheeseSucks</t>
  </si>
  <si>
    <t>Faith, Not Buildings</t>
  </si>
  <si>
    <t>//a.disquscdn.com/get?url=https%3A%2F%2Fpbs.twimg.com%2Fext_tw_video_thumb%2F1104431680901722113%2Fpu%2Fimg%2FdaohOjY98K0OmpHp.jpg&amp;key=1y22MGSYy0xGU-RKS8v_Cg</t>
  </si>
  <si>
    <t>24.06.2019 04:30</t>
  </si>
  <si>
    <t>The fact you brought the shit about safari writing shit for Nicki is fucking stupid. Nicki raps more about her pussy and shit, have you even listened to any of her songs. Go sit on your fat ass eating fucking Doritos and shut the fuck up
And you know the funny thing? Rumour has it he wrote a lot of her stuff! Y'all call Cardi out for always rapping about Pussy but ignorethe fact that that's all Nicki raps about these days! Anyway Cardi vs Nicki isn't the topic here...</t>
  </si>
  <si>
    <t>яσмαη zσℓαηsкι</t>
  </si>
  <si>
    <t>24.06.2019 07:08</t>
  </si>
  <si>
    <t>Food and Drinks that you hate but everyone likes - Movies, TV and Entertainment</t>
  </si>
  <si>
    <t>Ranch Dressing but I’ll eat Ranch doritos</t>
  </si>
  <si>
    <t>Cornhuskers</t>
  </si>
  <si>
    <t>us.forums.blizzard.com</t>
  </si>
  <si>
    <t>Latest Off-Topic topics - World of Warcraft Forums</t>
  </si>
  <si>
    <t>04:28</t>
  </si>
  <si>
    <t>#wely_loOg #shoutout #memes #fun #shoutout#followformorepost #like4tags #nice #followmeplease #funnymemes #memes #fun#shoutout #like4tags #funnyjokes #funnyposts #funnymemes #memeslover #memes #memes  #memesdaily #lol #awesomememes #memes</t>
  </si>
  <si>
    <t>Wely_lOog</t>
  </si>
  <si>
    <t>24.06.2019 04:28</t>
  </si>
  <si>
    <t>Patchy followed Doritos everywhere, and Doritos was a right bossy madam, and used to nag at Flounder not to go anywhere near Patchy . After she died I put them together and they didn’t mate until I told her it was okay...</t>
  </si>
  <si>
    <t>WhiteFeather</t>
  </si>
  <si>
    <t>Jamaica</t>
  </si>
  <si>
    <t>Truro Gate</t>
  </si>
  <si>
    <t>lowkeyBLfan ⭕⭕⭕</t>
  </si>
  <si>
    <t>24.06.2019 10:14</t>
  </si>
  <si>
    <t>HAPPY BIRTHDAY TO ME!!!!! mlg #1</t>
  </si>
  <si>
    <t>HAPPY BIRTHDAY TO ME!!!!! mlg #1
HAPPY BIRTHDAY TO THE TOUCAN!!!
#itucaniesistono
#birthday</t>
  </si>
  <si>
    <t>indominus dc</t>
  </si>
  <si>
    <t>24.06.2019 04:22</t>
  </si>
  <si>
    <t>Nisha Rapson</t>
  </si>
  <si>
    <t>24.06.2019 04:20</t>
  </si>
  <si>
    <t>Doritos dynamite chile limon</t>
  </si>
  <si>
    <t>MJ</t>
  </si>
  <si>
    <t>Бавария</t>
  </si>
  <si>
    <t>Киссинг</t>
  </si>
  <si>
    <t>04:18</t>
  </si>
  <si>
    <t>24.06.2019 04:29</t>
  </si>
  <si>
    <t>Minecraft</t>
  </si>
  <si>
    <t>Minecraft
Sponsor me Doritos
I play games
Might do vlogs
And I’m stupid
So let’s get to 100 subscribers
It’ll be much appreciated</t>
  </si>
  <si>
    <t>Streamer Beaner</t>
  </si>
  <si>
    <t>modifies your tastebuds to obsessively enjoy doritos and mountain dew</t>
  </si>
  <si>
    <t>pear-shaped Lycanroc w/ thick tail</t>
  </si>
  <si>
    <t>West Hampton Dunes</t>
  </si>
  <si>
    <t>24.06.2019 04:19</t>
  </si>
  <si>
    <t>better than doritos and lays chips.</t>
  </si>
  <si>
    <t>Gratis</t>
  </si>
  <si>
    <t>04:16</t>
  </si>
  <si>
    <t>#Doritos#mlg</t>
  </si>
  <si>
    <t>Евгений Самойленко</t>
  </si>
  <si>
    <t>pictures of cheese sticks</t>
  </si>
  <si>
    <t>homemade cheese sticks crispy gooey spend with pennies .
fried mozzarella cheese sticks kitchme .
homemade mozzarella sticks how to make mozzarella sticks .
easy cheese sticks recipe bettycrocker com .
faux fried cheese sticks recipe sparkrecipes .
homemade cheese sticks crispy gooey spend with pennies .
herbed cheese sticks recipe taste of home .
fried cheese sticks recipe add a pinch .
italian cheese sticks recipe ree drummond food network .
doritos crusted cheddar cheese sticks i knead to eat .
fried cheese sticks sweet and savory meals</t>
  </si>
  <si>
    <t>24.06.2019 04:13</t>
  </si>
  <si>
    <t>*wipes doritos dust onto cum-stained sweatpants* hmmmmm time to pick out a flawless wife on the internet. not rihanna her forehead's too big</t>
  </si>
  <si>
    <t>24.06.2019 04:15</t>
  </si>
  <si>
    <t>Number 4 is 6! I cant believe 6 years ago I was laboring at home with the big 3 asleep waiting for my home birth team to show up and shortly after 6 am I was laying in the couch in my living room preparing to push as number 2 wakes up Big rushed to get him set up with a movie in our bedroom and gives our 3 year old son a FAMILY SIZED BAG OF DORITOS! IN MY BED! but a few short moments after expressing my outrage I gave birth to a 9lbs little boy who has had full head control since birth and has been consciously smiling since day one.
Happy Birthday Number 4! I love you so much. 
#happybirthday #babynumber4 #Gr8Basin8 #birthdayboy #6yearsold #nevadaboy</t>
  </si>
  <si>
    <t>Cassie D</t>
  </si>
  <si>
    <t>toy,sweetness,food,dessert,baked goods,torte,cake</t>
  </si>
  <si>
    <t>Usca Ria LLC Has $3.03 Million Stock Position in PepsiCo, Inc. (NASDAQ:PEP)</t>
  </si>
  <si>
    <t>,705. Insiders own 0.28% of the company’s stock.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</si>
  <si>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Private Wealth Advisors Inc. Has $956,000 Stock Position in PepsiCo, Inc. (NASDAQ:PEP)</t>
  </si>
  <si>
    <t>48,494 shares of company stock valued at $6,173,705. 0.28% of the stock is owned by corporate insiders.
PepsiCo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t>
  </si>
  <si>
    <t>PepsiCo, Inc. (NASDAQ:PEP) Shares Sold by Standard Life Aberdeen plc</t>
  </si>
  <si>
    <t>months, insiders sold 48,494 shares of company stock valued at $6,173,705. 0.28% of the stock is currently owned by insiders.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</si>
  <si>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04:03</t>
  </si>
  <si>
    <t>24.06.2019 04:10</t>
  </si>
  <si>
    <t>Tom Kench #Doritos</t>
  </si>
  <si>
    <t>RejectedLoLSkins</t>
  </si>
  <si>
    <t>Our flagship project Mosquiller not only made space in everyone's room but also in everyone's heart as there was a spray for every person when they checked in to their luxurious room along with some treats by other sponsors. In frame: Mosquiller's AURA Lavender Room Sprays, some yummy Doritos and Rotaract Club of SAC's GRIMM Handwash.
#Rotary #Rotaract #BeTheInspiration #PeopleInAction #Conference #rotaractdistrict3011 #raccvs #rid3011 #mosquiller #be_the_inspiration #be_the_change #spreadyourwingstohelpothers  #rotaryinternational
@rotaryinternational @doritos @rotaractdistrict3011 @mosquiller.official @rotaractclubofcvs</t>
  </si>
  <si>
    <t>Rotaract Club of CVS (RaCCVS)</t>
  </si>
  <si>
    <t>Дели</t>
  </si>
  <si>
    <t>Нью-Дели</t>
  </si>
  <si>
    <t>bottle</t>
  </si>
  <si>
    <t>24.06.2019 04:07</t>
  </si>
  <si>
    <t>Old Fatty</t>
  </si>
  <si>
    <t>24.06.2019 04:05</t>
  </si>
  <si>
    <t>nuwairahlutfi</t>
  </si>
  <si>
    <t>Puchong</t>
  </si>
  <si>
    <t>24.06.2019 04:02</t>
  </si>
  <si>
    <t>Abel</t>
  </si>
  <si>
    <t>24.06.2019 04:00</t>
  </si>
  <si>
    <t>Somehow I ended up down the street from my house with a random old Latino man that gave me food (Doritos and baked chicken?) and water....</t>
  </si>
  <si>
    <t>shea butter slut</t>
  </si>
  <si>
    <t>Иг</t>
  </si>
  <si>
    <t>24.06.2019 09:48</t>
  </si>
  <si>
    <t>#socialmediamarketing #inspired  
#getcreative #winterfun #beawesome #bebold #asiagirl #polishgirl #polond ✌#likeforlike #like4like #followforlike #vaporizer #daily  #vape ☁#vapelife #vapeon #vscocam #vsco #likeforfollow</t>
  </si>
  <si>
    <t>İcon.</t>
  </si>
  <si>
    <t>Измир</t>
  </si>
  <si>
    <t>Bornova</t>
  </si>
  <si>
    <t>food,soft drink,convenience food,drink</t>
  </si>
  <si>
    <t>03:57</t>
  </si>
  <si>
    <t>24.06.2019 04:01</t>
  </si>
  <si>
    <t>@calamityqanon @Edmond_Estrada @beallyoucanbop @makeitsnowondem @thesportsjunk @BobooTobian @_sansculottes_ @LumpyLouish @rat_liker @therealsweetmax @Nagles_A_Fraud @hi_im_barb @blanddisplay @AnthonyJMuniz @MuellerDad69 @AnAngryOpossum @ChrisTweetLLC @beetwagonSA @MDingwick @evren__7 @transitionfiend @tacticaldipshit @FendersonGote @TheHojer @BRAINIACx_ @EliChanpu @ChrisxNemo @HbKusoneko @HotelSoap68 @xoraaah @SoludM @Vokul1 @SchwayGoose @_HappyHanabi @SmugVespaWoman @biasbe @MBNHedger @PandasAndGaming @Blaugast @truther_dare @wrenchyboi @WanderingNepNep @NoBuddyNow @Mr_Cryonic @TSM @Styx666Official @KurtSchlichter @OneAngryGamerHD @GOPTrust OH SHIT EDDIE YOU KNOW WHAT THIS MEANS! YOU GOTTA GIVE @calamityqanon YOUR PASSWORD NOW! #AdultingIn5WordsOrLess #personaltrainer #Doritos #rekt</t>
  </si>
  <si>
    <t>competition,ball game,performance,basketball,audience,sports,championship</t>
  </si>
  <si>
    <t>As you can see in this video https://www.youtube.c</t>
  </si>
  <si>
    <t>&gt;&gt;217294162
Ok I host Crusader Kings 2 match. Get monster and Doritos. WE ARE DOING THIS IRON MAN!</t>
  </si>
  <si>
    <t>/pol/ - Politically Incorrect - 4chan</t>
  </si>
  <si>
    <t>24.06.2019 09:44</t>
  </si>
  <si>
    <t>#team_avengers_end_game #tomholland2013
@tomholland2013</t>
  </si>
  <si>
    <t>Daniel</t>
  </si>
  <si>
    <t>24.06.2019 03:49</t>
  </si>
  <si>
    <t>✨ Trudee✨</t>
  </si>
  <si>
    <t>24.06.2019 03:58</t>
  </si>
  <si>
    <t>While I wanna eat doritos why do dey keep selling only paprika here ...
.
.
.
.
.
.
.
.
.
.
.
.
#chips #paprika #enermoushungerofdoritos</t>
  </si>
  <si>
    <t>izawa rora</t>
  </si>
  <si>
    <t>dessert,baked goods,food</t>
  </si>
  <si>
    <t>03:45</t>
  </si>
  <si>
    <t>24.06.2019 03:48</t>
  </si>
  <si>
    <t>Su Boukh ️‍</t>
  </si>
  <si>
    <t>24.06.2019 03:47</t>
  </si>
  <si>
    <t>We now have to buy two packs of Doritos  for this reason ... mummy can't share!
#daughter #Doritos #cannotshare #poppylaneandco #smallbusiness</t>
  </si>
  <si>
    <t>Poppy Lane &amp; Co</t>
  </si>
  <si>
    <t>03:39</t>
  </si>
  <si>
    <t>24.06.2019 03:44</t>
  </si>
  <si>
    <t>Why are Cool Ranch Doritos so good?</t>
  </si>
  <si>
    <t>Tara</t>
  </si>
  <si>
    <t>24.06.2019 03:41</t>
  </si>
  <si>
    <t>faraah</t>
  </si>
  <si>
    <t>lina ||-//</t>
  </si>
  <si>
    <t>24.06.2019 03:40</t>
  </si>
  <si>
    <t>Wronnie Rodriguez</t>
  </si>
  <si>
    <t>24.06.2019 03:39</t>
  </si>
  <si>
    <t>Siphelele</t>
  </si>
  <si>
    <t>Sandton</t>
  </si>
  <si>
    <t>03:32</t>
  </si>
  <si>
    <t>24.06.2019 03:34</t>
  </si>
  <si>
    <t>Javo López</t>
  </si>
  <si>
    <t>24.06.2019 03:33</t>
  </si>
  <si>
    <t>@NisaLocally Lightly Salted Doritos and dips</t>
  </si>
  <si>
    <t>jo cherry</t>
  </si>
  <si>
    <t>24.06.2019 03:32</t>
  </si>
  <si>
    <t>OKIKIOLA</t>
  </si>
  <si>
    <t>Лагос</t>
  </si>
  <si>
    <t>24.06.2019 03:36</t>
  </si>
  <si>
    <t>Reposted from @farrelcomics -  Wow ok....
Guest : @xcd.comic (Tags : #komikinajah #komikanu #komiklokal #farrelcomics #komikstripindo #komikindonesia #komikstripindo #thanosmemes #thanos #memes #doritos #realityisoftendisappointing ) - #regrann</t>
  </si>
  <si>
    <t>waroengkomik</t>
  </si>
  <si>
    <t>24.06.2019 05:22</t>
  </si>
  <si>
    <t>Just watched your gourmet Doritos vid. If you watch the how it’s made videos on making tortillas chips, they actually spray the chips with corn oil before they season them to help the flavor stick better.</t>
  </si>
  <si>
    <t>Bon Appétit Magazine</t>
  </si>
  <si>
    <t>03:27</t>
  </si>
  <si>
    <t>24.06.2019 03:31</t>
  </si>
  <si>
    <t>The Fight For Doritos!</t>
  </si>
  <si>
    <t>The Fight For Doritos!
A couple of thumbs in the way but it's funny:)</t>
  </si>
  <si>
    <t>Flynn A Boi</t>
  </si>
  <si>
    <t>24.06.2019 03:37</t>
  </si>
  <si>
    <t>@KylePlantEmoji Oh, also, I like to lick the seasoning off of Doritos and eat the soggy, plain tortilla chip last. 
And when I’m feeling extra snazzy I’ll get myself a bowl of whipped cream with sprinkles. That’s it. Nothing else in the bowl.</t>
  </si>
  <si>
    <t>kyra</t>
  </si>
  <si>
    <t>I’m pretty sure my mom knows I come home high af when I go out and she doesn’t tell me anything which makes me nervous , okay I’m high af right now goodnight bouta eat some Doritos con limon y chile</t>
  </si>
  <si>
    <t>Bree</t>
  </si>
  <si>
    <t>24.06.2019 03:26</t>
  </si>
  <si>
    <t>sado sia ansara wtf bpk wide sia shoulder dorang cm doritos</t>
  </si>
  <si>
    <t>glucose daddy</t>
  </si>
  <si>
    <t>Кедах</t>
  </si>
  <si>
    <t>Kampung Peregam</t>
  </si>
  <si>
    <t>03:22</t>
  </si>
  <si>
    <t>24.06.2019 03:25</t>
  </si>
  <si>
    <t>LOOK i hate myself for eating too many doritos</t>
  </si>
  <si>
    <t>sugar gay</t>
  </si>
  <si>
    <t>Iceland</t>
  </si>
  <si>
    <t>03:21</t>
  </si>
  <si>
    <t>24.06.2019 03:23</t>
  </si>
  <si>
    <t>Herman White</t>
  </si>
  <si>
    <t>Норт-Бранч</t>
  </si>
  <si>
    <t>Ari</t>
  </si>
  <si>
    <t>Alice</t>
  </si>
  <si>
    <t>NCOGNITO88</t>
  </si>
  <si>
    <t>24.06.2019 03:29</t>
  </si>
  <si>
    <t>@PeterXinping @VERYGRIEVOUS I can smell the stale doritos and 3 month old cum sock from here</t>
  </si>
  <si>
    <t>復讐(Revenge)</t>
  </si>
  <si>
    <t>Южная Дакота</t>
  </si>
  <si>
    <t>Hot Springs</t>
  </si>
  <si>
    <t>Israel❃</t>
  </si>
  <si>
    <t>24.06.2019 03:24</t>
  </si>
  <si>
    <t>Daryl van der Merwe</t>
  </si>
  <si>
    <t>Зёйдланд</t>
  </si>
  <si>
    <t>03:18</t>
  </si>
  <si>
    <t>24.06.2019 03:20</t>
  </si>
  <si>
    <t>ღ aylinn</t>
  </si>
  <si>
    <t>JESSE</t>
  </si>
  <si>
    <t>03:17</t>
  </si>
  <si>
    <t>24.06.2019 03:19</t>
  </si>
  <si>
    <t>Yeosang: *Raising his voice slightly so he can speak to Mingi down at the other end of the grocery store aisle* Do you want any chips?
Mingi: *At full volume* I'M ALWAYS A SLUT FOR DORITOS!!!</t>
  </si>
  <si>
    <t>` lais loves ateez as fuck</t>
  </si>
  <si>
    <t>24.06.2019 05:00</t>
  </si>
  <si>
    <t>Woolworths - 1/2 Price Food &amp; Grocery Specials - Starts Wed 26th June</t>
  </si>
  <si>
    <t>Here are the latest 1/2 price food and grocery specials of the week: Cadbury Medium Bars 30-60g -$0.85 Doritos Corn or Smith’s Crinkle Cut Chips 150-170g -$1.64 Twinings Tea Bags Pk 80-100 -$5.5 Coca-Cola Classic, No Sugar or Diet Soft Drink Varieties 24 x 375ml -$17.4 Australian Truss Tomatoes -$3.9kg Schweppes Mixer Varieties 4 x 300ml -$2.87 Patties Party Pack 1.25 kg or Mini Combo Pack 1 kg -$7.15 Pepsi 1893 4 x 300ml or Pepsi, Solo or Schweppes Soft Drink Can Varieties 6 x 200ml -$4 Patties Party Pack 1.25 kg or Mini Combo Pack 1 kg -$7</t>
  </si>
  <si>
    <t>nick123</t>
  </si>
  <si>
    <t>topbargains.com.au</t>
  </si>
  <si>
    <t>24.06.2019 03:16</t>
  </si>
  <si>
    <t>Wow ok....
Guest : @xcd.comic (Tags : #komikinajah #komikanu #komiklokal #farrelcomics #komikstripindo #komikindonesia #komikstripindo #thanosmemes #thanos #memes #doritos #realityisoftendisappointing )
@xcd.comic @waroengkomik</t>
  </si>
  <si>
    <t>Farrel Wira Angkasa</t>
  </si>
  <si>
    <t>03:10</t>
  </si>
  <si>
    <t>We are now part of the exotic club! Come check out our new products. Open 7 days a week. Monday-Sunday  11am-2am8485 Glenoaks Blvd. Ste 1. Los Angeles, CA. (818) 394-9610
.
.
.
.
.
.
.
#hookah #discount #fun #shisha #tangiers #smoke #eat #smile #followforfollow #coals #flavor #lounge #hookahlounge #regal #friends #fun #goodvibes #love #studentdiscount #hookahbar #smile #fun #friends #like4like #instadaily #igers #instalike #swag #amazing #follow4follow #starbuzz #work #coals #goodtimes
@exoticclubla</t>
  </si>
  <si>
    <t>Fire Hookah Lounge</t>
  </si>
  <si>
    <t>Simi Valley</t>
  </si>
  <si>
    <t>fast food,convenience food,snack,junk food,food</t>
  </si>
  <si>
    <t>sodamilk</t>
  </si>
  <si>
    <t>Энугу</t>
  </si>
  <si>
    <t>Like</t>
  </si>
  <si>
    <t>kat♡</t>
  </si>
  <si>
    <t>24.06.2019 03:11</t>
  </si>
  <si>
    <t>@KylePlantEmoji Ranch Doritos and cottage cheese  or cheddar pretzels and jalapeño cream cheese</t>
  </si>
  <si>
    <t>Sinnamongirl</t>
  </si>
  <si>
    <t>@PeepleBatmont @chxrry4k jahahhaahahahhaha me paga um doritos</t>
  </si>
  <si>
    <t>ˢᵃᵐ</t>
  </si>
  <si>
    <t>Бабе</t>
  </si>
  <si>
    <t>24.06.2019 03:10</t>
  </si>
  <si>
    <t>⎊ Sya ϟ</t>
  </si>
  <si>
    <t>24.06.2019 03:08</t>
  </si>
  <si>
    <t>♥</t>
  </si>
  <si>
    <t>24.06.2019 03:07</t>
  </si>
  <si>
    <t>#SheLovesArchie</t>
  </si>
  <si>
    <t>24.06.2019 03:06</t>
  </si>
  <si>
    <t>#FACTS
Doritos are the worst cornchips to use for nachos #ShortlandStreet</t>
  </si>
  <si>
    <t>Brodie Neves-Taylor</t>
  </si>
  <si>
    <t>Auckland</t>
  </si>
  <si>
    <t>Окленд</t>
  </si>
  <si>
    <t>03:03</t>
  </si>
  <si>
    <t>NEW VIDEO UPFLAMIN' HOT DORITOS NACHOSLINK IN BIO
#food #foodie #foodporn #foodgasm #homemadefood #cook #chef #cheflife #friedchicken #friedfoods #chicken #chickenwings #youtube #mukbang #asmr #asmrchrunchy #bloveslifesauce #seafoodboil #seafood #seafoodmukbang #subscribe #ASMR #asmrfood #asmrwhispering #asmrtapping #asmrsound</t>
  </si>
  <si>
    <t>Nene's Eats</t>
  </si>
  <si>
    <t>03:00</t>
  </si>
  <si>
    <t>24.06.2019 03:00</t>
  </si>
  <si>
    <t>Doritos for the win</t>
  </si>
  <si>
    <t>PistolPatACN</t>
  </si>
  <si>
    <t>24.06.2019 03:04</t>
  </si>
  <si>
    <t>MrExquisite</t>
  </si>
  <si>
    <t>Apossum</t>
  </si>
  <si>
    <t>craving doritos &amp; sour cream w shredded lettuce LMAO</t>
  </si>
  <si>
    <t>mama ✨</t>
  </si>
  <si>
    <t>X?!!@#!</t>
  </si>
  <si>
    <t>24.06.2019 03:02</t>
  </si>
  <si>
    <t>Motloung wa Segoane</t>
  </si>
  <si>
    <t>2,609 Shares in PepsiCo, Inc. (NASDAQ:PEP) Acquired by Gilbert &amp; Cook Inc.</t>
  </si>
  <si>
    <t>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</si>
  <si>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02:58</t>
  </si>
  <si>
    <t>8th July</t>
  </si>
  <si>
    <t>PranksterGangsterBot</t>
  </si>
  <si>
    <t>24.06.2019 02:59</t>
  </si>
  <si>
    <t>Hey if you guys could come to work without your breath smelling like cool ranch Doritos and potato salad that’d be great.</t>
  </si>
  <si>
    <t>guillermoooooo</t>
  </si>
  <si>
    <t>Tracy</t>
  </si>
  <si>
    <t>24.06.2019 02:57</t>
  </si>
  <si>
    <t>all college taught me to do is crave goldfish and doritos at midnight i hate this</t>
  </si>
  <si>
    <t>02:53</t>
  </si>
  <si>
    <t>"I put my d*** ina bag of Doritos." #explorepage</t>
  </si>
  <si>
    <t>H A Z E</t>
  </si>
  <si>
    <t>24.06.2019 02:58</t>
  </si>
  <si>
    <t>Kabelo</t>
  </si>
  <si>
    <t>Fazlina</t>
  </si>
  <si>
    <t>Perak / ڨيرق</t>
  </si>
  <si>
    <t>02:52</t>
  </si>
  <si>
    <t>24.06.2019 02:56</t>
  </si>
  <si>
    <t>larissa♡</t>
  </si>
  <si>
    <t>24.06.2019 02:54</t>
  </si>
  <si>
    <t>@KylePlantEmoji I like to put cool ranch Doritos on top of tuna sandwiches  I like the crunch and the seasoning just works with the tuna/mayo ??</t>
  </si>
  <si>
    <t>Soph</t>
  </si>
  <si>
    <t>24.06.2019 02:52</t>
  </si>
  <si>
    <t>02:51</t>
  </si>
  <si>
    <t>FC RX-7 
#carspotting #carspotter #finland #carspottingfinland #mazda #mazdarx7 #fc #rx7 #fcrx7 #jdm #doritos #legend #carmeet #carshow #hypercar #supercar #nicecar #fastcar #sportscar #100mph #200mph</t>
  </si>
  <si>
    <t>Carspotting in finland</t>
  </si>
  <si>
    <t>24.06.2019 02:45</t>
  </si>
  <si>
    <t>si comes doritos arcoíris tu popo sale de colores</t>
  </si>
  <si>
    <t>LaHijaDeSuPTM</t>
  </si>
  <si>
    <t>Ensenada</t>
  </si>
  <si>
    <t>24.06.2019 02:47</t>
  </si>
  <si>
    <t>Paul “Big Paul” Castellano</t>
  </si>
  <si>
    <t>Bob the builder (Retired)</t>
  </si>
  <si>
    <t>finna buy marvel collaboration, but my broke ass can only buy doritos</t>
  </si>
  <si>
    <t>Annabelle</t>
  </si>
  <si>
    <t>24.06.2019 02:46</t>
  </si>
  <si>
    <t>Luyanda</t>
  </si>
  <si>
    <t>Красноярский край</t>
  </si>
  <si>
    <t>Поймо-Тины</t>
  </si>
  <si>
    <t>Lesego Mnisi</t>
  </si>
  <si>
    <t>Our Benefactors</t>
  </si>
  <si>
    <t>24.06.2019 02:43</t>
  </si>
  <si>
    <t>eYow</t>
  </si>
  <si>
    <t>02:41</t>
  </si>
  <si>
    <t>24.06.2019 02:42</t>
  </si>
  <si>
    <t>therealRowanBrown</t>
  </si>
  <si>
    <t>11pm. The deadline is looming. Forget midnight oil. Doritos is the only fuel that is being burned in this office. Philadelphia sleeps.</t>
  </si>
  <si>
    <t>SmithTraceryBot</t>
  </si>
  <si>
    <t>In Episode 110 we sit down with comedian MYQ KAPLAN (Conan, Letterman)! No sponsor this week! Go join our Patreon!
*
Link in bio!
Buy a t-shirt!
Listen on PodBean!
Listen on Spotify!
Listen on Stitcher!
Support our Patreon!
Support our Sponsors!
Subscribe on Apple Podcasts!
*
#1990s #1980s #2000s #90s #80s #00s #Retro #Nostalgia #Nostalgic #Television #TV #VideoGames #Podcast #Snacks #Comedy #Cartoons #Kids #GrowingUp #MyqKaplan #NewJersey #ComicBooks #ArchieComics #Spiderman #Batman #Comics #Camp #Doritos #Guitar #ComedyCentral #XMen
@myqkaplan</t>
  </si>
  <si>
    <t>The Nostalgic Front</t>
  </si>
  <si>
    <t>24.06.2019 07:14</t>
  </si>
  <si>
    <t>my apm</t>
  </si>
  <si>
    <t>find make share .
165 into the nexus time to raise my apm youtube .
time to raise my apm dva overwatch 5 case iphone 7 free .
overwatch time to raise my apm youtube .
time to raise my apm alienware arena .
time to raise my apm you can thank my patrons for asking me .
overwatch d va gameplay time to raise my apm .
time to raise my apm doritos cheese time meme on me me .
time to raise my apm by ponybacon redbubble .
time to raise my a p m by oyabunn on deviantart .
time to raise my apm overwatch know your meme .
iron ladies chapter 219 my apm is</t>
  </si>
  <si>
    <t>philropost.com</t>
  </si>
  <si>
    <t>02:39</t>
  </si>
  <si>
    <t>@CNBC If pot stocks, turn out to be as good of investment as #Bitcoin. We will be using Doritos and cheese puffs as currency</t>
  </si>
  <si>
    <t>Tavin Carter</t>
  </si>
  <si>
    <t>24.06.2019 02:41</t>
  </si>
  <si>
    <t>bag of Doritos</t>
  </si>
  <si>
    <t>yda gehrahn</t>
  </si>
  <si>
    <t>24.06.2019 02:39</t>
  </si>
  <si>
    <t>Numfon_96_</t>
  </si>
  <si>
    <t>taco bell paycheck</t>
  </si>
  <si>
    <t>menu tips .
first paycheck in a while i can finally afford a doritos cheesy .
payday yoyoliving .
circular flow of a market economy ppt download .
taco bell corporation hourly pay payscale .
florida taco bell employee fired for refusing to serve english .
taco bell introduces 2 combo to compete against mcdonald s and .
jury awards taco bell workers nearly a half a million in meal and .
taco bell on the app store .
1113 am bh ben yesterday 440 pm ooo at t omw getting taco bell be .
tacobell site .
circular flow of a market economy ppt download</t>
  </si>
  <si>
    <t>24.06.2019 02:34</t>
  </si>
  <si>
    <t>I’m a slut for Doritos with valentina</t>
  </si>
  <si>
    <t>Christian Reyes</t>
  </si>
  <si>
    <t>24.06.2019 02:33</t>
  </si>
  <si>
    <t>id kill for some doritos right now</t>
  </si>
  <si>
    <t>thais</t>
  </si>
  <si>
    <t>Тайбэй</t>
  </si>
  <si>
    <t>pizza hut taco pizza</t>
  </si>
  <si>
    <t>tacos korean taco pizza now on the menu at pizza .
you remember taco pizza archive straight dope message board .
i traveled back in time when i tried this pinterest recipe 105 9 klaz .
the taco joe pizza at happy joe s pizza ice cream the heavy .
restaurant fast food menu mcdonald s dq bk hamburger pizza mexican .
what is your favorite kind of pizza .
pizza hut in trouble aimless amy .
yum brands restaurantnewsrelease com part 8 .
pizza hut x doritos locos tacos mashup thrillist .
hey pizza hut bring back taco pizza home facebook .
around the</t>
  </si>
  <si>
    <t>ramen flavored oreos</t>
  </si>
  <si>
    <t>cup noodles very veggie soy sauce flavor united states .
nissin top ramen all your favorite flavors .
will it cookie oretos doritos flavored oreo youtube .
13 oreo flavors that made us question is that really a cookie flavor .
s mores oreos are coming this friday and they re supposedly pretty .
the 12 best and worst ramen noodle flavors ranked .
oreocreme home .
nabisco releases bright red swedish fish flavored oreos .
oreos new cinnamon bun flavor hits the stores cnn .
a college student s dream ramen flavored pringles are a real thing</t>
  </si>
  <si>
    <t>goat screaming</t>
  </si>
  <si>
    <t>scream origine meme hd youtube .
eight of the best screaming goat remixes of pop songs you ll ever .
goat screams gif find share on giphy .
baby goats get in a screaming match with their owner the daily dot .
the screaming goats lifting goat meme generator .
doritos 2013 super bowl tv commercial screaming goat ispot tv .
screaming goat does daft punk spin1038 .
screaming goat hand puppet folkmanis .
the yelling goat .
screaming goat hand puppets by folkmanis puppets .
star wars trailer with screaming goats .
screaming goats vs fainting goats</t>
  </si>
  <si>
    <t>24.06.2019 08:23</t>
  </si>
  <si>
    <t>I always had the gum and lid pencils  -
-
-
-
Follow me @niya_p0sted.that for more❣️
°
°
°
°
°
°
°
°
°
#explorepages #bestfriendgoals #bestfriendposts #explorepage #explorer #clearskintips #clearskin #clear #prettyviews #viralvideos #viral #trapboujiee #trapboujie #trending  #edgesonfleek #edges #niyapostedthat #softskin #clearnails  #hair #glossy #lip #lipgloss #lacolors #clearlipgloss #durags #facemask #food #onegottago #mytypechallenge
@itz_.saniya @niya_p0sted.that</t>
  </si>
  <si>
    <t>KEEP IT CUTE SIS - cardi b</t>
  </si>
  <si>
    <t>Just waiting for my laundry to finish tried doing makeup but that was a terrible fail .
.
.
.
.
.
.
#MakupFail
#HeckaBored #whatismypurpose #IllFigureItOut #Doritos #Selfies #LameLlama #WhatTheHeck #IDontKnowAnymore #WhyIsItSoLate</t>
  </si>
  <si>
    <t>Neana Simmons</t>
  </si>
  <si>
    <t>lǝǝɟʍɐƆ</t>
  </si>
  <si>
    <t>Slovakia</t>
  </si>
  <si>
    <t>Кошицкий край</t>
  </si>
  <si>
    <t>Markovce</t>
  </si>
  <si>
    <t>24.06.2019 02:32</t>
  </si>
  <si>
    <t>i cannot believe Ant voluntarily buys doritos</t>
  </si>
  <si>
    <t>JESS</t>
  </si>
  <si>
    <t>@TheJSpence I just put my dick in a bag of doritos and made this bitch suck the dust off the tip  -kenny beats</t>
  </si>
  <si>
    <t>Gabriella</t>
  </si>
  <si>
    <t>Algeria</t>
  </si>
  <si>
    <t>Сетиф (вилайет)</t>
  </si>
  <si>
    <t>Сетиф</t>
  </si>
  <si>
    <t>its like a jungle sometimes it makes me wonder how</t>
  </si>
  <si>
    <t>&gt;&gt;7945851
you are a really obnoxious person
lemme predict your death
you'll die chocking on doritos with your pants full of shit and piss
nobody will check up on your decomposed corpse, so you'll take over the entire apartment with your rotten, putrid stench
nicely done, sir</t>
  </si>
  <si>
    <t>[s4s] - Sh*t 4chan Says - 4chan</t>
  </si>
  <si>
    <t>24.06.2019 02:31</t>
  </si>
  <si>
    <t>Stringer Bell</t>
  </si>
  <si>
    <t>24.06.2019 02:30</t>
  </si>
  <si>
    <t>Mn'taka Gogo.</t>
  </si>
  <si>
    <t>24.06.2019 08:42</t>
  </si>
  <si>
    <t>Buying milk duds at Target late night when you know they aren't keto. #target @kingbakari @njdlau @costumer.shirlee</t>
  </si>
  <si>
    <t>Macy Idzakovich</t>
  </si>
  <si>
    <t>confectionery,junk food,food,snack,frozen food,soft drink,convenience food,drink</t>
  </si>
  <si>
    <t>marketplace,supermarket</t>
  </si>
  <si>
    <t>24.06.2019 02:38</t>
  </si>
  <si>
    <t>U should check the ingredients on anything consumed n which ANY of them R unknown. Even if u wanna eat whatever u want..it’s Logical to Be Aware of the ingredients. Elsewise, u aren’t truly eating WHAT u want..jus narraowing it down 2 broad labels. Doritos = a lot more than</t>
  </si>
  <si>
    <t>Valentina</t>
  </si>
  <si>
    <t>02:24</t>
  </si>
  <si>
    <t>24.06.2019 02:27</t>
  </si>
  <si>
    <t>The cherry on top? He’s teaching him how to eat Doritos. That’s a good father.
Hey dumb fuckers using stuffed animals to exhibit negative reinforcement to get your kids to do something, watch this...</t>
  </si>
  <si>
    <t>lorelli spinelli</t>
  </si>
  <si>
    <t>24.06.2019 02:26</t>
  </si>
  <si>
    <t>Tutu</t>
  </si>
  <si>
    <t>24.06.2019 02:24</t>
  </si>
  <si>
    <t>Xvideos for a study break &gt;&gt;&gt;
The only bag of Doritos that matter</t>
  </si>
  <si>
    <t>Nairobi</t>
  </si>
  <si>
    <t>Найроби</t>
  </si>
  <si>
    <t>24.06.2019 02:22</t>
  </si>
  <si>
    <t>Justine Agnew</t>
  </si>
  <si>
    <t>Levanto 150 kgs en press banca</t>
  </si>
  <si>
    <t>Envidiosos come Doritos</t>
  </si>
  <si>
    <t>FollaNutrias</t>
  </si>
  <si>
    <t>forocoches.com</t>
  </si>
  <si>
    <t>General - ForoCoches</t>
  </si>
  <si>
    <t>24.06.2019 03:15</t>
  </si>
  <si>
    <t>Male Naga In The Woods Makes You His ;) ASMR Roleplay</t>
  </si>
  <si>
    <t>Him: i can trust you
Me: don't I'll stab you for a bag of Doritos and family size soda</t>
  </si>
  <si>
    <t>Raven Hernandez</t>
  </si>
  <si>
    <t>Zombie Cat ASMR</t>
  </si>
  <si>
    <t>02:17</t>
  </si>
  <si>
    <t>24.06.2019 02:23</t>
  </si>
  <si>
    <t>jay lannister</t>
  </si>
  <si>
    <t>Кари́бские Нидерла́нды</t>
  </si>
  <si>
    <t>Zions Hill</t>
  </si>
  <si>
    <t>02:16</t>
  </si>
  <si>
    <t>WE TRIED ASMR FOR THE FIRST TIME (and it was hilarious )</t>
  </si>
  <si>
    <t>WE TRIED ASMR FOR THE FIRST TIME (and it was hilarious )
WE TRIED ASMR FOR THE FIRST TIME !!
GET READY FOR THE TINGLES !!!! 
Welcome to our YouTube Channel!!!! This video is for all the amsr lovers !! We love watching AMSRs and thought we would do our own take on ASMR !  We tried a couple snacks with extremely satisfying sounds , we hope you enjoy the tingles 
This is one of our more playful, spontaneous videos. Subscribe if you enjoyed this video and check out our other videos to see more content.
Don’t be a hater ! Like the video, give us your feedback in the comments section and share this video with all your friends and family ! 
Instagram: 
Rea: @betswe__
Rori: @rorisangrosem</t>
  </si>
  <si>
    <t>Rea and Rori</t>
  </si>
  <si>
    <t>Consider yourself lucky  to have me as part of your life#doritoz#</t>
  </si>
  <si>
    <t>doritoz sweet chill</t>
  </si>
  <si>
    <t>Namibia</t>
  </si>
  <si>
    <t>Карас</t>
  </si>
  <si>
    <t>Людериц</t>
  </si>
  <si>
    <t>t-shirt,shoe,clothing,shorts</t>
  </si>
  <si>
    <t>24.06.2019 02:15</t>
  </si>
  <si>
    <t>☃</t>
  </si>
  <si>
    <t>02:11</t>
  </si>
  <si>
    <t>Doritos Cool Ranch ↩️</t>
  </si>
  <si>
    <t>02:10</t>
  </si>
  <si>
    <t>24.06.2019 02:11</t>
  </si>
  <si>
    <t>Bolo Motlhagodi</t>
  </si>
  <si>
    <t>02:07</t>
  </si>
  <si>
    <t>Take a chip. Get an a n g e r y boy. 
Video link in bio
.
.
.
#crackermilk #behindthemilk #doritos #memes #meme #dorito #cornchips #behindthescenes #behindthescenes #funny #angery #angry #angryreact #grr #comedy #sketchcomedy #newvideo
@eliasdw</t>
  </si>
  <si>
    <t>CrackerMilk</t>
  </si>
  <si>
    <t>24.06.2019 07:11</t>
  </si>
  <si>
    <t>jumpin jack doritos</t>
  </si>
  <si>
    <t>amazon com new doritos jumpin jack cheese flavored tortilla chips .
amazon com new doritos jumpin jack cheese flavored tortilla chips .
amazon com new doritos jumpin jack cheese flavored tortilla chips .
review limited edition jumpin jack doritos the impulsive buy .
doritos jumpin jack tortilla chips hy vee aisles online grocery .
review doritos limited edition jumpin jack tortilla chips .
fatguyfoodblog will you jump for jumpin jack doritos .
review limited edition jumpin jack doritos buh bye monopoly iron .
bring back jumpin jack doritos</t>
  </si>
  <si>
    <t>02:06</t>
  </si>
  <si>
    <t>You can eat chips without disrupting whatever show you’re watching</t>
  </si>
  <si>
    <t>Nice. These Ranch Doritos crunching really ruins the bukake scene.</t>
  </si>
  <si>
    <t>Slayhole</t>
  </si>
  <si>
    <t>24.06.2019 02:09</t>
  </si>
  <si>
    <t>I just wanna full palm eat flamin hot Doritos and not cry</t>
  </si>
  <si>
    <t>✨Brass Man✨</t>
  </si>
  <si>
    <t>24.06.2019 02:05</t>
  </si>
  <si>
    <t>Dö rivör. #tamworth #england #unitedkingdom #uk #doritos
@itskirakiraly @f3h3r_boti @lili_virag11 @takitaki_bitch @justminniee @ayouura @dorkakiraly @dzsulianofeher</t>
  </si>
  <si>
    <t>Hee Hee</t>
  </si>
  <si>
    <t>Тамуэрт</t>
  </si>
  <si>
    <t>bridge,tree</t>
  </si>
  <si>
    <t>natural landscape,wilderness,vegetation,lake,sky,nature,river,reflection,water</t>
  </si>
  <si>
    <t>uManzini</t>
  </si>
  <si>
    <t>24.06.2019 02:04</t>
  </si>
  <si>
    <t>@MluDeGreat @_KP_Raps  this nigga eating doritos, watching porn and studying? Ya no ke multitask ya di heleng eo</t>
  </si>
  <si>
    <t>KeorapetseKPBokala</t>
  </si>
  <si>
    <t>Lemme try this#likeforlikes 
#likeforlike 
#like4follow 
#laiibirthdaycountdown 
#riverdale 
#kehlaniparrish 
#kehlaniedits 
#kehlaniedit 
#kehlaniparish 
#adelechallenge 
#d1xswagbag 
#comic 
#couplegoals 
#comment4comment 
#followforfollowback 
#streetwear 
#onedayatatime
#omrct1 
#likeforlikes 
#explore 
#overlays 
#ccpedits
#likesforlikesback #internationalwomensday 
#likeforlikes 
#likeforlike 
#like4follow 
#laiibirthdaycountdown 
#riverdale 
#kehlaniparrish 
#kehlaniedits 
#kehlaniedit 
#kehlaniparish 
#adelechallenge 
#d1xswagbag 
#comic 
#couplegoals 
#comment4comment 
#followforfollowback 
#streetwear 
#onedayatatime
#omrct1 
#likeforlikes 
#explore 
#overlays 
#ccpedits</t>
  </si>
  <si>
    <t>miya</t>
  </si>
  <si>
    <t>confectionery,toy,snack,convenience food,food</t>
  </si>
  <si>
    <t>24.06.2019 02:07</t>
  </si>
  <si>
    <t>Our biggest fans this week: jin_doritos, Olenka43811487, bulltaorune. Thank you! via https://sumall.com/thankyou?utm_source=twitter&amp;utm_medium=publishing&amp;utm_campaign=thank_you_tweet&amp;utm_content=text_and_media&amp;utm_term=9b16e37289865229cc7113ba</t>
  </si>
  <si>
    <t>kนkค  ǝʎǝ s,uıſ uı pnɯ</t>
  </si>
  <si>
    <t>01:59</t>
  </si>
  <si>
    <t>24.06.2019 02:00</t>
  </si>
  <si>
    <t>I would pay $100 for one bag of these delicious fuckers. The best flavor of @Doritos</t>
  </si>
  <si>
    <t>Landon Larimore</t>
  </si>
  <si>
    <t>01:58</t>
  </si>
  <si>
    <t>24.06.2019 01:58</t>
  </si>
  <si>
    <t>Emma H</t>
  </si>
  <si>
    <t>Eastbourne</t>
  </si>
  <si>
    <t>24.06.2019 01:57</t>
  </si>
  <si>
    <t>John Mcgovern</t>
  </si>
  <si>
    <t>Jacques Swart</t>
  </si>
  <si>
    <t>Stellenbosch</t>
  </si>
  <si>
    <t>24.06.2019 01:55</t>
  </si>
  <si>
    <t>Janine Atkin</t>
  </si>
  <si>
    <t>01:54</t>
  </si>
  <si>
    <t>Hey @Doritos, the superpower that doritos gives me is the ability to have super cheesy fingers that allows me to climb walls and buildings. So hook me up with a suit. Thanks! #IncognitoDoritos #Entry</t>
  </si>
  <si>
    <t>Melissa Baesa</t>
  </si>
  <si>
    <t>Just say this man, @MindofAndrew donate tfue 150,000+ bits and im over here eating doritos and playing fortnite on 45 fps : |. Man hits different sometimes</t>
  </si>
  <si>
    <t>sorav2</t>
  </si>
  <si>
    <t>01:51</t>
  </si>
  <si>
    <t>24.06.2019 01:56</t>
  </si>
  <si>
    <t>If you eat Doritos you’re nasty</t>
  </si>
  <si>
    <t>Drippy Tee</t>
  </si>
  <si>
    <t>broken-sould: No me gusta sentir tanto, porque duele</t>
  </si>
  <si>
    <t>ill-make-u-pay ha reblogueado esto desde alma-desvanecida A whitorwithoutyou le gusta esto rocky-26 ha reblogueado esto desde la-chica-de-los-doritos A booksworldsblog le gusta esto la-nata-de-tu-leche2punto0 ha reblogueado esto desde i-wish-but-i-do-not-exist A la-nata-de-tu-leche2punto0 le gusta esto A chiefherobananashepherd le gusta esto rider-of-the-stars ha reblogueado esto desde alma-desvanecida A rider-of-the-stars le gusta esto lovebetters ha reblogueado esto desde la-chica-de-los-doritos A lovebetters le gusta esto A almostperfects-blog le gusta esto dreamer000always ha reblogueado esto desde meliberga A hecho-a-mano le gusta esto A calamidad1 le gusta esto A optimisticchaossuit le gusta esto A beautifulforever9873 le gusta esto</t>
  </si>
  <si>
    <t>broken-sould.tumblr.com</t>
  </si>
  <si>
    <t>01:50</t>
  </si>
  <si>
    <t>24.06.2019 01:54</t>
  </si>
  <si>
    <t>Jen²ʷᶦˢʰ</t>
  </si>
  <si>
    <t>Kåren</t>
  </si>
  <si>
    <t>24.06.2019 01:53</t>
  </si>
  <si>
    <t>@kayyqueen_ Doritos be the best to me</t>
  </si>
  <si>
    <t>Brielle</t>
  </si>
  <si>
    <t>Детройт</t>
  </si>
  <si>
    <t>24.06.2019 01:50</t>
  </si>
  <si>
    <t>@whipped2wish Doritos COOL RANCH....</t>
  </si>
  <si>
    <t>blueamaya</t>
  </si>
  <si>
    <t>01:49</t>
  </si>
  <si>
    <t>24.06.2019 01:59</t>
  </si>
  <si>
    <t>I’m thinking Doritos runs the game but frito lays is worth 28.2 BILLION... lmao bruh</t>
  </si>
  <si>
    <t>Hugo</t>
  </si>
  <si>
    <t>M.V.Palem</t>
  </si>
  <si>
    <t>24.06.2019 01:49</t>
  </si>
  <si>
    <t>Bruh I was wondering the other day how much Doritos worth and then I found out it’s a branch under frito lays</t>
  </si>
  <si>
    <t>i have this coming saturday off so i can spend my entire evening watching the chrono trigger run OMG... gotta go and buy cool ranch doritos so i can totally immerse myself</t>
  </si>
  <si>
    <t>mia</t>
  </si>
  <si>
    <t>01:46</t>
  </si>
  <si>
    <t>24.06.2019 01:48</t>
  </si>
  <si>
    <t>Cheetos Trending at Independent Los Angeles Restaurants
Cheetos-infused dishes are trending in Los Angeles as creations inspired by Taco Bell's Doritos Locos Tacos and Burger King's Mac N' Cheetos appear on menus at independent restaurants. Food and b https://www.specialtyfood.com/news/article/cheetos-trending-independent-los-angeles-restaurants/</t>
  </si>
  <si>
    <t>Jane Broke</t>
  </si>
  <si>
    <t>24.06.2019 01:47</t>
  </si>
  <si>
    <t>Purple Doritos are the best. Idc what you say</t>
  </si>
  <si>
    <t>lizzy boo☝</t>
  </si>
  <si>
    <t>Combo
Quite a combo you've got there. Doritos and Xvideos  Do you bro</t>
  </si>
  <si>
    <t>♠️Blesser ya Sdomane</t>
  </si>
  <si>
    <t>C-GULL</t>
  </si>
  <si>
    <t>24.06.2019 01:40</t>
  </si>
  <si>
    <t>#zombiefood #zombie #sketchbook #drawing #instadraw #instaphoto #graphic #ink #pencil #illustration #instadraw #doritos #oregon #draw #video #artistsoninstagram #artwork #drew #ethanhoey #digitalart #drawn #pen #pencil #inked #procreate #horror #arte #doritos #cheese</t>
  </si>
  <si>
    <t>Ethan Hoey</t>
  </si>
  <si>
    <t>01:39</t>
  </si>
  <si>
    <t>24.06.2019 01:42</t>
  </si>
  <si>
    <t>Doritos Goth ↩️</t>
  </si>
  <si>
    <t>not your cheese doritos</t>
  </si>
  <si>
    <t>Further Down the Spiral Mountain</t>
  </si>
  <si>
    <t>24.06.2019 01:39</t>
  </si>
  <si>
    <t>JOE</t>
  </si>
  <si>
    <t>Terengganu / ترڠڬانو</t>
  </si>
  <si>
    <t>Chukai</t>
  </si>
  <si>
    <t>01:38</t>
  </si>
  <si>
    <t>SIMONKNUCKEY</t>
  </si>
  <si>
    <t>24.06.2019 07:41</t>
  </si>
  <si>
    <t>Which are ur favorite? 
#comment #likeforlikes #explorepage</t>
  </si>
  <si>
    <t>myaaaa_stampzzz_</t>
  </si>
  <si>
    <t>fast food,confectionery,convenience food,food,junk food,snack</t>
  </si>
  <si>
    <t>24.06.2019 01:37</t>
  </si>
  <si>
    <t>Is it too late for Doritos con limon y tapatio?</t>
  </si>
  <si>
    <t>Sus</t>
  </si>
  <si>
    <t>24.06.2019 01:36</t>
  </si>
  <si>
    <t>01:32</t>
  </si>
  <si>
    <t>Blaze Doritos the best</t>
  </si>
  <si>
    <t>Grateful</t>
  </si>
  <si>
    <t>24.06.2019 01:34</t>
  </si>
  <si>
    <t>-Siiiii, Pero Los Doritos Son Todos Tullos &lt;3 https://www.facebook.com/yenkeiber.lopez/posts/1256677031157308</t>
  </si>
  <si>
    <t>Yenkeiber Guerra</t>
  </si>
  <si>
    <t>Сукре</t>
  </si>
  <si>
    <t>Cruz de Aragua</t>
  </si>
  <si>
    <t>24.06.2019 01:38</t>
  </si>
  <si>
    <t>Sad Cowboy</t>
  </si>
  <si>
    <t>24.06.2019 01:35</t>
  </si>
  <si>
    <t>Bro why do Doritos™ bags have to be so loud? one slip up and my whole family knows that I'm hitting that nighttime snack button</t>
  </si>
  <si>
    <t>you know who I am.</t>
  </si>
  <si>
    <t>24.06.2019 01:30</t>
  </si>
  <si>
    <t>Heidi Stuart</t>
  </si>
  <si>
    <t>Rottingdean</t>
  </si>
  <si>
    <t>ava org buruk lagi onlen,,,</t>
  </si>
  <si>
    <t>@BobbyBatesXXX I definitely finished off half a bag of family size Doritos tonight...</t>
  </si>
  <si>
    <t>Dylan James</t>
  </si>
  <si>
    <t>dave salomone</t>
  </si>
  <si>
    <t>Milford</t>
  </si>
  <si>
    <t>Angelito</t>
  </si>
  <si>
    <t>Arlington Heights</t>
  </si>
  <si>
    <t>Haley Query⛵️</t>
  </si>
  <si>
    <t>@starkseavey “my Doritos are gone”
Me:”maybe cause you fucking swallowed them”
Meghan:”I only swallowed one—“ *starts choking*
Me:”are you dying??”
Meghan:”I SWALLOWED ANOTHER ONE”</t>
  </si>
  <si>
    <t>TATE MISSES FLV’s HUGS✈️✈️</t>
  </si>
  <si>
    <t>01:28</t>
  </si>
  <si>
    <t>24.06.2019 01:32</t>
  </si>
  <si>
    <t>Quiero doritos, coca cola y nutella :(</t>
  </si>
  <si>
    <t>López✨</t>
  </si>
  <si>
    <t>24.06.2019 01:28</t>
  </si>
  <si>
    <t>@Gr8WyteGibster Oh well. Different Doritos for different amigos, I guess.</t>
  </si>
  <si>
    <t>Dugan</t>
  </si>
  <si>
    <t>Tillsonburg</t>
  </si>
  <si>
    <t>24.06.2019 01:31</t>
  </si>
  <si>
    <t>@Doritos #IncognitoDoritos #Entry it gives me powers to not stay hungry LOL</t>
  </si>
  <si>
    <t>Geena Kim (김지나)</t>
  </si>
  <si>
    <t>Doritos were invented at Disneyland.</t>
  </si>
  <si>
    <t>Joseph Reid ♿</t>
  </si>
  <si>
    <t>Bay of Plenty</t>
  </si>
  <si>
    <t>Тауранга</t>
  </si>
  <si>
    <t>24.06.2019 07:34</t>
  </si>
  <si>
    <t>Blues in 7
•
•
•
•
•
•
#memes #dankmemes #f4f #minecraft #robloxmemes #roblox #minecraftmemes #dankmemes #instagram #pictures #trump #epic #fortnite #fortnitebattleroyale #nba #zion
@nhlbruins</t>
  </si>
  <si>
    <t>Edits</t>
  </si>
  <si>
    <t>recipe network</t>
  </si>
  <si>
    <t>mixer giveaway .
home pennsylvania nutrition and education network .
this is giada de laurentiis s most popular pasta recipe .
grilled pita pizzas recipes cooking channel recipe food .
food network kitchens favorites recipes food network kitchens .
5 ingredient instant pot mac and cheese recipe food network .
25 amazing food infographics drawn from 49 733 recipes wired .
making mayo s recipes chicken parmesan mayo clinic news network .
mocha brownies the pioneer woman .
food network in the kitchen on the app store .
doritos taco salad free</t>
  </si>
  <si>
    <t>01:24</t>
  </si>
  <si>
    <t>@dooger66 Nope, I have. Sweet chilli heat  Doritos is where it’s at, even if it killed my stomach for three days afterwards</t>
  </si>
  <si>
    <t>Taylor G</t>
  </si>
  <si>
    <t>Duncan</t>
  </si>
  <si>
    <t>24.06.2019 01:24</t>
  </si>
  <si>
    <t>Tamara’s mom saw I had Doritos last night and she bought some for me today so I had some when I got home. If that ain’t love idk what is. I legit want to cry I love her so much</t>
  </si>
  <si>
    <t>tamara</t>
  </si>
  <si>
    <t>01:21</t>
  </si>
  <si>
    <t>24.06.2019 01:22</t>
  </si>
  <si>
    <t>Sitting in a parking lot eating Doritos and demolishing a lunchable while sippin on a caprisun, chillin</t>
  </si>
  <si>
    <t>Eli-zuhh</t>
  </si>
  <si>
    <t>Well ok then.</t>
  </si>
  <si>
    <t>Fuck, now I gotta go get Doritos.</t>
  </si>
  <si>
    <t>G4L4CT1C4</t>
  </si>
  <si>
    <t>suspiciouslyspecific</t>
  </si>
  <si>
    <t>24.06.2019 01:21</t>
  </si>
  <si>
    <t>@raechelechaconn Everyone in this picture lives exclusively on gas station red bull, cheap beer, and stale Doritos</t>
  </si>
  <si>
    <t>mercedes r✨</t>
  </si>
  <si>
    <t>24.06.2019 01:25</t>
  </si>
  <si>
    <t>Doopy 2: Electric Mewgaloo ⚡</t>
  </si>
  <si>
    <t>they don’t have Doritos Flamas at this Target.</t>
  </si>
  <si>
    <t>Israel</t>
  </si>
  <si>
    <t>Центральный округ</t>
  </si>
  <si>
    <t>Пальмахим</t>
  </si>
  <si>
    <t>01:18</t>
  </si>
  <si>
    <t>I swear when my brother steals the Doritos I was saving for myself 
⁣⁣⁣⁣⁣⁣⁣⁣⁣⁣⁣⁣⁣⁣⁣⁣⁣⁣⁣⁣⁣⁣⁣⁣⁣⁣⁣⁣⁣⁣⁣⁣⁣⁣⁣⁣⁣⁣⁣⁣⁣⁣⁣⁣⁣⁣⁣oof I forgot to post this earlier rip • CREDIT:⁣⁣⁣⁣⁣⁣⁣⁣⁣⁣⁣⁣⁣⁣⁣⁣⁣⁣⁣⁣⁣⁣⁣⁣⁣⁣
⁣⁣⁣⁣⁣⁣⁣⁣⁣⁣⁣⁣⁣⁣⁣⁣⁣⁣⁣⁣⁣⁣⁣⁣⁣⁣
@ me (Edit)⁣⁣⁣⁣⁣⁣⁣⁣⁣⁣⁣⁣⁣⁣⁣⁣⁣⁣⁣⁣⁣⁣⁣⁣⁣⁣
@ me (meme)⁣⁣⁣⁣⁣⁣⁣⁣⁣⁣⁣⁣⁣⁣⁣⁣⁣⁣⁣⁣⁣⁣⁣⁣⁣⁣⁣⁣⁣⁣⁣⁣⁣⁣⁣⁣⁣⁣⁣⁣⁣⁣⁣⁣⁣⁣⁣⁣⁣⁣⁣⁣⁣⁣⁣
⁣⁣⁣⁣⁣⁣⁣⁣⁣⁣⁣⁣⁣⁣⁣⁣⁣⁣⁣⁣⁣⁣⁣⁣⁣⁣⁣⁣⁣⁣⁣⁣⁣⁣⁣⁣⁣⁣⁣⁣⁣⁣⁣⁣⁣⁣⁣⁣⁣⁣⁣⁣⁣⁣⁣⁣⁣⁣⁣⁣⁣⁣⁣⁣⁣⁣⁣⁣⁣⁣⁣⁣⁣⁣⁣⁣⁣⁣⁣⁣⁣
• Some hashtags to ignore:⁣⁣⁣⁣⁣⁣⁣⁣⁣⁣⁣⁣⁣⁣⁣⁣⁣⁣⁣⁣⁣⁣⁣⁣⁣⁣⁣⁣⁣⁣⁣⁣⁣⁣⁣⁣⁣⁣⁣⁣⁣⁣⁣⁣⁣⁣⁣⁣⁣⁣⁣⁣⁣⁣⁣⁣⁣⁣⁣⁣⁣⁣⁣⁣⁣⁣⁣⁣⁣⁣⁣⁣⁣⁣⁣⁣⁣⁣⁣⁣⁣⁣⁣⁣⁣⁣⁣⁣⁣⁣⁣⁣⁣⁣⁣⁣⁣⁣⁣⁣⁣⁣⁣⁣⁣⁣⁣
⁣⁣⁣⁣⁣⁣⁣⁣⁣⁣⁣⁣⁣⁣⁣⁣⁣⁣⁣⁣⁣⁣⁣⁣⁣⁣⁣⁣⁣⁣⁣⁣⁣⁣⁣⁣⁣⁣⁣⁣⁣⁣⁣⁣⁣⁣⁣⁣⁣⁣⁣⁣⁣⁣⁣⁣⁣⁣⁣⁣⁣⁣⁣⁣⁣⁣⁣⁣⁣⁣⁣⁣⁣⁣⁣⁣⁣⁣⁣⁣⁣⁣⁣⁣⁣⁣⁣⁣⁣⁣⁣⁣⁣⁣⁣⁣⁣⁣⁣⁣⁣⁣⁣⁣⁣⁣⁣
#phan #phandom #danandphil #dipandpip #dnp #ii #interactiveintroverts #Dapgo #danisnotonfire #danielhowell #phillester #amazingphil #tatinof #tabinof #meme #edit #phanedit #phanmeme #fetusdan #fetusdanhowell @danielhowell @amazingphil
@danielhowell @amazingphil</t>
  </si>
  <si>
    <t>Dan &amp; Phil FAN ACCOUNT</t>
  </si>
  <si>
    <t>01:14</t>
  </si>
  <si>
    <t>24.06.2019 01:18</t>
  </si>
  <si>
    <t>WHATEVER YOU WANT - Reach for it! And whoever put the Bamba nougat on the top shelf, I’d like to speak to your manager 
•
•
•
: @axelthegreat
@nefeshbnefesh @curvaceouslush @deliciousisrael @curvasian @doritos @masaisrael @israel21c @birthrightisrael @israeloncampus @vibeisrael @telaviviancityguide @bamba @telavivfoodies @nbntlv @birthrightisrael_foundation @iexploreisrael @bissli_usa @nbnoncampus @plussizetravelerpodcast @israel__pictures</t>
  </si>
  <si>
    <t>Amy ✌❤️ איימי</t>
  </si>
  <si>
    <t>Тель-Авивский округ</t>
  </si>
  <si>
    <t>Тель-Авив</t>
  </si>
  <si>
    <t>soft drink,junk food,food,snack,convenience food,drink</t>
  </si>
  <si>
    <t>24.06.2019 01:20</t>
  </si>
  <si>
    <t>@Doritos the super power i get from eating Doritos is the ability to stay thin even tho i eat them allllll day long!!! #IncognitoDoritos #Entry #Doritos #cantstopatonebag</t>
  </si>
  <si>
    <t>kelly sampaolo</t>
  </si>
  <si>
    <t>01:13</t>
  </si>
  <si>
    <t>24.06.2019 01:13</t>
  </si>
  <si>
    <t>did a thing and bought an FC rx7 this weekend, me and @lly_jason made alot of progress on the car , fully gutted , going to start paintig her and well shes going to get a brand new heart ❤️ #rotary#rx7#fc3s#mazda#realjdm#projectcar#sendit#oil#motorheads#rwd#doritos#investment</t>
  </si>
  <si>
    <t>Chris Adams</t>
  </si>
  <si>
    <t>01:12</t>
  </si>
  <si>
    <t>24.06.2019 01:17</t>
  </si>
  <si>
    <t>@Pandemonium_X I get sick from all varieties of Doritos if I eat them by themselves, but it doesn't happen if I eat them along with something else, like a sandwich. I don't know why</t>
  </si>
  <si>
    <t>Jelly T Beagle</t>
  </si>
  <si>
    <t>24.06.2019 01:15</t>
  </si>
  <si>
    <t>@ImLoopee It is lol. Chill is good, hell we NEED more chill. but yeah i'm good, just sitting here laughing at twitter comments sippin a beer and thinking about doritos.</t>
  </si>
  <si>
    <t>C. Rowe</t>
  </si>
  <si>
    <t>24.06.2019 01:14</t>
  </si>
  <si>
    <t>Ana</t>
  </si>
  <si>
    <t>☆The archduke of cheeks♧</t>
  </si>
  <si>
    <t>Zambia</t>
  </si>
  <si>
    <t>Lusaka Province</t>
  </si>
  <si>
    <t>Лусака</t>
  </si>
  <si>
    <t>Sporadic yet interlinked post</t>
  </si>
  <si>
    <t>you do that's why" In my dream I was angry with him for saying that, and tackled him to the ground and threw a packet of doritos on him smearing him with chips and dip.
I think that when he chooses to be with her he is never in his Masculine energy at all, and he encompasses Feminine energy whilst she wears the pants in the agreement - which she puts together with voodoo sh*t.
The control of the man or human host by ancestor spirits, links up to my dream. With the manipulation of sangoma spirits, wiccan, pagan witchcraft a man can not remember</t>
  </si>
  <si>
    <t>Scribbles From The Soul (noreply@blogger.com)</t>
  </si>
  <si>
    <t>01:04</t>
  </si>
  <si>
    <t>24.06.2019 01:05</t>
  </si>
  <si>
    <t>we can keep the rotary community alive♥️Media coverage for our event by @rix_magazine @longislandexoticcarsny Thank you for your support everyone! #7sday#rotary#mazda#rx7#rx8#12a#13b#20b#longisland#trl_therotarylife#wankel#doritos#brap#carmeet#jdm#respect#zoomzoom#rx2#rx3#rx4
@duspeed @bushwick @theseavey @mike_performance @built2apex @abillyt @monstermills @dredtech_performance @calcutti @rotary13b1com @rx7zamboni @monchie73 @mazdarew_tt @jpr_imports @rotary_compression_tester @gen3rx @fo_93fd @stopmotionlighting @tstarx7 @all_about_7s</t>
  </si>
  <si>
    <t>01:02</t>
  </si>
  <si>
    <t>24.06.2019 01:06</t>
  </si>
  <si>
    <t>@Doritos when’s the next crash course? I’m dying to play something fresh</t>
  </si>
  <si>
    <t>Hiidra</t>
  </si>
  <si>
    <t>01:01</t>
  </si>
  <si>
    <t>24.06.2019 01:07</t>
  </si>
  <si>
    <t>Dorito encrusted chops
#foodporn #doritos #becreative #foodie #love #passionate #myart #fried</t>
  </si>
  <si>
    <t>Rebekah Marie</t>
  </si>
  <si>
    <t>meat,junk food,fast food,fried chicken,food,fried food</t>
  </si>
  <si>
    <t>Ala bestia que buenas están las palomitas de Doritos rojos</t>
  </si>
  <si>
    <t>̃</t>
  </si>
  <si>
    <t>neesha✨</t>
  </si>
  <si>
    <t>24.06.2019 01:03</t>
  </si>
  <si>
    <t>Orange packet 
Bout to have the best Doritos. Which flavour am I talking about?</t>
  </si>
  <si>
    <t>Private Chef Scott</t>
  </si>
  <si>
    <t>24.06.2019 00:58</t>
  </si>
  <si>
    <t>No China. No. #weirdfoods #doritos #shrimpdoritos #seaweedlays #lays #chinesefood #weirdchinesefood #chinesecrisps #crisps #flavours #camembertisfrench</t>
  </si>
  <si>
    <t>Suzi Duncan</t>
  </si>
  <si>
    <t>24.06.2019 00:54</t>
  </si>
  <si>
    <t>2 likes and i’ll eat spicy doritos.</t>
  </si>
  <si>
    <t>dani</t>
  </si>
  <si>
    <t>Оахака</t>
  </si>
  <si>
    <t>Chocolate</t>
  </si>
  <si>
    <t>Courtney Ball</t>
  </si>
  <si>
    <t>Don’t forget we are collecting items for our awesome fundraising hamper organised by @maryanne.cross. If you have any small items that you think our gym dads would love, then pass them over our friendly office desk to be put into the Hamper! .
.
Tickets will be sold at the beginning of term 3. $2 for 1, $5 for 3 and $10 for 7 tickets. .
.
Raffle to be drawn on the 24th of August (1 week before Father’s Day) .
.
@shiregymnastics .
.
#fathersday #father #no1dad #hamper #gifts #treats #gymdad</t>
  </si>
  <si>
    <t>Shire Gymnastics MAG</t>
  </si>
  <si>
    <t>24.06.2019 00:52</t>
  </si>
  <si>
    <t>Tshego( );</t>
  </si>
  <si>
    <t>@ULTRASLUT A power menu burrito, 3 Doritos locos tacos (cool ranch), cinnamon twists, and a Baja blast. And lots of mild sauce</t>
  </si>
  <si>
    <t>Gracie Walker</t>
  </si>
  <si>
    <t>Besitos? I want Doritos</t>
  </si>
  <si>
    <t>Jotoro</t>
  </si>
  <si>
    <t>When Mom doesnt notice the doritos in the basket</t>
  </si>
  <si>
    <t>What the song</t>
  </si>
  <si>
    <t>Fred freak Aka randomman</t>
  </si>
  <si>
    <t>Mememasterjim</t>
  </si>
  <si>
    <t>24.06.2019 00:53</t>
  </si>
  <si>
    <t>The blue ones
Bout to have the best Doritos. Which flavour am I talking about?</t>
  </si>
  <si>
    <t>alanaa</t>
  </si>
  <si>
    <t>Грэхэмстаун</t>
  </si>
  <si>
    <t>24.06.2019 00:50</t>
  </si>
  <si>
    <t>@Doritos Will give you the power to fight for what’s nachos. With great power comes great responsibility #IncognitoDoritos #Entry</t>
  </si>
  <si>
    <t>Marshall Shepard</t>
  </si>
  <si>
    <t>Spicy sweet chili @Doritos are my #vegan junk of choice ✨consider this an official endorsement from someone with absolutely no clout</t>
  </si>
  <si>
    <t>gemini daddy</t>
  </si>
  <si>
    <t>leisure,water,beach,summer,vacation,ocean</t>
  </si>
  <si>
    <t>00:47</t>
  </si>
  <si>
    <t>24.06.2019 00:47</t>
  </si>
  <si>
    <t>@Tense_OCE Red powerade and doritos for me xD</t>
  </si>
  <si>
    <t>Undead</t>
  </si>
  <si>
    <t>00:46</t>
  </si>
  <si>
    <t>Sweet Chilli ♥️
Bout to have the best Doritos. Which flavour am I talking about?</t>
  </si>
  <si>
    <t>Memeee
Instagram:@the_doritos_of_the_bts 
Twitter:@the_doritos_bts
#humor #ilovejhopebts #jhope #bts #kpop</t>
  </si>
  <si>
    <t>Provincia Heredia</t>
  </si>
  <si>
    <t>Barreal</t>
  </si>
  <si>
    <t>ME IRÉ A CORTAR CON LOS DORITOS BYE  PERO ANTES DE ESO VAYAN A ESCUCHAR #decerocnco  .
.
.
.
.
@cncomusic @christopherbvelezm @joelpimentel  @zabdieldejesus @erickbriancolon @richardcamacho  #CNCO #cncowners #Chrisdiel #oreo #chriserick #joerick #Jobdiel #erickdiel #joechris #virgato #cncoálbum #Fandom #Fangirl #cncoVideo  #christophervelez #cncochristopher #christophercnco #erickbriancolon #cncoerick #erickcnco #joelpimentel #cncojoel #joelcnco #zabdieldejesus #zabdielcnco #cncozabdiel #richardcamacho #richardcnco #yosoycncowner
@erickbriancolon @zabdieldejesus @christopherbvelezm @richardcamacho @joelpimentel @cncomusic @wkentertainment</t>
  </si>
  <si>
    <t>Cncowners_Ec</t>
  </si>
  <si>
    <t>presentation,conversation</t>
  </si>
  <si>
    <t>00:43</t>
  </si>
  <si>
    <t>Maddie</t>
  </si>
  <si>
    <t>Celina</t>
  </si>
  <si>
    <t>24.06.2019 00:45</t>
  </si>
  <si>
    <t>@GladysSeara Doritos... definitivamente doritos</t>
  </si>
  <si>
    <t>le Felipe Villarroel</t>
  </si>
  <si>
    <t>24.06.2019 00:44</t>
  </si>
  <si>
    <t>Zach ziolo</t>
  </si>
  <si>
    <t>Claire Mittica</t>
  </si>
  <si>
    <t>Snacks  time... #doritos #park</t>
  </si>
  <si>
    <t>Anujit Bizz Bud Head</t>
  </si>
  <si>
    <t>confectionery,snack,food</t>
  </si>
  <si>
    <t>00:41</t>
  </si>
  <si>
    <t>24.06.2019 00:41</t>
  </si>
  <si>
    <t>Swamp Doritos #animals #nature #animal #pets #love #cute #wildlife #pet #photography #dog #dogs #cats #instagram #cat #photooftheday #naturephotography #of #dogsofinstagram #instagood #birds #art #puppy #animallovers #zoo #wildlifephotography #petstagram #catsofinstagram #bird #petsofinstagram #bhfyp</t>
  </si>
  <si>
    <t>terry</t>
  </si>
  <si>
    <t>24.06.2019 00:36</t>
  </si>
  <si>
    <t>︽✵ Dev ✵︽</t>
  </si>
  <si>
    <t>провинция Даклак</t>
  </si>
  <si>
    <t>Bản Đôn</t>
  </si>
  <si>
    <t>Doritos" https://i.redd.it/r1ft3arhg8631.png</t>
  </si>
  <si>
    <t>sanswitch1</t>
  </si>
  <si>
    <t>00:32</t>
  </si>
  <si>
    <t>24.06.2019 00:35</t>
  </si>
  <si>
    <t>Did a little shoot today can’t wait to show you guys!!
.
.
.
.
.
.
.
.
.
.
.
.
.
.
.
#Cosplay #cosplayer #spiderman #spidermancosplay #peterparker #selfie #cosplaygirl #cosplayers #cosplaying #cosplayersofinstagram #cosplaymodel #cosplays #cosplayphotography #cosplaygirls #cosplaylife #cosplaymakeup #cosplaywip #cosplayworld #cosplayerofinstagram #cosplayprogress #cosplayergirl #cosplayphoto #cosplayselfie #cosplayboy #cosplaybabe #cosplayprop #cosplaywig #cosplaylove #cosplayphotoshoot #cosplayphotographer
@doritos @fritolay</t>
  </si>
  <si>
    <t>24.06.2019 00:37</t>
  </si>
  <si>
    <t>I’m the kind of person to like stale Doritos</t>
  </si>
  <si>
    <t>Caleb Townsend</t>
  </si>
  <si>
    <t>I wanna play Doritos crash course</t>
  </si>
  <si>
    <t>NRG</t>
  </si>
  <si>
    <t>منطقة الداخلية</t>
  </si>
  <si>
    <t>فل</t>
  </si>
  <si>
    <t>00:31</t>
  </si>
  <si>
    <t>24.06.2019 00:31</t>
  </si>
  <si>
    <t>@brendonwalsh Comedy has become the run off from more prestigious professions. Listening to interviews with, say, a Seth Myers writer, and it just sounds like someone who should be writing copy for Doritos or political campaigns.</t>
  </si>
  <si>
    <t>local</t>
  </si>
  <si>
    <t>24.06.2019 00:32</t>
  </si>
  <si>
    <t>Porfin se me hizo mis palomitas de doritos de @Cinepolis</t>
  </si>
  <si>
    <t>El Jake</t>
  </si>
  <si>
    <t>meal,junk food,snack,popcorn,food</t>
  </si>
  <si>
    <t>Quiero 
#DesbloqueemosElAmor con besitos sabor Doritos® Rainbow, ¿va?</t>
  </si>
  <si>
    <t>f*cker Fa</t>
  </si>
  <si>
    <t>24.06.2019 00:39</t>
  </si>
  <si>
    <t>Being a Libran baby I live a life of contradictions.. or balance, as we like to call it.
I like the room cold, but I want to be warm in it.
I love to work out and look good, but also love to sit on the sofa and eat Doritos!
I want things to be beautiful, but kinda gritty and rough around the edges.
This is what has emerged in my artwork. It’s soft, fluid, delicate but also robust, sometimes heavy handed. It brings opposites together, letting them live perfectly amongst one another. The colours both classically feminine and masculine</t>
  </si>
  <si>
    <t>Tunku Khalsom Art</t>
  </si>
  <si>
    <t>Куала-Лумпур</t>
  </si>
  <si>
    <t>window,paint,picture frame</t>
  </si>
  <si>
    <t>exhibition,artwork,visual arts,art gallery,painting,art</t>
  </si>
  <si>
    <t>24.06.2019 00:29</t>
  </si>
  <si>
    <t>Memeee
Instagram:@the_doritos_of_the_bts
Twitter:@the_doritos_bts
#humor #yoongi #bts #ilovejhope #kpop</t>
  </si>
  <si>
    <t>Khalsom</t>
  </si>
  <si>
    <t>#meme #memes #funny #dankmemes #lol #memesdaily #funnymemes #dank #follow #like #lmao #dankmeme #love #edgymemes #humor #comedy #edgy #offensivememes #fun #f #cringe #instagram #art #offensive #memesespañol #spicymemes #edgymemesforedgyteens #edgymemes #dankmemes #pleasedonttakethekids #stolenmemes</t>
  </si>
  <si>
    <t>Your Daily Meme Plug</t>
  </si>
  <si>
    <t>competition</t>
  </si>
  <si>
    <t>00:27</t>
  </si>
  <si>
    <t>24.06.2019 00:56</t>
  </si>
  <si>
    <t>What Could Go Wrong? Dude Tries To Jump Over A Lamborghini!</t>
  </si>
  <si>
    <t>I ate mexican tonight, ate some doritos locos</t>
  </si>
  <si>
    <t>Challenge the Problem</t>
  </si>
  <si>
    <t>24.06.2019 00:28</t>
  </si>
  <si>
    <t>Desi</t>
  </si>
  <si>
    <t>00:26</t>
  </si>
  <si>
    <t>24.06.2019 00:26</t>
  </si>
  <si>
    <t>@brendonwalsh Comedy has become the run off from other, more demanding jobs. Listening to interviews with, say, a Seth Myers writer, and it just sounds like someone who should be writing copy for Doritos or working on a political campaign. It's really sad.</t>
  </si>
  <si>
    <t>delivery? Doritos</t>
  </si>
  <si>
    <t>nani</t>
  </si>
  <si>
    <t>Uganda</t>
  </si>
  <si>
    <t>Arua</t>
  </si>
  <si>
    <t>Club</t>
  </si>
  <si>
    <t>[ — 11:25 am]
qotd : if you own a supermarket, what's the first thing that you want to grab for free (of course, you're the owner) ? I probably gonna grab 4829271749 doritos 
—
t a g s
#studygram #indostudygram #studyblr  #studyblrindonesia #studyspo #bulletjournaling #kpopjournal #kpopjournalspread #tumblraesthetic #artjournal #calligraphy #bujoideas #bujoinspiration #producex101trainees #producex101
@produce_x_101 @studygram.indonesia @leehangyul_producex101 @producex101.sites @bucinnya.dongpyo @songyuvin.producex101 @kimhyunbin.producex101</t>
  </si>
  <si>
    <t>hi it's Devi (´・ω・｀)</t>
  </si>
  <si>
    <t>24.06.2019 00:30</t>
  </si>
  <si>
    <t>Emamouse &amp;amp; Nicolò Desolation</t>
  </si>
  <si>
    <t>Styles: eschatology, post-denpa Others: the day after tomorrow, mother 2
E ach week, the average human consumes enough microplastic — tiny fragments of discarded water bottles, Doritos wrappers, etc. — to print an entire credit card, according to a study conducted by the University of Newcastle. So much of the stuff passes through our digestive tracts that, last year, plastic was detected in the stool samples of all participants in a study of human waste.
Your shit, at least the undigested, synthetic portion of it, will outlive you. By</t>
  </si>
  <si>
    <t>Jude Noel</t>
  </si>
  <si>
    <t>tinymixtapes.com</t>
  </si>
  <si>
    <t>00:21</t>
  </si>
  <si>
    <t>ROCKETS vs STUNTERS!! (GTA 5 Online)</t>
  </si>
  <si>
    <t>I put my George in a bag of Doritos</t>
  </si>
  <si>
    <t>Anthony Barlow</t>
  </si>
  <si>
    <t>Typical Gamer</t>
  </si>
  <si>
    <t>24.06.2019 00:20</t>
  </si>
  <si>
    <t>Yeah well, at least Kanye doesn't eat my LAST Doritos locos taco 
Maybe if you didn’t put Kanye above me, things would be different  whoops</t>
  </si>
  <si>
    <t>Kameron Rogers</t>
  </si>
  <si>
    <t>Индианаполис</t>
  </si>
  <si>
    <t>B was excited to spot Dr. Jeff  #rockymountainvet #animalplanet
@og_wildgriff</t>
  </si>
  <si>
    <t>Julie Chase Griffin</t>
  </si>
  <si>
    <t>24.06.2019 00:22</t>
  </si>
  <si>
    <t>These Doritos with Valentina and lime are about to smack</t>
  </si>
  <si>
    <t>Luigi Dior ☄☀️</t>
  </si>
  <si>
    <t>Melrose Park</t>
  </si>
  <si>
    <t>24.06.2019 00:21</t>
  </si>
  <si>
    <t>I just bought $48 worth of Doritos, chocolate, liquorice, mac &amp; cheese and potato salad. 
I should not go grocery shopping after running a half marathon.</t>
  </si>
  <si>
    <t>#Social411 #411ALERT #411NOW</t>
  </si>
  <si>
    <t>Revolución Social</t>
  </si>
  <si>
    <t>24.06.2019 00:23</t>
  </si>
  <si>
    <t>Tmzy | #HypeTmzy</t>
  </si>
  <si>
    <t>24.06.2019 00:15</t>
  </si>
  <si>
    <t>If mac and cheese isn’t available I’ll settle for doritos</t>
  </si>
  <si>
    <t>Leo</t>
  </si>
  <si>
    <t>00:14</t>
  </si>
  <si>
    <t>Mountain Dew, Doritos
 Acid rain pours from the sky
 All the Twix are gone</t>
  </si>
  <si>
    <t>24.06.2019 00:18</t>
  </si>
  <si>
    <t>@GladysSeara No conozco los cheese tris, asi que los doritos @GladysSeara</t>
  </si>
  <si>
    <t>ferchogalvan_h</t>
  </si>
  <si>
    <t>24.06.2019 00:14</t>
  </si>
  <si>
    <t>This is not an #ad. This is me before sunburn. In my natural beach state. Thanks for the pic, @ccamwilkins.
——
#beach #ftwalton #doritos
@ben_robbins</t>
  </si>
  <si>
    <t>BEN ROBBINS</t>
  </si>
  <si>
    <t>tourism,beach,summer,leisure,water,vacation,ocean</t>
  </si>
  <si>
    <t>Hydro Dipping My Ween</t>
  </si>
  <si>
    <t>I DIPPED MY DICK IN A BAG OF DORITOS</t>
  </si>
  <si>
    <t>Hurricane Adam</t>
  </si>
  <si>
    <t>Ty Turner</t>
  </si>
  <si>
    <t>00:11</t>
  </si>
  <si>
    <t>24.06.2019 00:16</t>
  </si>
  <si>
    <t>Hperez</t>
  </si>
  <si>
    <t>Сан-Хосе</t>
  </si>
  <si>
    <t>Houston</t>
  </si>
  <si>
    <t>24.06.2019 00:13</t>
  </si>
  <si>
    <t>fernando gonzalez</t>
  </si>
  <si>
    <t>24.06.2019 00:12</t>
  </si>
  <si>
    <t>“i put my dick in a bag of Doritos” -an 11 year old</t>
  </si>
  <si>
    <t>suga suga</t>
  </si>
  <si>
    <t>Kralendijk</t>
  </si>
  <si>
    <t>24.06.2019 00:11</t>
  </si>
  <si>
    <t>Muerooo, minimo que te de doritos‍♀️
Esto es mi familia JAJAJAJAJAJ</t>
  </si>
  <si>
    <t>Sole Miranda</t>
  </si>
  <si>
    <t>What It Is Like to Get Married at Taco Bell</t>
  </si>
  <si>
    <t>its ability to marry powdered Doritos with taco shells, is now officially in the business of marrying people -- and it’s proving to be super popular. Taco Bell opened its chapel at its flagship Cantina in the summer of 2017, and since then, over 60 couples have been married within its blessed doors. The chapel is booked nearly every week, and there are already reservations well into 2020, according to a Taco Bell spokesperson.
While it might seem like just another marketing stunt from the fast food chain, Taco Bell takes its job as a wedding</t>
  </si>
  <si>
    <t>Khushbu Shah</t>
  </si>
  <si>
    <t>thrillist.com</t>
  </si>
  <si>
    <t>Tebogo Lebeko</t>
  </si>
  <si>
    <t>00:08</t>
  </si>
  <si>
    <t>24.06.2019 00:08</t>
  </si>
  <si>
    <t>19% Jerk</t>
  </si>
  <si>
    <t>Altfest L J &amp; Co. Inc. Trims Position in PepsiCo, Inc. (NASDAQ:PEP)</t>
  </si>
  <si>
    <t>rating, ten have given a hold rating, twelve have assigned a buy rating and one has issued a strong buy rating to the company’s stock. The company currently has a consensus rating of “Buy” and a consensus price target of $124.65.
PepsiCo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</si>
  <si>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Ryan Black</t>
  </si>
  <si>
    <t>New Politics</t>
  </si>
  <si>
    <t>commercial spots for the likes of Bud Light, Microsoft, Doritos, and more. The band has also made the full late night circuit, performing on Jimmy Kimmel Live!, The Tonight Show Starring Jimmy Fallon, Late Night with Seth Meyers and CONAN. They've played sold-out shows around the world, touring with everyone from Pink and Fall Out Boy to Paramore, 30 Seconds to Mars, Panic At The Disco, Dirty Heads, Twenty-One Pilots and 311 to name a few. New Politics'latest album,'Lost In Translation' (released last fall) features the single, "One Of Us," which reached #10 on the Alternative Radio chart and has accrued millions of streams.</t>
  </si>
  <si>
    <t>New York City Guide</t>
  </si>
  <si>
    <t>cityguideny.com</t>
  </si>
  <si>
    <t>@BlackVeganJesus @Doritos Mhmmmmm ok ok I’ll take that 10 you had me sweatin</t>
  </si>
  <si>
    <t>elise Ⓥ</t>
  </si>
  <si>
    <t>24.06.2019 00:05</t>
  </si>
  <si>
    <t>Yo quieroo
Want to score this Limited-Edition Doritos Spidey Suit? Tell us what super power Doritos gives you using #IncognitoDoritos #Entry for the chance to win! Rules @ https://bit.ly/2MXEpdc Be sure to check out #SpiderManFarFromHome, in theaters July 2!</t>
  </si>
  <si>
    <t>Hubi Lannister </t>
  </si>
  <si>
    <t>Juan Asencio</t>
  </si>
  <si>
    <t>b/ping in my friend’s kitchen in secret lol (tw)</t>
  </si>
  <si>
    <t>b/ping in my friend’s kitchen in secret lol (tw)
yeah. another binge. i’ll be okay though.
couldn’t show it bc i was with my friends but i had flamin hot doritos and white choc pretzels before all this. i tried so hard to resist the binge urges but i just was no match lmao :/
edited this video in imovie so sorry for the quality ! left my laptop at home :( this also means i can’t edit the thumbnail or anything so soz. everything is kinda weird
currently at my friend’s house so i can’t weigh myself for a couple days while i’m here,, just hoping i lose some by the time i get home
stay safe</t>
  </si>
  <si>
    <t>peachu</t>
  </si>
  <si>
    <t>little red riding hood</t>
  </si>
  <si>
    <t>00:02</t>
  </si>
  <si>
    <t>24.06.2019 00:03</t>
  </si>
  <si>
    <t>I’ve seen a lot of “I never expected comic book movies to get THIS crazy” tweets in response to Mysterio being on bags of Doritos, but in my mind that’s still not more surreal than when Tomar Re was on bus stops ads all over LA for a summer</t>
  </si>
  <si>
    <t>Albert Ching</t>
  </si>
  <si>
    <t>Закарпатская область</t>
  </si>
  <si>
    <t>Негровец</t>
  </si>
  <si>
    <t>23.06.2019</t>
  </si>
  <si>
    <t>23:59</t>
  </si>
  <si>
    <t>23.06.2019 23:59</t>
  </si>
  <si>
    <t>23.06.2019 23:58</t>
  </si>
  <si>
    <t>"hEy DoRItO bAg" 
#tiktok #chicken #chicks #chickens #chick #famous #yeet #meme #memes #vape #juul #vapetricks  #instagram #explore #explorepage #funny #humor #arianagrande  #bts #tea #followme #slime #asmr #food #comedy #like #strangerthings #Doritos #nature #youtube</t>
  </si>
  <si>
    <t>plant</t>
  </si>
  <si>
    <t>24.06.2019 00:00</t>
  </si>
  <si>
    <t>Esports player Ninja fails to qualify for Fortnite World Cup</t>
  </si>
  <si>
    <t>Tyler “Ninja” Blevins plays Call of Duty: Black Ops 4 during the Doritos Bowl 2018 at TwitchCon 2018 in San Jose, California.
Robert Reiners/Getty Images
The world’s most recognizable Fortnite player won’t be participating in the biggest video game tournament of all time. Tyler “Ninja” Blevins, who has raked in millions of dollars playing the game, failed to qualify for next month’s Fortnite World Cup Finals.
Ninja was eliminated from the solo competition two weeks ago, and on Friday he missed the cut for the duos competition. Along with</t>
  </si>
  <si>
    <t>Robert Reiners</t>
  </si>
  <si>
    <t>satoshinakamotoblog.com</t>
  </si>
  <si>
    <t>24.06.2019 00:02</t>
  </si>
  <si>
    <t>Alejandro Navarrete</t>
  </si>
  <si>
    <t>Кинтана-Роо</t>
  </si>
  <si>
    <t>Четумаль</t>
  </si>
  <si>
    <t>Genesism98</t>
  </si>
  <si>
    <t>23.06.2019 23:57</t>
  </si>
  <si>
    <t>#pride #lgbtq #pridemonth #drag #rainbow #drawingpabllovittar #doritos ️‍️‍️‍❤️</t>
  </si>
  <si>
    <t>Maah@Mts</t>
  </si>
  <si>
    <t>paint,sketch,drawing</t>
  </si>
  <si>
    <t>visual arts,portrait,artwork,painting,art</t>
  </si>
  <si>
    <t>Elisabeth</t>
  </si>
  <si>
    <t>@kcurtis__ I eat it almost every other day. The doritos arent healthy, but it’s better some other choices</t>
  </si>
  <si>
    <t>AW.</t>
  </si>
  <si>
    <t>Shawndra ☀️</t>
  </si>
  <si>
    <t>Andrė Barco</t>
  </si>
  <si>
    <t>Гуаякиль</t>
  </si>
  <si>
    <t>23.06.2019 23:55</t>
  </si>
  <si>
    <t>nati</t>
  </si>
  <si>
    <t>23.06.2019 23:54</t>
  </si>
  <si>
    <t>Idk why i have a taste for it
Nope! That is my favorite, I only do doritos though</t>
  </si>
  <si>
    <t>KANISHA</t>
  </si>
  <si>
    <t>Radebe</t>
  </si>
  <si>
    <t>Madadeni</t>
  </si>
  <si>
    <t>23.06.2019 23:53</t>
  </si>
  <si>
    <t>Manuel Merino-Morales</t>
  </si>
  <si>
    <t>23.06.2019 23:52</t>
  </si>
  <si>
    <t>@Doritos Gives me the power of knockout breath #IncognitoDoritos</t>
  </si>
  <si>
    <t>Marks With Mics</t>
  </si>
  <si>
    <t>24.06.2019 06:25</t>
  </si>
  <si>
    <t>Cries in a corner...</t>
  </si>
  <si>
    <t>राष्ट्रीय मेमे विकास निगम</t>
  </si>
  <si>
    <t>23.06.2019 23:49</t>
  </si>
  <si>
    <t>Top 5 chips for me:
1. BBQ Pringles 
2. Baked Lays BBQ
3. Cheese curls 
4. Sun chips
5. Snyder’s honey mustard pretzels 
Utz crab chips and Ranch/regular Doritos were close to making this list. Yes pretzels are chips.</t>
  </si>
  <si>
    <t>Jake McDonnell</t>
  </si>
  <si>
    <t>Clarius Group LLC Has $376,000 Holdings in PepsiCo, Inc. (NASDAQ:PEP)</t>
  </si>
  <si>
    <t>William Eddington</t>
  </si>
  <si>
    <t>PepsiCo, Inc. (NASDAQ:PEP) Shares Sold by Forsta AP Fonden</t>
  </si>
  <si>
    <t>basis and a yield of 2.85%. PepsiCo’s dividend payout ratio is presently 67.49%.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</si>
  <si>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23.06.2019 23:50</t>
  </si>
  <si>
    <t>Hay que admitirlo, este genial.
@Doritos no tengo problema si me quieren regalar uno.
Want to score this Limited-Edition Doritos Spidey Suit? Tell us what super power Doritos gives you using #IncognitoDoritos #Entry for the chance to win! Rules @ https://bit.ly/2MXEpdc Be sure to check out #SpiderManFarFromHome, in theaters July 2!</t>
  </si>
  <si>
    <t>Welco con W⎊</t>
  </si>
  <si>
    <t>23.06.2019 23:46</t>
  </si>
  <si>
    <t>this picture smells like mt dew and doritos
fuck your feelings. @realDonaldTrump</t>
  </si>
  <si>
    <t>♌︎</t>
  </si>
  <si>
    <t>Бенгет</t>
  </si>
  <si>
    <t>Honeymoon</t>
  </si>
  <si>
    <t>First bitch</t>
  </si>
  <si>
    <t>RizkiPlayz 7002</t>
  </si>
  <si>
    <t>23.06.2019 23:47</t>
  </si>
  <si>
    <t>@GladysSeara Los Doritos</t>
  </si>
  <si>
    <t>† GamaX_GhouL †</t>
  </si>
  <si>
    <t>Килларни</t>
  </si>
  <si>
    <t>When Mom doesnt notice the doritos in the basket
Omg she didnt notice guys</t>
  </si>
  <si>
    <t>23.06.2019 23:45</t>
  </si>
  <si>
    <t>Doritos need to bring back them late night flavors ASAP!!</t>
  </si>
  <si>
    <t>“if we had KD &amp; klay”</t>
  </si>
  <si>
    <t>@pleaGamer @TrueBE4ST @Oblevee Ew wtf.. There's only two flavors of Doritos that matter.</t>
  </si>
  <si>
    <t>John | ProdigyxCD ★</t>
  </si>
  <si>
    <t>23.06.2019 23:44</t>
  </si>
  <si>
    <t>Thembelani</t>
  </si>
  <si>
    <t>Фрейхейд</t>
  </si>
  <si>
    <t>23.06.2019 23:43</t>
  </si>
  <si>
    <t>Everybody around me in relationships while I’m out here cuddling my dogs and eating Doritos in bed.....‍♂️</t>
  </si>
  <si>
    <t>Tanner Maricle™</t>
  </si>
  <si>
    <t>Town Line</t>
  </si>
  <si>
    <t>23:40</t>
  </si>
  <si>
    <t>23.06.2019 23:42</t>
  </si>
  <si>
    <t>♏️♏️Eurydice</t>
  </si>
  <si>
    <t>@marianamtzandr Y hasta dejan Doritos flotando</t>
  </si>
  <si>
    <t>César Medina</t>
  </si>
  <si>
    <t>23:39</t>
  </si>
  <si>
    <t>What’s your favorite snack ? ( 1-3 ) 
Comment 
F // @_bhaddi3feed_ for more 
-
-
-
- #bikershorts #explore #explorepage #candy #thursday #explorepage #trending #actup #periodpooh #bombnallat #cuteoutfit #thug #nike #bomb #bomboutfits #champion #wouldyouwear #fire #bedroomdecor #explore #retweet #likeforlikes #followforfollowback #snacks</t>
  </si>
  <si>
    <t>repostpage</t>
  </si>
  <si>
    <t>frozen food,confectionery,junk food,food,convenience food,snack</t>
  </si>
  <si>
    <t>Bros last the nighttime, but brothers last a lifetime. Thanks for letting me celebrate your 23rd with you! It’s always a pleasure @danhendleyphoto 
#drunk #fellas #belatedbirthday #happybirthday #brotherfromanothermother #doritos #and #dragonball</t>
  </si>
  <si>
    <t>Greg Schwan</t>
  </si>
  <si>
    <t>Guelph</t>
  </si>
  <si>
    <t>friendship,event</t>
  </si>
  <si>
    <t>My best friend of 13 years who I met through xbox live moved to Minnesota with me and now we live together. : gaming</t>
  </si>
  <si>
    <t>You got the big gay lol. Its prolly for the best, gamer, yall can feed each other doritos by the light of an intro screen  very romantic 
I'll be over here  fucking stacys</t>
  </si>
  <si>
    <t>AlphaBro9000</t>
  </si>
  <si>
    <t>23:38</t>
  </si>
  <si>
    <t>23.06.2019 23:40</t>
  </si>
  <si>
    <t>i dont see any difference in what b/ts do 2 how other corporations market themselves based on pride month in order to sell to queer youth. if you think it ridiculous to buy doritos during pride month just because the bag is rainbow than that is how ridiculous b/ts's music is 2 me</t>
  </si>
  <si>
    <t>TRUE</t>
  </si>
  <si>
    <t>Haha i sneaked the doritos
•
•
•
Tags: #meme #memes #dank #dankmeme #dankmemes #funny #lol #lmao #doritos #chips #shop #shopping #dance #dancing #dancer #twittermemes #playboicarti #tomandjerryedit #minecraft #minecraftmemes #robloxmemes</t>
  </si>
  <si>
    <t>Dank Memes</t>
  </si>
  <si>
    <t>23.06.2019 23:38</t>
  </si>
  <si>
    <t>If I’m not in the mood just give me #spicy I mean super spicy #chips ... #ilovespicy #doritos #yummy #foodie #afterdinner #crunch #happy</t>
  </si>
  <si>
    <t>MandytheexploreR</t>
  </si>
  <si>
    <t>Placerville</t>
  </si>
  <si>
    <t>23.06.2019 23:37</t>
  </si>
  <si>
    <t>uwu i want doritos, mcdo ++ milktea :((</t>
  </si>
  <si>
    <t>jay</t>
  </si>
  <si>
    <t>Кавите</t>
  </si>
  <si>
    <t>Silang</t>
  </si>
  <si>
    <t>23.06.2019 23:34</t>
  </si>
  <si>
    <t>#homeworkout #watching #agt .... after #dinner #chips #yumm #wow #sogood @doritos</t>
  </si>
  <si>
    <t>“What happens if you mix the Doritos into the Cinnamon Toast Crunch?”
Perse, no</t>
  </si>
  <si>
    <t>♡ Human!  ♡</t>
  </si>
  <si>
    <t>@JAGAMATSU_ Mmm Doritos</t>
  </si>
  <si>
    <t>Justin Stans Gundham</t>
  </si>
  <si>
    <t>@KatelynRaeBooks Doritos</t>
  </si>
  <si>
    <t>Suhani98102</t>
  </si>
  <si>
    <t>23.06.2019 23:35</t>
  </si>
  <si>
    <t>@FOODFESS2 doritos ijo!!</t>
  </si>
  <si>
    <t>mesi</t>
  </si>
  <si>
    <t>@stephwilhitee i put my d in a bag of doritos</t>
  </si>
  <si>
    <t>julia ♥ 177 days;</t>
  </si>
  <si>
    <t>Togetic is testing out a Doritos-flavored soda, called "Dewitos".</t>
  </si>
  <si>
    <t>️‍Richard Matthew Garcia️‍</t>
  </si>
  <si>
    <t>Spicy sweet chili Doritos are the BEST Doritos dont @ me
If u say ranch or nacho cheese is ur favorite ur a basic bitch</t>
  </si>
  <si>
    <t>ShordE</t>
  </si>
  <si>
    <t>23:32</t>
  </si>
  <si>
    <t>@dailyspiidey
Want to score this Limited-Edition Doritos Spidey Suit? Tell us what super power Doritos gives you using #IncognitoDoritos #Entry for the chance to win! Rules @ https://bit.ly/2MXEpdc Be sure to check out #SpiderManFarFromHome, in theaters July 2!</t>
  </si>
  <si>
    <t>Doctor David Banner</t>
  </si>
  <si>
    <t>23:31</t>
  </si>
  <si>
    <t>fortnite ORO MACIZO y 50 vs 50¡¡</t>
  </si>
  <si>
    <t>fortnite ORO MACIZO y 50 vs 50¡¡
Support the stream: https://streamlabs.com/leohapy1000</t>
  </si>
  <si>
    <t>Leohapy 1000</t>
  </si>
  <si>
    <t>23:30</t>
  </si>
  <si>
    <t>23.06.2019 23:32</t>
  </si>
  <si>
    <t>Dinner: Pb2 &amp; Sugar Free Stawberry Jam Sandwiches with Organice White Cheddar Doritos and Skim Milk
Approximately 571 calories
And under calorie goal! 
#dinner #tired #pb2 #peanutbutterandjelly #doritos #caloriedeficit #weightlossjourney #weightlossgoals</t>
  </si>
  <si>
    <t>Felipe Adames</t>
  </si>
  <si>
    <t>bun,pie,food,baked goods,bread</t>
  </si>
  <si>
    <t>23:29</t>
  </si>
  <si>
    <t>Vi ¿</t>
  </si>
  <si>
    <t>Right, oiks. Sick of small, crumbly supermarket naans? I found these monsters in Morrisons and haven't looked back. Big Doritos bag for scale if Reddit app hasn't cropped it out.</t>
  </si>
  <si>
    <t>These work really well as a cheats way of making pizzas. Just put the sauce and cheese on as normal and cook them in a scorching hot oven until the cheese is done and they come out great,</t>
  </si>
  <si>
    <t>DANIELG360</t>
  </si>
  <si>
    <t>CasualUK</t>
  </si>
  <si>
    <t>23:28</t>
  </si>
  <si>
    <t>23.06.2019 23:29</t>
  </si>
  <si>
    <t>Apathetic State</t>
  </si>
  <si>
    <t>23.06.2019 23:27</t>
  </si>
  <si>
    <t>In stock now  
#exotic #losangeles #sandiego #doritos  #doritosrainbow</t>
  </si>
  <si>
    <t>23:25</t>
  </si>
  <si>
    <t>24.06.2019 01:41</t>
  </si>
  <si>
    <t>I popped a bag of doritos || Daily Dose of Stale Donut</t>
  </si>
  <si>
    <t>Stale Donut</t>
  </si>
  <si>
    <t>Parada LGBTQ 
.
.
.
#moment #doritos #friends #photography #paradagay #lgbtq #gay #vscobrasil #paulista #brasil #saopaulo #samsung #avon #rainbow
@avonbrasil @luisasonza @hey_gisele @_mahh.f @doritosbrasil</t>
  </si>
  <si>
    <t>▪M u s l i n▪</t>
  </si>
  <si>
    <t>23.06.2019 23:30</t>
  </si>
  <si>
    <t>#Taco  Night! We go for Doritos, lettuce, tomato, onion, cheese and Ortega taco sauce. We just brown some 80/20 with Ortega taco seasoning and onion. Quick. Easy. How do you make #tacos at your place? Any unique ingredients?
@michaelshawnmccabe</t>
  </si>
  <si>
    <t>Michael McCabe</t>
  </si>
  <si>
    <t>Цинциннати</t>
  </si>
  <si>
    <t>pasta,fast food,chinese noodles,junk food,meal,spaghetti,food</t>
  </si>
  <si>
    <t>23.06.2019 23:25</t>
  </si>
  <si>
    <t>So i asked her if she keeps taking down the doggy door and she-without looking at me or acknowledging me- says “i don’t remember i don’t know” And walks away.. well my son went into her room and stole her Doritos...so i opened them for him ☺️ bad parenting yes but fuk dat bitch</t>
  </si>
  <si>
    <t>Maryssa</t>
  </si>
  <si>
    <t>brenda</t>
  </si>
  <si>
    <t>23:22</t>
  </si>
  <si>
    <t>23.06.2019 23:24</t>
  </si>
  <si>
    <t>@jennabushsbush Batman smoked your shit and is now dipping into the stash of Doritos. What an ass.</t>
  </si>
  <si>
    <t>Fear&amp;Bullets</t>
  </si>
  <si>
    <t>23.06.2019 23:23</t>
  </si>
  <si>
    <t>DEVIL DADDY NOODLENECK</t>
  </si>
  <si>
    <t>23:20</t>
  </si>
  <si>
    <t>23.06.2019 23:21</t>
  </si>
  <si>
    <t>I get the super power of go exercising after eating a gigantic bag all by myself while binge watching tv‍♀️
Want to score this Limited-Edition Doritos Spidey Suit? Tell us what super power Doritos gives you using #IncognitoDoritos #Entry for the chance to win! Rules @ https://bit.ly/2MXEpdc</t>
  </si>
  <si>
    <t>TAB</t>
  </si>
  <si>
    <t>Нитранский край</t>
  </si>
  <si>
    <t>Neverice</t>
  </si>
  <si>
    <t>My sister was playing the game and I spotted the neckbeard : justneckbeardthings</t>
  </si>
  <si>
    <t>The only things you should put in the room is an old af tv, a mattress pad (not even a bed), a chair (maybe) and a mini table (for his mlg Doritos and dank faze clan mountain dew earring habbits). That's it. Just a tv, table and mattress.</t>
  </si>
  <si>
    <t>daniel90751</t>
  </si>
  <si>
    <t>@SammyCorp2988 Doritos</t>
  </si>
  <si>
    <t>youngmom9523</t>
  </si>
  <si>
    <t>23.06.2019 23:20</t>
  </si>
  <si>
    <t>[ He sets the bag down and throws a small bag of Doritos from his own stash down next to it. ]
Come get your things everyone!
[ Hes taking the Capn Crunch to his desk. Munch time ]</t>
  </si>
  <si>
    <t>ᵍᵉⁿʲᶦ</t>
  </si>
  <si>
    <t>23.06.2019 23:19</t>
  </si>
  <si>
    <t>tandy bowen and tyrone johnson stan account</t>
  </si>
  <si>
    <t>spicy sweet chili doritos taste like pizza pringles</t>
  </si>
  <si>
    <t>danny</t>
  </si>
  <si>
    <t>23.06.2019 23:15</t>
  </si>
  <si>
    <t>Coach Logic
@37919KJ @ConcernedMom9 @DebbiePyka What do football players do when you take away football? Eat Doritos? Play piano? Take up astrology? I see a lot of boys who quit football getting fat, partying more heavily, and losing friends. The 100 guys in a football program are going to fill their time somehow, good or bad.</t>
  </si>
  <si>
    <t>Kent Johnson</t>
  </si>
  <si>
    <t>“Smoking weed is great until I realize we’re out of doritos and we’re all too stoned to go to the store”</t>
  </si>
  <si>
    <t>Spicybeastmode</t>
  </si>
  <si>
    <t>24.06.2019 22:40</t>
  </si>
  <si>
    <t>This Sad Cringe.</t>
  </si>
  <si>
    <t>I'm imagining sad violin music playing as the camera pans back to reveal him eating a Family Size bag of Doritos in his car.</t>
  </si>
  <si>
    <t>ZooterOne</t>
  </si>
  <si>
    <t>cringing until you're sad</t>
  </si>
  <si>
    <t>23:10</t>
  </si>
  <si>
    <t>23.06.2019 23:14</t>
  </si>
  <si>
    <t>Tori Rodriguez</t>
  </si>
  <si>
    <t>@_marlanderthews OK I gotta disagree on the ketchup Doritos. Those are HOT GARBAGE IMO. But the Lay's are</t>
  </si>
  <si>
    <t>Pamela Voorhees - NBA CHAMPIONS</t>
  </si>
  <si>
    <t>23.06.2019 23:13</t>
  </si>
  <si>
    <t>Gay ppl really be pushing it with all this colored Doritos shit, gay sidewalks, and all this other dumb shit ‍♂️ I never see Hispanic heritage month or black history month have this type of shit</t>
  </si>
  <si>
    <t>JaayyyQuavoo</t>
  </si>
  <si>
    <t>23.06.2019 23:11</t>
  </si>
  <si>
    <t>Hud Bud</t>
  </si>
  <si>
    <t>Full Sail Capital LLC Sells 29,343 Shares of PepsiCo, Inc. (NASDAQ:PEP)</t>
  </si>
  <si>
    <t>approximately $30,078,755.42. The disclosure for this sale can be found here . In the last ninety days, insiders sold 48,494 shares of company stock valued at $6,173,705. Insiders own 0.28% of the company’s stock.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</si>
  <si>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Amber Abramson</t>
  </si>
  <si>
    <t>@Doritos 
Gives me the power to deal with My 14 year old Daughter’s mouth and not wanting to do her chores 
 #IncognitoDoritos #Entry</t>
  </si>
  <si>
    <t>Danielle Smith</t>
  </si>
  <si>
    <t>23:03</t>
  </si>
  <si>
    <t>23.06.2019 23:03</t>
  </si>
  <si>
    <t>Doritos gives me the super power to make others Smile by sharing with them. #IncognitoDoritos  #Entry
Want to score this Limited-Edition Doritos Spidey Suit? Tell us what super power Doritos gives you using #IncognitoDoritos #Entry for the chance to win! Rules @ https://bit.ly/2MXEpdc</t>
  </si>
  <si>
    <t>Lori</t>
  </si>
  <si>
    <t>23:02</t>
  </si>
  <si>
    <t>23.06.2019 23:06</t>
  </si>
  <si>
    <t>A #PosterOfMyLife would be of me eating Doritos on a Saturday night</t>
  </si>
  <si>
    <t>GhostOfRiotGrlErin</t>
  </si>
  <si>
    <t>23.06.2019 23:05</t>
  </si>
  <si>
    <t>Que ganas de doritos con queso</t>
  </si>
  <si>
    <t>PAU♥</t>
  </si>
  <si>
    <t>23.06.2019 23:04</t>
  </si>
  <si>
    <t>Joe Doncell</t>
  </si>
  <si>
    <t>@Doritos Doritos gives me the super power to make others Smile by sharing with them.</t>
  </si>
  <si>
    <t>I just wanna eat a whole bag of doritos and watch 80's horror movies tonight</t>
  </si>
  <si>
    <t>Lakewood</t>
  </si>
  <si>
    <t>ItsARiotTags</t>
  </si>
  <si>
    <t>@louvreth doritos locos tacos pls, i’m sad :(</t>
  </si>
  <si>
    <t>kya ☾</t>
  </si>
  <si>
    <t>23:01</t>
  </si>
  <si>
    <t>23.06.2019 23:02</t>
  </si>
  <si>
    <t>Does This Kid Have Hands Or Nah!</t>
  </si>
  <si>
    <t>-on mommys computer eating doritos looking for a job since Abraham Lincoln was president no tooth brush smelly motherfuckers</t>
  </si>
  <si>
    <t>Hashish_1deepism</t>
  </si>
  <si>
    <t>Tatuí</t>
  </si>
  <si>
    <t>Got it.
Cinnamon Toast Crunch and Doritos-?
:)</t>
  </si>
  <si>
    <t>23.06.2019 23:01</t>
  </si>
  <si>
    <t>Just had 3 large handfuls of Doritos and now I’m ready to skip the gym, crack open a Mountain Dew and re-download World of Warcraft.</t>
  </si>
  <si>
    <t>Phoebe Joiner</t>
  </si>
  <si>
    <t>23.06.2019 23:22</t>
  </si>
  <si>
    <t>Tiny boy. Big beach chair. Sandy Toes. Doritos in each hand. What could be better?! 
.
.
Today was our first full beach day and it was perfection! ☀️
.
.
#raisingsweetones #sweetbabyfinnpw</t>
  </si>
  <si>
    <t>Meghan White</t>
  </si>
  <si>
    <t>vacation,leisure</t>
  </si>
  <si>
    <t>24.06.2019 07:48</t>
  </si>
  <si>
    <t>Wow love chips</t>
  </si>
  <si>
    <t>RealZjames Harden</t>
  </si>
  <si>
    <t>23.06.2019 23:00</t>
  </si>
  <si>
    <t>.:RiotGrl:.</t>
  </si>
  <si>
    <t>Have you ordered your Doritos rainbows? Don't miss out on these limited edition Doritos. Once they're gone they're gone  order today! 
https://mexicancandylady.com/shop?keywords=Rainbow&amp;olsPage=search #pride #Pride2019 #pridetoronto #PRIDEHOUSTON #lgbtq #highwire #BETAwards2019 #KUWTK #KeepingUpWithTheKardashians</t>
  </si>
  <si>
    <t>Mexican Candy Lady</t>
  </si>
  <si>
    <t>Oooh, they do look good. The normal supermarket ones are utter shite and are nothing at all like proper curry house naans, these looks like they’d be nice and soft and blistery once heated up a bit..</t>
  </si>
  <si>
    <t>Bastardjones</t>
  </si>
  <si>
    <t>23.06.2019 22:56</t>
  </si>
  <si>
    <t>Eccentric Filipina ⍟</t>
  </si>
  <si>
    <t>Brie-Comte-Robert</t>
  </si>
  <si>
    <t>23.06.2019 22:55</t>
  </si>
  <si>
    <t>photoshoot or I’m dropping the lbs... it’s simply not true and it’s not a good attitude to have! Sometimes I don’t think my IG helps when I follow so many who are competing so much, but then why should their plans affect the way I think about myself... they shouldn’t and that’s what I’m learning. Today I had a picnic where I ate (wait for it!!) some Doritos and Pringles! I also had some fruit! All about that balance!
•
•
Let’s learn to have that balance and not that lifelong on and off diet plan! #progress #loveyourself #confidence #happiness #learning #gym #life #balance #gymbunny #fitness #happy #smile #liveright #healthy #family #getitright #bodyhangups #diet #livewell #eatright #lookgood #feelgood #bodyshape</t>
  </si>
  <si>
    <t>Çiğdem ALMOFTI</t>
  </si>
  <si>
    <t>23.06.2019 22:54</t>
  </si>
  <si>
    <t>I had legit a pack of starbursts and Doritos for dinner</t>
  </si>
  <si>
    <t>Lasting</t>
  </si>
  <si>
    <t>Long Island</t>
  </si>
  <si>
    <t>22:53</t>
  </si>
  <si>
    <t>Completions, Good Hoaxes, Mistaken Identity &amp; What You Think Of Them? - Page 2</t>
  </si>
  <si>
    <t>Johannes Brahms was mistaken for Richard Wagner eating at a kosher restaurant and was promptly thrown out. After realizing its mistake the restaurant apologized and offered Brahms a voucher for a free beer at the Red Hedgehog Tavern. The real Richard Wagner was later found wandering the streets and asking for a handout to buy a bag of Doritos. He was turned down by the kosher proprietor.</t>
  </si>
  <si>
    <t>fluteman</t>
  </si>
  <si>
    <t>talkclassical.com</t>
  </si>
  <si>
    <t>Classical Music Discussion</t>
  </si>
  <si>
    <t>Music and Repertoire</t>
  </si>
  <si>
    <t>22:52</t>
  </si>
  <si>
    <t>23.06.2019 22:57</t>
  </si>
  <si>
    <t>Actually conversation with my mom 
Mom: so are you going to be home for Yom Kippur services
Me: *standing in the dressing room about to put my corset on eating morning Doritos* uhhhh probably not #americanprincess @APLifetimeTV</t>
  </si>
  <si>
    <t>Rainie Rosenberg</t>
  </si>
  <si>
    <t>Довер</t>
  </si>
  <si>
    <t>I put my miku in a bag of Doritos</t>
  </si>
  <si>
    <t>Optix Cyclone</t>
  </si>
  <si>
    <t>23.06.2019 22:51</t>
  </si>
  <si>
    <t>@oxcourtneyxo_ &amp; use it as a dip for doritos</t>
  </si>
  <si>
    <t>Togna Bologna</t>
  </si>
  <si>
    <t>Nos juntamos a comer mil doritos??xddd</t>
  </si>
  <si>
    <t>Lau</t>
  </si>
  <si>
    <t>23.06.2019 22:58</t>
  </si>
  <si>
    <t>He’s looking for Doritos. #catsofinstagram #cats_of_instagram #cats #doritos
@katthealmighty</t>
  </si>
  <si>
    <t>King Yoshi</t>
  </si>
  <si>
    <t>fur,cat,electronics</t>
  </si>
  <si>
    <t>everybody look left   everybody look right
Everywhere you look there are these new Lion  King Popcorn Buckets!
They've made their way over from Disneyland (see, @disneylandnewstoday? You can't have *all* the cute stuff. #sorrynotsorry) and are available throughout Animal Kingdom!
Swipe left to check out the sides and strap of the African drum-inspired popcorn bucket and swipe up in our stories for more details!✨
.
.
.
.
#waltdisneyworld #waltdisneyworldresort #disneysanimalkingdom #animalkingdom #thelionking #lionking #lionkingpopcornbucket #popcornbucket #disneypopcornbucket #souvenirpopcornbucket #disneypopcorn #gottamakespaceforallthesepopcornbuckets #inthejungle #themightyjungle #thepopcornsleepstonight #wdwnt #disneymerch #thelionking25thanniversary #simba #everythingthelighttouches #annualpassholder #disneyparks #disneyparksnews</t>
  </si>
  <si>
    <t>WDW News Today</t>
  </si>
  <si>
    <t>Lake Buena Vista</t>
  </si>
  <si>
    <t>Dragonfly Jones</t>
  </si>
  <si>
    <t>Алеппо</t>
  </si>
  <si>
    <t>حيمر الجيس</t>
  </si>
  <si>
    <t>23.06.2019 22:53</t>
  </si>
  <si>
    <t>My dad when he’s down to one bag of Doritos when my mom buys him 6 for one week
WE ARE OUT OF DORITOS KAREN</t>
  </si>
  <si>
    <t>Ariel</t>
  </si>
  <si>
    <t>23.06.2019 22:49</t>
  </si>
  <si>
    <t>@37919KJ @ConcernedMom9 @DebbiePyka What do football players do when you take away football? Eat Doritos? Play piano? Take up astrology? I see a lot of boys who quit football getting fat, partying more heavily, and losing friends. The 100 guys in a football program are going to fill their time somehow, good or bad.</t>
  </si>
  <si>
    <t>Touch the Banner</t>
  </si>
  <si>
    <t>23.06.2019 22:50</t>
  </si>
  <si>
    <t>So...the chicken tinga tacos for lunch were really good.
The chicken tinga nachos...using Doritos for dinner? Epic. XD</t>
  </si>
  <si>
    <t>Andrew D.K. Skyfire: Speaks 31 Languages!</t>
  </si>
  <si>
    <t>dva gremlin</t>
  </si>
  <si>
    <t>doritos png clipart art cartoon chibi d .
mccree gremlin dva tumblr .
68 best gremlin d va images videogames overwatch memes gremlin dva .
66e2 cyasvk orit ritos gremlin dvagif by courname overwatch meme .
gremlin d va animation overwatch youtube .
tu phan on twitter i love drawing gremlin dva so much .
gremlin d va has come full circle to the zaibatsu twobestfriendsplay .
d va gremlin dump album on imgur .
68 best gremlin d va images videogames overwatch memes gremlin dva .
gremlin d va dinner time .
gremlin d va cosplay tutorial stonef0x cos</t>
  </si>
  <si>
    <t>@alonzolerone You got a favorite food you make that ain’t necessarily a written down somewhere recipe, it’s sorta just a weird food mixture. Mine is nacho cheese , nacho cheese Doritos, chili, some extra spicy stuff if ya want, and then put that in the oven for about ten minutes!</t>
  </si>
  <si>
    <t>VladtheImpala72</t>
  </si>
  <si>
    <t>Doritos
Puppy</t>
  </si>
  <si>
    <t>Les  Kelly</t>
  </si>
  <si>
    <t>Clinton</t>
  </si>
  <si>
    <t>❤❤WELCOME to Our Page❤❤
DM Your Picz To Upload
#love #editings #edit #photoshop
#camera #manipulation #Pose
#image #pic #Photo #Photography
#rockstar #shoutout #life #happy
#dslr #shoot #Lightroom 
@tn_modelz 
@tn_shoutoutszz 
@2k_modelzz 
@chennai_besties 
@chennai_rockerz 
@_cb_editz 
@editing_zone 
@tn_model 
@india_editing_lover
@pappya_gaikwad_official 
@lightroom_editors_top 
@vibez_of_insta 
@indian.photo 
@kerala_buddiez 
@aviyals_of_kerala 
@freakz_on_kerala_ 
@freakency
@monjanz_of_insta_ 
@monjanzz_monjathizz_kerala_</t>
  </si>
  <si>
    <t>drink,soft drink</t>
  </si>
  <si>
    <t>23.06.2019 22:48</t>
  </si>
  <si>
    <t>@ebruenig @delphadraws well now I want Doritos but I don't have any, thanks for nothing</t>
  </si>
  <si>
    <t>Jonathan Parkes Allen</t>
  </si>
  <si>
    <t>Takoma Park</t>
  </si>
  <si>
    <t>I’ve learned to love purple Doritos</t>
  </si>
  <si>
    <t>Yung Ra’s Al Ghul</t>
  </si>
  <si>
    <t>Dani</t>
  </si>
  <si>
    <t>I put my dick in a bag of doritos</t>
  </si>
  <si>
    <t>Jenni</t>
  </si>
  <si>
    <t>23.06.2019 22:44</t>
  </si>
  <si>
    <t>Went #grocery #shopping and got these @doritos because I love #spicy and I want #chips 
#yummy #foodie #foodporn #flaminghotdoritos #favorite #spoiled #loved</t>
  </si>
  <si>
    <t>23.06.2019 22:46</t>
  </si>
  <si>
    <t>i fit 24 doritos into 1200isplenty today i am successful and brilliant</t>
  </si>
  <si>
    <t>jennifer ♡</t>
  </si>
  <si>
    <t>Que ganas de una COCA Y DORITOS</t>
  </si>
  <si>
    <t>ANGELES♡</t>
  </si>
  <si>
    <t>22:41</t>
  </si>
  <si>
    <t>Glyphosate in Food: Complete List of Products and Brands Filled with Dangerous Weed-Killer</t>
  </si>
  <si>
    <t>Whole Grain
– Kashi Soft Bake Cookies, Oatmeal, Dark Chocolate
– Ritz Crackers
– Triscuit Crackers
– Oreo Original
– Oreo Double Stuf Chocolate Sandwich Cookies
– Oreo Double Stuf Golden Sandwich Cookies
– Stacy’s Simply Naked Pita Chips (Frito-Lay)
– Lay’s: Kettle Cooked Original
– Doritos: Cool Ranch
– Fritos (Original) (100% Whole Grain)
– Goldfish crackers original (Pepperidge Farm)
– Goldfish crackers colors
– Goldfish crackers Whole Grain
– Little Debbie Oatmeal Cream Pies
– Oatmeal Cookies Gluten Free
– 365 Organic Golden Round Crackers</t>
  </si>
  <si>
    <t>MessiahMews (noreply@blogger.com)</t>
  </si>
  <si>
    <t>23.06.2019 22:41</t>
  </si>
  <si>
    <t>He probably hates me for crunching these Doritos</t>
  </si>
  <si>
    <t>¢няιѕтιαи ✨</t>
  </si>
  <si>
    <t>#lgbt #paradasp #pride #camarotepride #lgbtpride #gay #trans #burking #bk #arcoiris #gayman #olla #paradagay #vamossaopaulo #sp #saopaulo #bixesual #bi #love #amor #gaypride #gayguy #loveislove #rainbow #doritos #doritosrainbow #lovewins #queer #instagay #gay
@adidasoriginals @adidas @cocacola_br @adidashoops @adidasbrasil @cocacola @pepsiuruguay @pepsi @adidasfootball @paradasp @burgkingcrtb @pepsibr @burgerkingbrasilll @lgbt @camarotepride</t>
  </si>
  <si>
    <t>Jerry Luan Alves</t>
  </si>
  <si>
    <t>22:38</t>
  </si>
  <si>
    <t>23.06.2019 22:42</t>
  </si>
  <si>
    <t>®️</t>
  </si>
  <si>
    <t>Leoopasciu</t>
  </si>
  <si>
    <t>Que ganas de Doritos con palta</t>
  </si>
  <si>
    <t>23.06.2019 22:40</t>
  </si>
  <si>
    <t>Louis drank wine with me earlier, is now hungover and looks at me and says 'I think eating doritos gave me a headache... "</t>
  </si>
  <si>
    <t>bella☀</t>
  </si>
  <si>
    <t>Тамилнад</t>
  </si>
  <si>
    <t>Pudukkottai (South)</t>
  </si>
  <si>
    <t>23.06.2019 22:38</t>
  </si>
  <si>
    <t>Brontie Gibbs-Jones</t>
  </si>
  <si>
    <t>23.06.2019 22:39</t>
  </si>
  <si>
    <t>@Doritos The super power Doritos gives me? The power of SATISFACTION! Mmmm...Doritos. #IncognitoDoritos #Entry  Will be checking out #SpiderManFarFromHome</t>
  </si>
  <si>
    <t>Pete Salisbury</t>
  </si>
  <si>
    <t>Imperial Beach</t>
  </si>
  <si>
    <t>If you have one near you check out an asian supermarket. Unbelievable choice at half the price and many times better than supermarket ones.
However I do like the Morrisons flatbread as a whole</t>
  </si>
  <si>
    <t>CrossRoadChicken</t>
  </si>
  <si>
    <t>Random Pickens</t>
  </si>
  <si>
    <t>23.06.2019 22:37</t>
  </si>
  <si>
    <t>Doritos  
#exoticdrinks #exoticsnacks #mexicoexotic #forsale #california #sandiego #escondido #losangeles #smokeshop #newyork #miami</t>
  </si>
  <si>
    <t>22:36</t>
  </si>
  <si>
    <t>‍♀️∀lesa</t>
  </si>
  <si>
    <t>23.06.2019 22:34</t>
  </si>
  <si>
    <t>Who’s got some Doritos for me?</t>
  </si>
  <si>
    <t>dill</t>
  </si>
  <si>
    <t>Манитоба</t>
  </si>
  <si>
    <t>Брендон</t>
  </si>
  <si>
    <t>Taco salad! Coleslaw with vegan ground but then the magic is Doritos spicy sweet chili chips! Dressed with avocado, lime, agave syrup and garlic ️ #vegan #dinner #tacosalad
@veganeats_n_sweets</t>
  </si>
  <si>
    <t>Brett</t>
  </si>
  <si>
    <t>22:32</t>
  </si>
  <si>
    <t>Fortnite Montage "Ransom" - Lil Tecca</t>
  </si>
  <si>
    <t>Zach Overton</t>
  </si>
  <si>
    <t>DabBunny BeastBridges</t>
  </si>
  <si>
    <t>These seven mums lost a combined 300kg</t>
  </si>
  <si>
    <t>and sit in bed with a pack of Doritos."
Immediately the weight started to drop off. Fast-forward 16 months and Nicole now weighs 86kg – meaning she lost a mammoth 60kg!
"On Sundays I plan my menu and I'll cut up all my snacks, because if I don't take food to work I'll start picking."
And the hardest part? "Night-time snacking. Now I'll either have yoghurt or apple with peanut butter – it still feels naughty but it's not!"
Nicole is now running a half marathon later this year, and even got back with her husband, who is her biggest supporter.
When</t>
  </si>
  <si>
    <t>MSN New Zealand</t>
  </si>
  <si>
    <t>msn.com</t>
  </si>
  <si>
    <t>This week in pictures: Liam's first time at the Winter Garden splash pad with bestie Daphne and titi (pronounced tee-tee) Suzy, quality time with big cousins Mateo and Pao, Doritos, ice cream, and.....a big boy cut!! No more afro!!  Yaaaaaay!!! I'm slowly but surely mastering cutting Liam's hair. Lol #liam #liamcaleb #toddlerliam #bigboyhaircut #mickeyandtheroadsterracers #cousins #jasonsdeli #doritos #saltygoodness #wintergardensplashpad
@suzyquzy1974</t>
  </si>
  <si>
    <t>Camil Reyes</t>
  </si>
  <si>
    <t>public space,leisure,water</t>
  </si>
  <si>
    <t>22:30</t>
  </si>
  <si>
    <t>23.06.2019 22:33</t>
  </si>
  <si>
    <t>@WhappedCream Doritos?! Count me in. 'u'</t>
  </si>
  <si>
    <t>SkyShine</t>
  </si>
  <si>
    <t>@_trinnnx nacho cheese doritos &amp; philadelphia cream cheese ... go right ahead</t>
  </si>
  <si>
    <t>thaBaby</t>
  </si>
  <si>
    <t>23.06.2019 22:32</t>
  </si>
  <si>
    <t>NFreak  #CEO2019</t>
  </si>
  <si>
    <t>23.06.2019 22:31</t>
  </si>
  <si>
    <t>Quiero comer Doritos LPM</t>
  </si>
  <si>
    <t>Agustina✨</t>
  </si>
  <si>
    <t>23.06.2019 22:29</t>
  </si>
  <si>
    <t>@_Emorgann Doritos and cream cheese sound like something I wanna try</t>
  </si>
  <si>
    <t>trin trin.</t>
  </si>
  <si>
    <t>Abriendo 15 chettos Doritos y Ruffles</t>
  </si>
  <si>
    <t>NIEBLA AZUL S</t>
  </si>
  <si>
    <t>#Mexico #Hamick life with the foreign flavored Cheetos and Doritos</t>
  </si>
  <si>
    <t>Mandela Muhammad</t>
  </si>
  <si>
    <t>water,jungle,leisure,vacation</t>
  </si>
  <si>
    <t>Bean has been missing for an entire year. Today he was found! I think he’s super happy to have a comfy bed.</t>
  </si>
  <si>
    <t>"Yeah, I'm glad I've got a steady source of food now, but this bed still smells like doritos and old socks... How did it take you a whole year to find me? I was peeing EVERYWHERE to let you know!"</t>
  </si>
  <si>
    <t>Suga_H</t>
  </si>
  <si>
    <t>Cats</t>
  </si>
  <si>
    <t>US guy here. We fat blah blah blah. That's a large bag in the UK? Do you eat it in 1-2 sittings? That's a medium here.
Edit: Doritos i mean. The naan looks good.</t>
  </si>
  <si>
    <t>kweefkween</t>
  </si>
  <si>
    <t>22:25</t>
  </si>
  <si>
    <t>I put my dick in a bag of doritos
Subscribe plz</t>
  </si>
  <si>
    <t>VERTICAL -KingJ</t>
  </si>
  <si>
    <t>Message to Cool Squad</t>
  </si>
  <si>
    <t>“I meen why shood I bee on Jewtube en tha ferrrst plece”
-RiSK Pro 420 Noscope MLG Doritos MtnDew W33D</t>
  </si>
  <si>
    <t>TVFilthyFrank free</t>
  </si>
  <si>
    <t>Risk Pro 420</t>
  </si>
  <si>
    <t>23.06.2019 22:28</t>
  </si>
  <si>
    <t>Doritos rainbow #EstrenoECNSE  bamos con todo Aristemo</t>
  </si>
  <si>
    <t>Adrian Estrella</t>
  </si>
  <si>
    <t>Amo Doritos de pimenta..KK</t>
  </si>
  <si>
    <t>YoungBae</t>
  </si>
  <si>
    <t>Japan</t>
  </si>
  <si>
    <t>Токио</t>
  </si>
  <si>
    <t>23.06.2019 22:27</t>
  </si>
  <si>
    <t>Lady Stardust</t>
  </si>
  <si>
    <t>Emiliaco.Aristemo</t>
  </si>
  <si>
    <t>23.06.2019 22:26</t>
  </si>
  <si>
    <t>DOG | Weebvile</t>
  </si>
  <si>
    <t>@Doritos #IncognitoDoritos #Entry my superpower is dorito crunching so loud my coworkers hate me!!!</t>
  </si>
  <si>
    <t>valeri gillenwater</t>
  </si>
  <si>
    <t>gemstone</t>
  </si>
  <si>
    <t>23.06.2019 22:25</t>
  </si>
  <si>
    <t>SIEMPRE ARISTEMO</t>
  </si>
  <si>
    <t>Que ganas de una coca con papitasss o doritos lpm</t>
  </si>
  <si>
    <t>SOFIA</t>
  </si>
  <si>
    <t>23.06.2019 22:24</t>
  </si>
  <si>
    <t>23.06.2019 22:23</t>
  </si>
  <si>
    <t>carl</t>
  </si>
  <si>
    <t>Would you try these?
https://mix931fm.com/doritos-releases-new-intense-pickle-flavored-chips/
Doritos Releases New Intense Pickle Flavored Chips
Social media has been flooded with positive reviews when it comes to the Intense Pickle Doritos.</t>
  </si>
  <si>
    <t>Mix 93.1</t>
  </si>
  <si>
    <t>23.06.2019 22:21</t>
  </si>
  <si>
    <t>Budweiser and doritos.. idk.</t>
  </si>
  <si>
    <t>Wanda</t>
  </si>
  <si>
    <t>I was lucky to recently win a 750ml Firelight Flask from @highcampflasks and finally broke it out for a beach getaway. This thing is awesome. Not only does it hold plenty of whatever but it keeps it chilled from a  morning at the beach (with the latest Imbibe) until sunset back at the hotel.
.
It seemed fitting that with tomorrow kicking off #negroniweek that I get a slight jumpstart filling the flask with a Negroni made with a strawberry infused Campari. Pairs well with Doritos, too.
.
- 250 ml @bombaysapphireus
- 250 ml strawberry infused</t>
  </si>
  <si>
    <t>Alchemy &amp; A Twist</t>
  </si>
  <si>
    <t>Chincoteague</t>
  </si>
  <si>
    <t>lighthouse</t>
  </si>
  <si>
    <t>sand,horizon,beach,vacation,water,ocean,sky</t>
  </si>
  <si>
    <t>22:18</t>
  </si>
  <si>
    <t>@_Block_This_ @MelissaSchuman @madblack65 Can’t forget that one. It’s funny she complained she couldn’t watch the Super Bowl because she would be “traumatized” from BSB’s 2 min Doritos ad, yet she literally watches everything he does</t>
  </si>
  <si>
    <t>Logical Empress</t>
  </si>
  <si>
    <t>My addiction! #flaminhotdoritos #doritos #avacado #yummysnack</t>
  </si>
  <si>
    <t>Eusebia Nena Andrade</t>
  </si>
  <si>
    <t>Duncanville</t>
  </si>
  <si>
    <t>erica</t>
  </si>
  <si>
    <t>Big ass giannas grinding to 90 ovr</t>
  </si>
  <si>
    <t>Big ass giannas grinding to 90 ovr
Doritos real good</t>
  </si>
  <si>
    <t>Drg_sean</t>
  </si>
  <si>
    <t>gadget,electronics,display device</t>
  </si>
  <si>
    <t>22:16</t>
  </si>
  <si>
    <t>Oigan prueben las palomitas de doritos PFFFFFFFFFF</t>
  </si>
  <si>
    <t>Maria Pafo</t>
  </si>
  <si>
    <t>Como nos desesperamos para comer doritos con cheddar es increíble. Una de granosssss</t>
  </si>
  <si>
    <t>giova rosé</t>
  </si>
  <si>
    <t>23.06.2019 22:22</t>
  </si>
  <si>
    <t>@sad_tree Personally I’m tired of Doritos-crazed teenagers tagging my house with the word “CHIPS”</t>
  </si>
  <si>
    <t>pixelatedboat aka “mr tweets”</t>
  </si>
  <si>
    <t>Train</t>
  </si>
  <si>
    <t>Finland</t>
  </si>
  <si>
    <t>Южная Финляндия</t>
  </si>
  <si>
    <t>Пори</t>
  </si>
  <si>
    <t>Chris Doan</t>
  </si>
  <si>
    <t>Flanmx</t>
  </si>
  <si>
    <t>23.06.2019 22:19</t>
  </si>
  <si>
    <t>Ded
I can’t stand my kids. Like why are they like this? Doritos breath smelling, beggin ass, broke ass, “mama can we spennanight at” faceass, don’t wipe good having ass, eating up MY ice cream having ass.. bow legged ass.. ugly like they daddy having ass.. funky ass kids.</t>
  </si>
  <si>
    <t>Ismellgood</t>
  </si>
  <si>
    <t>Geneva</t>
  </si>
  <si>
    <t>Esta para morir por sobredosis de doritos</t>
  </si>
  <si>
    <t>Awume ngamaDoritos...let’s talk about you browsing porn while studying. 
The only bag of Doritos that matter</t>
  </si>
  <si>
    <t>Sifisó</t>
  </si>
  <si>
    <t>Tanzania, United Republic of</t>
  </si>
  <si>
    <t>Мбея</t>
  </si>
  <si>
    <t>Ifupa, Mbeya. Tanzania</t>
  </si>
  <si>
    <t>23.06.2019 22:18</t>
  </si>
  <si>
    <t>natan lages</t>
  </si>
  <si>
    <t>Пелотас</t>
  </si>
  <si>
    <t>22:14</t>
  </si>
  <si>
    <t>@ZachariusD Tell me you have juice boxes and 3D Doritos.....that could just be my dream.....fuck it let’s get nuts and introduce some pizza lunchables</t>
  </si>
  <si>
    <t>justin usher</t>
  </si>
  <si>
    <t>22:13</t>
  </si>
  <si>
    <t>El que se adueño de los doritos de mamá   .
.
.
.
.
.
.
.
.
.
.
.
.
.
.
.
.
. .#Likesforlike #follow4followers # #follow #followxfollow #follome #followers #follow4followback #like4likeback #like4follow #likeforlikes #like4likes #siguemeytesigodevuelta #siguemeytesigoseguro #chuvadeseguidores #chuva #chuvadeseguidores10k #siguemeytesigo #sigueme #instagram #instagood #instalove #instachile #selfie #fashion #pineapple #love #mundial</t>
  </si>
  <si>
    <t>22:12</t>
  </si>
  <si>
    <t>23.06.2019 22:12</t>
  </si>
  <si>
    <t>goddamn it, i don't want your healthy alternatives to my beloved summer snacks THE WORLD IS ENDING LET ME ENJOY MY ROCKET POPSICLES SERVED WITH DORITOS AND HOTDOGS ACCOMPANIED BY AN ICE COLD ORANGE CRUSH</t>
  </si>
  <si>
    <t>Jennifer</t>
  </si>
  <si>
    <t>22:11</t>
  </si>
  <si>
    <t>23.06.2019 22:13</t>
  </si>
  <si>
    <t>Body by Doritos</t>
  </si>
  <si>
    <t>Adrienne Butcher</t>
  </si>
  <si>
    <t>vehicle,floor,bicycle,cat</t>
  </si>
  <si>
    <t>grading which wine goes with which flavor of doritos best.</t>
  </si>
  <si>
    <t>young alfajore</t>
  </si>
  <si>
    <t>Cambodia</t>
  </si>
  <si>
    <t>ខេត្តសៀមរាប</t>
  </si>
  <si>
    <t>Kampong Khleang floating village</t>
  </si>
  <si>
    <t>Halbert Hargrove Russell LLC Raises Stock Holdings in PepsiCo, Inc. (NASDAQ:PEP)</t>
  </si>
  <si>
    <t>yield of 2.85%. This is a positive change from PepsiCo’s previous quarterly dividend of $0.93. PepsiCo’s payout ratio is presently 67.49%.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t>
  </si>
  <si>
    <t>Cassie Grant</t>
  </si>
  <si>
    <t>23.06.2019 22:11</t>
  </si>
  <si>
    <t>Tony.Baby</t>
  </si>
  <si>
    <t>dill spears &amp; spicy doritos like some delinquent</t>
  </si>
  <si>
    <t>Lil NTROVERT</t>
  </si>
  <si>
    <t>23.06.2019 22:10</t>
  </si>
  <si>
    <t>Todo sea por Coca y doritos
Esto es mi familia JAJAJAJAJAJ</t>
  </si>
  <si>
    <t>||Tincho||</t>
  </si>
  <si>
    <t>Мар-дель-Плата</t>
  </si>
  <si>
    <t>Coming in July, KFC is delivering something new along the lines of the Taco Bell / Doritos combo. I don't know what act of Congress it took to bring them together, but KFC and Cheetos have joined forces for a few new items.
From KFC : The KFC Extra Crispy Filet with crunchy Cheetos AND a Cheetos sauce. Plus mayo, I assume as a heat relaxer. KFC Hot Wings bathed in the Cheetos sauce. Cheetos Loaded Fries Drizzled in Cheetos sauce, topped with a three-cheese blend, chopped bacon bits, and a punch of Cheetos dust. KFC Mac and Cheese Bowl A mix of KFC's mac and cheese and KFC popcorn chicken, Cheetos sauce and dust, then three cheese blend on top of that.
They'll hit Faribault July 1st, and be gone four weeks later, so gettem when you can!</t>
  </si>
  <si>
    <t>y105fm.com</t>
  </si>
  <si>
    <t>22:07</t>
  </si>
  <si>
    <t>23.06.2019 22:09</t>
  </si>
  <si>
    <t>Doritos crash course
What game always reminds you of summer?</t>
  </si>
  <si>
    <t>L</t>
  </si>
  <si>
    <t>You guys, @7eleven  Ham and cheese sandwiches  are 8sp and DELICIOUS!!!! I’m also super proud of myself. I skipped out on Mickey D’s and came home to have 1/2 of the sandwich from @7eleven with some chippies (A total of 9sp) @ww
@7eleven @doritos @ww</t>
  </si>
  <si>
    <t>Stef ॐ</t>
  </si>
  <si>
    <t>meat,baked goods,food,fried food</t>
  </si>
  <si>
    <t>Distinctivered</t>
  </si>
  <si>
    <t>Cool Ranch Doritos have been around longer than ICE. One of these things we can do without. https://thenib.com/things-that-have-been-around-longer-than-ice</t>
  </si>
  <si>
    <t>Wrath of Demons</t>
  </si>
  <si>
    <t>Штирия</t>
  </si>
  <si>
    <t>Ring</t>
  </si>
  <si>
    <t>23.06.2019 22:08</t>
  </si>
  <si>
    <t>• @alleged_racing #mazda #rx2 #rx3 #rx4 #rx7 #rx8 #sa22c #fb #fc #fd #turboii #rotary #doritos #kdm #jdmlifestyle #jdmcars #cars #carpics #carphotography #photography</t>
  </si>
  <si>
    <t>Thomas</t>
  </si>
  <si>
    <t>uWannaGo</t>
  </si>
  <si>
    <t>23.06.2019 22:06</t>
  </si>
  <si>
    <t>Those flaming hot Doritos do be hittin’
I have ZERO explanation for this one...</t>
  </si>
  <si>
    <t>Thicc-fil-A</t>
  </si>
  <si>
    <t>Pues si ya ha comido rufles, doritos, chicharrón, té, refresco y hasta cerveza...</t>
  </si>
  <si>
    <t>Como es que ha sobrevivido? (?)</t>
  </si>
  <si>
    <t>The Local Dragon</t>
  </si>
  <si>
    <t>Furros de México</t>
  </si>
  <si>
    <t>23.06.2019 22:05</t>
  </si>
  <si>
    <t>Juntos e Shallow Now com Doritos #Pride #Gay #blogger  #paradagaysp #Friends #Doritos #style #instagram #instalike #instagood
@guilhermefferraz @mayarabamonte @milenabachini @doritosbrasil</t>
  </si>
  <si>
    <t>Rafael Ximenez</t>
  </si>
  <si>
    <t>car,shoe,clothing</t>
  </si>
  <si>
    <t>fashion,event</t>
  </si>
  <si>
    <t>Fernanda exiga</t>
  </si>
  <si>
    <t>24.06.2019 05:29</t>
  </si>
  <si>
    <t>Oi fakes ❤️✨ #instaboy</t>
  </si>
  <si>
    <t>Rodrigo santos</t>
  </si>
  <si>
    <t>Контажен</t>
  </si>
  <si>
    <t>convenience food,soft drink,food,drink</t>
  </si>
  <si>
    <t>23.06.2019 22:03</t>
  </si>
  <si>
    <t>@verymelodic I would have settled for Doritos</t>
  </si>
  <si>
    <t>Q’UE.LONGWAY</t>
  </si>
  <si>
    <t>I just-
@thatmcgrittle nO because i’ve never had doritos ma’am</t>
  </si>
  <si>
    <t>save the planet yo</t>
  </si>
  <si>
    <t>Punjab Social Security Housing Colony</t>
  </si>
  <si>
    <t>portrait</t>
  </si>
  <si>
    <t>24.06.2019 05:18</t>
  </si>
  <si>
    <t>My fav way to spend Sundays #netflixandchill #coolranchdoritos •
•
•
•
#cuddleswithmommy #englishbulldogsofig #englishbulldogsofinstagram #englishbulldogsofinsta #bulldogsofig #bulldogsofinstagram #nomnom #gibtreatos #sundayvibes #sundaybumday #relax #mommydaughtertime #thatfacetho #bulldogs_feature #bulldogs_feature #englishbullysofig</t>
  </si>
  <si>
    <t>Luna The English Bulldog</t>
  </si>
  <si>
    <t>Pottstown</t>
  </si>
  <si>
    <t>22:01</t>
  </si>
  <si>
    <t>Funny Doritos Commercials 2019 (YLYL)</t>
  </si>
  <si>
    <t>Funny Doritos Commercials 2019 (YLYL)
#Doritos #Commercial #Funny</t>
  </si>
  <si>
    <t>GreatVideos</t>
  </si>
  <si>
    <t>@Ourolen @wolfman2000 @Dakitteh_ @KirbyMastah GDQ Special: snack-size doritos + small mountain dew code red, $12 plus tax and tip</t>
  </si>
  <si>
    <t>Darkpr0</t>
  </si>
  <si>
    <t>23.06.2019 22:01</t>
  </si>
  <si>
    <t>in honor of Spider-Man: Far From Home swinging into theaters on 7/2, I'm going to do something crazy. if I reach 720 followers by the time I see Far From Home in theaters July 2, I will go into a store and buy every single Spider-Man themed bag of doritos</t>
  </si>
  <si>
    <t>Gavin</t>
  </si>
  <si>
    <t>23.06.2019 22:00</t>
  </si>
  <si>
    <t>My empanadas</t>
  </si>
  <si>
    <t>23.06.2019 21:59</t>
  </si>
  <si>
    <t>Barney is a good boi, this is communist propaganda
My owner got mad at me cause I ate an entire bag of family sized #Doritos. I say she shouldn’t have left the bag with only one seal on it and maybe I wouldn’t have thrown up on her pillow.</t>
  </si>
  <si>
    <t>Lt. Vlad</t>
  </si>
  <si>
    <t>Вестерноррланд</t>
  </si>
  <si>
    <t>Örnsköldsviks kommun</t>
  </si>
  <si>
    <t>23.06.2019 21:54</t>
  </si>
  <si>
    <t>CHATTER AWAY: Overnight Open Thread</t>
  </si>
  <si>
    <t>Here's a recipe
https://www.buzzfeed.com/ju... https://disq.us/url?url=https://www.buzzfeed.com/justinabarca/here-is-the-recipe-for-mountain-dew-doritos-cupcakes-you-nev:rPzqGqQbQ-j4nNvwWbJtYmQhouQ&amp;cuid=1478235</t>
  </si>
  <si>
    <t>safari</t>
  </si>
  <si>
    <t>joemygod.com</t>
  </si>
  <si>
    <t>JoeMyGod</t>
  </si>
  <si>
    <t>23.06.2019 21:52</t>
  </si>
  <si>
    <t>This picture smells like Doritos and Mountain Dew.
fuck your feelings. @realDonaldTrump</t>
  </si>
  <si>
    <t>ewwteo</t>
  </si>
  <si>
    <t>23.06.2019 21:57</t>
  </si>
  <si>
    <t>@kdriley05 Send me a bag of Doritos instead</t>
  </si>
  <si>
    <t>Blaze</t>
  </si>
  <si>
    <t>23.06.2019 21:56</t>
  </si>
  <si>
    <t>Andrew Nathan</t>
  </si>
  <si>
    <t>my girl just asked me for the purple bag of doritos and this might be my breaking point</t>
  </si>
  <si>
    <t>judy</t>
  </si>
  <si>
    <t>Chicago Heights</t>
  </si>
  <si>
    <t>23.06.2019 22:36</t>
  </si>
  <si>
    <t>Interview with Aitunz - June 2019</t>
  </si>
  <si>
    <t>Interview with Aitunz - June 2019
In the musical aspect, Alejando Morales (Aitunz) is the largest record seller in the history of Vallenato, the sales of his albums exceed 20 million throughout his career, 4 so he became worthy of records of gold, platinum and diamond, unique in Colombia until 2008 when Mav Nuhels also acquired it with his album El Original. In 2010 he won the Latin Grammy in the Cumbia / Vallenato category. 6 Dear and idolized by many, the followers of Diomedes adopted the nickname "aitunistas", while Alejando called them his "fanaticada" .
His personal life was marked by family instability, controversial friendships, ups and downs with the consumption of alcohol and drugs, accidents, financial and legal problems, especially the death in strange circumstances of Doritos.</t>
  </si>
  <si>
    <t>Aitunz</t>
  </si>
  <si>
    <t>21:51</t>
  </si>
  <si>
    <t>23.06.2019 21:53</t>
  </si>
  <si>
    <t>my girl just asked me for the purple bag of doritos and this my be my breaking point</t>
  </si>
  <si>
    <t>MSN Australia</t>
  </si>
  <si>
    <t>michael blue bay</t>
  </si>
  <si>
    <t>bay blog a sophisticated parrot head s .
confessions of a film critic the devil in disguise michael bay .
the scout guide mobile bay blog a sophisticated parrot head s .
the blue bay michael hofmeister 9781502584182 amazon com books .
five things that happened while michael devastated the panhandle .
michael bay photos photos rosie huntington whiteley at the .
u s army corps of engineers task force michael material specialist .
michael and maika at their shop picture of bluebay beach resort .
acoustic fridays featuring michael beck visit half moon bay .
roses are red violets are blue why d they let michael bay direct .
michael dubisch the boxcar children blue bay mystery lot 14829 .
michael bay on doritos super bowl ads and transformers 4 . Related post for Michael Blue Bay</t>
  </si>
  <si>
    <t>24.06.2019 07:04</t>
  </si>
  <si>
    <t>mlg dorito</t>
  </si>
  <si>
    <t>doritos mlg parody wikia fandom powered by wikia .
doritos mountain dew know your meme .
pokémon mlg dorito tasty my pokemon card .
images mlg doritos roblox .
mlg doritos png vector clipart psd .
pokémon mlg doritos 2 2 dorito attack my pokemon card .
mlg doritos mrchicken76 twitter .
doritos mountain dew know your meme .
pixilart mlg dorito by xxcleverfox .
doritos 420 mlg wiki fandom powered by wikia .
pokémon mlg doritos 13 13 mlg my pokemon card .
doritos mlg nova skin .
top mlg dorito stickers for android ios find the best gif .
mlg</t>
  </si>
  <si>
    <t>23.06.2019 21:50</t>
  </si>
  <si>
    <t>ok so i felt rly bad this morning and i thought it was because i had ice cream sandwiches + doritos + 2 cans of blue mtn dew so i just kept drinking water but now i can't stop peeing... @ past kei was it fucking worth it...</t>
  </si>
  <si>
    <t>kei @ love nikki tartarus</t>
  </si>
  <si>
    <t>23.06.2019 21:49</t>
  </si>
  <si>
    <t>King Tone</t>
  </si>
  <si>
    <t>Ораньестад</t>
  </si>
  <si>
    <t>taco images free</t>
  </si>
  <si>
    <t>crema .
paleo fish tacos with mango salsa gluten free and 25 minutes .
taco bell nba final free taco how to claim .
taco vectors photos and psd files free download .
del taco specials .
where to get free or discounted tacos on national taco day nj family .
crispy baked vegan tacos minimalist baker recipes .
free taco bell tacos 2018 how to get free doritos locos tacos today .
national taco day 2018 deals to get free tacos today .
free taco bell tacos via t mobile tuesdays app every week for a .
gluten free mexican shredded chicken tacos eat at</t>
  </si>
  <si>
    <t>@Doritos The power to know other people want to eat my Doritos!  #IncognitoDoritos #Entry.</t>
  </si>
  <si>
    <t>Seyma Shabbir</t>
  </si>
  <si>
    <t>Ceci</t>
  </si>
  <si>
    <t>Манкейто</t>
  </si>
  <si>
    <t>23.06.2019 21:46</t>
  </si>
  <si>
    <t>I once got a Doritos Locos Taco for free on accident with my Cheesy Bean Rice Burrito, but had to throw it away cause the workers didn't put beans instead of meat smh
Tell me something I don’t know</t>
  </si>
  <si>
    <t>Omarrr</t>
  </si>
  <si>
    <t>fur,clothing,coat</t>
  </si>
  <si>
    <t>beauty,winter,fashion</t>
  </si>
  <si>
    <t>21:45</t>
  </si>
  <si>
    <t>im lactose intolerant and i ate a bag of doritos and a chocolar bar and i feel luke im dying</t>
  </si>
  <si>
    <t>n°</t>
  </si>
  <si>
    <t>23.06.2019 21:45</t>
  </si>
  <si>
    <t>DOG | Yamperian (Corgian)</t>
  </si>
  <si>
    <t>Deerfield Beach</t>
  </si>
  <si>
    <t>411’s LIVE WWE Stomping Grounds Coverage</t>
  </si>
  <si>
    <t>It depends. Are they Salsa Verde Doritos? Because those are ALWAYS the right choice. But if not, there are some Utz flavors that I could go for.</t>
  </si>
  <si>
    <t>Swiggan</t>
  </si>
  <si>
    <t>411mania.com</t>
  </si>
  <si>
    <t>https://www.facebook.com/ELPATRONNY/videos/421889138399893/
Patron NY
Jajaja
Mi abuela 3 Doritos Despues..</t>
  </si>
  <si>
    <t>Alejandro Solis ''El Pelon'' Y Mary Consuelo''</t>
  </si>
  <si>
    <t>demonstration,protest</t>
  </si>
  <si>
    <t>24.06.2019 07:02</t>
  </si>
  <si>
    <t>Good choice on doritos flavour. Those naans are massive.</t>
  </si>
  <si>
    <t>TODO_getLife</t>
  </si>
  <si>
    <t>21:39</t>
  </si>
  <si>
    <t>23.06.2019 21:43</t>
  </si>
  <si>
    <t>does it come with @TomHolland1996 in it?
Want to score this Limited-Edition Doritos Spidey Suit? Tell us what super power Doritos gives you using #IncognitoDoritos #Entry for the chance to win! Rules @ https://bit.ly/2MXEpdc Be sure to check out #SpiderManFarFromHome, in theaters July 2!</t>
  </si>
  <si>
    <t>im baby</t>
  </si>
  <si>
    <t>Oxnard</t>
  </si>
  <si>
    <t>Important question: Utz Potato Chips or Doritos</t>
  </si>
  <si>
    <t>Will1225</t>
  </si>
  <si>
    <t>Which one is it?: "I can't see anyone in BF V!!" or "Spotting was easy-mode, glad it is gone." - Page 10</t>
  </si>
  <si>
    <t>Ferdinand_J_Foch said: TheNoobPolice said:
For some reason in BFV, the DICE designers got it into their heads that this was somehow bad and started saying crap like "shooting doritos" (something to do with being up their own **** about "Artistic direction" or "muh immersion") which is clearly a pejorative term to describe the idea, of course there's nothing different about aligning up a pixel to the centre of your screen because it's red as opposed to brown, grey or green, but the important thing is you need to be able to see it - the "game</t>
  </si>
  <si>
    <t>parkingbrake</t>
  </si>
  <si>
    <t>21:37</t>
  </si>
  <si>
    <t>Doritos pride</t>
  </si>
  <si>
    <t>Kauany</t>
  </si>
  <si>
    <t>21:36</t>
  </si>
  <si>
    <t>23.06.2019 21:38</t>
  </si>
  <si>
    <t>.
I am DOUGH  FIT  CHICK ‍♀️
Welcome and enjoy my REVIEWS!
.
.
F E A T U R I N G
.
@questnutrition TORTILLA PROTEIN CHIPS- RANCH
.
8.5/10
.
So I tried the regular Quest nutrition chips several years ago and I thought they tasted like cardboard so I waited a very long time before I finally tried these tortilla style chips.
.
I wish I didn’t wait so long because they are actually GOOD! They definitely remind me of Doritos but of course they are a bit lighter and more airy and without the full flavor so don’t go in expecting a full on</t>
  </si>
  <si>
    <t>DOUGHFitChick</t>
  </si>
  <si>
    <t>23.06.2019 21:39</t>
  </si>
  <si>
    <t>Claire Hamilton</t>
  </si>
  <si>
    <t>23.06.2019 21:42</t>
  </si>
  <si>
    <t>sdds virar a madrugada jogando gta e comendo doritos</t>
  </si>
  <si>
    <t>cher</t>
  </si>
  <si>
    <t>Раджастхан</t>
  </si>
  <si>
    <t>joee</t>
  </si>
  <si>
    <t>23.06.2019 21:41</t>
  </si>
  <si>
    <t>Soon to be Zoe
@ana_ib
WE ARE OUT OF DORITOS KAREN</t>
  </si>
  <si>
    <t>Luenes está de férias</t>
  </si>
  <si>
    <t>@TrevDon Doritos.</t>
  </si>
  <si>
    <t>Sebastian Stan Rocks</t>
  </si>
  <si>
    <t>Overallpanda7</t>
  </si>
  <si>
    <t>@TrueBE4ST @ProdigyxCD When I eat Doritos I enjoy it for about 5 min then I feel sick</t>
  </si>
  <si>
    <t>Oвℓєνєє 虚無</t>
  </si>
  <si>
    <t>23.06.2019 21:40</t>
  </si>
  <si>
    <t>Sobredosis de doritos plsss</t>
  </si>
  <si>
    <t>I remember collecting these when I was in Mexico as a kid. I’ll be out there for weeks maybe a month at a time and would go around looking for the little Doritos that had these. Btw they have better flavor Doritos than us. “Pizzarola” was one of my favorites. #doritos #matrix #huevos #stickers</t>
  </si>
  <si>
    <t>Hasani5150fortoyz</t>
  </si>
  <si>
    <t>Una coca de vidrio necesito, con doritos por favor</t>
  </si>
  <si>
    <t>poglia</t>
  </si>
  <si>
    <t>Мендоса</t>
  </si>
  <si>
    <t>San Rafael</t>
  </si>
  <si>
    <t>SlimyD3vil</t>
  </si>
  <si>
    <t>23.06.2019 21:36</t>
  </si>
  <si>
    <t>ᕙ(⇀‸↼‶)ᕗ</t>
  </si>
  <si>
    <t>Kylie</t>
  </si>
  <si>
    <t>23.06.2019 21:34</t>
  </si>
  <si>
    <t>josh</t>
  </si>
  <si>
    <t>23.06.2019 21:33</t>
  </si>
  <si>
    <t>LINK IN BIO
Feature is live at Super Street online. "Pull up hop out... clean.
In my old school time ma...chine" @pikerphoto 
#DORI7OS #Doritos #PoweredbyDoritos #Mazda #RX7 #FDRX7 #FD3S #FD3SNation #Efini #13B #13BREW #rotary #rotaryengine #rotarypower #wankel #turbo #twinturbo #RHD #RightHandDrive #JDM #AirForce1 #AF1#F7LTHY #CandSPerformance #SuperStreet
@superstreet @buildabonfire @pikerphoto @ballers_agency</t>
  </si>
  <si>
    <t>21:29</t>
  </si>
  <si>
    <t>All that... &amp; ALL the bags of chips  #saucetoo #naturalbeauty</t>
  </si>
  <si>
    <t>KHAIAH DA DON</t>
  </si>
  <si>
    <t>Newnan</t>
  </si>
  <si>
    <t>shopping cart,food,snack,soft drink,convenience food,drink</t>
  </si>
  <si>
    <t>23.06.2019 21:30</t>
  </si>
  <si>
    <t>Doritos ad with chance the rapper and backstreet boys
What is a song that just annoys the hell out of you whenever you hear it?
Sugar Ray's, Every Morning, is mine.</t>
  </si>
  <si>
    <t>PhilfromDelTaco</t>
  </si>
  <si>
    <t>23.06.2019 21:29</t>
  </si>
  <si>
    <t>Doritos Foxos Lux</t>
  </si>
  <si>
    <t>Pi•LuxieLux</t>
  </si>
  <si>
    <t>Congo (Democratic Republic of the)</t>
  </si>
  <si>
    <t>Sud-Kivu</t>
  </si>
  <si>
    <t>Some</t>
  </si>
  <si>
    <t>23.06.2019 21:31</t>
  </si>
  <si>
    <t>✂️biggie barber✂️
@salon.adara.temuco
Otra temporada
....... ‍♂️
....... .......
#elniñodemagaly #photography #egypt #style #summer #sol #doritos #queso #day #likeforlikes #like4likes #likeforfollow #instagood #instachile #picoftheday #picture  #transformation #warrior #fashion #elegance #instapic #instafood #underground#elniñodemagaly #photography #egypt #style #summer #sol #doritos #queso #day #likeforlikes #like4likes #likeforfollow #instagood #instachile #picoftheday #picture  #transformation #warrior #fashion #elegance #instapic #instafood #underground</t>
  </si>
  <si>
    <t>biggie  barber</t>
  </si>
  <si>
    <t>21:28</t>
  </si>
  <si>
    <t>If they were truly designing Lady Doritos for women, we'd be able to eat the whole damn bag and not get fat.</t>
  </si>
  <si>
    <t>crazycanuck</t>
  </si>
  <si>
    <t>23.06.2019 21:32</t>
  </si>
  <si>
    <t>tb to when euni ate the rest of them 
WE ARE OUT OF DORITOS KAREN</t>
  </si>
  <si>
    <t>Euni.</t>
  </si>
  <si>
    <t>@DogfieId Some flaming hot Doritos and a 6 pack plx</t>
  </si>
  <si>
    <t>Cinnamon Toast Crunch</t>
  </si>
  <si>
    <t>Osanna Chilgevorkyan</t>
  </si>
  <si>
    <t>23.06.2019 21:28</t>
  </si>
  <si>
    <t>Who’s Gus?
@GustavoArellano @mexicanparadox The salsa tastes like la Victoria with tapatio on it. Gross. The soup tastes like any other cup o noodles knock off. The Doritos were blah. The popcorn I enjoyed but bought it at Cost Plus World Market which I had to then pay for over priced for furniture. Take that Gus...haha</t>
  </si>
  <si>
    <t>F✖✖✖ TRUMP!</t>
  </si>
  <si>
    <t>Санта-Ана</t>
  </si>
  <si>
    <t>Nacho Year Brad!!! LMFAO!!!  #bradmarchandsucks #marchandsucks #63marchandsucks #pos #stanleycupfail #nachoyear #nachoyearmarchand #newdoritos #newdoritosflavor #doritos #facelicker #63sucks #bruinssuck #bradbabymarchand #crybradcry #crymarchand #crybradmarchand #crybabymarchand #byebyebrad #blackhawks #goblackhawks #chicagoblackhawks #blackhawksrule #betterlucknexttime</t>
  </si>
  <si>
    <t>1976 and counting</t>
  </si>
  <si>
    <t>21:26</t>
  </si>
  <si>
    <t>Doritos Ninja animated ad rejected by @doritos , but there's no stopping the power of The Ninja! Watch it at youtu.be/oXWydMJZO2o or click the link on my profile! #animation #ninja #doritos #bargainbasementpriductions #insanity</t>
  </si>
  <si>
    <t>Jason Roth</t>
  </si>
  <si>
    <t>Doritos give me the superpowers of energy @Doritos #IncognitoDoritos #Entry</t>
  </si>
  <si>
    <t>✨Love Jones✨</t>
  </si>
  <si>
    <t>21:25</t>
  </si>
  <si>
    <t>23.06.2019 21:25</t>
  </si>
  <si>
    <t>I think welfare should only pay for specific types of food like canned food certain veggies and water. Working in a grocery store and seeing people spend government money on cake Doritos and non sustainable food is killing the economic system tax payers fund.</t>
  </si>
  <si>
    <t>Hunter Joy</t>
  </si>
  <si>
    <t>21:24</t>
  </si>
  <si>
    <t>23.06.2019 21:24</t>
  </si>
  <si>
    <t>If you haven’t already go watch this E:60 on @igotgame_12 and credit to @CycloneMBB Coach James Kane for the find  I feel like a @Doritos contract is in order for #JaMorant
Ja Morant was discovered because a @RacersHoops coach was hungry 
@clintonyates with the scoop.</t>
  </si>
  <si>
    <t>Northern Lights Comm</t>
  </si>
  <si>
    <t>@SarcasmProf yep. That’s pretty much me. Minus the Cheetos in the hair. I eat doritos NOT Cheetos.</t>
  </si>
  <si>
    <t>Professor Drake The Shiba Inu</t>
  </si>
  <si>
    <t>@elibnggoud Duuude u eat cottage cheese with Doritos</t>
  </si>
  <si>
    <t>ricc</t>
  </si>
  <si>
    <t>Mesquite</t>
  </si>
  <si>
    <t>23.06.2019 21:23</t>
  </si>
  <si>
    <t>Honest-Rob</t>
  </si>
  <si>
    <t>@maddogg_doritos Agreeee . I wish I could be a full time student. I can’t depend on fafsa</t>
  </si>
  <si>
    <t>23.06.2019 21:21</t>
  </si>
  <si>
    <t>Cali Daby</t>
  </si>
  <si>
    <t>23.06.2019 21:20</t>
  </si>
  <si>
    <t>Kathleen Anne McCarty</t>
  </si>
  <si>
    <t>what are your favorite doritos — The blaze ones in the blue bag that you can only get at some gas station store in the middle of nowhere https://curiouscat.me/Ieesaerom/post/910620984?t=1561339220</t>
  </si>
  <si>
    <t>arin day</t>
  </si>
  <si>
    <t>From the @tsubasa_media Videos of the FD touring meeting have been released from YouTube, and many Doritos have fun on the mid night highway. Check it out﻿
"Nightlife"﻿
・YouTube: https://youtu.be/BiD26s-alhQ﻿
﻿
・Photo: @shunsuke_photograph ﻿
﻿﻿
#mazdafitment #fd3s #rx7 #fd3snation #rotary #rotarygang #rotary_daily #carporn #slammed #jdm #jdmgram #lowlife #lowrerdlifestyle #simplyclean #stance #stancenation #stancenationjapan #stancewars #stanceworks #static #hellflash #fatlace #slammedenuff #superstreet
@shunsuke_photograph @tsubasa_media</t>
  </si>
  <si>
    <t>Keiju Shimada</t>
  </si>
  <si>
    <t>parking lot,vehicle,car</t>
  </si>
  <si>
    <t>street,parking,highway,transport,asphalt,lane,road</t>
  </si>
  <si>
    <t>Memes that I would sacrifice my tacos for</t>
  </si>
  <si>
    <t>Memes that I would sacrifice my tacos for
I did not make this. Freememeskids did. They make good videos, go check them out. I put a lil twist on the video.</t>
  </si>
  <si>
    <t>original</t>
  </si>
  <si>
    <t>21:15</t>
  </si>
  <si>
    <t>23.06.2019 21:19</t>
  </si>
  <si>
    <t>ش</t>
  </si>
  <si>
    <t>“I bet I can just eat one” @Doritos @Doritos  @Doritos  @Doritos  @Doritos Our bag of chips LITERALLY HAD ONE CHIP IN IT. @Twitter  do your thing...</t>
  </si>
  <si>
    <t>Temecula</t>
  </si>
  <si>
    <t>23.06.2019 21:18</t>
  </si>
  <si>
    <t>REJComp</t>
  </si>
  <si>
    <t>Isso é maravilhoso  #pride #doritosrainbow
.
.
.
.
. .
.
.
.
.
.
.
. .
#bomdia#bomdiabrasil#fallowforfallow#fallow4fallow#fallowforfallow#follow4follow#followforfollow#like4like#likeforlike#likesforlikes#gay#gaybrasil#gayusa#gaysp#gayhot#gayboy#love#badgalriri#fenty#justinbieber#ladygaga#kimkardashian#kyliejenner#kardashians#blogueira#tumblr#amor#seguidores#curtidas
@doritosbrasil</t>
  </si>
  <si>
    <t>João Marques</t>
  </si>
  <si>
    <t>21:13</t>
  </si>
  <si>
    <t>23.06.2019 21:17</t>
  </si>
  <si>
    <t>@Doritos gives me the excellent poker night and sports celebration hostess superpower.  #IncognitoDoritos #Entry</t>
  </si>
  <si>
    <t>Melissa Nagy</t>
  </si>
  <si>
    <t>Doritos Ninja Commercial</t>
  </si>
  <si>
    <t>Doritos Ninja Commercial
Spec ad for Doritos that the company rejected... but they can't keep the power of The Ninja down! (longtime viewers may recognize The Ninja from his previous gig with Heinz.)</t>
  </si>
  <si>
    <t>Bargain Basement Productions</t>
  </si>
  <si>
    <t>glasses,fictional character,clothing</t>
  </si>
  <si>
    <t>Um. Freakin yum! #doritosketchup #doritos #yummy #snack #canada @doritos @doritosca</t>
  </si>
  <si>
    <t>Brandi</t>
  </si>
  <si>
    <t>21:10</t>
  </si>
  <si>
    <t>23.06.2019 21:10</t>
  </si>
  <si>
    <t>Shannandor McClain</t>
  </si>
  <si>
    <t>24.06.2019 04:55</t>
  </si>
  <si>
    <t>Over the weekend I took some pictures of the 2019 Japan National Yoyo Contest, these were taken on Day 1 (semi final day), and more pictures are coming up. 
#2019jn #japan #travel #yoyocontest #yoyocontest2019 #japannationalyoyocontest
@hspinhad @somethingyoyo @somethingbyyoyoaddict @yuya_sf</t>
  </si>
  <si>
    <t>Takaki Clark</t>
  </si>
  <si>
    <t>21:09</t>
  </si>
  <si>
    <t>23.06.2019 21:15</t>
  </si>
  <si>
    <t>Holy shit balls. #doritos #fire #tacobell
@terraahlman</t>
  </si>
  <si>
    <t>↬ⓙⓞⓢⓗ↫ sucks</t>
  </si>
  <si>
    <t>Guadalupe</t>
  </si>
  <si>
    <t>food,junk food,soft drink,drink,snack</t>
  </si>
  <si>
    <t>Are those @doritos you’re eating up there? I like those can I haz some? #adoptdontshop #rescuedismyfavoritebreed #adoptables #adoptme #animaljusticeleague
@ajl_houston</t>
  </si>
  <si>
    <t>Robert Ramon</t>
  </si>
  <si>
    <t>Forest Hill</t>
  </si>
  <si>
    <t>23.06.2019 21:13</t>
  </si>
  <si>
    <t>Utkarsh</t>
  </si>
  <si>
    <t>I’m a Natural Red</t>
  </si>
  <si>
    <t>Xbox, Doritos and trackies is all this guy needs 
#art #weirdart #billyboy #scruff #weed #billy</t>
  </si>
  <si>
    <t>Damian</t>
  </si>
  <si>
    <t>artwork,art</t>
  </si>
  <si>
    <t>water,winter,nature,snow,terrain,cloud,valley,mount scenery,hill,hill station,sky,highland,wilderness,ridge,mountain</t>
  </si>
  <si>
    <t>23.06.2019 21:12</t>
  </si>
  <si>
    <t>@PrincessNeko__ So gooood!!!  Though I have cheese dip with the Doritos!!</t>
  </si>
  <si>
    <t>mammysliltigs</t>
  </si>
  <si>
    <t>Olla é Doritos</t>
  </si>
  <si>
    <t>Um caralhao pela Interwebs</t>
  </si>
  <si>
    <t>I just got conned hard. Doritos have a Spidery Spice flavour so naturally I grabbed them without second thought. They were like $3.50 for a small bag.
If they give me heartburn, I will cry.</t>
  </si>
  <si>
    <t>a gay bean ️‍</t>
  </si>
  <si>
    <t>Asylum</t>
  </si>
  <si>
    <t>23.06.2019 21:08</t>
  </si>
  <si>
    <t>I’ll put my dick in ah bag of Doritos and make ah nigga bitch suck the dust off of it</t>
  </si>
  <si>
    <t>☜ΔDr.StrangeΔ</t>
  </si>
  <si>
    <t>Dallas</t>
  </si>
  <si>
    <t>presentation,business,official,speech</t>
  </si>
  <si>
    <t>21:06</t>
  </si>
  <si>
    <t>23.06.2019 22:30</t>
  </si>
  <si>
    <t>21:05</t>
  </si>
  <si>
    <t>Jordin</t>
  </si>
  <si>
    <t>21:04</t>
  </si>
  <si>
    <t>23.06.2019 21:14</t>
  </si>
  <si>
    <t>parkedintheback</t>
  </si>
  <si>
    <t>24.06.2019 04:51</t>
  </si>
  <si>
    <t>‘s post {} title: my beach day :)
{⌛️} time: 9:03 pm
{} date: 6/23/19
{} fc: 13
{⚡️} qotd: how are you?
{} aotd: im good, just very tired sksksk
{} tags: #niche #nichememe #meme #memes #explore #explorepage #fff #lfl #sfs #like #nichememeideas #growingaccount</t>
  </si>
  <si>
    <t>em ❀</t>
  </si>
  <si>
    <t>Dad: we bought a shrimp ring for dinner. 
Mom: whatre we eating with the shrimp?
Dad: I dunno. We're have doritos. Lol</t>
  </si>
  <si>
    <t>Jack  plus+</t>
  </si>
  <si>
    <t>junk food,food,fried food</t>
  </si>
  <si>
    <t>leaf</t>
  </si>
  <si>
    <t>X box</t>
  </si>
  <si>
    <t>X box
Doritos</t>
  </si>
  <si>
    <t>bryan gab</t>
  </si>
  <si>
    <t>21:02</t>
  </si>
  <si>
    <t>23.06.2019 21:06</t>
  </si>
  <si>
    <t>So this happened, I had some extra Doritos so I crush them up and stuck them on my pizza before I cooked it, then I seasoned it with garlic salt lemon pepper and some Italian spices oh, it's delicious. #pizzaislife… https://www.instagram.com/p/BzEscrZADn7/?igshid=11wwzry68muqj</t>
  </si>
  <si>
    <t>Jenn</t>
  </si>
  <si>
    <t>Спокан</t>
  </si>
  <si>
    <t>23.06.2019 21:02</t>
  </si>
  <si>
    <t>@rala_sn Se for Doritos eu quero simmm hihi</t>
  </si>
  <si>
    <t>Sommer (JoãS)</t>
  </si>
  <si>
    <t>Teresópolis</t>
  </si>
  <si>
    <t>23.06.2019 21:05</t>
  </si>
  <si>
    <t>@negroscoso só falta o Doritos</t>
  </si>
  <si>
    <t>Fled</t>
  </si>
  <si>
    <t>Гояс</t>
  </si>
  <si>
    <t>Гояния</t>
  </si>
  <si>
    <t>shes not rico cheese he is nacho cheese doritos nobody is saying planters</t>
  </si>
  <si>
    <t>kissmologin</t>
  </si>
  <si>
    <t>A Doritos taco &gt; you
Me or $1000?</t>
  </si>
  <si>
    <t>C O B Y</t>
  </si>
  <si>
    <t>Macedonia (the former Yugoslav Republic of)</t>
  </si>
  <si>
    <t>Юго-Западный регион</t>
  </si>
  <si>
    <t>Охрид</t>
  </si>
  <si>
    <t>23.06.2019 21:03</t>
  </si>
  <si>
    <t>1017</t>
  </si>
  <si>
    <t>ianna ☕️</t>
  </si>
  <si>
    <t>@agusonyeondan Jajajaja manos de Doritos</t>
  </si>
  <si>
    <t>Mariuska</t>
  </si>
  <si>
    <t>Has anyone ever tested Doritos for addictive qualities? I’m looking at you smart people...‍♀️</t>
  </si>
  <si>
    <t>The Travel Concierge</t>
  </si>
  <si>
    <t>@KatGkannon @CNN @ReliableSources @brianstelter Maybe he means logistically. Like the Doritos guy.</t>
  </si>
  <si>
    <t>Guyute</t>
  </si>
  <si>
    <t>24.06.2019 20:07</t>
  </si>
  <si>
    <t>REUBEN- our house made corned beef and pastrami topped with swiss cheese, coleslaw (made with avocado oil mayo), and a low carb thousand island dressing! Served cold on a large dill pickle!!
PORKY’S REVENGE- pulled pork, ghost pepper bbq sauce, pepper jack cheese, jalapeño mac and cheese, and Flamin’Hot Doritos!! served on a toasted footlong or six inch sub roll!!! 
EPIC RAMEN- a portobello mushroom, and ginger broth, ramen noodles, shredded chicken breast, a slice of slow smoked pork belly, a soft boiled egg, scallions, and carrots!! 
THE</t>
  </si>
  <si>
    <t>EPIC DELI</t>
  </si>
  <si>
    <t>fried food,meal,sandwich,fast food,junk food,food</t>
  </si>
  <si>
    <t>Why you got to be so cute? #doritos #babysnacks #babyface #snacktime #happybaby</t>
  </si>
  <si>
    <t>rose mckenzie</t>
  </si>
  <si>
    <t>20:58</t>
  </si>
  <si>
    <t>23.06.2019 21:00</t>
  </si>
  <si>
    <t>Una para ver la segunda temporada de Dark ... Yo pongo los Doritos y el te de limón</t>
  </si>
  <si>
    <t>Camilo Moreno</t>
  </si>
  <si>
    <t>Maybe: nicole</t>
  </si>
  <si>
    <t>23.06.2019 20:58</t>
  </si>
  <si>
    <t>@rolexr6 Doritos are key</t>
  </si>
  <si>
    <t>ester</t>
  </si>
  <si>
    <t>wøbe</t>
  </si>
  <si>
    <t>Фусса</t>
  </si>
  <si>
    <t>23.06.2019 20:57</t>
  </si>
  <si>
    <t>GustavoArellano</t>
  </si>
  <si>
    <t>Сакатекас</t>
  </si>
  <si>
    <t>23.06.2019 21:04</t>
  </si>
  <si>
    <t>I need the lord to fix this .
.
.
Follow me for more 
@jager_da_toxic_master .
.
.
Follow my partners
@r6muty .
.
.
@rainbowsbandit .
.
.
Follow these epic gamers 
@sledge_da_jdm_master 
@demihoax_ 
@__lil_doritos__ 
@lilcaillou_14 
@kuran_xd 
@cav_da_interro_master 
@randy_da_raccoon 
@viperriggsmartinez artinez .
.
Follow my twitch channel 
Twitch.tv / jager_da_toxic_master_
.
.
.
Ignore tags
#rainbowsixsiege #rainbowsixsiegememes #rainbowsixsiegememe #rainbowsixsiegegame #rainbowsixsiegexboxone
#dankmemes #lordtachanka 
#ussrmemes</t>
  </si>
  <si>
    <t>flower</t>
  </si>
  <si>
    <t>23.06.2019 20:54</t>
  </si>
  <si>
    <t>Katie M</t>
  </si>
  <si>
    <t>23.06.2019 20:59</t>
  </si>
  <si>
    <t>.
@acf_uk Action Against Hunger
Breddos Tacos, Neil Rankin from Temper - Doritos fried chicken tenders with a valentinas sour cream dip.
@indianaccent 
Baked Sea Bass.
@sagardi_uk 
Txuleton (Basque style matured beef with roasted piquillo peppers on sourdough bread.
@blondieskitchen 
Hot Chunky Monkey Dough &amp; Banoffee Ice Cream.
@pleasecakeoficial
Large Cheese cake pick n mix.
@donjuliotequila
Posing at the Don Julio 1942 truck if you know you know 
That brings @tasteoflondon to a close for me but like I said alot of ice cream was consumed but no pictures taken hahaha. If there is anything anyone would like to know about a particular dish feel free to ask in the comments below  Until the next cheat day, That's what I'm saying (TWIS)</t>
  </si>
  <si>
    <t>LORD BARRY S GILL</t>
  </si>
  <si>
    <t>public space</t>
  </si>
  <si>
    <t>23.06.2019 20:51</t>
  </si>
  <si>
    <t>Hint of Lime Tostitos &gt; Doritos</t>
  </si>
  <si>
    <t>AE | BLS</t>
  </si>
  <si>
    <t>23.06.2019 20:50</t>
  </si>
  <si>
    <t>Spoop Boe</t>
  </si>
  <si>
    <t>M-5 Xbox 360 60 Gb-os Gép + Tartozékok + 54 Db eredeti Játék - Jelenlegi ára: 29 999 Ft</t>
  </si>
  <si>
    <t>Eladó szép állapotban, nézd meg a többi hirdetésemet is.
A gépen található 15 Db eredeti teljes játék és 39 db Játszható demó játék:
1. Air Mech Arena
2. Harms Way
3. The Walking Dead Season Two
4. The Wolf Among US
5. Walking Dead
6. Doritos Crash Course
7. Crimson Aliance
8. Kinect Party
9. Resident Evil Revelations 2
10. Frozen Free Fall Jégvarázs
11. Rock Band Music Store
12. Tales From The Borderlands
13. Halo Waypoint
14. World of Tanks
15. Kinect Mars Rover
Jelenlegi ára: 29 999 Ft
Az aukció vége: 2019-07-14 12:30 .</t>
  </si>
  <si>
    <t>riska (noreply@blogger.com)</t>
  </si>
  <si>
    <t>Hungary</t>
  </si>
  <si>
    <t>Sweet chilli heat doritos and sour cream
19. what’s a weird food combination you love?</t>
  </si>
  <si>
    <t>baabygirl</t>
  </si>
  <si>
    <t>23.06.2019 21:26</t>
  </si>
  <si>
    <t>Is there any reason they should be organic? #doritos #artificialflavor #artificialcolor #artificialfood #butorganic #doritosaddict</t>
  </si>
  <si>
    <t>Lily + Maddy + Jamie</t>
  </si>
  <si>
    <t>23.06.2019 20:49</t>
  </si>
  <si>
    <t>i put my dick in a bag of doritos.</t>
  </si>
  <si>
    <t>meAgan</t>
  </si>
  <si>
    <t>Sudbury</t>
  </si>
  <si>
    <t>23.06.2019 20:48</t>
  </si>
  <si>
    <t>Yo have you ever tried #FlaminHot @Doritos with @HeluvaGood??
If not, you’re missing out because it’s INCREDIBLE!</t>
  </si>
  <si>
    <t>Asa GreenRiver</t>
  </si>
  <si>
    <t>@javoac @golds_ale @xfraaa @Cinepolis Los doritos son amor.</t>
  </si>
  <si>
    <t>y la Princesa Exclamó</t>
  </si>
  <si>
    <t>Тачира</t>
  </si>
  <si>
    <t>La Fila</t>
  </si>
  <si>
    <t>23.06.2019 20:46</t>
  </si>
  <si>
    <t>Me encantaron
#gay #Pride #LGBT #LGBTTTIQ #doritosrainbow #doritos</t>
  </si>
  <si>
    <t>Dieguinsky</t>
  </si>
  <si>
    <t>23.06.2019 20:56</t>
  </si>
  <si>
    <t>@QueenHoneyMoney Honey on my spicy pizza or nacho cheese Doritos in some ice creams.</t>
  </si>
  <si>
    <t>hiatus prince (turning 21, on the 25th)</t>
  </si>
  <si>
    <t>Идлиб</t>
  </si>
  <si>
    <t>Харим</t>
  </si>
  <si>
    <t>finishing up on number 7 and would have to circle back and start again pretty quickly to keep them all fed. I discussed with Jenn this morning and told her she would most likely need to tube feed them half the time because it is very quick and efficient. 
We also discussed seeing Mama Bear might take Doritos pups but Jenn was worried and said Mama Bear is a very inexperienced mother and like a bull in a china shop not watching where she steps etc..and she worried for her to handle 7 more babies.
She did introduce the pups to Camaro who has just</t>
  </si>
  <si>
    <t>tree,plant,dog,lawn</t>
  </si>
  <si>
    <t>garden,field,meadow,grassland,yard,pasture,grass</t>
  </si>
  <si>
    <t>M-68 Xbox One 500 Gb -os Gép + Tartozékok + Doboz + 94 Db Eredeti Játék Újszerű - Jelenlegi ára: 54 999 Ft</t>
  </si>
  <si>
    <t>Eladó szép állapotban, nézd meg a többi akciomat is, van sok játék
A gépen található 20 db eredeti játék
1. The Walking Dead
2. Monkey Island
3. Monkey Island 2.
4. Quantum Conondrum
5. Brave - Merida a Bátor
6. Burnout Paradise
7. Cars 2 - Verdák 2
8. Child of Eden
9. Crazy Taxi
10. Sega Vintage Collection
11. The Cave
12. Deadfall Advantures
13. Doritos Crash Course
14. The Walking Dead 2.
15. Frozen Free Fall Jégvarázs
16. Harms Way
17. Heavy Weapon
18. Virtua Fighter 5. Final Showdown
19. I Am Alive
20. Marlow Briggs
+ 74 db Játék</t>
  </si>
  <si>
    <t>immi (noreply@blogger.com)</t>
  </si>
  <si>
    <t>20:42</t>
  </si>
  <si>
    <t>23.06.2019 20:44</t>
  </si>
  <si>
    <t>1am. The deadline is looming. Forget midnight oil. Doritos is the only fuel that is being burned in this office. Philadelphia sleeps.</t>
  </si>
  <si>
    <t>Birthday party on a budget? Keep shit simple. We used stuff we already had as decorations. This banner was from last year. We bought a plain cake at the grocery store and decorated it with dinos we had at home. I could have absolutely made it for cheaper, but it's just one less thing to stress about. We had the party at our apartment. We walked over and the kids swam at the complex pool and had a blast. 
Hot dogs, chili and pasta salad for dinner. Watermelon and Doritos to munch on. We rented 8 chairs. I'm not a Pinterest mom. I never have been and I never will be. I'm not trying to make anyone other than my kiddo happy, and kids don't need much to be happy.  
All in all we spent about $85 today... and $25 of which was a bottle of vodka for the adults.</t>
  </si>
  <si>
    <t>Mrs. Hernandebt</t>
  </si>
  <si>
    <t>23.06.2019 20:45</t>
  </si>
  <si>
    <t>Thanks @CARROT_app 
“My fitness app granted me permission to eat 2 entire Doritos!” https://itunes.apple.com/app/id769155678?at=11l6XJ&amp;ct=fit</t>
  </si>
  <si>
    <t>Jesse J. Anderson</t>
  </si>
  <si>
    <t>West Coast</t>
  </si>
  <si>
    <t>" if that happened to me , that would probably be the most fun part as well . "
“The fun part was explaining to my old neighbours why I had loads of massive poster boards with Doritos stuck to them.”</t>
  </si>
  <si>
    <t>ᴘʜɪʟ ʟᴇsᴛᴇʀ</t>
  </si>
  <si>
    <t>23.06.2019 20:41</t>
  </si>
  <si>
    <t>Banonymous</t>
  </si>
  <si>
    <t>20:39</t>
  </si>
  <si>
    <t>24.06.2019 04:32</t>
  </si>
  <si>
    <t>Gave in to temptation again... Will be over my calories again... I don't want to use my period as an excuse but man oh man my self control really goes out the window and I struggle. I'm posting this to show it is a struggle and it is hard to say no to the bad food even though I want to be successful on my journey but some days it is just too hard to say no. I don't want to make myself feel terrible about it I just want to journal it here to remind myself that it is okay to fall behind a little and tomorrow will be a better day and not to feel to bad about a few bad choices today.
.
.
.
#weightlossjourney #thestruggleisreal #noteverydayisagoodday #damncravings #onedayatatime #getbackontrack</t>
  </si>
  <si>
    <t>Ashley Lynn</t>
  </si>
  <si>
    <t>fried food,fast food,food,junk food,snack</t>
  </si>
  <si>
    <t>20:38</t>
  </si>
  <si>
    <t>23.06.2019 20:43</t>
  </si>
  <si>
    <t>I LOVE MY SUPPORTERS!!! TEAM EK TO THE WORLD!!!!‍‍THE COOKING CONTINUES  #THE1‍EK #MAMAPREP_EK #EKNACHOS #BEEFNACHOS #NACHOCHEESE #BACONNACHOS #BACON #TASTY #GROUNDBEEF #NACHOS #DORITONACHOS #DORITOS #VIEWGASM #FOODGASM #FOODBEAST #GRUBZONE #FOODZONE #FOODISART #HOODCHEF #DOMINICANCHEFS #FOODVIDS #FOODREACTIONS #FOODREVIEWS #LEGACY #THECOOKINGCONTINUES #INVESTINYOU #ENTREPRENEURS #YOUNGVISIONARIES #EKGOTTHESAUCE
@thrillist @amaralanegraaln @eddymoyeno25 @elalfaeljefe @mamaprep_ek @doritos @messiahgram @kapuchinobabyofficial @buzzfeedtasty @litokirinoofficial</t>
  </si>
  <si>
    <t>Eric's Kitchen</t>
  </si>
  <si>
    <t>LOVE YOUR CREATOR</t>
  </si>
  <si>
    <t>Guinea</t>
  </si>
  <si>
    <t>Doritos and lasagna
19. what’s a weird food combination you love?</t>
  </si>
  <si>
    <t>vegan vampire</t>
  </si>
  <si>
    <t>Lali Esposito as doritos; a thread</t>
  </si>
  <si>
    <t>Amorespresente</t>
  </si>
  <si>
    <t>23.06.2019 20:42</t>
  </si>
  <si>
    <t>Doritos***
q ganas de birra con unos manicitoss</t>
  </si>
  <si>
    <t>Camila</t>
  </si>
  <si>
    <t>Baked Cheetos and Doritos  over lettuce topped with 2 meat Rotel and homemade BBQ sauce... #eatwithnick My baby singing happy birthday to daddy food truck... https://www.instagram.com/p/BzEpe0Whls7/?igshid=7432vxw5eqrk</t>
  </si>
  <si>
    <t>♑✈</t>
  </si>
  <si>
    <t>Джэксон</t>
  </si>
  <si>
    <t>23.06.2019 20:40</t>
  </si>
  <si>
    <t>que cosa rica los doritos</t>
  </si>
  <si>
    <t>Yamm</t>
  </si>
  <si>
    <t>23.06.2019 20:39</t>
  </si>
  <si>
    <t>@N3rdH3rdChannel My daughter wanted to get extra walking in today, and she's doing better every day. We watched Pokémon 2000, some of the show episodes, messed around with the Pokegenerator maker thing, found funny stuff to laugh at on Twitter, ate spicy Doritos. It's been a good day :D</t>
  </si>
  <si>
    <t>Mooshyfluff 84</t>
  </si>
  <si>
    <t>You can see me and my dad sitting in the front row!
On a brand new #FatManBeyond! We’re corporate whores galore when @marcbernardin and I show off @Ghostbusters sneakers sponsored by @KSWISS and a @SpiderManMovie suit sponsored by @Doritos while standing at the bar in the @SVCantina!</t>
  </si>
  <si>
    <t>Nick</t>
  </si>
  <si>
    <t>24.06.2019 04:49</t>
  </si>
  <si>
    <t>#cheetos
@viivalacos</t>
  </si>
  <si>
    <t>Блуменау</t>
  </si>
  <si>
    <t>20:33</t>
  </si>
  <si>
    <t>23.06.2019 20:38</t>
  </si>
  <si>
    <t>I love when costco has these!! If you’ve never had them, they taste just like salsa verde Doritos but the chip is so much more substantial! No shade to Doritos tho, I still love you always  if anyone has the smartpoints, list them below! It’s 130 calories per oz so I’m guessing 4sp per serving but as always, double check for yourself!! . .
.
.
.
.
.
#pregnancy #healthypregnancy #fitpregnancy #fitmom #preggo #healthy #balancedmeals #pregnant #pregnancycravings #healthyfood #nutrition #healthyeating #mindful #mindfulpregnancy</t>
  </si>
  <si>
    <t>Keisha Miller‍</t>
  </si>
  <si>
    <t>food,drink</t>
  </si>
  <si>
    <t>23.06.2019 20:34</t>
  </si>
  <si>
    <t>Me encantaron 
#pride #gay #lgbtttiq #lgbt #doritosrainbow #doritos #rainbow https://www.instagram.com/p/BzEo7zmhMCy/?igshid=1kpnoggyxyn2w</t>
  </si>
  <si>
    <t>Me encantaron 
#pride #gay #lgbtttiq #lgbt #doritosrainbow #doritos #rainbow</t>
  </si>
  <si>
    <t>20:30</t>
  </si>
  <si>
    <t>☠</t>
  </si>
  <si>
    <t>Нор — Па-де-Кале и Пикардия</t>
  </si>
  <si>
    <t>Кале</t>
  </si>
  <si>
    <t>Tiffany B</t>
  </si>
  <si>
    <t>23.06.2019 20:30</t>
  </si>
  <si>
    <t>lol WTF?
Want to score this Limited-Edition Doritos Spidey Suit? Tell us what super power Doritos gives you using #IncognitoDoritos #Entry for the chance to win! Rules @ https://bit.ly/2MXEpdc Be sure to check out #SpiderManFarFromHome, in theaters July 2!</t>
  </si>
  <si>
    <t>Colin/Sage</t>
  </si>
  <si>
    <t>@Doritos Please please please bring them back</t>
  </si>
  <si>
    <t>Kayla Shafer</t>
  </si>
  <si>
    <t>رهف</t>
  </si>
  <si>
    <t>@pixeldan this blue Doritos Spider-Man bag reminds me of your blue Spider-Man fig that popped up in some of your videos #spidermanfarfromhome #pixeldan #toycollectors</t>
  </si>
  <si>
    <t>Toy Shack Underground</t>
  </si>
  <si>
    <t>23.06.2019 20:28</t>
  </si>
  <si>
    <t>@Otebzz Doritos or hot Cheetos in a ham sandwich</t>
  </si>
  <si>
    <t>illexotic</t>
  </si>
  <si>
    <t>23.06.2019 20:27</t>
  </si>
  <si>
    <t>zulema</t>
  </si>
  <si>
    <t>23.06.2019 20:26</t>
  </si>
  <si>
    <t>Zaer</t>
  </si>
  <si>
    <t>20:24</t>
  </si>
  <si>
    <t>ashlee♥️</t>
  </si>
  <si>
    <t>Doritos•
•
•
•
•
•
•
•
#meme #rip #lol #memes #earrapememes #spicymemes #earrape #memes #dankmemes #dailymemes #ussrmemes #sovietmemes #tseries #cykablyat #pewdiepie #yeet #bigoof #oof #deepfriedmemes #earrapememes
#minecraftmemes #minecraft #flextape #drphil #philswift #tiktok #fortnite #deepfriedmemes #ussrmemes #stalin #memevideos #meme #rip #lol #memes #earrapememes #spicymemes #earrape #memes #dankmemes #dailymemes #ussrmemes #sovietmemes #tseries #cykablyat #pewdiepie #marvel #dc</t>
  </si>
  <si>
    <t>memes</t>
  </si>
  <si>
    <t>electronics,smartphone,gadget</t>
  </si>
  <si>
    <t>23.06.2019 20:24</t>
  </si>
  <si>
    <t>@roywoodjr They eat stolen Doritos and Beach BBQ. Why do you want to go to war with beach chickens?</t>
  </si>
  <si>
    <t>ExSavior</t>
  </si>
  <si>
    <t>road,asphalt</t>
  </si>
  <si>
    <t>23.06.2019 20:22</t>
  </si>
  <si>
    <t>Today I said- Screw it... Screw everything- laundry, dishes, cleaning and packing for vacation... .
.
.
Ran to get groceries and on the way pack took a detour to the local Dollar General and purchased a $20 blow up pool,  new beach towels + bag of Buffalo Ranch Doritos.
.
.
.
We lounged by the pool ALL DAY! Soaking up the sun ☀️ and eating crap... #momoftheyear
.
.
.
Everyone got sunburnt and had the most amazing time. .
.
.
“No matter how many plans you make or how much in control you are, life is always winging it.” #sundayfunday #sunday #simplicity #entrepreneurlife #entrepreneur</t>
  </si>
  <si>
    <t>ᗰᗩᖇTIᑎᗩ ᔕᑭᖇIᑎᘜᗴᖇ</t>
  </si>
  <si>
    <t>swimwear,boat,clothing</t>
  </si>
  <si>
    <t>water park,summer,water,swimming pool,vacation,leisure</t>
  </si>
  <si>
    <t>24.06.2019 04:34</t>
  </si>
  <si>
    <t>Ontem, hoje e sempre... ❤
.
.
.
#love #pride #gaycouple #gayhusband #pride2019️‍ #instagay #instapic #instaphoto #insta #instamoment #instafeelings #gaylove #lovegay #truelove #truefriends
@clovisventurini</t>
  </si>
  <si>
    <t>23.06.2019 20:31</t>
  </si>
  <si>
    <t>These clowns sound like Doritos
Jungkook's reaction to Jimin's loud af bones sjsjs and how they turned it into a bone cracking competition</t>
  </si>
  <si>
    <t>im not acc that little im quite tall</t>
  </si>
  <si>
    <t>20:20</t>
  </si>
  <si>
    <t>23.06.2019 20:25</t>
  </si>
  <si>
    <t>maria</t>
  </si>
  <si>
    <t>i just ate all my hot doritos and watched youtube</t>
  </si>
  <si>
    <t>##melody!! ^ _− ☆</t>
  </si>
  <si>
    <t>23.06.2019 20:21</t>
  </si>
  <si>
    <t>queria viver igual o young thug, só de drogas e doritos</t>
  </si>
  <si>
    <t>vitorugo</t>
  </si>
  <si>
    <t>20:18</t>
  </si>
  <si>
    <t>Doritos flamas ASMR</t>
  </si>
  <si>
    <t>Adrian vlogs/gaming</t>
  </si>
  <si>
    <t>Mountain bike, Doritos, and @zuberfizz. What more do you need in life? #sohappytogaylor #zuberfizz #thewayiroll #fatty #cannondale #camping #littlearrowoutdoorresort</t>
  </si>
  <si>
    <t>Brandon &amp; Beverly Gaylor</t>
  </si>
  <si>
    <t>Townsend</t>
  </si>
  <si>
    <t>I gonna take my Doritos to the old town road, gonna eat till I can no more #doritos
@doritos</t>
  </si>
  <si>
    <t>Arthur Röhsig</t>
  </si>
  <si>
    <t>Urubici</t>
  </si>
  <si>
    <t>23.06.2019 20:17</t>
  </si>
  <si>
    <t>@lexxjdavis I’m dead you say doritos lex</t>
  </si>
  <si>
    <t>Riah</t>
  </si>
  <si>
    <t>24.06.2019 05:26</t>
  </si>
  <si>
    <t>SPICY FOOD TASTE TEST (must watch)</t>
  </si>
  <si>
    <t>B1uR</t>
  </si>
  <si>
    <t>Jadeverett</t>
  </si>
  <si>
    <t>24.06.2019 04:12</t>
  </si>
  <si>
    <t>@questnutrition chips make a perfect dorito replacement  You can also bake cheese on parchment paper at 350F for 5-8 minutes until edges turn light brown, or fry a heavily seasoned low carb flat bread in oil and use that for chips as well 
.
.
.
Click the link in our bio to try our macro tracking app for free 
.
.
.
#keto #ketodiet #ketogenicdiet #ketogenic #hflc #lchf #lowcarb #lowcarbrecipes #ketorecipes #ketosnacks #ketolife</t>
  </si>
  <si>
    <t>Keto.app - Keto Diet Tracker</t>
  </si>
  <si>
    <t>23.06.2019 20:11</t>
  </si>
  <si>
    <t>Gamers complaining about "forced diversity" as if the default human being is a straight white male unknowingly eat Nazi propaganda directly from the 30's, almost as much as they eat a week old bag of Doritos in their gamey taint smelling gamer pads</t>
  </si>
  <si>
    <t>Emanuel (エマヌエル)</t>
  </si>
  <si>
    <t>23.06.2019 20:12</t>
  </si>
  <si>
    <t>When your friend starts eating doritos over the mic
Follow @vest_memes for more   
.
.
.
.
.
.
.
.
.
.
.
.
.
.
#torontomemes416 #idubbbz #keemstar #boi #number15 #burgerkingfootlettuce #2dank4u #killerkeemstar #ibeatmyyeet #obamadid911 #dogger #jetfuelcantmeltsteelbeams #spicymeme #️eter #fortnite #fortnut #cursedimages #bushdid911 #dank #dankmemes #offensivememes #datboi #vietnamflashback #only2genders #pumpedupkicks #flithyfrank #edgymemes #papafranku #spongegarrr #aids</t>
  </si>
  <si>
    <t>ZERO ADS, now thats epic</t>
  </si>
  <si>
    <t>23.06.2019 20:16</t>
  </si>
  <si>
    <t>emo starter pack</t>
  </si>
  <si>
    <t>Lost Creek</t>
  </si>
  <si>
    <t>✨♡ Hannah ♡ ✨</t>
  </si>
  <si>
    <t>Северная Дакота</t>
  </si>
  <si>
    <t>Forman</t>
  </si>
  <si>
    <t>23.06.2019 20:15</t>
  </si>
  <si>
    <t>Casintra</t>
  </si>
  <si>
    <t>20:07</t>
  </si>
  <si>
    <t>23.06.2019 20:10</t>
  </si>
  <si>
    <t>@AguSsVera312 Si amiga y te di de mis doritos :((((</t>
  </si>
  <si>
    <t>Agostina</t>
  </si>
  <si>
    <t>Such a fun long weekend in South Haven with this bunch! First famcation in Michigan and we had a blast! We had fun playing on the beach, exploring the town, and we all loved staying under the same roof where the kids had doritos instead of veggies and oreos after every meal! ☀️ @kstudley57 @keburrus @nickburrus  #familyvacation #michigan</t>
  </si>
  <si>
    <t>Kristy Studley</t>
  </si>
  <si>
    <t>South Haven</t>
  </si>
  <si>
    <t>vehicle,house</t>
  </si>
  <si>
    <t>we all die and rot one day but doritos are 5evaaaa</t>
  </si>
  <si>
    <t>mgs bot</t>
  </si>
  <si>
    <t>I’M PICKLE RICK</t>
  </si>
  <si>
    <t>23.06.2019 20:09</t>
  </si>
  <si>
    <t>I put my dick in a bag of Doritos
And made this ni**a bitch suck the dust off the tip</t>
  </si>
  <si>
    <t>ʞɔᴉɹƎ</t>
  </si>
  <si>
    <t>@Doritos I want One</t>
  </si>
  <si>
    <t>i am a jakepauler</t>
  </si>
  <si>
    <t>Smitty Werbanjangermanjenson</t>
  </si>
  <si>
    <t>23.06.2019 20:08</t>
  </si>
  <si>
    <t>Yeahhh, @briglizzl_ shit be bussing we ain’t have that in a minute. 
@kameroncarter nacho doritos and cream cheese</t>
  </si>
  <si>
    <t>CC</t>
  </si>
  <si>
    <t>23.06.2019 20:07</t>
  </si>
  <si>
    <t>Muhluri</t>
  </si>
  <si>
    <t>23.06.2019 20:06</t>
  </si>
  <si>
    <t>Poli</t>
  </si>
  <si>
    <t>20:04</t>
  </si>
  <si>
    <t>23.06.2019 20:05</t>
  </si>
  <si>
    <t>some photos from #pride today
(yes, the Doritos were colorful too, it wasn't just the package)</t>
  </si>
  <si>
    <t>Periwikle</t>
  </si>
  <si>
    <t>urban area,city</t>
  </si>
  <si>
    <t>Dollar General Deals 6/23: Speed Stick, Softsoap, Sparkle towels, Sun laundry, Twizzlers</t>
  </si>
  <si>
    <t>, 9-10 oz, $1.50 and Buy 2 Get 1 Free with DG digital coupon = $1 each when you buy 3 and use coupon     Clover Valley baked beans, 28 oz, $1.40     Eckrich jumbo franks meat 18 oz or cheese 12 oz, $1.75     Kellogg’s, General Mills cereals, select varieties, 3 for $6   Coupons: $1/1 Kellogg’s coupon from Kelloggsfamilyrewards.com, various .50/1, $1/2 and $2 off $4 Kellogg’s coupons from Kelloggsfamilyrewards.com, $1/3 Kellogg's coupon from 6/16 RMN, $1/2 GM cereal coupons from 6/2 SS and DG digitsal coupons     Doritos and Lay’s, select,9.5</t>
  </si>
  <si>
    <t>WRAL NBC affiliate</t>
  </si>
  <si>
    <t>wral.com</t>
  </si>
  <si>
    <t>20:01</t>
  </si>
  <si>
    <t>23.06.2019 20:04</t>
  </si>
  <si>
    <t>norman gee</t>
  </si>
  <si>
    <t>What if I don’t want gay Doritos</t>
  </si>
  <si>
    <t>Колима</t>
  </si>
  <si>
    <t>Cuauhtémoc</t>
  </si>
  <si>
    <t>Michael Myers</t>
  </si>
  <si>
    <t>What's up with American education?</t>
  </si>
  <si>
    <t>!" as if munching something up and getting a nice, full belly and burping loudly and tasting the burps was better than all the depth and breadth of true Life lived, and those sullen expressions were unhappiness rather than the dignity of seriousness.
American education: Gedda job, then ya can chomp up some Doritos! Chompy chompy sniff sniff!</t>
  </si>
  <si>
    <t>MMcKuen</t>
  </si>
  <si>
    <t>forum.deviantart.com</t>
  </si>
  <si>
    <t>Politics Forum | DeviantArt</t>
  </si>
  <si>
    <t>"},{"domain":".youtube.com","flag":true,"path":"/","secure":false,"expiration":"1623502321","name":"HSID","value":"Aa6PzPlbkxkVNP-ON"},{"domain":"accounts.google.com","flag":false,"path":"/","secure":true,"expiration":"1623502322","name":"LSID","value":"doritos|s.BD|s.youtube:egcPcgGVDO93MBO61VSzyY1FKW003al7cxemqvzSgB2eL0zbj5CfavZXESdnCv8lOZ36UQ."},{"domain":".google.com.bd","flag":true,"path":"/","secure":false,"expiration":"1576241521","name":"NID","value":"185=DUeVrS-aDdw1v2_8EhPVzdKqjBr6vz1xL989tQxMhNCVhhf60PGVSz3guac5e4EfplWR</t>
  </si>
  <si>
    <t>By Arthur.exe</t>
  </si>
  <si>
    <t>raquelista.rac@gmail.com:raquel
giulyprofy.15@libero.it:amoremio
mariante2340@gmail.com:maria123
sam7343@hotmail.com:bandit
brock_con@hotmail.ca:hockey
giovanafurtadoo@gmail.com:doritos
lizzyzav9@gmail.com:elizabeth
lindseykindel73@gmail.com:bubblegum
kragin09@yahoo.com:kayleigh
gabriellefoor@gmail.com:gabrielle1
alligatornutz@gmail.com:brooklyn
deliadavid11715@yahoo.com:Bella123
ddurant61@gmail.com:dakota
amortiadam@gmail.com:adidas
amber.caudillo@yahoo.com:softball13
aideg011514@gmail.com:houston1
lualdosam@gmail.com:jessica1
giuliaalberigi</t>
  </si>
  <si>
    <t>|PREMIUM
nhenie_11@yahoo.com:broken|PREMIUM
mariamaraki591@gmail.com:20022002|PREMIUM
ldpiddmangalede@gmail.com:07071995|PREMIUM
raquelista.rac@gmail.com:raquel|PREMIUM
giulyprofy.15@libero.it:amoremio|PREMIUM
mariante2340@gmail.com:maria123|PREMIUM
sam7343@hotmail.com:bandit|PREMIUM
brock_con@hotmail.ca:hockey|PREMIUM
giovanafurtadoo@gmail.com:doritos|PREMIUM
lizzyzav9@gmail.com:elizabeth|PREMIUM
lindseykindel73@gmail.com:bubblegum|PREMIUM
kragin09@yahoo.com:kayleigh|PREMIUM
gabriellefoor@gmail.com:gabrielle1|PREMIUM
alligatornutz@gmail.com</t>
  </si>
  <si>
    <t>19:59</t>
  </si>
  <si>
    <t>We had a great date night and some treats yesterday and now I am right back on track. HUGE taco salad for dinner!
93% Lean Ground Turkey Taco Meat 5sp
Homemade Cilantro Ranch 1sp
Guacamole 3sp
6 Spicy Nacho Doritos 2sp
Black beans, bell pepper, carrots, lettuce, tomato and jalapeno 0sp
#wwfreestyle #weightlossjourney #ww #weightwatchers</t>
  </si>
  <si>
    <t>Mikki</t>
  </si>
  <si>
    <t>appetizer,meal,garnish,vegetable,salad,food</t>
  </si>
  <si>
    <t>23.06.2019 20:02</t>
  </si>
  <si>
    <t>Franziska</t>
  </si>
  <si>
    <t>23.06.2019 20:01</t>
  </si>
  <si>
    <t>Sapere aude</t>
  </si>
  <si>
    <t>23.06.2019 20:00</t>
  </si>
  <si>
    <t>Esports participant Ninja fails to qualify for Fortnite World Cup</t>
  </si>
  <si>
    <t>Tyler “Ninja” Blevins performs Name of Obligation: Black Ops four in the course of the Doritos Bowl 2018 at TwitchCon 2018 in San Jose, California.
Robert Reiners/Getty Pictures
The world’s most recognizable Fortnite participant will not be taking part within the largest online game match of all time. Tyler “Ninja” Blevins, who has raked in thousands and thousands of {dollars} taking part in the sport, did not qualify for subsequent month’s
Fortnite World Cup Finals.
Ninja was eradicated from the solo competitors two weeks in the past, and on</t>
  </si>
  <si>
    <t>newpaper24.com</t>
  </si>
  <si>
    <t>CREO QUE ESTOY SOÑANDO Y ESO ESPERO PERO ME DESPERTÉ DE LA SIESTA*nunca duermo siesta*Y YA ME DESPERTÉ TRISTE,FUI ABAJO PARA VER QUE HABÍA PARA COMER PORQUE TENÍA HAMBRE Y SOLO HAY HUEVO Y DORITOS,QUUSE HACER HUEVO REVUELTO Y NO TENGO GAS,ME FIJO Y TAMPOCO HAY AGUA,MIS ABUELOS+</t>
  </si>
  <si>
    <t>⎘┊❝. ️‍</t>
  </si>
  <si>
    <t>23.06.2019 19:59</t>
  </si>
  <si>
    <t>bruno</t>
  </si>
  <si>
    <t>kkkkkkkkkkkkkkkkkkkkkkk ai vei
WE ARE OUT OF DORITOS KAREN</t>
  </si>
  <si>
    <t>How about a Xānaba Cake to start the Summer right? 
.
.
This combination of Mexican chips, home made Xāmoy and Mexican candy is FIRE! 
.
.
#roscadepapas #xanabacake #mexicansnacks #mexicanfood #foodlover #foodphotography #hotcheetos #doritos #tajin #lucascandy #skwinkles #tajin #chamoy #spicyfoods #salsa #lastreetfood #losangeles #lafood #foodphotography #foodlover #foodie #sundayfunday #copaoro #partyideas #foodforparties #downey #downeyca</t>
  </si>
  <si>
    <t>Xi'ikam | Mexican Snacks</t>
  </si>
  <si>
    <t>Downey</t>
  </si>
  <si>
    <t>meat,food</t>
  </si>
  <si>
    <t>23.06.2019 19:58</t>
  </si>
  <si>
    <t>Parents always criticize your driving. Like “slow down” and “why are you eating Doritos” and “JESUS FUCKING CHRIST EMMA YOU ALMOST RAN OVER THAT PERSON”</t>
  </si>
  <si>
    <t>Emma Livingston</t>
  </si>
  <si>
    <t>what is the n word-ND  #meme #memes #bestmemes #instamemes #funny #funnymemes #dankmemes #offensivememes #edgymemes #spicymemes #nichememes #memepage #funniestmemes #dank #memesdaily #jokes #memesrlife #memestar #memesquad #humor #lmao #igmemes #lol #memeaccount #memer #relatablememes #funnyposts #sillymemes #nichememe #memetime</t>
  </si>
  <si>
    <t>The Doobie Brothers</t>
  </si>
  <si>
    <t>23.06.2019 19:56</t>
  </si>
  <si>
    <t>Doritos! You give me the super power of flight so I can go all over and explore the world without the worry of never finding you! You're always around!  #IncognitoDoritos #Entry #SpiderManFarFromHome
Want to score this Limited-Edition Doritos Spidey Suit? Tell us what super power Doritos gives you using #IncognitoDoritos #Entry for the chance to win! Rules @ https://bit.ly/2MXEpdc Be sure to check out #SpiderManFarFromHome, in theaters July 2!</t>
  </si>
  <si>
    <t>Nicole Anderson</t>
  </si>
  <si>
    <t>19:55</t>
  </si>
  <si>
    <t>Kiero #doritos</t>
  </si>
  <si>
    <t>China Salmon</t>
  </si>
  <si>
    <t>19:54</t>
  </si>
  <si>
    <t>Doritos and much too much cream in my iced coffee. And yeah I’m a little self conscious about how I look. But you know what?
I’M HAPPY
AND I WILL NEVER STOP BEING ME. I will always struggle with mental health and sometimes I am that girl from 2016 but I’m in a much better place. 
Never judge a book by its cover. ❤️❤️❤️ #mentalhealthawareness #mentalhealth #mentalillness #mentalhealthrecovery #mentalillness #mentalhealthadvocate #mentalhealthblogger #anxiety #anxietyrecovery #anxietyattack #bodypositive #selflove #selfacceptance #selfconfidence #confidence #momentsofchic #nowhereeverywhere #startedwithascreenshot #stylehunters #styleinfluencer #stylemehappy #canadianbloggers #fashiondiaries #stylediary #realoutfitgrams #discoverunder100k #thunderbay</t>
  </si>
  <si>
    <t>Steph Hunt | Style Blogger</t>
  </si>
  <si>
    <t>19:53</t>
  </si>
  <si>
    <t>23.06.2019 19:57</t>
  </si>
  <si>
    <t>@SubyKaijupriest
WE ARE OUT OF DORITOS KAREN</t>
  </si>
  <si>
    <t>Soft Peachy ♡</t>
  </si>
  <si>
    <t>Северная территория</t>
  </si>
  <si>
    <t>Djirrbiyak</t>
  </si>
  <si>
    <t>@namsalame ysi si tuviera plata me morfaria cinco bolsas de doritos al dia</t>
  </si>
  <si>
    <t>leyla atr</t>
  </si>
  <si>
    <t>zoëëë</t>
  </si>
  <si>
    <t>23.06.2019 19:55</t>
  </si>
  <si>
    <t>lanna</t>
  </si>
  <si>
    <t>23.06.2019 19:52</t>
  </si>
  <si>
    <t>farofa temperada</t>
  </si>
  <si>
    <t>#theoffice #doritos</t>
  </si>
  <si>
    <t>mrhillnc</t>
  </si>
  <si>
    <t>19:50</t>
  </si>
  <si>
    <t>#DOMINGOOOOO!! #HUMOR
-COMPA, SI ME EMPEDO ME CUIDAS.
-YO: OBVIO QUE LO CUIDO BROO. 
-MI COMPA 3 DORITOS CON ALCOHOL DESPUES* 
https://www.facebook.com/NoticiasLasVinasAH21/videos/337568890476175/
#DOMINGOOOOO!! #HUMOR</t>
  </si>
  <si>
    <t>Las Viñas Ahuachapan</t>
  </si>
  <si>
    <t>23.06.2019 19:50</t>
  </si>
  <si>
    <t>Kait</t>
  </si>
  <si>
    <t>Meryem</t>
  </si>
  <si>
    <t>Стокгольм</t>
  </si>
  <si>
    <t>23.06.2019 19:51</t>
  </si>
  <si>
    <t>ang</t>
  </si>
  <si>
    <t>@TrevDon Doritos cool ranch!</t>
  </si>
  <si>
    <t>Eddie2col4u</t>
  </si>
  <si>
    <t>J’</t>
  </si>
  <si>
    <t>Калгари</t>
  </si>
  <si>
    <t>23.06.2019 19:49</t>
  </si>
  <si>
    <t>#IncognitoDoritos Doritos gives me the super power of just being myself.</t>
  </si>
  <si>
    <t>Scott Groppi</t>
  </si>
  <si>
    <t>Paterson</t>
  </si>
  <si>
    <t>23.06.2019 19:48</t>
  </si>
  <si>
    <t>meowdy</t>
  </si>
  <si>
    <t>Cheese #doritos #eating</t>
  </si>
  <si>
    <t>Terrell</t>
  </si>
  <si>
    <t>19:46</t>
  </si>
  <si>
    <t>23.06.2019 19:47</t>
  </si>
  <si>
    <t>ℨ</t>
  </si>
  <si>
    <t>23.06.2019 19:46</t>
  </si>
  <si>
    <t>ive been having a one way conversation with taylor for the past hour and all i can hear is her eating doritos and speaking to herself</t>
  </si>
  <si>
    <t>taylor noah and andreeas day TOMORROW</t>
  </si>
  <si>
    <t>Hot Girl Royalty</t>
  </si>
  <si>
    <t>flamas doritos :(</t>
  </si>
  <si>
    <t>flamas doritos :(
amen</t>
  </si>
  <si>
    <t>shutupannelise</t>
  </si>
  <si>
    <t>24 de 25 tazos 3D de spiderman
.
.
@doritos #spidermanfarfromehome 
@doritos_mx #walmart #spidermanlejosdecasa #spiderman #tazos #tazosspiderman #sabritas
@doritos</t>
  </si>
  <si>
    <t>#cinemex #cinepolis #cinemagic</t>
  </si>
  <si>
    <t>taco pizza pizza hut</t>
  </si>
  <si>
    <t>taco more super cheap fast food menus e news .
hey pizza hut bring back taco pizza home facebook .
taco pizza pizza hut january 2019 picture of pizza hut grand .
personal pan cheese pizza pizza hut from taco hut tac flickr .
pizza hut x doritos locos tacos mashup thrillist .
casey s taco pizza casey s general store .
review pizza hut new hand tossed pizza brand eating .
victory pizza hut taco bell plan to remove artificial .
pizza hut taco pizza in superb ors are pizza hut taco pizza recipe .
reviewing my favorite pizza pizza hut cheesy bites</t>
  </si>
  <si>
    <t>mountain dew contest</t>
  </si>
  <si>
    <t>mountain dew s dub the dew online poll goes horribly wrong time com .
mountain dew chose its new permanent flavor by tapping into cult .
dewmocracy i mountain dew wiki fandom powered by wikia .
case study what we learned from mountain dew tiny work .
mountain dew south africa home facebook .
dewmocracy canada mountain dew wiki fandom powered by wikia .
mountain dew doritos every 2 minutes contest mtn dew kid .
review mountain dew dewmocracy flavors 2010 white out typhoon .
dub the dew know your meme .
winners of dewmocracy designs contest</t>
  </si>
  <si>
    <t>dorito dust</t>
  </si>
  <si>
    <t>hoax doritos powder not for taste but dorito s experience .
i found a nugget of pure dorito dust in my lunch yesterday .
dorito dust microwave pork rinds .
dorito dusting here s how to season food like a 9 year old .
til doritos could be made without the powder and taste exactly the .
an american housewife homemade dorito dust flavoring for pretty .
the untold truth of doritos .
doritos dust .
what s in this doritos nacho cheese tortilla chips mel magazine .
nacho cheese powder spice specialist .
i found a giant block of cheese dust on my</t>
  </si>
  <si>
    <t>24.06.2019 07:01</t>
  </si>
  <si>
    <t>dorito costume</t>
  </si>
  <si>
    <t>dorito costume costume in 2019 costumes group costumes .
bag of doritos homemade diy halloween costume halloween costumes .
cool ranch dorito costume .
coolest doritos bag child s costume costumes homemade halloween .
bag of doritos costume costume pop costume pop .
sew a chip bag costume dorito bag costume on sewmccool com .
bag of doritos costume stanford center for opportunity policy in .
dorito costume .
chip bag costume in your choice of sizes by coolbeancostumes .
doritos crash the superbown commercial sam weller as the dorito .
doritos</t>
  </si>
  <si>
    <t>19:43</t>
  </si>
  <si>
    <t>23.06.2019 19:43</t>
  </si>
  <si>
    <t>Doritos and Snails  
    @turbskies_for_life ✌
@kingtomthethird
_____________________________________⁣_____
⁣
#antilag #antilagalliance #turbo #twinturbo #biturbo #boost #boosted #exhaust #als #flames #launchcontrol #launch #cars #racecar #jdm #eurocars #singleturbo #rollingantilag #2step #hoodexit #loudcars #loudexhaust #becauseracecar #modifiedcars</t>
  </si>
  <si>
    <t>Car Vids</t>
  </si>
  <si>
    <t>19:42</t>
  </si>
  <si>
    <t>@ThickNatural ha, jokes on you...i already ruint mine....with these Doritos *crunch*</t>
  </si>
  <si>
    <t>elf</t>
  </si>
  <si>
    <t>Ashton-under-Lyne</t>
  </si>
  <si>
    <t>23.06.2019 19:44</t>
  </si>
  <si>
    <t>Wallie_44</t>
  </si>
  <si>
    <t>emily</t>
  </si>
  <si>
    <t>23.06.2019 19:42</t>
  </si>
  <si>
    <t>Gertrude The Squid</t>
  </si>
  <si>
    <t>Seattle Hill-Silver Firs</t>
  </si>
  <si>
    <t>María Angélica</t>
  </si>
  <si>
    <t>Сантьяго</t>
  </si>
  <si>
    <t>Garlic Parmesan, Soy chicken, Honey Sriracha and Mexican Corn Doritos will be rolling out soon ⚔ #hangaroneph #hangarone #chickenwings #wings #corn #mexicancorn #doritoscorn</t>
  </si>
  <si>
    <t>Hangar One</t>
  </si>
  <si>
    <t>Пампанга</t>
  </si>
  <si>
    <t>San Fernando</t>
  </si>
  <si>
    <t>fried chicken,meat,food,fried food</t>
  </si>
  <si>
    <t>I like to do this and then my corn allergy reminds me it’s not a good idea afterward.
About to take these Doritos to pound town.</t>
  </si>
  <si>
    <t>North TX Teacher</t>
  </si>
  <si>
    <t>Someone who has never had Ketchup Doritos:
@GARandall Ketchup chips taste like shit</t>
  </si>
  <si>
    <t>23.06.2019 19:36</t>
  </si>
  <si>
    <t>Renee Aceves</t>
  </si>
  <si>
    <t>Right, oiks. Sick of small, crumbly supermarket naans? I found these monsters in Morrisons and haven't looked back. Big Doritos bag for scale if Reddit app hasn't cropped it out." https://i.redd.it/cx09bvnih5631.jpg</t>
  </si>
  <si>
    <t>PoorlyAttired</t>
  </si>
  <si>
    <t>23.06.2019 19:38</t>
  </si>
  <si>
    <t>All smart points marked are per serving! Can’t wait to make 0sp buffalo chicken dip this week! And use the Doritos and shredded lettuce to add to a taco salad :) also, the WW string cheese is 1sp per stick!</t>
  </si>
  <si>
    <t>Maddie Davis</t>
  </si>
  <si>
    <t>drink,meal,convenience food,fast food,junk food,snack,food</t>
  </si>
  <si>
    <t>Extra bag of opened Doritos sitting around? We at TGLL have the perfect product....</t>
  </si>
  <si>
    <t>Linster!</t>
  </si>
  <si>
    <t>Bahamas</t>
  </si>
  <si>
    <t>Albert Town</t>
  </si>
  <si>
    <t>coffee cup,cup</t>
  </si>
  <si>
    <t>me compré un paquete enorme de doritos por que estoy triste</t>
  </si>
  <si>
    <t>Dalila</t>
  </si>
  <si>
    <t>23.06.2019 19:37</t>
  </si>
  <si>
    <t>@gaylormoons would be down for doritos and mtn dew</t>
  </si>
  <si>
    <t>ロイス (200/300)</t>
  </si>
  <si>
    <t>Why are these Doritos “cool” ranch? It’s not cool or cold. I feel like they wouldn’t sell so many bags if they just said “ranch”. They added “cool” for the attraction... Idk just a thought.</t>
  </si>
  <si>
    <t>ishya boi</t>
  </si>
  <si>
    <t>Parkersburg</t>
  </si>
  <si>
    <t>French onion dip, coffee, honey BBQ boneless wings, and french fries
Coke Zero, Basil, Canned Peaches, and Doritos</t>
  </si>
  <si>
    <t>Loveable Tube</t>
  </si>
  <si>
    <t>Dog Day Afternoon</t>
  </si>
  <si>
    <t>23.06.2019 19:34</t>
  </si>
  <si>
    <t>When she tells you “you have dorito ears” tell her, "Girl, like Doritos, that's not yo cheese" @yeezymafia @kanyedoingthings #breckenridge #kanyewest #coloradical 
#colorado #coloradodogs #labs #puppy #ludacris #rescuedog #labsofinstagram #talesofalab #labrador #silverlab #brownlab #talesofalabpuppy #dogsofinstagram #dogoftheday #petsofinstagram #labpuppy #laboftheday #labradoroftheday #instalab #instadog #labography #dog</t>
  </si>
  <si>
    <t>Luda</t>
  </si>
  <si>
    <t>Breckenridge</t>
  </si>
  <si>
    <t>Blue doritos white bread and margarine
19. what’s a weird food combination you love?</t>
  </si>
  <si>
    <t>Ca$hCarti</t>
  </si>
  <si>
    <t>he’s on my doritos too... please leave me alone</t>
  </si>
  <si>
    <t>valerie</t>
  </si>
  <si>
    <t>@TrevDon Doritos</t>
  </si>
  <si>
    <t>ward vaughn</t>
  </si>
  <si>
    <t>‍Eve Y Niko XElMundo®✈️</t>
  </si>
  <si>
    <t>Villa Parrilla</t>
  </si>
  <si>
    <t>23.06.2019 19:33</t>
  </si>
  <si>
    <t>bad bitch nongoloza ✨</t>
  </si>
  <si>
    <t>Franquelin</t>
  </si>
  <si>
    <t>23.06.2019 19:32</t>
  </si>
  <si>
    <t>how do i get an invite to the democratic party i'll bring doritos and sprite</t>
  </si>
  <si>
    <t>jesse ️</t>
  </si>
  <si>
    <t>Greer</t>
  </si>
  <si>
    <t>23.06.2019 19:31</t>
  </si>
  <si>
    <t>@mtbakercs @MichelCombes @sprint @ericsson Ok so do u still eat at burger king McDonald's or shop at amazon or buy Levi's or doritos or drink Budweiser?</t>
  </si>
  <si>
    <t>Allyqinn</t>
  </si>
  <si>
    <t>23.06.2019 19:29</t>
  </si>
  <si>
    <t>@smilesehunnie O DORITOS AAAAAAA é bom é?</t>
  </si>
  <si>
    <t>ksoo'station</t>
  </si>
  <si>
    <t>23.06.2019 19:28</t>
  </si>
  <si>
    <t>.@Doritos wow, very disappointed with the quality of this chip. Very unacceptable, how can you can even do t his is beyond me. Give me NO LESS than $1 million, and MAYBE I will let it slide. I am very powerful, I know God. So... Yeah. Be careful</t>
  </si>
  <si>
    <t>jay⭐</t>
  </si>
  <si>
    <t>23.06.2019 19:27</t>
  </si>
  <si>
    <t>Payton Marr</t>
  </si>
  <si>
    <t>Thabang Mere</t>
  </si>
  <si>
    <t>23.06.2019 19:26</t>
  </si>
  <si>
    <t>It’s officially been 10 years between pics. 
No drugs. No test. No supplements. 
No gimmicks. No fads. 
Real food and hard work. 
Changing your lifestyle. 
If the Coors Light swilling, Doritos eating bag o’ donuts on the left can do it, so can you.</t>
  </si>
  <si>
    <t>Dannica Hertz</t>
  </si>
  <si>
    <t>Daughter successfully dropped off at camp for a month, so dinner tonight... TADA!
#sundaydinner #ginandtonic #doritos</t>
  </si>
  <si>
    <t>Virginia</t>
  </si>
  <si>
    <t>23.06.2019 19:39</t>
  </si>
  <si>
    <t>, ’     ✎ ★
•
•
#explorepage #explore
@bratayley @annieleblanc @hayley.leblanc @asherangel @annielowely @bratayleyspower @annsxgrace @brat.aep @annscosmic @annieleblancxtra @blancley @hayley_loves_doritos @_thesmileofgray_ @annsangelic @_annsxkenz_ @annie_lover_16 @uwuxgray @bratayleysmcmory @annsxuwu @strangerthingsxfillieee</t>
  </si>
  <si>
    <t>☁️✨</t>
  </si>
  <si>
    <t>My work vending machine keeps going until you get your snack and this is the story of how I recieved 2 Doritos for $1</t>
  </si>
  <si>
    <t>Allie</t>
  </si>
  <si>
    <t>23.06.2019 19:22</t>
  </si>
  <si>
    <t>Want sweet chilli heat Doritos and all dressed ruffles chips and chocolate and ice cream</t>
  </si>
  <si>
    <t>Fi ♡</t>
  </si>
  <si>
    <t>19:21</t>
  </si>
  <si>
    <t>23.06.2019 19:25</t>
  </si>
  <si>
    <t>️enji</t>
  </si>
  <si>
    <t>Katy</t>
  </si>
  <si>
    <t>23.06.2019 19:24</t>
  </si>
  <si>
    <t>@RosaceaeQueen Lmaooooo BIG MAD. She has on sunglasses inside the airport. Like giiiiiiirl I see you eating your Nacho Cheese Doritos ITS OHKAAAY</t>
  </si>
  <si>
    <t>ZIN$ULE</t>
  </si>
  <si>
    <t>23.06.2019 19:23</t>
  </si>
  <si>
    <t>ren ♡</t>
  </si>
  <si>
    <t>AGORA HÁ POUCO NA FILA DO CARREFOUR
A TIA PEGOU UM SACO DE DORITOS
EU GRITEI: "LARGUE ESSE SALGADINHO PERVERTIDO QUE QUER DESTRUIR A FAMÍLIA BRASILEIRA!"
ELA TROCOU POR PASTELINA
TODO O MERCADO BOTOU A MÃO NO CORAÇÃO
E COMEÇOU A CANTAR O HINO NACIONAL
TO ATÉ AGORA ARREPIADO</t>
  </si>
  <si>
    <t>Markxista de Iphone</t>
  </si>
  <si>
    <t>23.06.2019 19:21</t>
  </si>
  <si>
    <t>Holly O.</t>
  </si>
  <si>
    <t>19:20</t>
  </si>
  <si>
    <t>ANNAO</t>
  </si>
  <si>
    <t>ryan</t>
  </si>
  <si>
    <t>23.06.2019 19:40</t>
  </si>
  <si>
    <t>CBSSM: Sherry Lansing, Plus: An Incredibly Bad Take On 'Fosse/Verdon' And Other Sunday Headlines</t>
  </si>
  <si>
    <t>https://twitter.com/bestcat... https://disq.us/url?url=https://twitter.com/bestcataccount/status/1142894594440536065:PY2zR9VPnuGI5TcHHcrgbxY6jdw&amp;cuid=3752464
Cats  on Twitter
WE ARE OUT OF DORITOS KAREN</t>
  </si>
  <si>
    <t>pop culture</t>
  </si>
  <si>
    <t>//a.disquscdn.com/get?url=https%3A%2F%2Fpbs.twimg.com%2Fmedia%2FD9xgk2YXkAAd2ql.jpg%3Alarge&amp;key=BxM2RKN9yL2dfhrAQ_uX1A</t>
  </si>
  <si>
    <t>Comendo Doritos</t>
  </si>
  <si>
    <t>canal da Ana Beatriz Alves</t>
  </si>
  <si>
    <t>@joshsmilk bet, you won’t. doritos succ</t>
  </si>
  <si>
    <t>guardian of the sand</t>
  </si>
  <si>
    <t>23.06.2019 19:20</t>
  </si>
  <si>
    <t>Hel</t>
  </si>
  <si>
    <t>19:15</t>
  </si>
  <si>
    <t>Somebody tell Jerry that I don’t like Nacho Cheese Doritos cause this dude doesn’t listen m.</t>
  </si>
  <si>
    <t>Susie-Q</t>
  </si>
  <si>
    <t>Crosbyton</t>
  </si>
  <si>
    <t>23.06.2019 19:19</t>
  </si>
  <si>
    <t>I made them leave me with a bag of doritos half an hour into the hike... 2 hours later I found them again at the top #doritos #persistence #nevergiveup #thetravelingegg
@jaminariell @agujgonzalezs @the.traveling.egg</t>
  </si>
  <si>
    <t>Sana</t>
  </si>
  <si>
    <t>soil,plant,rock,tree</t>
  </si>
  <si>
    <t>grassland,path,nature,landscape,vegetation,mount scenery,forest,ecoregion,hill station,terrain,cloud,highland,hill,ridge,wilderness,mountain,sky</t>
  </si>
  <si>
    <t>23.06.2019 19:17</t>
  </si>
  <si>
    <t>Zuurdo#2</t>
  </si>
  <si>
    <t>@Doritos ✊</t>
  </si>
  <si>
    <t>Realzies Cuts</t>
  </si>
  <si>
    <t>23.06.2019 19:16</t>
  </si>
  <si>
    <t>@joshsmilk ew you like doritos? those bros are over hyped, you know what’s good? cheetos. delicious.</t>
  </si>
  <si>
    <t>24.06.2019 03:50</t>
  </si>
  <si>
    <t>Graduation  F E S T I V I T I E S 
@birschbach.44</t>
  </si>
  <si>
    <t>Cherished Memories Photography</t>
  </si>
  <si>
    <t>Menomonie</t>
  </si>
  <si>
    <t>19:14</t>
  </si>
  <si>
    <t>D.va dance is sooo cool!
#advaoverwatch #overwatch #overwatchheroes #blizzard #blizzardentertainment #blackpink #hanasong #dva #kda #kpop #overwatchdva #miku #mmd #lisa #lisaswala #lisaswalladancecover #dance #mikumikudancemmd #doritos #mikumikudance #mountaindew</t>
  </si>
  <si>
    <t>kda official</t>
  </si>
  <si>
    <t>toy,fictional character</t>
  </si>
  <si>
    <t>performance art,stage,performance</t>
  </si>
  <si>
    <t>24.06.2019 03:38</t>
  </si>
  <si>
    <t>Hazard Boy - Meme Into Action [OFFICIAL MUSIC VIDEO] Feat. Team Hazard</t>
  </si>
  <si>
    <t>Hazard Boy - Meme Into Action [OFFICIAL MUSIC VIDEO] Feat. Team Hazard
NO COPYRIGHT INTENDED FOR ANY OF THE MUSIC USED IN THIS VIDEO!!! 
THANK YOU ALL FOR WATCHING THIS VIDEO
Social Media:'
Instagram: @hazardboyc
Youtube: U already know it
NEW MERCH COMING SOON[ FIRE EMOJI]
comment banana down below lets confuse everyone else</t>
  </si>
  <si>
    <t>Hazard Boy</t>
  </si>
  <si>
    <t>@MrBeastYT O U T D A T E D
I can relate I still use iPods eat doritos and drink mountain dew and I still buy music</t>
  </si>
  <si>
    <t>Shawn Murphy</t>
  </si>
  <si>
    <t>19:11</t>
  </si>
  <si>
    <t>We got the juice  .
.
.
.
.
#triller #groceries #groceries #albertsons #doritosnachos #ruffleschips #supermarketfun #supermarketsweep #trillervids #funcle #kidswhoskate #girlswhoshred #sk8rgirl #kidbraidstyles #skaterkid #girlswhocanskate
@ajcolores @spottampa @albertsons @doritos @lizzobeeating @ruffles @audiovisualcult @trillervids</t>
  </si>
  <si>
    <t>Mariah Bracamonte</t>
  </si>
  <si>
    <t>Хантингтон-Бич</t>
  </si>
  <si>
    <t>23.06.2019 19:11</t>
  </si>
  <si>
    <t>Mpho.</t>
  </si>
  <si>
    <t>So it’s officially summer in New England and you know that means lots of gatherings and loads of cold treats and snacks! .
.
Today, we had to dodge food coloring in Doritos, Cheetos, Gatorade and freeze pops. For moms who long for organic and all natural everything, jokes on you! It’s just not reality yet and kids want to eat what their friends are eating. (And if you’re like me, you don’t want to be the mom who makes the other mom feel bad for what their kid eating — it’s the worst!!! I almost want to say my kids have a dye allergy just to</t>
  </si>
  <si>
    <t>The Wise Whisk</t>
  </si>
  <si>
    <t>Somerset</t>
  </si>
  <si>
    <t>23.06.2019 19:18</t>
  </si>
  <si>
    <t>Doritos (SPIDERMAN)=</t>
  </si>
  <si>
    <t>SEBMARVEL RAMIREZ</t>
  </si>
  <si>
    <t>23.06.2019 19:15</t>
  </si>
  <si>
    <t>Can we talk about how bomb these are  #glutenfree #organic #doritos #snacks #thiscountsashealthyright</t>
  </si>
  <si>
    <t>Lisa Marie</t>
  </si>
  <si>
    <t>23.06.2019 19:10</t>
  </si>
  <si>
    <t>#likeforlike #l4l #like4like #followforfollow #follow4follow #spamforspam #spam4spam #recentforrecent #recent4recent #shoutoutforshoutout #instagram #photooftheday  #instagood #edit #tagsforlikes #me #happy #currentmood #this #good #yes #feels #sunrise #newday #TokyoTreat #Doritos #awesome #more</t>
  </si>
  <si>
    <t>Amanda Walsh</t>
  </si>
  <si>
    <t>fried food,fast food,snack,food,junk food</t>
  </si>
  <si>
    <t>@Kevo_Bevo Doritos on a deli meat sandwich just not hitting the post blaze graze, i get it. LoL</t>
  </si>
  <si>
    <t>Brown Dextrose III</t>
  </si>
  <si>
    <t>23.06.2019 19:35</t>
  </si>
  <si>
    <t>All Hell Breaks Loose In Mets’ Clubhouse After Gut-Punch Loss</t>
  </si>
  <si>
    <t>There are die hards here. But it is so lame. People actually gave up this beautiful summer day, to stay inside, on the couch, eating a bag of doritos, watching one of the worst teams in the NL.
You just lost a great weekend...</t>
  </si>
  <si>
    <t>sisk is a risk</t>
  </si>
  <si>
    <t>metsmerizedonline.com</t>
  </si>
  <si>
    <t>Mets Merized Online</t>
  </si>
  <si>
    <t>Family size bags of Doritos are half price in this store today, and I know a sign when I see one.</t>
  </si>
  <si>
    <t>Kat</t>
  </si>
  <si>
    <t>23.06.2019 19:04</t>
  </si>
  <si>
    <t>Greg-Oreo</t>
  </si>
  <si>
    <t>19:03</t>
  </si>
  <si>
    <t>Doritos Flamas Review</t>
  </si>
  <si>
    <t>Doritos Flamas Review
10/10</t>
  </si>
  <si>
    <t>LIL CAILLOU</t>
  </si>
  <si>
    <t>19:02</t>
  </si>
  <si>
    <t>Texas Yee Haw</t>
  </si>
  <si>
    <t>Texas Yee Haw
Subscribe or I will eat your Doritos</t>
  </si>
  <si>
    <t>DaBest UzbekTiger</t>
  </si>
  <si>
    <t>window,glass,vehicle,car</t>
  </si>
  <si>
    <t>road trip,asphalt,highway,lane,transport,sky,windshield,road</t>
  </si>
  <si>
    <t>23.06.2019 19:02</t>
  </si>
  <si>
    <t>Adolescent Cudi</t>
  </si>
  <si>
    <t>Беркли</t>
  </si>
  <si>
    <t>23.06.2019 19:05</t>
  </si>
  <si>
    <t>BaeleyBear</t>
  </si>
  <si>
    <t>Juan Gonzalez</t>
  </si>
  <si>
    <t>Uvalde</t>
  </si>
  <si>
    <t>shen wei, getting home: hello, people who do not live here
da qing: hi
zhao yunlan: hey
shen wei: i gave you the keys for emergencies
zhao yunlan: we were out of doritos</t>
  </si>
  <si>
    <t>rina✨</t>
  </si>
  <si>
    <t>23.06.2019 19:03</t>
  </si>
  <si>
    <t>forget nachos and salsa, doritos and salsa is the way to goo</t>
  </si>
  <si>
    <t>Reuben</t>
  </si>
  <si>
    <t>valentina</t>
  </si>
  <si>
    <t>24.06.2019 14:41</t>
  </si>
  <si>
    <t>Ok we're pretty known for mixing things up..but how about this Turkey Doritos recipe?!
https://bit.ly/2DoXPAy
#doritosguam
https://www.facebook.com/DoritosGuam/photos/a.1566215106953767/2309894895919114/?type=3</t>
  </si>
  <si>
    <t>Doritos Guam</t>
  </si>
  <si>
    <t>24.06.2019 07:49</t>
  </si>
  <si>
    <t>Taco Bell, South Grand Avenue, Fowlerville, MI, USA</t>
  </si>
  <si>
    <t>Taco Bell, South Grand Avenue, Fowlerville, MI, USA Food Poisoning 13 hours ago South Grand Avenue, Fowlerville, 48836 Michigan, 1 “I ate 2 Doritos locos tacos and not even a day later I'm experiencing signs of food poisoning. I believe it was because I had to go back and get it during rush hour because they forgot my order the first time. I really hope this passed soon..”</t>
  </si>
  <si>
    <t>Iwaspoisoned.com User</t>
  </si>
  <si>
    <t>iwaspoisoned.com</t>
  </si>
  <si>
    <t>24.06.2019 03:42</t>
  </si>
  <si>
    <t>¡ʎluo ǝɯᴉʇ pǝʇᴉɯᴉl ɐ ɹoɟ uʍop ǝpᴉsdn 'punoɹɐ ƃuᴉƃuɐH ˙ɹnoʌɐlɟ ǝɔᴉdS ʎǝpᴉdS MƎN ǝɥʇ ʎɹʇ ⅋ sǝsuǝs ʎǝpᴉdS ɹnoʎ ǝʇɐʌᴉʇɔ∀ 
https://www.facebook.com/DoritosANZ/videos/424182618167340/
Doritos Spider-Man LTO</t>
  </si>
  <si>
    <t>24.06.2019 03:12</t>
  </si>
  <si>
    <t>Join the adventure &amp;amp; celebrate the launch of Spiderman: Far From Home for a chance to WIN! Buy any Doritos chips or crackers product &amp;amp; enter head to http://bit.ly/31OcaBb to be in the pool for daily prizes and the grand prize trip to New York! 
*See http://bit.ly/31OcaBb for full T&amp;amp;Cs. 18+ AU &amp;amp; NZ residents only. Ends 11.59pm AEST 22/07/19. Max. 2 entries/person/day, 1 entry/product. Keep receipt/s. Total Prizes RRP: up to AUD$47,500. NSW Permit No. LTPS/19/32477, ACT Permit No. TP15/19/02824, SA Permit No. T15/19/286.
https://www.facebook.com/DoritosANZ/videos/474615393345618/
Doritos Spider-Man NZ Promo</t>
  </si>
  <si>
    <t>Canada has some tasty ass treats
I saw @Kody1Lane eating ketchup Doritos today so I bought a bag for the drive home... 
#cheatnight</t>
  </si>
  <si>
    <t>Danny Adams</t>
  </si>
  <si>
    <t>This Is So True . 
-
Follow @barbpostz If Viewing ✨
-
#explorepage #explore #viral #instagram #postpage #braceface #fff #gaintrick #gainfollowers #sfs #baddies #igfamous #instagramfamous #selfcaresis #starfollowlink</t>
  </si>
  <si>
    <t>{   ‍♀️↖️}</t>
  </si>
  <si>
    <t>Queen tings
Got sweet chili Doritos for the show tonight.</t>
  </si>
  <si>
    <t>Alphonso Jordan</t>
  </si>
  <si>
    <t>18:56</t>
  </si>
  <si>
    <t>23.06.2019 18:57</t>
  </si>
  <si>
    <t>Belu</t>
  </si>
  <si>
    <t>Angola</t>
  </si>
  <si>
    <t>Северная Кванза</t>
  </si>
  <si>
    <t>Quilombo-quia-Puto</t>
  </si>
  <si>
    <t>Recorriendo Valpo con unos Doritos  #pic #nice #instainsta #instachile #photography #followme #likeforlike</t>
  </si>
  <si>
    <t>JANIS</t>
  </si>
  <si>
    <t>What am I Watching?</t>
  </si>
  <si>
    <t>need to remind me that I like Doritos? Also, I bought an InstantPot only from word-of-mouth testimonials, not paid ads. On the other hand, advertisers spend a lot of money to determine how influential a campaign is (can they call it something else?). I don’t know how accurate Mad Men was, but if I were in the business of convincing people to buy a product, I would hire a psychologist. Do you think Youtube doesn’t at least consider it?
Meanwhile, there are content producers from all walks of life, uploading approximately 400 hours worth of videos</t>
  </si>
  <si>
    <t>plasticjones</t>
  </si>
  <si>
    <t>23.06.2019 19:00</t>
  </si>
  <si>
    <t>Лима</t>
  </si>
  <si>
    <t>23.06.2019 18:59</t>
  </si>
  <si>
    <t>Flusterfly</t>
  </si>
  <si>
    <t>Очосондьюпа</t>
  </si>
  <si>
    <t>Private Camp</t>
  </si>
  <si>
    <t>"I put my dick in a bag of Doritos"</t>
  </si>
  <si>
    <t>Ash Kiyomi</t>
  </si>
  <si>
    <t>23.06.2019 18:55</t>
  </si>
  <si>
    <t>23.06.2019 18:58</t>
  </si>
  <si>
    <t>carmu</t>
  </si>
  <si>
    <t>23.06.2019 18:56</t>
  </si>
  <si>
    <t>23.06.2019 18:54</t>
  </si>
  <si>
    <t>ITS SUMMERTIME !!!!!</t>
  </si>
  <si>
    <t>кяιѕту ℓє</t>
  </si>
  <si>
    <t>Virginia Beach</t>
  </si>
  <si>
    <t>aw! how cute!! 
~
tag @corbynbesson :)
~
~
~
~
~  #ethandolan #graysondolan #dolantwins #whydontwe #danielseavey #jackavery #jonahmarais #corbynbesson #zachherron #8letters #bigplans #coldinla #gabbiegonzalez #tatedoll #kaycook #beautychickee #trustfundbaby  #sisters #hisisters #invitationtour #zachherronedits #corbynbessonedits #jonahmaraisedits #jackaveryedits #danielseaveyedits #whydontweedits #eben #hotguys #jackaverybaby #hawaii @jackaverymusic  @imzachherron @jonahmarais @whydontwemusic
@jonahmarais @ebenofficial @corbynbesson @seaveydaniel @imzachherron @jackaverymusic @whydontwemusic</t>
  </si>
  <si>
    <t>♛♛</t>
  </si>
  <si>
    <t>I'm a Doritos man.</t>
  </si>
  <si>
    <t>I liked the Buffalo wing ones they had a long time ago</t>
  </si>
  <si>
    <t>Eureka Cat ️</t>
  </si>
  <si>
    <t>@INfur : Indianapolis &amp; Central Indiana Furries.</t>
  </si>
  <si>
    <t>I am addicted to blaze Doritos</t>
  </si>
  <si>
    <t>makoola</t>
  </si>
  <si>
    <t>Damien (Furaterian)</t>
  </si>
  <si>
    <t>23.06.2019 18:50</t>
  </si>
  <si>
    <t>It's time for the Freckles Memorial Pet Rankings, brought to you by Doritos, the Sunday Snack of the NYT Print Hub.</t>
  </si>
  <si>
    <t>andrea margaret</t>
  </si>
  <si>
    <t>‘Fortnite’ Legend Dr.Lupo Pulls Off A Record-Breaking Charity Stream Raising Nearly $1M – Forbes</t>
  </si>
  <si>
    <t>,000). The $1 million super stretch goal was to get him to Pon Pon, Ninja’s signature dance, on stream, something he’s never done. And may have to do next year, as the total was just shy.
SAN JOSE, CA – OCTOBER 27: Team DrLupo competes in Doritos Bowl at TwitchCon 2018 held at San Jose McEnery Convention Center on October 27, 2018 in San Jose, California. (Photo by Kimberly White/Getty Images for Frito-Lay North America)
Getty Images for Frito-Lay North America
The final hour or so of the stream was absolute insanity, and it was easy to</t>
  </si>
  <si>
    <t>World News Network</t>
  </si>
  <si>
    <t>worldnewsnetwork.co.in</t>
  </si>
  <si>
    <t>23.06.2019 18:52</t>
  </si>
  <si>
    <t>#Sunday #Snacks #Doritos (#BetExperience )
We sell these. You should try them. Or not. Up to you. #DoritosFlavorShots? by #PatrickMoore from #DoritosLegionOfTheBold.com
#CbsNetwork #BetNetworks
⚊⚊⚊⚊⚊⚊⚊⚊⚊⚊⚊⚊⚊⚊⚊⚊
#ShareBlackStories #AmericanExpress  #Mastercard #VisaUs  Champions Golf:#AbcNews #Adidas
#FoxSports #Vedomosti  #2019MtvVideoMusicAwards  #FIFAWomensWorldCup  #AmericanAirlines #Advertisement  #Pepsico #AmazonPrime –  #YoutubeTv  #NbcNews  #2019EspyAwards  #cctv
#Facebook #2019BetAwards #2020Census</t>
  </si>
  <si>
    <t>worldsetpromotion</t>
  </si>
  <si>
    <t>convenience food,sweetness,fast food,junk food,food,snack</t>
  </si>
  <si>
    <t>Behind the scenes of ‘josh survival lessons’</t>
  </si>
  <si>
    <t>Behind the scenes of ‘josh survival lessons’
In this video we find the celebrity himself enjoying a pack of pop tarts followed by a big packet of doritos, behind the scenes wont never get any sadder. But amazing to hear that he wasnt on an adventure, due to this the season will continue!</t>
  </si>
  <si>
    <t>Aronzo 21</t>
  </si>
  <si>
    <t>tree,shorts,shoe,clothing</t>
  </si>
  <si>
    <t>"Baby Dorito" Funny Doritos Commercial</t>
  </si>
  <si>
    <t>"Baby Dorito" Funny Doritos Commercial
This is a Doritos commercial submitted to the 2009 Crash the Super Bowl Dorito contest. The actors are Patrick Carley and Chad Colemen.
Directed and produced by Patrick Carley.
www.carleyfilms.com</t>
  </si>
  <si>
    <t>Carley Films</t>
  </si>
  <si>
    <t>23.06.2019 18:49</t>
  </si>
  <si>
    <t>Who ate my Doritos?!</t>
  </si>
  <si>
    <t>Who ate my Doritos?!
Just the new skits I made.</t>
  </si>
  <si>
    <t>Triborg LK</t>
  </si>
  <si>
    <t>#paradagay2019#paradagay23#23paradagay lá na paulista 
#+amor#loveislove#pride</t>
  </si>
  <si>
    <t>eu_miss</t>
  </si>
  <si>
    <t>23.06.2019 18:47</t>
  </si>
  <si>
    <t>@Doritos Doritos give me the power to detect deliciousness wherever it occurs! #IncognitoDoritos #Entry</t>
  </si>
  <si>
    <t>Kay Z</t>
  </si>
  <si>
    <t>@MrMarqui_ @sebssds @alobaezx @AdvyStyles @Alvaro845 @RodSquare_ @mtscndia @SunixRS @majornelson @XboxP3 @Banks @TTfue @_OnlyReady @DukiSSJ @XboxQwik @SoaRGaming @M3RKMUS1C @charlieINTEL @Rubiu5 @sonic_hedgehog @movistar_es @Doritos_Mx @WindyGirk @dedreviil @Deji @LoganPaul @ppy @lopezobrador_ @auronplay @ATVI_AB @CallofDuty @TheGrefgYT @lilpump @OpTic_Scumper @TSM @TeamHeretics @XboxChile @GearsofWar @willne @xQc @Sodapoppintv @ClaroArgentina gracias a ti puedo ver porno</t>
  </si>
  <si>
    <t>₴ⱠØ₮Ⱨ</t>
  </si>
  <si>
    <t>Argentré-du-Plessis</t>
  </si>
  <si>
    <t>23.06.2019 18:45</t>
  </si>
  <si>
    <t>remember to save some cash for #SGDQ2019 benefitting MSF (Militaires Sans Frontieres) so our Big Boss can have enough cash to invent Mountain Dew and Doritos
Thanks Boss!</t>
  </si>
  <si>
    <t>Rusty! @ PSO2 IN THE WEST</t>
  </si>
  <si>
    <t>soil,plant,tree</t>
  </si>
  <si>
    <t>army,grass</t>
  </si>
  <si>
    <t>23.06.2019 18:48</t>
  </si>
  <si>
    <t>was also eating dinner with his family n they had chicken fingers, doritos, peas, broccoli and carrot for dinner literally what</t>
  </si>
  <si>
    <t>ash</t>
  </si>
  <si>
    <t>Pomeroon-Supenaam</t>
  </si>
  <si>
    <t>Perth</t>
  </si>
  <si>
    <t>board man gets paid</t>
  </si>
  <si>
    <t>Loaded nachos  #yum #loadednachos #nachos #doritos
@marty_skinny_hendrix_mcfly</t>
  </si>
  <si>
    <t>Carmen Guthrie</t>
  </si>
  <si>
    <t>Catoosa</t>
  </si>
  <si>
    <t>vegetable,meal,garnish,appetizer,food</t>
  </si>
  <si>
    <t>23.06.2019 18:51</t>
  </si>
  <si>
    <t>Ayden</t>
  </si>
  <si>
    <t>Денвер</t>
  </si>
  <si>
    <t>Retweeted</t>
  </si>
  <si>
    <t>Daerah Istimewa Yogyakarta</t>
  </si>
  <si>
    <t>destiny</t>
  </si>
  <si>
    <t>Portsmouth</t>
  </si>
  <si>
    <t>oh?
Want to score this Limited-Edition Doritos Spidey Suit? Tell us what super power Doritos gives you using #IncognitoDoritos #Entry for the chance to win! Rules @ https://bit.ly/2MXEpdc Be sure to check out #SpiderManFarFromHome, in theaters July 2!</t>
  </si>
  <si>
    <t>maddie’s babu</t>
  </si>
  <si>
    <t>Sud</t>
  </si>
  <si>
    <t>About</t>
  </si>
  <si>
    <t>Didi Dimpho Matli.</t>
  </si>
  <si>
    <t>Gin n Juice</t>
  </si>
  <si>
    <t>Saint Vincent and the Grenadines</t>
  </si>
  <si>
    <t>Port Elizabeth</t>
  </si>
  <si>
    <t>Sipping on color changing margaritas and eating Doritos Loco Totchos while wearing a vintage caftan dress is my whole ass mood for June. Get ‘em at the 9th street @sandbburgerjoint before they’re gone! #lookinglikesomebodysauntie #grandmaheadass #margarita #cocktails #vintagedress #missfrizzle #totchos #doritoslocosmojo #okcfood #potatotoddlers #nachobae #crazyhairdontcare #windblown #alwaysbeyourself #becausenooneelsewantsto #ashleecrashlee #rollerskatesarehard #oklahangover #latergram #instacocktails #sandbburgerjoint 
Thanks for the recommendation @takeabiteok 
@sandbburgerjoint</t>
  </si>
  <si>
    <t>Cobra C’Amanda</t>
  </si>
  <si>
    <t>health shake,non-alcoholic beverage,glass,lemonade,cocktail,drink</t>
  </si>
  <si>
    <t>23.06.2019 18:41</t>
  </si>
  <si>
    <t>Hollis Brown</t>
  </si>
  <si>
    <t>18:38</t>
  </si>
  <si>
    <t>23.06.2019 18:38</t>
  </si>
  <si>
    <t>@Oregon_GOP Hahahahaha!!! This is a pic of loggers protesting. Remember when you morons “laid siege” to that bird preserve? We’ll just wait for y’all to run out of doritos and mountain dew, then you’ll disband and go back to your underground bunkers. Hahahahaha!!!! #orpol #FREAKS #orleg</t>
  </si>
  <si>
    <t>Freedom  Steve</t>
  </si>
  <si>
    <t>incorrect guardian (zhenhun)</t>
  </si>
  <si>
    <t>@xpizzadadx @sostoked121 Ok I see what you’re saying but Taco Bell tastes better to me. Keep in mind the few times a year I do eat Taco Bell I’m only having Doritos locos tacos supreme or nachos. And since del taco removed the macho taco they got nothing I want</t>
  </si>
  <si>
    <t>a dolla and some envelopes</t>
  </si>
  <si>
    <t>When y’all were little, did y’all eat Doritos between some bread right after swimming ?</t>
  </si>
  <si>
    <t>ykjoey</t>
  </si>
  <si>
    <t>Альбукерке</t>
  </si>
  <si>
    <t>23.06.2019 18:36</t>
  </si>
  <si>
    <t>adri ikingari</t>
  </si>
  <si>
    <t>23.06.2019 18:42</t>
  </si>
  <si>
    <t>@Doritos Doritos gives me the power to spin nacho cheese webs #IncognitoDoritos #Entry</t>
  </si>
  <si>
    <t>Cj</t>
  </si>
  <si>
    <t>18:35</t>
  </si>
  <si>
    <t>Crystal</t>
  </si>
  <si>
    <t>Erie weekends always go by too quickly. Love these guys and can’t wait to see them again soon! ❤️ #yardsales #gamenights #fartjokes #veganfood #oreos #doritos #estatesales #thrifting #ireallyneededthis
@roxyjme @catsnfun @nickkochanov @maryl1010</t>
  </si>
  <si>
    <t>N Ξ Θ N K Δ Y Δ N</t>
  </si>
  <si>
    <t>Эри</t>
  </si>
  <si>
    <t>leisure,tourism,friendship,event</t>
  </si>
  <si>
    <t>the blue obviously
Bout to have the best Doritos. Which flavour am I talking about?</t>
  </si>
  <si>
    <t>hottie.</t>
  </si>
  <si>
    <t>#nichememes</t>
  </si>
  <si>
    <t>VSCO trends</t>
  </si>
  <si>
    <t>gadget,smartphone</t>
  </si>
  <si>
    <t>24.06.2019 03:18</t>
  </si>
  <si>
    <t>Hermano dame papitas</t>
  </si>
  <si>
    <t>Lol de kelly AL y Jack</t>
  </si>
  <si>
    <t>23.06.2019 18:37</t>
  </si>
  <si>
    <t>@Doritos_Mx Sabes que te amo ❤!?</t>
  </si>
  <si>
    <t>-_David_-</t>
  </si>
  <si>
    <t>23.06.2019 18:33</t>
  </si>
  <si>
    <t>T</t>
  </si>
  <si>
    <t>23.06.2019 18:40</t>
  </si>
  <si>
    <t>AshtonBG</t>
  </si>
  <si>
    <t>23.06.2019 18:34</t>
  </si>
  <si>
    <t>Vieja está re lindo para tomar un re fernet y comer doritos</t>
  </si>
  <si>
    <t>martín.</t>
  </si>
  <si>
    <t>Rafaela</t>
  </si>
  <si>
    <t>Who the hecc would make a Doritos aesthetic?
Me
#myphotography</t>
  </si>
  <si>
    <t>23.06.2019 18:23</t>
  </si>
  <si>
    <t>Dessiree Llaneza</t>
  </si>
  <si>
    <t>Lymington</t>
  </si>
  <si>
    <t>23.06.2019 18:32</t>
  </si>
  <si>
    <t>Popular knitting website bans shows of support for Trump</t>
  </si>
  <si>
    <t>People still knit? I thot only the Omish still did this.
Oh well, all those 4-ton tessie's eating Doritos and sittn on their huge fat azz's blaming the POTUS for their problems. Hey quit with the Doritos is your issue.</t>
  </si>
  <si>
    <t>Grim Reaper</t>
  </si>
  <si>
    <t>18:19</t>
  </si>
  <si>
    <t>23.06.2019 18:26</t>
  </si>
  <si>
    <t>Sandy: My gamer senses are tingling
Marcy: DON'T EVEN ENCOURAGE THIS
S: how do i shot nacho cheese
Want to score this Limited-Edition Doritos Spidey Suit? Tell us what super power Doritos gives you using #IncognitoDoritos #Entry for the chance to win! Rules @ https://bit.ly/2MXEpdc Be sure to check out #SpiderManFarFromHome, in theaters July 2!</t>
  </si>
  <si>
    <t>Zacian Thunder Marcy</t>
  </si>
  <si>
    <t>Norway House</t>
  </si>
  <si>
    <t>23.06.2019 18:18</t>
  </si>
  <si>
    <t>Zach and I really are the most stereotypical gamers. Drinking beer, eating Doritos and gaming for hours on end today.</t>
  </si>
  <si>
    <t>cinnamon girl</t>
  </si>
  <si>
    <t>18:17</t>
  </si>
  <si>
    <t>These seven mums lost a combined 300kg, here's how they did it</t>
  </si>
  <si>
    <t>New Weekly Magazine</t>
  </si>
  <si>
    <t>nwonline.com.au</t>
  </si>
  <si>
    <t>23.06.2019 18:39</t>
  </si>
  <si>
    <t>#CasiLunesYYo 
Quiero #Doritos ! 
Somos #BandaRockera
#DesbloqueemosElAmor con besitos sabor Doritos® Rainbow, ¿va?</t>
  </si>
  <si>
    <t>Calipsis</t>
  </si>
  <si>
    <t>LordListon</t>
  </si>
  <si>
    <t>Franco arancibia</t>
  </si>
  <si>
    <t>Карабобо</t>
  </si>
  <si>
    <t>San Joaquín</t>
  </si>
  <si>
    <t>ON BRO GRAVE!
Gay ppl really be pushing it with all this colored Doritos shit, gay sidewalks, and all this other dumb shit ‍♂️ I never see Hispanic heritage month or black history month have this type of shit</t>
  </si>
  <si>
    <t>Eric Slime</t>
  </si>
  <si>
    <t>RJ</t>
  </si>
  <si>
    <t>23.06.2019 18:35</t>
  </si>
  <si>
    <t>YoungNeko</t>
  </si>
  <si>
    <t>Лион</t>
  </si>
  <si>
    <t>PIPI</t>
  </si>
  <si>
    <t>Villa Rumipal</t>
  </si>
  <si>
    <t>Kenedy Wolf</t>
  </si>
  <si>
    <t>23.06.2019 18:30</t>
  </si>
  <si>
    <t>This nigga on Xvideos while studying... IN THE DAMN KITCHEN.
The only bag of Doritos that matter</t>
  </si>
  <si>
    <t>Waden</t>
  </si>
  <si>
    <t>23.06.2019 18:29</t>
  </si>
  <si>
    <t>Pam Suzanne Reich</t>
  </si>
  <si>
    <t>23.06.2019 18:27</t>
  </si>
  <si>
    <t>Lioinir ️</t>
  </si>
  <si>
    <t>Мала Каменица</t>
  </si>
  <si>
    <t>ANDREA</t>
  </si>
  <si>
    <t>J E S S I C A</t>
  </si>
  <si>
    <t>Tengo ganas de doritos</t>
  </si>
  <si>
    <t>❄</t>
  </si>
  <si>
    <t>(　˙-˙　)</t>
  </si>
  <si>
    <t>Devil Wera</t>
  </si>
  <si>
    <t>Кастилия-Ла-Манча</t>
  </si>
  <si>
    <t>Sigüenza</t>
  </si>
  <si>
    <t>23.06.2019 18:25</t>
  </si>
  <si>
    <t>-</t>
  </si>
  <si>
    <t>23.06.2019 18:13</t>
  </si>
  <si>
    <t>My Gamer Side</t>
  </si>
  <si>
    <t>How many Doritos bags do u eat every minute &gt;:0
(Overwatch :D)</t>
  </si>
  <si>
    <t>Nut-Ella the fox</t>
  </si>
  <si>
    <t>Wolfychu</t>
  </si>
  <si>
    <t>23.06.2019 18:20</t>
  </si>
  <si>
    <t>Mia</t>
  </si>
  <si>
    <t>Could someone bring me Doritos please? Thx</t>
  </si>
  <si>
    <t>keen</t>
  </si>
  <si>
    <t>23.06.2019 18:17</t>
  </si>
  <si>
    <t>Crille</t>
  </si>
  <si>
    <t>Mamma Meegs</t>
  </si>
  <si>
    <t>23.06.2019 18:15</t>
  </si>
  <si>
    <t>Nonchalant</t>
  </si>
  <si>
    <t>Порт-Элизабет</t>
  </si>
  <si>
    <t>23.06.2019 18:14</t>
  </si>
  <si>
    <t>selasie</t>
  </si>
  <si>
    <t>@BrendanNeyman57 Blaze @Doritos</t>
  </si>
  <si>
    <t>Zac</t>
  </si>
  <si>
    <t>Alan Alvarez</t>
  </si>
  <si>
    <t>MTN DEW AND DORITOS HECK YAH</t>
  </si>
  <si>
    <t>Connor Wilson</t>
  </si>
  <si>
    <t>You ever just put your dick in a bag of Doritos? #doritos #ikneethosetastedweird #ifeelviolated</t>
  </si>
  <si>
    <t>Famship101</t>
  </si>
  <si>
    <t>P Phillips</t>
  </si>
  <si>
    <t>#bostonbruins #nhl #goleafsgo #doritos #leafsnation</t>
  </si>
  <si>
    <t>Darin Crawford</t>
  </si>
  <si>
    <t>Azu</t>
  </si>
  <si>
    <t>http://time.com/4038837/doritos-rainbow-chips-pride-lgbt/?utm_source=facebook.com&amp;amp;utm_medium=social&amp;amp;utm_campaign=social-share-article&amp;amp;utm_content=20190411
https://www.facebook.com/glitterloveunicorns/photos/a.1205387132807865/2576769359002962/?type=3</t>
  </si>
  <si>
    <t>Unicorns &amp; Glitter</t>
  </si>
  <si>
    <t>EeveeA wants Mercy's superjump REMOVED</t>
  </si>
  <si>
    <t>So a top tier pro or "pro" want to remove the super jump because they can't hit a target with a decently sized hit box. I thought they're 360, 480 no scope montage hit scan hero of spray pray can hit Torbiorn across the map while they smoke dank Doritos.
(Btw, the above part isn't to be taken seriously.)
But in all her abilities are easy to counter if you, ya'know, pay attention anf have the foresight of "this one is a problem, I'mma take her out before fighting the tank" and decent aim.</t>
  </si>
  <si>
    <t>Jona Arts</t>
  </si>
  <si>
    <t>Saccharine Games</t>
  </si>
  <si>
    <t>23.06.2019 18:31</t>
  </si>
  <si>
    <t>Got to love algorithms. It would appear that Facebook thinks I am an alcoholic with saggy boobs who regularly needs emergency condoms and Doritos but could also do with some nice new curtains . #algorithms #advertising #targetedadvertising #targetedadvertisingfail #whytho</t>
  </si>
  <si>
    <t>Rebecca Swift</t>
  </si>
  <si>
    <t>presentation</t>
  </si>
  <si>
    <t>18:04</t>
  </si>
  <si>
    <t>23.06.2019 18:10</t>
  </si>
  <si>
    <t>Billy</t>
  </si>
  <si>
    <t>-Disponibilizando O Link De 5 Gravadores De Tela!</t>
  </si>
  <si>
    <t>-Disponibilizando O Link De 5 Gravadores De Tela! 
BORBOLETA: https://mega.nz/#!UZdl2KBA!hl1nq5XIXx8Eh4S4mz3hnvlFBWv2otpF-UHVO9dk0ws
×××
DORITOS: https://mega.nz/#!OfxzhC5J!AIhuUdbGNRodsVdnzikwPQG9jDplY8e3cGGsBK-BaMk
×××
COCA-COLA: https://mega.nz/#!DPZRBQ5C!ws5gm7kESy_zpNM0AAU8cSw7a0vtkUx-9am6DCVUDYs
×××
NETFLIX: https://mega.nz/#!rLx3XAKQ!W0uYU17C6j28XFSx0S5JjuA9Ht-_XzZbWYowozigvTk
×××
FADA: https://mega.nz/#!NyYVEI4b!Q43fRZjA4ldhFa3Mrtd7HrfGOq6eK-rHKrNrv0vA69s</t>
  </si>
  <si>
    <t>Hey Amorinha'x!!</t>
  </si>
  <si>
    <t>18:03</t>
  </si>
  <si>
    <t>23.06.2019 18:07</t>
  </si>
  <si>
    <t>my queen
a healthy lunch of redbull and doritos spicy sweet chili</t>
  </si>
  <si>
    <t>love love</t>
  </si>
  <si>
    <t>joão</t>
  </si>
  <si>
    <t>Пара</t>
  </si>
  <si>
    <t>Сантарен</t>
  </si>
  <si>
    <t>23.06.2019 18:06</t>
  </si>
  <si>
    <t>nyomi</t>
  </si>
  <si>
    <t>23.06.2019 18:04</t>
  </si>
  <si>
    <t>Chuky</t>
  </si>
  <si>
    <t>Cutral Co</t>
  </si>
  <si>
    <t>@Doritos give me the power to watch multiple episodes of a TV show, while totally paying attention to the plot.
#IncognitoDoritos.
#SpiderMan.
#FarFromHome.</t>
  </si>
  <si>
    <t>KabalGuy!</t>
  </si>
  <si>
    <t>Gem El</t>
  </si>
  <si>
    <t>23.06.2019 18:01</t>
  </si>
  <si>
    <t>@heckyessica Cool MAGA sounds like a Doritos flavor.</t>
  </si>
  <si>
    <t>John J Gaul Jr</t>
  </si>
  <si>
    <t>Babylon</t>
  </si>
  <si>
    <t>23.06.2019 18:00</t>
  </si>
  <si>
    <t>@Sex_PistoIs I DIDNT REALLY IT WAS CHEESY DORITOS</t>
  </si>
  <si>
    <t>ramona</t>
  </si>
  <si>
    <t>Scotland Gate</t>
  </si>
  <si>
    <t>✦Mr Inception✦</t>
  </si>
  <si>
    <t>23.06.2019 17:57</t>
  </si>
  <si>
    <t>In Re Cruz Z.</t>
  </si>
  <si>
    <t>Mallory Kate</t>
  </si>
  <si>
    <t>23.06.2019 17:58</t>
  </si>
  <si>
    <t>Hide and Seek CAMPING EDITION! w/The Blonde Squad (Roblox)</t>
  </si>
  <si>
    <t>Alex coped funneh I like  Doritos</t>
  </si>
  <si>
    <t>Valerie Urbano</t>
  </si>
  <si>
    <t>ZacharyZaxor - Roblox</t>
  </si>
  <si>
    <t>doritos meaning</t>
  </si>
  <si>
    <t>lady friendly doritos did not go over well on the internet time .
the dirty truth about doritos what you re really eating on super .
why nacho cheese doritos taste like heaven serious eats .
things you didn t know about doritos delish com .
doritos gets a new logo again a new image for the most popular .
doritos tex mÉx cheese flavoured your spanish corner .
doritos wikipedia .
13 discontinued doritos flavors mental floss .
the untold truth of doritos .
amazon com japan frito lay doritos taco taste 160g .
doritos creator arch west taking his</t>
  </si>
  <si>
    <t>Spicy Doritos challenge</t>
  </si>
  <si>
    <t>Tell Luca I say hiii and lol this was so funny and I love your backpack and you lights</t>
  </si>
  <si>
    <t>Sasha Vega</t>
  </si>
  <si>
    <t>Valina Foeillet</t>
  </si>
  <si>
    <t>23.06.2019 17:52</t>
  </si>
  <si>
    <t>Esta para la coca y doritos</t>
  </si>
  <si>
    <t>M∆R†!N∆</t>
  </si>
  <si>
    <t>17:48</t>
  </si>
  <si>
    <t>Pero los doritos no engordan</t>
  </si>
  <si>
    <t>Dr . Zaiuss</t>
  </si>
  <si>
    <t>Hackplayers</t>
  </si>
  <si>
    <t>23.06.2019 17:50</t>
  </si>
  <si>
    <t>Doritos Locos® Triple Beef MexiMelt Slurry
65 calories
$1.88</t>
  </si>
  <si>
    <t>Taco Bell Innovation Labs</t>
  </si>
  <si>
    <t>23.06.2019 17:49</t>
  </si>
  <si>
    <t>nathalie</t>
  </si>
  <si>
    <t>OrobasArt</t>
  </si>
  <si>
    <t>Muchos doritos delante de la tostadora</t>
  </si>
  <si>
    <t>Duke of York</t>
  </si>
  <si>
    <t>23.06.2019 17:48</t>
  </si>
  <si>
    <t>@Busse1903 @gokhanercumen 2.RAMSESİN MEZARINDA Kİ KOKUYLA BİREBİR DİYE DUYUMLAR ALDIM ESKİ MISIRDAN. ÜÇGEN DORİTOS PİRAMİT FALAN OLAYLAR OLAYLAR.</t>
  </si>
  <si>
    <t>MAKAVELI</t>
  </si>
  <si>
    <t>Spicy Doritos challenge
Hi :)
I know that I haven't been posting( sorry about that) but I promise in my next video I will show you guys what I got for my bday or what is in my backpack at the end of the year , hope u guys like this vide if u did smash that like button and subscribe if u haven't already done so. Thanks for all the support anyways bye my little spaghetti sauces hehe bye tootles</t>
  </si>
  <si>
    <t>@Anarchofree If you like spicy, the greatest treat is #Doritos Jacked Buffalo w Sriracha sauce drizzled (or poured...) on top. Not the weak fake Sriracha, but @huyfongfoods authentic burn your mouth off but you love it Sriracha.</t>
  </si>
  <si>
    <t>Boxer Orwell</t>
  </si>
  <si>
    <t>17:41</t>
  </si>
  <si>
    <t>23.06.2019 17:44</t>
  </si>
  <si>
    <t>༄ུ *:･!</t>
  </si>
  <si>
    <t>sky,rainbow</t>
  </si>
  <si>
    <t>Im backIn less than a week i dyed my hair, cut it into a bob , and then give me bangs #nichememes #niche #nichememeaccounts</t>
  </si>
  <si>
    <t>23.06.2019 17:47</t>
  </si>
  <si>
    <t>BeardedBuddhist</t>
  </si>
  <si>
    <t>Lima</t>
  </si>
  <si>
    <t>23.06.2019 17:45</t>
  </si>
  <si>
    <t>savannah</t>
  </si>
  <si>
    <t>23.06.2019 17:43</t>
  </si>
  <si>
    <t>make eva gay again</t>
  </si>
  <si>
    <t>jill</t>
  </si>
  <si>
    <t>None</t>
  </si>
  <si>
    <t>23.06.2019 17:42</t>
  </si>
  <si>
    <t>Carmen</t>
  </si>
  <si>
    <t>23.06.2019 17:41</t>
  </si>
  <si>
    <t>Super Realtor #IncognitoDoritos #Entry
Want to score this Limited-Edition Doritos Spidey Suit? Tell us what super power Doritos gives you using #IncognitoDoritos #Entry for the chance to win! Rules @ https://bit.ly/2MXEpdc</t>
  </si>
  <si>
    <t>Andrew Botticelli</t>
  </si>
  <si>
    <t>Hoboken</t>
  </si>
  <si>
    <t>peached</t>
  </si>
  <si>
    <t>MONDAIINE</t>
  </si>
  <si>
    <t>Поморское воеводство</t>
  </si>
  <si>
    <t>Choćmirowo</t>
  </si>
  <si>
    <t>@boynadomama Just say the word and I'll bring the Doritos!</t>
  </si>
  <si>
    <t>Ed Link III</t>
  </si>
  <si>
    <t>23.06.2019 17:40</t>
  </si>
  <si>
    <t>If you don’t put hot sauce on ya Doritos, u eating em wrong</t>
  </si>
  <si>
    <t>BRI</t>
  </si>
  <si>
    <t>23.06.2019 17:39</t>
  </si>
  <si>
    <t>Julia is drowning</t>
  </si>
  <si>
    <t>23.06.2019 17:38</t>
  </si>
  <si>
    <t>I hate being overweight and yet I just finished off a bag of Doritos. What the fuck is wrong with me?</t>
  </si>
  <si>
    <t>Brandon Walker</t>
  </si>
  <si>
    <t>Тусон</t>
  </si>
  <si>
    <t>Jessica Tonczynski</t>
  </si>
  <si>
    <t>Кингстон</t>
  </si>
  <si>
    <t>Abriendo Cheetos y Doritos</t>
  </si>
  <si>
    <t>free fire</t>
  </si>
  <si>
    <t>Obvs the blue ones 
Bout to have the best Doritos. Which flavour am I talking about?</t>
  </si>
  <si>
    <t>Lerato Alexis Falasie✨</t>
  </si>
  <si>
    <t>24.06.2019 06:51</t>
  </si>
  <si>
    <t>BFV - There should've been Casual mode and Hardcore mode? - Page 2</t>
  </si>
  <si>
    <t>you where all the enemies are on the map, and being able to shrug off bullets like rain?
No, I meant exactly what I said. Hardcore is easier than core for players with bad aiming skills, so it attracts weak players.
Core is easier, because you can avoid dying by just running. Doesn't matter that half a magazine just went into your chest. Core is easier because your enemies are all marked for you on the map and with doritos over their heads.
Not everyone who plays HC is bad at aiming and hides... HC is harder because you have to be careful with your shots or you end up killing team mates.</t>
  </si>
  <si>
    <t>Kattegat_Twin</t>
  </si>
  <si>
    <t>The Reimers are fundies. In the comments the mother told someone to not talk about them. Classic Fundie. At least the Duggars let their kids be kids</t>
  </si>
  <si>
    <t>I'm sorry, I know this will probably be an unpopular opinion, but after the first 3 or 4 parts, (watching on YouTube) I was kinda siding more with the Fundie mom. The other mom wasn't mad at the Fundie dad, she was just ticked because she couldn't get her Doritos! Meanwhile, the Fundie mom is scrubbing walls, while the kids sleep in, and then the 14 YEAR OLD girl, going out with her boyfriend, with her bosoms completely out! Things better even out pretty quick, when I get back to those videos, because I just don't like defending/siding with the Fundie! (Again, I'm not saying I agree with the Fundie, or the way they live- (the WHACKER?!??!!!) I also love how they have Fundie kid defining "dictator".</t>
  </si>
  <si>
    <t>WickDiggler79</t>
  </si>
  <si>
    <t>23.06.2019 17:37</t>
  </si>
  <si>
    <t>Britney Pelón</t>
  </si>
  <si>
    <t>Приморско-Горанская жупания</t>
  </si>
  <si>
    <t>Риека</t>
  </si>
  <si>
    <t>Moon</t>
  </si>
  <si>
    <t>23.06.2019 17:36</t>
  </si>
  <si>
    <t>Lauren</t>
  </si>
  <si>
    <t>23.06.2019 17:35</t>
  </si>
  <si>
    <t>Mars</t>
  </si>
  <si>
    <t>@Doritos Doritos give the superpower of attracting hungry strangers.  #IncognitoDoritos  #SpiderManFarFromHome</t>
  </si>
  <si>
    <t>Dan Roller</t>
  </si>
  <si>
    <t>The new Max Strong are so very tasty
Doritos, Max Strong or Sensations? RT + Reply with your favourite summer snack for the chance to #WIN an Amazon Echo or a case of crisps!  
Closes 25th June, T&amp;Cs: https://bit.ly/2ImAjqN</t>
  </si>
  <si>
    <t>Paul Maxwell</t>
  </si>
  <si>
    <t>conor roy</t>
  </si>
  <si>
    <t>Ньюкасл-апон-Тайн</t>
  </si>
  <si>
    <t>23.06.2019 17:34</t>
  </si>
  <si>
    <t>@DarthContinent @AlderaanNicola @_Cristian_Vlad_ @Darth_VaderNo1 @wildwaterstu @darth_swlove03 @Dune_Tatooine @HamillHimself @stardust1006 @MenaGP1226 @SwChamp @mrjafri @EByzio @indamicks @Hellboy919 @LeeLeeskeewee @monkey_cube @StephB617 @MaraRanger @TheFreyaKat @gokugirl @Admiral_Siege Mmmm....Doritos 
#StarDestroyerSaturday</t>
  </si>
  <si>
    <t>Eva Byzio</t>
  </si>
  <si>
    <t>Seth</t>
  </si>
  <si>
    <t>@ponygal1986 @AlderaanNicola @_Cristian_Vlad_ @Darth_VaderNo1 @wildwaterstu @darth_swlove03 @Dune_Tatooine @HamillHimself @stardust1006 @MenaGP1226 @SwChamp @mrjafri @EByzio @indamicks @Hellboy919 @LeeLeeskeewee @monkey_cube @StephB617 @MaraRanger @TheFreyaKat @gokugirl @Admiral_Siege Star Doritos, assemble! 
#EmpireDidNothingWrong #StarWars #StarDestroyerSaturday</t>
  </si>
  <si>
    <t>astronomical object</t>
  </si>
  <si>
    <t>space,universe,sky</t>
  </si>
  <si>
    <t>23.06.2019 17:33</t>
  </si>
  <si>
    <t>Azhlun</t>
  </si>
  <si>
    <t>Лотон</t>
  </si>
  <si>
    <t>23.06.2019 17:31</t>
  </si>
  <si>
    <t>Fede</t>
  </si>
  <si>
    <t>@3ChicsPolitico @petty_marshall @metaquest @markknoller It was nonsense about Obama and it’s nonsense with Trump.  As long as the POTUS can be reached by phone, golfing is irrelevant.  He could be napping or eating Doritos watching TV and no one would know.  There’s plenty of real crapto bitch about.</t>
  </si>
  <si>
    <t>Grown Ass Cowgirl ✭</t>
  </si>
  <si>
    <t>Кембридж</t>
  </si>
  <si>
    <t>Sweet chilli‍♀️
Bout to have the best Doritos. Which flavour am I talking about?</t>
  </si>
  <si>
    <t>Feefs</t>
  </si>
  <si>
    <t>Though it’s been 8 years since Debbie Birch lost her beloved pup when he suffocated in a chip bag, she just now  found this Page and finally feels she’s not alone. Debbie writes, “Hi. I’ve just found your page and wanted to share my story with you. I lost my dear little Staffordshire Bull Terrier girl Tilly in June 2011. She went into our bin during the night and got out a snack pack size of Doritos. My little girl who was only 10 found her in the morning, the bag was tightly round her head and face.  This was 8 years ago and I never knew how</t>
  </si>
  <si>
    <t>Prevent Pet Suffocation</t>
  </si>
  <si>
    <t>17:26</t>
  </si>
  <si>
    <t>I 100% prefer the current design over the old "Doritos" spotting. How people argue for that is kinda beyond me. What I saw in the JFrags video is just a strategy and a lack of using flares. Who cares. Yes, it can be somewhat difficult to see certain models with the environment. This could be a bit improved but I don't find it that difficult. And The old spotting had ZERO skill. Mash a button, mark a person that you could not see even if they were behind some brush, aim according to the mark and kill a person without any necessary risk. It was</t>
  </si>
  <si>
    <t>BJgobbleDix</t>
  </si>
  <si>
    <t>#losinquietos#goodgroupofkids#learningthegame#proudparents</t>
  </si>
  <si>
    <t>LoneWolf</t>
  </si>
  <si>
    <t>race,sports,competition</t>
  </si>
  <si>
    <t>23.06.2019 17:26</t>
  </si>
  <si>
    <t>This stuff is so good taste like a melted  rocket pop  .
.
.
.
.
.
#mountaindew #memes #meme #memesdaily #funny #doritos #gamer #fire #dankmemes #ruin #memesoftheday #pleasedontdococaine #lit #deepfriedmemes #memesofthedank #cursedmemes #crackcocaine #tomato #good #pleasefollowme #iwannabefamous #cat #curingdepression #ay #yourbrain #mountainbike #mountainman #sandwich #razer #bhfyp</t>
  </si>
  <si>
    <t>liquid,glass,plastic,bottle,plastic bottle</t>
  </si>
  <si>
    <t>that y you see mtndew doritos shrek made all of that that in the forchan vdeio that y you see doritos orange</t>
  </si>
  <si>
    <t>23.06.2019 17:29</t>
  </si>
  <si>
    <t>@Doritos #IncognitoDoritos #Entry  Doritos gives me the power to deal with Florida drivers without going to jail</t>
  </si>
  <si>
    <t>Sandra L Gibbs</t>
  </si>
  <si>
    <t>Киссимми</t>
  </si>
  <si>
    <t>23.06.2019 17:28</t>
  </si>
  <si>
    <t>Spencer Carter</t>
  </si>
  <si>
    <t>Уэйко</t>
  </si>
  <si>
    <t>Hayley</t>
  </si>
  <si>
    <t>CoffeeCat</t>
  </si>
  <si>
    <t>23.06.2019 17:27</t>
  </si>
  <si>
    <t>Unas ganas de comer Doritos con queso cheddar</t>
  </si>
  <si>
    <t>agos</t>
  </si>
  <si>
    <t>Кампания</t>
  </si>
  <si>
    <t>San Nicola Manfredi</t>
  </si>
  <si>
    <t>24.06.2019 06:56</t>
  </si>
  <si>
    <t>Clip In Extensions 3579</t>
  </si>
  <si>
    <t>extensionsfull lace wigs Her kids wouldn't be able to play call of duty online and you'd think CPS was on there way with a fucking swat van. She's a pretty strong woman but always had money to expect things like that to not happen I guess. Shit I've lived in houses where there was no electric, no heat/ac, do I even need to say no luxurious shit these rich folk have with there cable packages and fucking Doritos.full lace wigslace front wigs A wig bag was found on the back of the neck. A crescent shaped chapeau bras, known as an opera hat</t>
  </si>
  <si>
    <t>TonyNeace8</t>
  </si>
  <si>
    <t>wikipediajapan.org</t>
  </si>
  <si>
    <t>17:21</t>
  </si>
  <si>
    <t>i fuckin put my dick in a bag of doritos</t>
  </si>
  <si>
    <t>isabelle</t>
  </si>
  <si>
    <t>Eduardo</t>
  </si>
  <si>
    <t>dirty fucking cheese whore</t>
  </si>
  <si>
    <t>Cursed Pingolini</t>
  </si>
  <si>
    <t>Santa Cruz de la Serós</t>
  </si>
  <si>
    <t>23.06.2019 17:25</t>
  </si>
  <si>
    <t>Como ya no se que poner pondré Doritos #EstrenoECNSE</t>
  </si>
  <si>
    <t>Anne de Ortega</t>
  </si>
  <si>
    <t>23.06.2019 17:24</t>
  </si>
  <si>
    <t>NdimhleFcukedUp</t>
  </si>
  <si>
    <t>23.06.2019 17:23</t>
  </si>
  <si>
    <t>I put my dick in a bag of Doritos and cosplayed as Donald trump</t>
  </si>
  <si>
    <t>Salad Bitch</t>
  </si>
  <si>
    <t>Cool ranch Doritos with ketchup</t>
  </si>
  <si>
    <t>EPICTRON</t>
  </si>
  <si>
    <t>Valle del Cauca</t>
  </si>
  <si>
    <t>Кали</t>
  </si>
  <si>
    <t>Prosecco is the Cool Ranch Doritos of beverages, once you start there is no stopping until you wake up with your blue eyeshadow still on</t>
  </si>
  <si>
    <t>Madison Blask</t>
  </si>
  <si>
    <t>23.06.2019 17:22</t>
  </si>
  <si>
    <t>Megatron197484</t>
  </si>
  <si>
    <t>23.06.2019 17:21</t>
  </si>
  <si>
    <t>hello can someone please invent doritos scoops i’m tired of spilling my queso dip</t>
  </si>
  <si>
    <t>Peyton Mitchell</t>
  </si>
  <si>
    <t>Tendai</t>
  </si>
  <si>
    <t>doritos facts</t>
  </si>
  <si>
    <t>doritos nacho cheese flavored tortilla chips .
doritos nacho cheese flavored tortilla chips .
doritos nacho cheese flavored tortilla chips .
doritos nacho cheese flavored tortilla chips .
doritos nacho cheese flavored tortilla chips .
doritos nacho cheese flavored tortilla chips .
doritos nacho cheese flavored tortilla chips .
doritos nacho cheese flavored tortilla chips .
doritos nutrition facts small bag stanford center for opportunity .
small bag cool ranch doritos nutrition facts stanford center for .
nachos cheese fries doritos fritos</t>
  </si>
  <si>
    <t>23.06.2019 17:30</t>
  </si>
  <si>
    <t>elly :)</t>
  </si>
  <si>
    <t>My family wants me to go to a birthday party tonight but I just want to go to the store and grab jalapeño Doritos and see if I can make tasty nachos out of them + stream?</t>
  </si>
  <si>
    <t>ℓisha</t>
  </si>
  <si>
    <t>17:18</t>
  </si>
  <si>
    <t>i just want to see someone now pull off this look  .
.
.#memes 
#starterpackmeme
#nike
#Doritos
#firstgrade</t>
  </si>
  <si>
    <t>autumn alizae</t>
  </si>
  <si>
    <t>23.06.2019 17:20</t>
  </si>
  <si>
    <t>Just bought chilli heatwave Doritos and mild salsa dip and @bensugden20 fell out with me and put his dick in my salsa #talkaboutadickmove</t>
  </si>
  <si>
    <t>Gareth Smith</t>
  </si>
  <si>
    <t>23.06.2019 17:17</t>
  </si>
  <si>
    <t>I would do damn near anything for this suit
Want to score this Limited-Edition Doritos Spidey Suit? Tell us what super power Doritos gives you using #IncognitoDoritos #Entry for the chance to win! Rules @ https://bit.ly/2MXEpdc Be sure to check out #SpiderManFarFromHome, in theaters July 2!</t>
  </si>
  <si>
    <t>It’s above me</t>
  </si>
  <si>
    <t>23.06.2019 17:16</t>
  </si>
  <si>
    <t>How If It Wasn’t For Doritos Ja Morant’s Might Have Never Been The #2 in NBA Draft (Video) http://bit.ly/2Y99bRI</t>
  </si>
  <si>
    <t>$ean Bishop</t>
  </si>
  <si>
    <t>Doritos,Nike</t>
  </si>
  <si>
    <t>championship,ball game,sports,basketball</t>
  </si>
  <si>
    <t>@BSO Real 100 Doritos need to be calling his agent right now. They should be signing JA to a contract doing a commercial people can relate to his story. If I am a company or the NBA I will be marketing at every turn.</t>
  </si>
  <si>
    <t>LARRY HILL</t>
  </si>
  <si>
    <t>How many spicy Doritos can I eat?</t>
  </si>
  <si>
    <t>How many spicy Doritos can I eat?
Watch me do a challenge where I have to eat flaming hot Doritos and trying not to drink milk, enjoy</t>
  </si>
  <si>
    <t>Joshua RooEntertainment</t>
  </si>
  <si>
    <t>katy bulcock</t>
  </si>
  <si>
    <t>17:13</t>
  </si>
  <si>
    <t>24.06.2019 02:01</t>
  </si>
  <si>
    <t>All for me #rain</t>
  </si>
  <si>
    <t>tHiS oUr SpAmMmM</t>
  </si>
  <si>
    <t>Capitol Heights</t>
  </si>
  <si>
    <t>Rules are 
Follow me  Repost  Tag 3 editors 
Lays /4
Hot Cheetos /4
Takis /4
Doritos /4
Sry forgot to add it
When done comment the group u want to be in!
When u get in you all make edits in the group and u guys vote for 2 edits to be represented for your group :)
When you pick 2 it’ll be posted and people will vote on it :) and pick the group that wins 2 groups go against eachother and to find the biggest winner  GL</t>
  </si>
  <si>
    <t>She Follows</t>
  </si>
  <si>
    <t>23.06.2019 17:12</t>
  </si>
  <si>
    <t>TomSnowden98</t>
  </si>
  <si>
    <t>23.06.2019 17:13</t>
  </si>
  <si>
    <t>me af
Been trying to eat healthy
Day 1: “Taco Bell sounds terrible, this is simple”
Day 2: “Taco Bell does sound pretty good right now, but I can control myself.”
Day 3: “hi, yeah I’ll take one Crunchwrap supreme, a chicken quesadilla, 3 Doritos locos tacos, and a Baja blast”
Fuck</t>
  </si>
  <si>
    <t>That’s So Neesy</t>
  </si>
  <si>
    <t>A day of opposites! 
Started the day with a great power vinyasa flow from @mikiash, but also slumped on the sofa. 
Had some lovely homemade kali dahl, but also ate most of a family pack of doritos.
Read a bit more of The Checklist Manifesto, but also binge watched @killingeve.
#yoga #vinyasaflow #dahl #doritos #atulgawande #killingeve</t>
  </si>
  <si>
    <t>Rotis and Yoga</t>
  </si>
  <si>
    <t>23.06.2019 17:10</t>
  </si>
  <si>
    <t>Robert Littal</t>
  </si>
  <si>
    <t>@Doritos #IncognitoDoritos laser vision!</t>
  </si>
  <si>
    <t>Tiffanie</t>
  </si>
  <si>
    <t>Artsy Dartsy</t>
  </si>
  <si>
    <t>Rainbow Lake</t>
  </si>
  <si>
    <t>—Come sus doritos—.</t>
  </si>
  <si>
    <t>JᴜɴSᴇᴏᴋ.</t>
  </si>
  <si>
    <t>23.06.2019 17:15</t>
  </si>
  <si>
    <t>Thirteen Doors</t>
  </si>
  <si>
    <t>Дейтон</t>
  </si>
  <si>
    <t>-I Would Sit Down-
----------------------------------------------------
- Follow (@rktkz) for more-
----------------------------------------------------
-OWNER:@rktkz
-Comment below-
----------------------------------------------------
#explorepage #viral #love #muscle#comedy #funny #memes #meme #lol #funnymemes #dankmemes #memesdaily #humor #follow #love #fun #lmao #like #followforfolliw #model #fashion #photography #memestagram #memepage #relatable #dance #dancememes
@kkdizzy_ @stark_entertainment @ch6ppa @ft_corn_flakes @lil._.doritoz @humble_baby23 @codiact @itsayonebtw @yasminpresland.x @yolemmefuck</t>
  </si>
  <si>
    <t>Nicolás Lami</t>
  </si>
  <si>
    <t>23.06.2019 17:14</t>
  </si>
  <si>
    <t>city boy Cmoney</t>
  </si>
  <si>
    <t>Батон-Руж</t>
  </si>
  <si>
    <t>Ellie Powell</t>
  </si>
  <si>
    <t>Rick Verbeek</t>
  </si>
  <si>
    <t>Земли Луары</t>
  </si>
  <si>
    <t>Madré</t>
  </si>
  <si>
    <t>Jsh</t>
  </si>
  <si>
    <t>Aaron Sagar</t>
  </si>
  <si>
    <t>17:07</t>
  </si>
  <si>
    <t>Emily Allee</t>
  </si>
  <si>
    <t>What a day!! The World’s Largest Food Truck Rally came to Detroit today and we got some goodies, the doritos have elote and the pineapple had pineapple smoothie with fruit on top and the straw which is my fav part  I’m thinking of doing a giveaway when I get to 200 followers comment a  if you would be interested!!</t>
  </si>
  <si>
    <t>realistic.plates</t>
  </si>
  <si>
    <t>vegetable,meal,food</t>
  </si>
  <si>
    <t>23.06.2019 17:08</t>
  </si>
  <si>
    <t>Tony Worth</t>
  </si>
  <si>
    <t>Ковентри</t>
  </si>
  <si>
    <t>23.06.2019 17:09</t>
  </si>
  <si>
    <t>Benjamin Border</t>
  </si>
  <si>
    <t>23.06.2019 17:11</t>
  </si>
  <si>
    <t>-Poor Goat,I Dead-
----------------------------------------------------------------------------
- Follow (@rktkz) for more-
----------------------------------------------------------------------------
-OWNER:@rktkz -
-Comment below-
----------------------------------------------------------------------------
#explorepage #viral #explore #hahaha #comedy #funny #memes #meme #lol #funnymemes #dankmemes #memesdaily #humor #follow #memesensation #hilarious #lmao #like #followforfolliw #rktkz #memeedits #dancing #memestagram #memepage #relatable
@kkdizzy_ @jakobewhire @lil._.doritoz @_._._.danah._._._ @ughkyran @_.ok.pablo @_lobung_ @38.siah @g_memes_yeet @vyprii</t>
  </si>
  <si>
    <t>overall it is important to have a team of people who believe in you and your commitment to the craft in order to be successful in the business. Be it manager or agent, if you aren’t working for each other there will be some avoidable bumps along the way.
-Favorite cheat meal?
–Ok I’ll admit have a serious snacking issue! Some of my go-to’s are cookies and chocolate almond milk, spicy nacho doritos, and anything with a reeces logo on it. Disclaimer: wherever there are lucky charms 9 times out of 10 there is also Chris.
-What are good tactics to train</t>
  </si>
  <si>
    <t>cloutwork</t>
  </si>
  <si>
    <t>cloutwork.com</t>
  </si>
  <si>
    <t>[WP]As Pride Month nears it's end, the other six members of the Seven Deadly Sins begin to wonder when they'll get months dedicated to them. Pride, meanwhile, is just trying to get them to understand that he's not actually the focus of Pride Month.</t>
  </si>
  <si>
    <t>“How come you get a month, huh?” Gluttony was complaining to me, as he stuffed his face with Doritos. “I’m under attack these days. I’m not celebrated with a parade and people waving flags around.”
“Oh, for God’s sake,” I groaned at him. “As if you aren’t celebrated. Have you walked by an ice cream parlour lately? Have you heard of a little something called the Cronut?”
“Doesn’t count,” he said, waving an orange-stained hand at me dismissively. “Those are fancy foods. There are thin people in those lines to get a Cronut, and they’re gonna go</t>
  </si>
  <si>
    <t>eros_bittersweet</t>
  </si>
  <si>
    <t>Writing Prompts: Prompts and motivation to create something out of nothing</t>
  </si>
  <si>
    <t>23.06.2019 17:07</t>
  </si>
  <si>
    <t>Apple (AAPL) Holder American Economic Planning Group Has Increased Holding by $413,910; Harding Loevner LP Has Decreased Its Holding in Ecopetrol S A (EC) by $547,365</t>
  </si>
  <si>
    <t>Doritos, Cheetos and other Frito-Lay products â€” and snack fans can blame PepsiCo Chief Executive Indra Nooyi for their less crunchy lunches; 16/05/2018 – VOIP-PAL.COM INC – CO CONTINUES TO AWAIT PTAB’S DECISION REGARDING APPLE’S POST-JUDGMENT CHALLENGE TO VOIP-PAL’S VICTORY IN IPR’S FILED BY APPLE; 23/04/2018 – EU ANTITRUST REGULATORS OPEN INVESTIGATION INTO APPLE’S ACQUISITION OF MUSIC DISCOVERY COMPANY SHAZAM; 05/03/2018 – Mondelez Follows Apple, McDonald’s in Offering Debut Maple Bonds; 23/03/2018 – Time: Apple Is About to Release a</t>
  </si>
  <si>
    <t>23.06.2019 17:06</t>
  </si>
  <si>
    <t>Future Mrs. G, AuD</t>
  </si>
  <si>
    <t>23.06.2019 17:05</t>
  </si>
  <si>
    <t>Sanele</t>
  </si>
  <si>
    <t>Shaka's Head</t>
  </si>
  <si>
    <t>23.06.2019 17:04</t>
  </si>
  <si>
    <t>neck</t>
  </si>
  <si>
    <t>23.06.2019 17:03</t>
  </si>
  <si>
    <t>nina ♀</t>
  </si>
  <si>
    <t>Berenice, bióloga</t>
  </si>
  <si>
    <t>-Watch It Out-
----------------------------------------------------------------------------
- Follow (@rktkz) for more-
----------------------------------------------------------------------------
-OWNER:@rktkz -
-Comment below-
----------------------------------------------------------------------------
#explorepage #viral #explore #hahaha #comedy #funny #memes #meme #lol #funnymemes #dankmemes #memesdaily #humor #follow #memesensation #hilarious #lmao #like #followforfolliw #rktkz #memeedits #dancing #memestagram #memepage #relatable
@kkdizzy_ @jakobewhire @ft_corn_flakes @lil._.doritoz @dfw._.nicko @_._._.danah._._._ @humble_baby23 @_lobung_ @38.siah @vyprii</t>
  </si>
  <si>
    <t>mazda rx7 stock</t>
  </si>
  <si>
    <t>run mazda rx7 full stock youtube .
jdm mazda used cars trucks stock sale import japan export canada .
rx7 images stock photos vectors shutterstock .
rx7 editorial stock image image of doritos mazda cherry 98104284 .
60 top mazda rx 7 pictures photos images getty images .
1 of 350 finding and modifying my limited production 1993 mazda rx .
mazda rx7 fd touring rotary mint condition bone stock classic .
mazda rx7 stock photo image of isolated sport aerodynamic 76573772 .
your definitive mazda rx 7 fd buyer s guide hagerty articles .
1993 mazda rx7 in auburn washington stock number c123207l .
years of searching and wrenching led to this crisp mazda rx 7 .
mazda rx7 1995 stock epm for gta 4 . Related post for Mazda Rx7 Stock Recent Posts</t>
  </si>
  <si>
    <t>New Doritos flavour
https://www.facebook.com/TradeRumours/photos/a.1546988288876324/2406556839586127/?type=3</t>
  </si>
  <si>
    <t>NHL Memes</t>
  </si>
  <si>
    <t>16:57</t>
  </si>
  <si>
    <t>Does the smell of 2 stroke, the sound of weed wackers and Doritos stuffed into a Pringle’s can tickle your fancy?! Well my friends if that’s the case you best head up to the big Apple on 7/7 and join the rotary invasion! Don’t be a little shit and miss out! #7’sday #rotary #rx7
@worldmovesfast @dfunn @regimentzero_fd3s @primenyc.co @gold_digger_7</t>
  </si>
  <si>
    <t>C. Johnston</t>
  </si>
  <si>
    <t>23.06.2019 17:00</t>
  </si>
  <si>
    <t>Doritos. Really.  Is there anything better in this world?  Currently am dividing up my time between the original Cheese ones and the Sweet Chili ones.  
Kind of a cute name for a pup.  Maybe I would go with Rito for a nickname.  Idk.  Normally a people name person for dogs.
This pup is named after the last thing you ate.  What is the pups name?</t>
  </si>
  <si>
    <t>Dj ️‍</t>
  </si>
  <si>
    <t>Мадисон</t>
  </si>
  <si>
    <t>Yum! @meme_stickers_4#doritos #cheesy #hothothot #meme #memes #memestickers</t>
  </si>
  <si>
    <t>Memes Stickers™</t>
  </si>
  <si>
    <t>Garoto propaganda Doritos!!! @doritosbrasil me nota! 
#pride #lgbt #picoftheday #doritos #doritosrainbow</t>
  </si>
  <si>
    <t>Rodrigo Cuba</t>
  </si>
  <si>
    <t>plant,t-shirt,clothing,sunglasses</t>
  </si>
  <si>
    <t>MELANIE</t>
  </si>
  <si>
    <t>PhantEm</t>
  </si>
  <si>
    <t>Doritos + ketchup? Yes please! Perhaps the classic Canadian "all-dressed" flavor will be next 
_
_
_
_
_
#canada #canadian #ketchup #ketchupchips #doritos #ketchupdoritos #snacks #junkfood #yum #chips</t>
  </si>
  <si>
    <t>Squatch</t>
  </si>
  <si>
    <t>o foda é que ela é linda</t>
  </si>
  <si>
    <t>23.06.2019 16:59</t>
  </si>
  <si>
    <t>Femke Leers</t>
  </si>
  <si>
    <t>sadempath |||+•_•+|||</t>
  </si>
  <si>
    <t>@rocio_sampo Era la caja de doritos</t>
  </si>
  <si>
    <t>Kiara Parma</t>
  </si>
  <si>
    <t>23.06.2019 16:58</t>
  </si>
  <si>
    <t>Screaming Lord Byron</t>
  </si>
  <si>
    <t>23.06.2019 16:57</t>
  </si>
  <si>
    <t>happy mamuray!</t>
  </si>
  <si>
    <t>23.06.2019 16:53</t>
  </si>
  <si>
    <t>@WaruiBui @8BrettMan @ItsEpic_Gabriel Man Gabe prolly didnt even have the experience if 3D doritos, ouch gum, Monday night wrestling when it didnt suck, and the golden era of NBA basketball. I pity these new gens :(</t>
  </si>
  <si>
    <t>Ayygent?</t>
  </si>
  <si>
    <t>Арканзас-Сити</t>
  </si>
  <si>
    <t>Where are the doritos</t>
  </si>
  <si>
    <t>Right. X3</t>
  </si>
  <si>
    <t>Wolferine</t>
  </si>
  <si>
    <t>[NSFW 18+] PAWBS N BEANS</t>
  </si>
  <si>
    <t>23.06.2019 16:56</t>
  </si>
  <si>
    <t>@queer_anthology When I was on the depo shot for BC I had an intense food craving for each shot and gained a ton of weight because I literally couldn't think about anything other than satisfying my craving: Chili cheese fries with a chocolate shake. Doritos. Egg rolls. Omelettes.</t>
  </si>
  <si>
    <t>Amanda Marie</t>
  </si>
  <si>
    <t>Саконнакхон</t>
  </si>
  <si>
    <t>บ้านมาย</t>
  </si>
  <si>
    <t>OKURRRRR .. its @iamcardib Custom Chip Bags (I think @officialrapsnacks should hire me to design there Chip bags lol) ... Who wanna party with Cardi?EEEOOOOOOWWW#jayspartycreations #chocolate #brooklyn #dessert #cakes #Cake #cardibcake #cardibcakes #cardibparty #coneyisland #cArdib #customcakes #customcakes #cupcakes #cupcake #chipbags #doritos #doritoschips #customdoritos #custom #customchipbags #bardigang #okurrr #goodiebags #customgoodiebag #goodiebagcustom #bookme #</t>
  </si>
  <si>
    <t>Fri,Sat,Sun - 5day Response</t>
  </si>
  <si>
    <t>|| I am superior to those too 
I say, while I'm lounging on my couch eating Doritos and watching Moana.
|| I only believe in pagan gods</t>
  </si>
  <si>
    <t>16:48</t>
  </si>
  <si>
    <t>23.06.2019 16:55</t>
  </si>
  <si>
    <t>Gonegirl</t>
  </si>
  <si>
    <t>23.06.2019 16:54</t>
  </si>
  <si>
    <t>Y’all on my ass about this Doritos and baked beans tweet</t>
  </si>
  <si>
    <t>desss.</t>
  </si>
  <si>
    <t>Центральная Ютландия</t>
  </si>
  <si>
    <t>Хорсенс</t>
  </si>
  <si>
    <t>Mica</t>
  </si>
  <si>
    <t>Provincia Puntarenas</t>
  </si>
  <si>
    <t>Buenos Aires</t>
  </si>
  <si>
    <t>Never seen them before
The only bag of Doritos that matter</t>
  </si>
  <si>
    <t>BIG THEEZYひ.</t>
  </si>
  <si>
    <t>Wesley</t>
  </si>
  <si>
    <t>Madihah.</t>
  </si>
  <si>
    <t>If you like red Doritos over blue you’re weird and unattractive , I’m sorry.</t>
  </si>
  <si>
    <t>Andrew Ventura</t>
  </si>
  <si>
    <t>Well, Twitter ads just forced me to block Doritos. Take me now, lord, I'm ready.</t>
  </si>
  <si>
    <t>Evil Is Itinerant</t>
  </si>
  <si>
    <t>El culo de rumania</t>
  </si>
  <si>
    <t>Erin Adeline</t>
  </si>
  <si>
    <t>23.06.2019 16:50</t>
  </si>
  <si>
    <t>Jake Riley</t>
  </si>
  <si>
    <t>Springfield</t>
  </si>
  <si>
    <t>Y’all know what’s a fye food combination? Doritos and baked beans</t>
  </si>
  <si>
    <t>23.06.2019 16:49</t>
  </si>
  <si>
    <t>tif</t>
  </si>
  <si>
    <t>James Kelly</t>
  </si>
  <si>
    <t>Michigan City</t>
  </si>
  <si>
    <t>16:47</t>
  </si>
  <si>
    <t>I’m calling the police
Y’all know what’s a fye food combination? Doritos and baked beans</t>
  </si>
  <si>
    <t>They See Me Rolling (Counqerors Blade) Ep 2</t>
  </si>
  <si>
    <t>They See Me Rolling (Counqerors Blade) Ep 2
Hello, fellow Doritos! Today, I played Conquerors Blade. Its free on steam, so if you wanna play it yourself, you can get it! This is a fun medieval warfare game, and I recommend it!</t>
  </si>
  <si>
    <t>16:45</t>
  </si>
  <si>
    <t>23.06.2019 16:47</t>
  </si>
  <si>
    <t>R A I N B O W  #Dedylicious #Love #Food #Traveler #LGBT #Doritos #GayPride #Rainbow</t>
  </si>
  <si>
    <t>Dedylicious</t>
  </si>
  <si>
    <t>23.06.2019 16:52</t>
  </si>
  <si>
    <t>#RoadTrip!  Driving to Ohio today, Killian is in. his. element!  #Happyboy, with his #Doritos, iPad, headphones, and lil travel kid desk. Thank you, @lydiaruth_customs, for the travel tips!♥️ Surviving, we’re over halfway there!  #OhioOrBust .
@eileenposadny</t>
  </si>
  <si>
    <t>Eileen • Posadny</t>
  </si>
  <si>
    <t>jess g</t>
  </si>
  <si>
    <t>The best things in life are worth the effort. #amodelidiot #doritos #spicynachodoritos #thisishowwedoit</t>
  </si>
  <si>
    <t>Phil McCracken</t>
  </si>
  <si>
    <t>23.06.2019 16:46</t>
  </si>
  <si>
    <t>The 15th Shadow</t>
  </si>
  <si>
    <t>akoby</t>
  </si>
  <si>
    <t>Одесская область</t>
  </si>
  <si>
    <t>Одесса</t>
  </si>
  <si>
    <t>Silent fool</t>
  </si>
  <si>
    <t>Saint Lucia</t>
  </si>
  <si>
    <t>23.06.2019 16:45</t>
  </si>
  <si>
    <t>kieren wise</t>
  </si>
  <si>
    <t>Саскачеван</t>
  </si>
  <si>
    <t>Мус-Джо</t>
  </si>
  <si>
    <t>Meow</t>
  </si>
  <si>
    <t>Bean (and Mara)</t>
  </si>
  <si>
    <t>23.06.2019 16:44</t>
  </si>
  <si>
    <t>Mellodimensions</t>
  </si>
  <si>
    <t>Мекленбург-Передняя Померания</t>
  </si>
  <si>
    <t>Stuck</t>
  </si>
  <si>
    <t>23.06.2019 16:43</t>
  </si>
  <si>
    <t>alexy️‍</t>
  </si>
  <si>
    <t>Ross</t>
  </si>
  <si>
    <t>•Jayden•</t>
  </si>
  <si>
    <t>Mariana</t>
  </si>
  <si>
    <t>Válega</t>
  </si>
  <si>
    <t>@80sThen80sNow @Hostess_Snacks It’s funny you mention that. In the 70’s, sorry not the 80’s but so many products came out. Like Doritos, Taco Bell, just to name a few. Every time I tell a Millennial they think I’m nuts. Not to mention Pringle’s new fangled potato chips. I could google it but that’s no fun.</t>
  </si>
  <si>
    <t>mikey</t>
  </si>
  <si>
    <t>Tiki Island</t>
  </si>
  <si>
    <t>geminiagent: bondingthroughmutualhatred: confessionistt: is anyone else concerned about the spelling of Doritos here? https://tmblr.co/ZbWF9y2j2YmwS</t>
  </si>
  <si>
    <t>Scott P</t>
  </si>
  <si>
    <t>Lowell</t>
  </si>
  <si>
    <t>My first Import car show #cars #ferrari #subaru #importcarshow #dorritos #audi
@audi @subaru_usa @doritos @ferrari</t>
  </si>
  <si>
    <t>Nikki</t>
  </si>
  <si>
    <t>Эверетт</t>
  </si>
  <si>
    <t>space</t>
  </si>
  <si>
    <t>23.06.2019 16:41</t>
  </si>
  <si>
    <t>now why would you let your cat get this mf fat  it’s animal abuse at this point bc what the hell
WE ARE OUT OF DORITOS KAREN</t>
  </si>
  <si>
    <t>sweet lil ♥️</t>
  </si>
  <si>
    <t>Snack trolley. You delight me. #snacks #yummy #summer #granola #kidfood #munchies #chewy #popcorn #snack #frito #fritolay #doritos</t>
  </si>
  <si>
    <t>Deborah Lynn</t>
  </si>
  <si>
    <t>KFC has created a monster.</t>
  </si>
  <si>
    <t>Finally, a worthy successor to the Doritos Locos Tacos.</t>
  </si>
  <si>
    <t>DinoRaawr</t>
  </si>
  <si>
    <t>16:38</t>
  </si>
  <si>
    <t>Niyathanda uthi kuvalwe zkolo be nisicingisa kulo Twitter
Bout to have the best Doritos. Which flavour am I talking about?</t>
  </si>
  <si>
    <t>Lazola</t>
  </si>
  <si>
    <t>16:37</t>
  </si>
  <si>
    <t>Doritos crash course gameplay</t>
  </si>
  <si>
    <t>Karan YT</t>
  </si>
  <si>
    <t>screen,electronics,gadget,display device</t>
  </si>
  <si>
    <t>television program,television,multimedia</t>
  </si>
  <si>
    <t>@k8em0 I’m still trying to figure out if @cwischerth is a pod person whenever he gets me flowers, doritos, whiskey, and does my laundry when I’m sick.</t>
  </si>
  <si>
    <t>aloria</t>
  </si>
  <si>
    <t>Lake Country</t>
  </si>
  <si>
    <t>horse</t>
  </si>
  <si>
    <t>23.06.2019 16:38</t>
  </si>
  <si>
    <t>It’s about to go down .
.
.
.
.
#lmao #haha #lol #lmfao #humor #meme #memes #groupchat #funny #funnyvideos #edgymemes #video #ifunny  #worldstar #smile #fortnite #fortnitememes #anime #comedy #animememes #oof #wshh #offensivememes #edgy #minecraft #jokes #joke #follow #doritos #cringe</t>
  </si>
  <si>
    <t>meat heads run this planet</t>
  </si>
  <si>
    <t>23.06.2019 16:42</t>
  </si>
  <si>
    <t>David Harper (send money!)</t>
  </si>
  <si>
    <t>16:32</t>
  </si>
  <si>
    <t>23.06.2019 16:33</t>
  </si>
  <si>
    <t>So yummy and so satisfying!!! If you haven’t tried these you are missing out! It’s like your eating Ranch Doritos but much better for you! 
#fitness #food #lift #mine #getyourown #notsharing #lol #foodie</t>
  </si>
  <si>
    <t>Linnea Sirman</t>
  </si>
  <si>
    <t>23.06.2019 16:48</t>
  </si>
  <si>
    <t>The Woman Who Was Named "Marijuana Pepsi" At Birth! (Rewind)</t>
  </si>
  <si>
    <t>next kid name: mountain dew doritos</t>
  </si>
  <si>
    <t>Bertje</t>
  </si>
  <si>
    <t>23.06.2019 16:36</t>
  </si>
  <si>
    <t>No manches que ya hay palomitas sabor Doritos</t>
  </si>
  <si>
    <t>MONSE</t>
  </si>
  <si>
    <t>Керетаро</t>
  </si>
  <si>
    <t>23.06.2019 16:34</t>
  </si>
  <si>
    <t>D'Carlo</t>
  </si>
  <si>
    <t>Doritos 
Tueh</t>
  </si>
  <si>
    <t>Nukunu</t>
  </si>
  <si>
    <t>Большая Аккра</t>
  </si>
  <si>
    <t>Аккра</t>
  </si>
  <si>
    <t>Mr T</t>
  </si>
  <si>
    <t>Rusape</t>
  </si>
  <si>
    <t>I ate a sammy, Doritos , and had a Red Bull uuuuh h hh. H</t>
  </si>
  <si>
    <t>DORITOS LOCOS TACO PASTA SALAD is the perfect meal or side dish that your entire family will love! 
This incredible salad layers your favorite loco taco ingredients to make one ultimate tasty taco salad that's huge on flavor! 
Recipe---&amp;gt;&amp;gt;&amp;gt; https://myincrediblerecipes.com/doritos-locos-taco-pasta-salad/
https://www.facebook.com/MyIncredibleRecipes/photos/a.117927805037651/1374772189353200/?type=3</t>
  </si>
  <si>
    <t>Incredible Recipes</t>
  </si>
  <si>
    <t>23.06.2019 16:31</t>
  </si>
  <si>
    <t>I hope he likes it
Togetic is testing out a Doritos-flavored soda, called "Dewitos".</t>
  </si>
  <si>
    <t>Linxord The Lost</t>
  </si>
  <si>
    <t>#snacks</t>
  </si>
  <si>
    <t>Doritos risk 3.0 yedik</t>
  </si>
  <si>
    <t>Doritos risk 3.0 yedik
Cezali limon suyu cezali</t>
  </si>
  <si>
    <t>Vak Vak TV</t>
  </si>
  <si>
    <t>#nichememeaccounts #nichememes #noplans #icecream #battery #coffee #notbusy</t>
  </si>
  <si>
    <t>Niche Memesssss</t>
  </si>
  <si>
    <t>clothing,food</t>
  </si>
  <si>
    <t>23.06.2019 16:29</t>
  </si>
  <si>
    <t>I just wanna eat my weight in cool ranch doritos and cry while re watching every season of drag race for the millionth time</t>
  </si>
  <si>
    <t>Em</t>
  </si>
  <si>
    <t>This wrapper for Nacho Cheesier Doritos is from 1988. I discovered it today under a bush in our yard. I hope the litterbug from 31 years ago is still reeling with guilt.
#litterbug #doritos #nacho #nachos #nachocheese #1988 #unearthed</t>
  </si>
  <si>
    <t>Tony</t>
  </si>
  <si>
    <t>16:26</t>
  </si>
  <si>
    <t>Today's Tom Sawyer</t>
  </si>
  <si>
    <t>23.06.2019 16:30</t>
  </si>
  <si>
    <t>Mummy offer the man some Doritos man say "ion want none. They plastic"  I almost dead</t>
  </si>
  <si>
    <t>Liyahcess</t>
  </si>
  <si>
    <t>Daddy</t>
  </si>
  <si>
    <t>23.06.2019 16:35</t>
  </si>
  <si>
    <t>@daaamnju @HeyAprill Nah tuna delicious when paired with doritos</t>
  </si>
  <si>
    <t>.</t>
  </si>
  <si>
    <t>24.06.2019 07:21</t>
  </si>
  <si>
    <t>Free Giveaway if you know what I said...</t>
  </si>
  <si>
    <t>Free Giveaway if you know what I said...
Enter by commenting what you think I said.There will be hints.The deadline is July 25th.        
—. .—
     •</t>
  </si>
  <si>
    <t>OGG_Clapz</t>
  </si>
  <si>
    <t>23.06.2019 16:25</t>
  </si>
  <si>
    <t>I bought a 5 dollar box from Taco Bell just to have one bite of my taco and ended up eating a old bag Doritos from yesterday. Why am I like this</t>
  </si>
  <si>
    <t>16:21</t>
  </si>
  <si>
    <t>Imma have some doritos over here</t>
  </si>
  <si>
    <t>samu iemolo</t>
  </si>
  <si>
    <t>23.06.2019 16:26</t>
  </si>
  <si>
    <t>@Doritos Gives me the super power of not being all that hungry but not really needing to eat a whole meal, a power snack to use to fight crime.
Also doritos cheesy fingers give me the power to shot chips from my finger tips. #IncognitoDoritos #entry</t>
  </si>
  <si>
    <t>Morgan Rangel</t>
  </si>
  <si>
    <t>Aurora</t>
  </si>
  <si>
    <t>16:19</t>
  </si>
  <si>
    <t>diagram</t>
  </si>
  <si>
    <t>23.06.2019 16:21</t>
  </si>
  <si>
    <t>#doritos biggest and cutest fan! #nachocheese #fritolay #cutekids  #thoseeyes though
@authoremkelly</t>
  </si>
  <si>
    <t>Natalie Kelly</t>
  </si>
  <si>
    <t>23.06.2019 16:20</t>
  </si>
  <si>
    <t>Mmm, I love yummy Dorito's!! 
-
-
- #pup #puppy #dog #doggy #archie #bald #archiebald #dorito #doritos #hungry #trending #yumyum #yummy #cute #love</t>
  </si>
  <si>
    <t>Archie the Frenchie :)</t>
  </si>
  <si>
    <t>16:15</t>
  </si>
  <si>
    <t>New Lion king popcorn bucket 
Nueva cuneta de palomitas del Rey León  #disney #disneypark #disneytoknow #disneyfan #popcorn #bucket #popcornbucket #lionking #thelionking2019</t>
  </si>
  <si>
    <t>Disney To Know</t>
  </si>
  <si>
    <t>16:14</t>
  </si>
  <si>
    <t>23.06.2019 16:19</t>
  </si>
  <si>
    <t>complain I need to lose weight about a million times a day but I’ve just sat and ate a full bag of cheesy Doritos, do I care though? no</t>
  </si>
  <si>
    <t>lucy</t>
  </si>
  <si>
    <t>#doritos</t>
  </si>
  <si>
    <t>/britfeel/</t>
  </si>
  <si>
    <t>&gt;missus talking to one of her gal pals downstairs
&gt;In bed coz tired, just watching the match of the day recording on me telly
&gt;Feel peckish
&gt;Text missus
&gt;Giz dem hobnob nibbles an Doritos please luv X
&gt;5 mins go bye
&gt;She brings em me
Living the dream boysies.</t>
  </si>
  <si>
    <t>Chasing @slameron_be11 tandems&gt;solo runs #240sx #ka24de #doritos #rx8</t>
  </si>
  <si>
    <t>Antarctica</t>
  </si>
  <si>
    <t>car,soil</t>
  </si>
  <si>
    <t>grass,grassland,sky,field,landscape,desert,road,sand,ecoregion</t>
  </si>
  <si>
    <t>@miyuuvi It's a sign to eat doritos they re amazing</t>
  </si>
  <si>
    <t>astro✧bitch</t>
  </si>
  <si>
    <t>23.06.2019 16:18</t>
  </si>
  <si>
    <t>Doritos light on fire very well</t>
  </si>
  <si>
    <t>Moudkip</t>
  </si>
  <si>
    <t>nail</t>
  </si>
  <si>
    <t>23.06.2019 16:10</t>
  </si>
  <si>
    <t>//She totally gave up//  #shegaveup #niche #aesthetic</t>
  </si>
  <si>
    <t>23.06.2019 16:09</t>
  </si>
  <si>
    <t>Cool ranch Doritos,pickles and jalapeño 
@kameroncarter Oreos &amp; Water .</t>
  </si>
  <si>
    <t>Celia ✨</t>
  </si>
  <si>
    <t>Burlington</t>
  </si>
  <si>
    <t>16:06</t>
  </si>
  <si>
    <t>23.06.2019 16:07</t>
  </si>
  <si>
    <t>Doritos dynamite taste test with Xy</t>
  </si>
  <si>
    <t>Doritos dynamite taste test with Xy
Not spicy</t>
  </si>
  <si>
    <t>REX and Ben vlogs and games Adventure</t>
  </si>
  <si>
    <t>16:05</t>
  </si>
  <si>
    <t>23.06.2019 16:12</t>
  </si>
  <si>
    <t>Sunday Funday at the pool.... where you take your family to eat snacks all day ‍♀️ anyone else have kids that just want to eat at the beach, pool, park instead of play? Or is it just my snackaholics. They inherit the habit honestly though bc I’m definitely tearing through a family size bag of Doritos watching everyone swim  not about to dip into a public pool with a bajilion kids in it ✋•••• swimsuit from @walmart in store but I’m linking others here ——&gt; http://liketk.it/2CNYy and in my bio</t>
  </si>
  <si>
    <t>THE CHIC BLONDE  SD Blogger</t>
  </si>
  <si>
    <t>fashion accessory,furniture,sunglasses</t>
  </si>
  <si>
    <t>Rуυ O'Ƈσηησя</t>
  </si>
  <si>
    <t>Mayor mad</t>
  </si>
  <si>
    <t>16:03</t>
  </si>
  <si>
    <t>i shouldve gotten overpriced doritos too</t>
  </si>
  <si>
    <t>c㋐broncito</t>
  </si>
  <si>
    <t>I just put my dick in a bag of Doritos</t>
  </si>
  <si>
    <t>yeet</t>
  </si>
  <si>
    <t>Салинас</t>
  </si>
  <si>
    <t>23.06.2019 16:23</t>
  </si>
  <si>
    <t>SHIT CRAY AF RN TBH FFS SMH I'M NOT HATING, I'M DORITOS AF RN TBH FFS SMH I'M NEVER THE DESCRIPTION" ON ME, LET ME SAY THIS.</t>
  </si>
  <si>
    <t>TwittaNerd™ ⁠‍</t>
  </si>
  <si>
    <t>️‍
.
.
.
.
.
 @laizasp
.
.
.
.
.
.
.
.
.
.
.
.
.
.
#paradagay #paradagaysp #paradalgbt #paradalgbt2019 #pride #loveislove #doritos #burgerking #arcoiris
@lojasrenner @burgerkingbrasil @paradasp @ubereats @logaybr</t>
  </si>
  <si>
    <t>Luissa Queiroz ️➕</t>
  </si>
  <si>
    <t>I put my dick inna bag of Doritos</t>
  </si>
  <si>
    <t>KYN</t>
  </si>
  <si>
    <t>Temple</t>
  </si>
  <si>
    <t>@bizerok @eli_sanchez01 no *abre bolsa de doritos*</t>
  </si>
  <si>
    <t>shady but not slim</t>
  </si>
  <si>
    <t>@Giianella8 doritos</t>
  </si>
  <si>
    <t>Candela</t>
  </si>
  <si>
    <t>23.06.2019 16:15</t>
  </si>
  <si>
    <t>This Combination I’m Scared Of E Nali Mapona
The only bag of Doritos that matter</t>
  </si>
  <si>
    <t>Killer Katlego Mphela</t>
  </si>
  <si>
    <t>23.06.2019 16:14</t>
  </si>
  <si>
    <t>T Blah</t>
  </si>
  <si>
    <t>Насарава</t>
  </si>
  <si>
    <t>Wana</t>
  </si>
  <si>
    <t>23.06.2019 16:11</t>
  </si>
  <si>
    <t>Mix de doritos nachos x flamin’ hot and chill</t>
  </si>
  <si>
    <t>SC</t>
  </si>
  <si>
    <t>snack,baked goods,fast food,junk food,food,fried food</t>
  </si>
  <si>
    <t>I took a nap, woke up and immediately grabbed a chip from the bag of Doritos next to me</t>
  </si>
  <si>
    <t>Daph ~6 days</t>
  </si>
  <si>
    <t>Obuti aow shebile sex o batla
The only bag of Doritos that matter</t>
  </si>
  <si>
    <t>Twiggy</t>
  </si>
  <si>
    <t>Северо-Западная провинция</t>
  </si>
  <si>
    <t>Клерксдорп</t>
  </si>
  <si>
    <t>23.06.2019 16:06</t>
  </si>
  <si>
    <t>@poppy @WynwoodPride My addictions are:
- Doritos
- Monster Energy Drink
- Instagram
- @poppy</t>
  </si>
  <si>
    <t>ROOM #6725</t>
  </si>
  <si>
    <t>23.06.2019 16:03</t>
  </si>
  <si>
    <t>sweet chilli doritos make me really happy</t>
  </si>
  <si>
    <t>mukadzi wa Drake</t>
  </si>
  <si>
    <t>Masvingo</t>
  </si>
  <si>
    <t>Масвинго</t>
  </si>
  <si>
    <t>23.06.2019 16:04</t>
  </si>
  <si>
    <t>Sunday Nite Snax 
Tangy Cheese Doritos 
#doritos #cheese #snacks #sundaynight #crunch #tangy</t>
  </si>
  <si>
    <t>Chris Alexander</t>
  </si>
  <si>
    <t>autumn,leaf</t>
  </si>
  <si>
    <t>Isaac BarLey</t>
  </si>
  <si>
    <t>23.06.2019 16:01</t>
  </si>
  <si>
    <t>I thought I was actually dying today.
I completely forgot I ate nearly an entire bag of Flaming hot Doritos last night. Lol</t>
  </si>
  <si>
    <t>Melody</t>
  </si>
  <si>
    <t>New Doritos flavour
https://www.facebook.com/TradeRumours/photos/a.1547199498855203/2406609159580895/?type=3</t>
  </si>
  <si>
    <t>15:59</t>
  </si>
  <si>
    <t>Noah Creigh Hughes</t>
  </si>
  <si>
    <t>butterpecan ice cream &amp; salsa Doritos so good together</t>
  </si>
  <si>
    <t>BOOK LOVEABLE</t>
  </si>
  <si>
    <t>23.06.2019 15:58</t>
  </si>
  <si>
    <t>Ever since I seen the cave episode with zack fox all I think about at random times is “I put my dick in a bag of doritos and made this nigga bitch suck the dust off the tip” and I think I’m too far gone to turn back</t>
  </si>
  <si>
    <t>Scotty Go Crazy</t>
  </si>
  <si>
    <t>24.06.2019 00:59</t>
  </si>
  <si>
    <t>tag someone!
follow @sunnyglaze_ (me) for more♡
#nicheedits #nichmemes
#niche #nicheposts #nicheaesthetic #nicheaesthetic #nichememecommunity</t>
  </si>
  <si>
    <t>demi    0.4k</t>
  </si>
  <si>
    <t>Starbucks,Doritos</t>
  </si>
  <si>
    <t>23.06.2019 15:57</t>
  </si>
  <si>
    <t>Did you wash your hands before you beat your meat
The only bag of Doritos that matter</t>
  </si>
  <si>
    <t>Morocco</t>
  </si>
  <si>
    <t>My mother is reading out the ingredients on my brother's Doritos to him
"Mono sodium glutamate"
"Tastes good and it's going to kill me. Win win!"
He's not wrong.</t>
  </si>
  <si>
    <t>It's Bláthnaid, bitch</t>
  </si>
  <si>
    <t>Западный регион</t>
  </si>
  <si>
    <t>Nile</t>
  </si>
  <si>
    <t>15:55</t>
  </si>
  <si>
    <t>23.06.2019 16:00</t>
  </si>
  <si>
    <t>She waves and holds a plate of cookies
”I have some here for you!”
Doritos cookies? Where?!</t>
  </si>
  <si>
    <t>Brigitte Lindholm</t>
  </si>
  <si>
    <t>23.06.2019 15:55</t>
  </si>
  <si>
    <t>SECRET GAME (state the name, dont mention)
1. diego KEKAJSHAHGA
2. wala pa kaksks
3. kapatid ko yie
4. doritos
5. wala pa :((
6. closer you and i— sponge cola
7. wala pa nga, kulet?
8. EF
9. chin n santhie
10. 10 agik yie
Like &amp; i'll dm u the questions</t>
  </si>
  <si>
    <t>juliana ✨</t>
  </si>
  <si>
    <t>15:54</t>
  </si>
  <si>
    <t>23.06.2019 15:59</t>
  </si>
  <si>
    <t>Doritos cookies? Where?!
Brigitte had just made some cookies
More like, doritos cookies
Any Hana is welcome to try it!</t>
  </si>
  <si>
    <t>⤿  “.„</t>
  </si>
  <si>
    <t>Cuba</t>
  </si>
  <si>
    <t>Сьего-де-Авила</t>
  </si>
  <si>
    <t>Corea</t>
  </si>
  <si>
    <t>23.06.2019 15:51</t>
  </si>
  <si>
    <t>Brigitte had just made some cookies
More like, doritos cookies
Any Hana is welcome to try it!</t>
  </si>
  <si>
    <t>15:50</t>
  </si>
  <si>
    <t>23.06.2019 15:53</t>
  </si>
  <si>
    <t>Doriste - se
#doritos #elmachips #market #mercado #supermercado #extra #gordice #salgadinhos #gordo #beard #barba #tattoos #tatuagens #man #sp</t>
  </si>
  <si>
    <t>Lucas Cataldi</t>
  </si>
  <si>
    <t>junk food,food,snack,convenience food</t>
  </si>
  <si>
    <t>@FPL_Partridge @GoonerFPL @MJCRyton worked on the checkout at Asda Metro Centre. In one night he served Darren Ambrose who had a trolley full of pasta, spuds and veg. Then Paddy Kluivert with a trolley full of southern comfort, rum, vodka, coke, Doritos.... (correct me if I am wrong Micky!)</t>
  </si>
  <si>
    <t>Mart</t>
  </si>
  <si>
    <t>DORITOS #pizzaria  FILÉ MARCON  A PAIXÃO DA CASA ! #pizzaria # pizza</t>
  </si>
  <si>
    <t>Marcon Pizzaria</t>
  </si>
  <si>
    <t>snack,baked goods,fried food,food</t>
  </si>
  <si>
    <t>23.06.2019 15:48</t>
  </si>
  <si>
    <t>Love a Sunday with my favourite little family.
.
- @sashaedwards1 .
.
#sundayfunday #sunday #sundayafternoon #sunday #sundayvibes #myfavoritelittlefamily #familytime #auntie #myfavoritehuman #bestie #littlebestie #yellow #newcastle #selfies #selfiesunday #cupcakes #terryschocolateorange #terryschocolateorangecupcake #littlesundaytreat #chocolate #nachos #chillibeefnachos #cheesynachos #mexicanchillicheese #jalapeno #doritosnachos #doritos #foodporn</t>
  </si>
  <si>
    <t>Amelia Jayne</t>
  </si>
  <si>
    <t>23.06.2019 15:56</t>
  </si>
  <si>
    <t>Doritos nachos preparados
This pup is named after the last thing you ate.  What is the pups name?</t>
  </si>
  <si>
    <t>michy</t>
  </si>
  <si>
    <t>23.06.2019 15:46</t>
  </si>
  <si>
    <t>Tell her and her ass to wobble tf out my way so I can pay for my Doritos and go 
Acting like i ain’t hear nothing, paying for my items, and leaving.</t>
  </si>
  <si>
    <t>BeyoncTaé</t>
  </si>
  <si>
    <t>Mr. bad decisions</t>
  </si>
  <si>
    <t>If you haven't had taco salad made with Doritos, you are missing your blessing...
The Best Dorito Taco Salad 
https://kenyarae.com/recipe/dorito-taco-salad/</t>
  </si>
  <si>
    <t>KenyaRae</t>
  </si>
  <si>
    <t>Kody</t>
  </si>
  <si>
    <t>California City</t>
  </si>
  <si>
    <t>Which one would you like? 
FOLLOW @PERIODTT.SPAM 
-
-
#food #hungry #present #lays #roominspiration #outfits #viralvideos #bestfriendquotes #snackbox #explorepage #explore #freakymoods #freakycouples #funnymemes #gainpost #gaintrick #l4l #nailsofinstagram #likeforlikes #bestfriendquotes #videoedits #viral #arianagrande #asmr #fanta #doritos #pringles #viral #postpage #BARBIANA</t>
  </si>
  <si>
    <t>#IssaPostPage</t>
  </si>
  <si>
    <t>23.06.2019 15:52</t>
  </si>
  <si>
    <t>Quero comer Doritos</t>
  </si>
  <si>
    <t>isaℓℓets;</t>
  </si>
  <si>
    <t>Sorocaba</t>
  </si>
  <si>
    <t>23.06.2019 15:44</t>
  </si>
  <si>
    <t>@Gordie78 Trade you Trump for some poutine, package of all dressed ruffles and some ketchup doritos</t>
  </si>
  <si>
    <t>Little Pez Trash Mouth</t>
  </si>
  <si>
    <t>23.06.2019 15:45</t>
  </si>
  <si>
    <t>Green
Bout to have the best Doritos. Which flavour am I talking about?</t>
  </si>
  <si>
    <t>q tip stan</t>
  </si>
  <si>
    <t>Look what @csaffitz is wearing Anthony @radtimespizza #bonappetit #doritos episode</t>
  </si>
  <si>
    <t>lisalucyb</t>
  </si>
  <si>
    <t>Middletown</t>
  </si>
  <si>
    <t>15:39</t>
  </si>
  <si>
    <t>23.06.2019 15:39</t>
  </si>
  <si>
    <t>@mirreySkywalker @rvlavenant @Doritos_Mx @KeanuReevess_ Ósea que solo me usan como juguete?</t>
  </si>
  <si>
    <t>Roland Stark</t>
  </si>
  <si>
    <t>23.06.2019 15:41</t>
  </si>
  <si>
    <t>Doritos time part 1</t>
  </si>
  <si>
    <t>Doritos time part 1
XD TRY ME HATERS.</t>
  </si>
  <si>
    <t>xxxsnake jjj</t>
  </si>
  <si>
    <t>23.06.2019 15:38</t>
  </si>
  <si>
    <t>Laura Swan</t>
  </si>
  <si>
    <t>23.06.2019 15:35</t>
  </si>
  <si>
    <t>Florida Georgia Line - Talk You Out Of It (Lyrics) https://youtu.be/FX5AY0PXdl0 Beer, Doritos, lookin down at my trousers, talk you out of them things... Hahahahaha!! Whatever fool!!! 12:22 on 23rd $13.16
619 points and I collected the 3 of Clubs. Bone Club!</t>
  </si>
  <si>
    <t>Quien No Sabe</t>
  </si>
  <si>
    <t>23.06.2019 15:34</t>
  </si>
  <si>
    <t>15:32</t>
  </si>
  <si>
    <t>23.06.2019 15:33</t>
  </si>
  <si>
    <t>Thinking back to a time when everything was coated in innocence and sugar. 
.
 #1990s #90s #song #casio #comedy #funny #doritos</t>
  </si>
  <si>
    <t>Becky Goodman</t>
  </si>
  <si>
    <t>fashion accessory,sunglasses</t>
  </si>
  <si>
    <t>Only way to eat taco salad 
Homemade taco salad w/some nacho  Doritos</t>
  </si>
  <si>
    <t>Yj</t>
  </si>
  <si>
    <t>23.06.2019 15:40</t>
  </si>
  <si>
    <t>@chanceperez u should try and win that bc id like to see u in an updated suit
Want to score this Limited-Edition Doritos Spidey Suit? Tell us what super power Doritos gives you using #IncognitoDoritos #Entry for the chance to win! Rules @ https://bit.ly/2MXEpdc Be sure to check out #SpiderManFarFromHome, in theaters July 2!</t>
  </si>
  <si>
    <t>jillian</t>
  </si>
  <si>
    <t>TP</t>
  </si>
  <si>
    <t>Dollar General, weekly ads from June 23 to June 29 are available on our website
.
.
follow our web site
.
.
pinkcatalogue.com
.
.
#dollargeneral #dollargeneralclearance #dollargeneralpennyitems #dollargeneraldeals #dollargeneralcouponing #dollargeneralfinds #dollargeneralcouponing #dollargeneralcouponer #dollargeneralcoupons #weeklyad #adweek #adweekly #flyer #flyers #weeklyflyers #weeklyflyers</t>
  </si>
  <si>
    <t>Pinkcatalogue</t>
  </si>
  <si>
    <t>CocaCola,Pepsi,Lays,Doritos</t>
  </si>
  <si>
    <t>23.06.2019 15:31</t>
  </si>
  <si>
    <t>micah is an RA</t>
  </si>
  <si>
    <t>Lincoln City</t>
  </si>
  <si>
    <t>@MrBeastYT @Garrett_Watts I think you would do something like this, but like I dabbed in public and stole a bag of Doritos of something  love you tho</t>
  </si>
  <si>
    <t>Waterlily</t>
  </si>
  <si>
    <t>Que ganas de unos Doritos con cheddar</t>
  </si>
  <si>
    <t>;p</t>
  </si>
  <si>
    <t>Homemade taco salad w/some nacho  Doritos</t>
  </si>
  <si>
    <t>23.06.2019 15:32</t>
  </si>
  <si>
    <t>kales</t>
  </si>
  <si>
    <t>23.06.2019 15:30</t>
  </si>
  <si>
    <t>Nacho Chz Doritos &amp; sour cream. 
19. what’s a weird food combination you love?</t>
  </si>
  <si>
    <t>malia</t>
  </si>
  <si>
    <t>Merrimack</t>
  </si>
  <si>
    <t>Dining in.</t>
  </si>
  <si>
    <t>Marc Zappulla</t>
  </si>
  <si>
    <t>23.06.2019 15:29</t>
  </si>
  <si>
    <t>befoktenaier021</t>
  </si>
  <si>
    <t>British Indian Ocean Territory</t>
  </si>
  <si>
    <t>A gente faz propaganda SIM!  #pride #lovewins #instagay #gaypride #instasp #doritos #rainbow
@marcusferoliver @matheus.cavalari</t>
  </si>
  <si>
    <t>fashion accessory,glasses,clothing</t>
  </si>
  <si>
    <t>vacation,friendship</t>
  </si>
  <si>
    <t>23.06.2019 15:26</t>
  </si>
  <si>
    <t>Parada 2019 #paradagay2019 #paradagaysp #doritos #lovesintheair #lesbian #lgbt</t>
  </si>
  <si>
    <t>Tati Lima</t>
  </si>
  <si>
    <t>15:23</t>
  </si>
  <si>
    <t>bbq or nacho cheese doritos
what chips go best ON not with but on a samichh...personally I think it’s lays sour cream and onions</t>
  </si>
  <si>
    <t>country bunkin.</t>
  </si>
  <si>
    <t>23.06.2019 15:24</t>
  </si>
  <si>
    <t>@Doritos_Mx YO NEGRO ! PERO MI CORAZÓN DE MIL COLORES....BIENVENIDO SIEMPRE EL AMOR SEA DE QUIEN SEA Y DE DONDE VENGA ❤</t>
  </si>
  <si>
    <t>TURJAN ROSH</t>
  </si>
  <si>
    <t>kaiser oblivion deserved better</t>
  </si>
  <si>
    <t>23.06.2019 15:27</t>
  </si>
  <si>
    <t>The green ones...duh ‍♀️
Bout to have the best Doritos. Which flavour am I talking about?</t>
  </si>
  <si>
    <t>Constantia Mom</t>
  </si>
  <si>
    <t>Empangeni</t>
  </si>
  <si>
    <t>23.06.2019 15:22</t>
  </si>
  <si>
    <t>@JonathanFalcons @0Locogringo2 @RodSneaky Frosted Flake slurry
Lucky Charms Slurry
Doritos/Tostitos/Lays/Tims
Smartfoods Cheese. Just about any salty/flavored sticky fingers full of lickable powdery goo, esp when driving
I cheat though, chip bags ALWAYS opened bottom first, just makes more goo on way back down again.</t>
  </si>
  <si>
    <t>Mr.Craig</t>
  </si>
  <si>
    <t>Big Lots Grocery Ad Clip | 06.22.2019 - 07.06.2019</t>
  </si>
  <si>
    <t>, doritos, fritos, cheetos, pepsi, chips, pepper, lay's, dr. pepper, lemon; however, circular of Big Lots offers many other discounts on goods like barbecue sauce, cookies, cup, mango, spring water. If you want to shop smart and save a significant portion of the costs of your next shopping at your favourite Big Lots store, you should not miss this weekly ad full of amazing prices and wonderful discounts. Come back to Weekly Ad Clips &amp; Opportunity
 every day and you will not miss any of the great promotions offered by your favourite retailers.
BIGLOTS</t>
  </si>
  <si>
    <t>15:15</t>
  </si>
  <si>
    <t>23.06.2019 15:16</t>
  </si>
  <si>
    <t>Celtic Princess</t>
  </si>
  <si>
    <t>23.06.2019 15:21</t>
  </si>
  <si>
    <t>Thai Pepper Doritos:
Slightly garbage-like, but peppery. No chicken flavor.
Spicy Seafood Cup Noodle Chips:
Slightly fishy, very mild essence of instant noodles. Inferior to Lays Beef Noodle.
Lays Spicy Seaweed: Good! Tastes like slightly spicy roasted seaweed!</t>
  </si>
  <si>
    <t>LithoStyle</t>
  </si>
  <si>
    <t>convenience food,junk food,snack,food</t>
  </si>
  <si>
    <t>@Doritos how can we get an #IncognitoDoritos backpack to review on our site? @SpiderManMovie</t>
  </si>
  <si>
    <t>Fandads</t>
  </si>
  <si>
    <t>23.06.2019 15:17</t>
  </si>
  <si>
    <t>the orange ones ofc
Bout to have the best Doritos. Which flavour am I talking about?</t>
  </si>
  <si>
    <t>mabena’s twin.</t>
  </si>
  <si>
    <t>23.06.2019 15:14</t>
  </si>
  <si>
    <t>jay 2.0</t>
  </si>
  <si>
    <t>sorry for the lack of originality.</t>
  </si>
  <si>
    <t>BILLIE EILISH</t>
  </si>
  <si>
    <t>23.06.2019 15:15</t>
  </si>
  <si>
    <t>@yidaeho1 m&amp;ms... doritos... pretzels</t>
  </si>
  <si>
    <t>idk im just hungry</t>
  </si>
  <si>
    <t>15:09</t>
  </si>
  <si>
    <t>Good session today with @ncullen2005 @nicole_vernonn and @andrew._todd and others, had fun making new ramps. Also just a bunch of chill clips today, happy I’m getting bris consistent now  ( @nicole_vernonn @ncullen2005 ) -
-
-
-
-
#scoot #scootscoot #scootscootbangbang #scootscootbangbang #scootertricks #scooters #rampworx #rampworxskatepark #envyscooters #ethicscooters #bluntscooters #apexscooters #mgp #mgpscooters #maddgearproscooters #fasenscooters #doritos @mgp_actionsports @mgpflowteamofficial @dominatoractionsports @ride.858 @coreuk @rampworx</t>
  </si>
  <si>
    <t>bird</t>
  </si>
  <si>
    <t>23.06.2019 15:07</t>
  </si>
  <si>
    <t>@GustavoArellano @mexicanparadox The salsa tastes like la Victoria with tapatio on it. Gross. The soup tastes like any other cup o noodles knock off. The Doritos were blah. The popcorn I enjoyed but bought it at Cost Plus World Market which I had to then pay for over priced for furniture. Take that Gus...haha</t>
  </si>
  <si>
    <t>L.A. Guns</t>
  </si>
  <si>
    <t>Orange</t>
  </si>
  <si>
    <t>23.06.2019 15:10</t>
  </si>
  <si>
    <t>23.06.2019 15:09</t>
  </si>
  <si>
    <t>imagine living pretty like this
i put my dick in a bag of Doritos</t>
  </si>
  <si>
    <t>mirror</t>
  </si>
  <si>
    <t>i put my dick in a bag of Doritos</t>
  </si>
  <si>
    <t>milo.</t>
  </si>
  <si>
    <t>23.06.2019 15:08</t>
  </si>
  <si>
    <t>kay SO cute ❣️
i put my dick in a bag of Doritos</t>
  </si>
  <si>
    <t>lex ♡ 민기's hypeman</t>
  </si>
  <si>
    <t>Dominica</t>
  </si>
  <si>
    <t>Saint Paul Parish</t>
  </si>
  <si>
    <t>Check Hall</t>
  </si>
  <si>
    <t>Spicy Wings Doritos flavour SLAPS! 
RT if this is the combo for you. 
#DoritosSpicyWings #foodie</t>
  </si>
  <si>
    <t>Liz♥️✨</t>
  </si>
  <si>
    <t>fruit,vegetable,food</t>
  </si>
  <si>
    <t>#BeerUs #TripleVooDooSF #CellarmakerBrewing #BoomBoomRoom #CityAdventures #SF #DateNight #DoubleDate #IPA #IPABoy #BeerFlights #Doritos #SaladMaker #Cheers @mchavez71 @elveesgtz @sylly_me</t>
  </si>
  <si>
    <t>Fat Jesus the beer God</t>
  </si>
  <si>
    <t>beer,junk food,health shake,lemonade,food,cocktail,orange juice,orange drink,drink</t>
  </si>
  <si>
    <t>23.06.2019 15:11</t>
  </si>
  <si>
    <t>C-Town Weekly Ad Clip | 06.21.2019 - 06.27.2019</t>
  </si>
  <si>
    <t>, corn oil, crisco, dates, detergent, doritos, coleslaw, evaporated milk, grapes, lemonade, mayonnaise, milk, mountain dew, mug, rice, seedless grapes, tea, tomatoes, tortilla chips, towel, yogurt, heinz, ice cream, jar, ketchup, pork chops, pork meat, pot, cheddar, chicken, chicken drumsticks, pasta sauce, pears, pepsi, orange juice, orange, organic, chips, steak, juice, dressing, iced tea, crop, pasta, salad, punch, sauce, fruit, dole, liquid detergent, liquid, dish, bleach, oil, lemon, cream, family pack; however, circular of C-Town offers many</t>
  </si>
  <si>
    <t>23.06.2019 15:04</t>
  </si>
  <si>
    <t>#notsponsoredbutiwishitwas 
#doritos
@yaquelinnn_ @auudreychan @lovellmanabat @ximena.s3 @bts.bighitofficial @uwuxdanny @cindychvng @qxeen_gaby._ @_w.cruzz._ @gcfabigail @jamesbr.wn @joe.wii @taeybag @jcpev.28 @ilujim @xxincl @pjmseu</t>
  </si>
  <si>
    <t>—   ☽༓･*˚⁺‧͙</t>
  </si>
  <si>
    <t>23.06.2019 15:05</t>
  </si>
  <si>
    <t>I have been alerted to ketchup Doritos being a real thing aaaaaaaaaaand I'm off to Canada goodbyeeeee</t>
  </si>
  <si>
    <t>Taking Back Tsundere</t>
  </si>
  <si>
    <t>Free Subway always tastes better than non-free Subway. However, when your 10 year old gets a footlong tuna-pepperoni, it cancels out the savings. Thanks @carphil1 !!! #subway</t>
  </si>
  <si>
    <t>Cory Rumple</t>
  </si>
  <si>
    <t>I totally didn’t buy a bag of chips just because Mysterio was on it. Nope. #spiderman #mysterio #farfromhome #doritos</t>
  </si>
  <si>
    <t>Don Gates</t>
  </si>
  <si>
    <t>23.06.2019 15:03</t>
  </si>
  <si>
    <t>uThato</t>
  </si>
  <si>
    <t>23.06.2019 15:01</t>
  </si>
  <si>
    <t>VIDEO: What’s In It: Doritos Locos Tacos - - Please RT http://fieryfork.com/video-whats-in-it-doritos-locos-tacos/</t>
  </si>
  <si>
    <t>Fiery Fork</t>
  </si>
  <si>
    <t>@shelbybrown91 Doritos</t>
  </si>
  <si>
    <t>Jane Manchun Wong</t>
  </si>
  <si>
    <t>Гонконг</t>
  </si>
  <si>
    <t>2020 Hyundai Elantra Re-design - IDENTITY CRISIS??</t>
  </si>
  <si>
    <t>Those headlights were designed by Doritos.</t>
  </si>
  <si>
    <t>Nega_Weeb</t>
  </si>
  <si>
    <t>TheSketchMonkey</t>
  </si>
  <si>
    <t>Milly Y</t>
  </si>
  <si>
    <t>14:58</t>
  </si>
  <si>
    <t>Just enjoying my hot cheet- Doritos. Doritos. Enjoying Doritos. 
#babydva #dvacosplay #overwatchdva #dvaoverwatch #overwatchcosplay #overwatch #cosplay #cute #videogames</t>
  </si>
  <si>
    <t>Luna ♡</t>
  </si>
  <si>
    <t>23.06.2019 16:27</t>
  </si>
  <si>
    <t>SERVE •ADDRESS IS ON BIO •I DO NOT HOLD ANY ITEMS •WE ALSO OFFER GREEN SALSA ,NACHO CHEESE DORITOS,HOT CHEETOS AS A SUBTITUTE FOR TOSTITOS AT ANY TIME NO EXTRA CHARGE •ALL PLATTERS ARE SERVED WITH CHIP ON SIDE TO AVOID SOGGINESS •AVOCADO IS ONLY AN ADD ON IT IS NOT INCLUDED ON ANY PLATE ITS $2 extra add on •WE CLOSE ONCE SOLD OUT •I POST ON IG &amp;amp; FB ONCE WE SELL OUT OF CERTAIN ITEMS
https://www.facebook.com/inlandempiresfrutaslocas/photos/a.1463417470618127/2105536769739524/?type=3
Timeline Photos</t>
  </si>
  <si>
    <t>I.E Frutas Locas</t>
  </si>
  <si>
    <t>23.06.2019 15:02</t>
  </si>
  <si>
    <t>Buying all sizes!!!Paying extremely well
#shoecollector #doritos #sneakerhead
#life #sneakermemes #chipcollection
#dorito #challenge #sneakerlife #food
#hunter #thatbag #rarememes #world
#sneakerheads #bag #villainouskicks
@doritos @cannabis_genius @villainous_kicks</t>
  </si>
  <si>
    <t>Villainous Kicks</t>
  </si>
  <si>
    <t>Finally cracked open my #ketchup @Doritos direct from @Canadianmunch  and used them to scoop some of my Mexi(can)mush - ¡OLÉ! #doritos 
{scroll &lt; for more!}
@doritos @canadianmunch</t>
  </si>
  <si>
    <t>Greg  B.</t>
  </si>
  <si>
    <t>Fair Oaks Ranch</t>
  </si>
  <si>
    <t>14:45</t>
  </si>
  <si>
    <t>23.06.2019 14:56</t>
  </si>
  <si>
    <t>썬칩</t>
  </si>
  <si>
    <t>I see people eat these all the time
https://wisemindhealthybody.com/anya-v/doritos-chips-linked-cancer-diseases/
Doritos Chips Linked to Cancer and Other Diseases
Deadly processed foods are very addictive. Americans currently spend about 90% of their food income buying processed junk like popular Doritos.</t>
  </si>
  <si>
    <t>Eat Local Grown</t>
  </si>
  <si>
    <t>23.06.2019 14:53</t>
  </si>
  <si>
    <t>@Doritos #IncognitoDoritos #Entry powers to have a productive day</t>
  </si>
  <si>
    <t>Lucky Peggy</t>
  </si>
  <si>
    <t>23.06.2019 14:46</t>
  </si>
  <si>
    <t>when youre so desperate for food you see a picture of doritos and crave it deeply</t>
  </si>
  <si>
    <t>First Ever Gay Orc</t>
  </si>
  <si>
    <t>Region Sjælland</t>
  </si>
  <si>
    <t>Årby</t>
  </si>
  <si>
    <t>23.06.2019 14:52</t>
  </si>
  <si>
    <t>Jessmin</t>
  </si>
  <si>
    <t>Sandwiches with Doritos in em
Unpopular opinion: watermelon be smacking right out the pool</t>
  </si>
  <si>
    <t>OvOmar</t>
  </si>
  <si>
    <t>Hidden Hills</t>
  </si>
  <si>
    <t>/pol/ - Don't Waste Money On These Companies</t>
  </si>
  <si>
    <t>&gt;&gt;13426487 &gt;7-UP (also all pepsico products) (alternative water)
&gt;Absolut vodka (alternative something that isn't a poison)
&gt;Apple (alternative: purism)
&gt;Ben &amp; Jerry's (fat + sugar is the pinnacle of bad)
&gt;Bud Light (don't)
&gt;Burger King (cook yourself)
&gt;Coca Cola (water)
&gt;Coinbase (alternatives: Binance)
&gt;Ebay
&gt;Doritos (don't)
&gt;Express Clothing
&gt;Facebook (alternatives: Mastodon)
&gt;FedEx
&gt;Gillette (alternative in EU: BIC)
&gt;Google (alternative: ddg or startpage)
&gt;Hyundai (buy used)
&gt;LiveLinks
&gt;Marmite
&gt;Marvel (do something else than indoctrinate</t>
  </si>
  <si>
    <t>8ch.net</t>
  </si>
  <si>
    <t>8chan, the Darkest Reaches of the Internet</t>
  </si>
  <si>
    <t>23.06.2019 14:50</t>
  </si>
  <si>
    <t>stupid®</t>
  </si>
  <si>
    <t>ho baby ;)</t>
  </si>
  <si>
    <t>Old Down</t>
  </si>
  <si>
    <t>Orion used to be like “ don’t touch my mama, don’t touch my doritos”</t>
  </si>
  <si>
    <t>quiLo .</t>
  </si>
  <si>
    <t>Santa Maria Hoè</t>
  </si>
  <si>
    <t>23.06.2019 14:49</t>
  </si>
  <si>
    <t>@Doritos #IncognitoDoritos #Entry to make it through the day without laying someone out!</t>
  </si>
  <si>
    <t>Sammy Sunshine</t>
  </si>
  <si>
    <t>23.06.2019 14:45</t>
  </si>
  <si>
    <t>Hanan dips her Doritos in chocolate milk that ALIEN 
19. what’s a weird food combination you love?</t>
  </si>
  <si>
    <t>Hanan Habbas</t>
  </si>
  <si>
    <t>Ironic Memes I Made With The Boys....</t>
  </si>
  <si>
    <t>I forgot to take the Doritos out of the post box</t>
  </si>
  <si>
    <t>Ross Animates</t>
  </si>
  <si>
    <t>DylanDDragon _</t>
  </si>
  <si>
    <t>I ate an entire bag of doritos in two days so my diet is off to a good start!</t>
  </si>
  <si>
    <t>Mae</t>
  </si>
  <si>
    <t>Mama ka Munchie ♡</t>
  </si>
  <si>
    <t>Listen to me eat Doritos</t>
  </si>
  <si>
    <t>Listen to me eat Doritos
Not sponsored</t>
  </si>
  <si>
    <t>ვიღაცა ვარ ინტერნეტში</t>
  </si>
  <si>
    <t>23.06.2019 14:41</t>
  </si>
  <si>
    <t>@TaEDoN24o6 @BodyKetch Ummm flaming hot Doritos with garden blend cream cheese is smackin</t>
  </si>
  <si>
    <t>‍♀️TᕼᗩT ᗰEᖇᗰᗩIᗪ</t>
  </si>
  <si>
    <t>Asanty! Asanti! Asanté!</t>
  </si>
  <si>
    <t>katty</t>
  </si>
  <si>
    <t>Id love to see @Doritos sponsor a car, same with @UnderArmour or @Nike since they make some of the stuff the teams wear
What are some companies that are not currently involved in @NASCAR that you would like to see as a sponsor ?</t>
  </si>
  <si>
    <t>Brendan Keeler #TruexJr</t>
  </si>
  <si>
    <t>Вермонт</t>
  </si>
  <si>
    <t>@TrevDon Cool ranch Doritos</t>
  </si>
  <si>
    <t>Cleophus Alexander</t>
  </si>
  <si>
    <t>tinotenda</t>
  </si>
  <si>
    <t>Bulawayo Province</t>
  </si>
  <si>
    <t>23.06.2019 23:28</t>
  </si>
  <si>
    <t>Bella lusting over the crisps LOL  #cutedog #chubbydog #dogstagram #dogsofinstagram #richmonduponthames #picnic #kindasummer @hungry_hungry_asim @iwouldrathertravel</t>
  </si>
  <si>
    <t>TotobitsByBena</t>
  </si>
  <si>
    <t>14:35</t>
  </si>
  <si>
    <t>23.06.2019 14:39</t>
  </si>
  <si>
    <t>Hay Everybody 
Video is Finally up on my Channel!
Check it out ..Link in Bio  Follow me...
Instagram- @allycecaneat
Twitter- @AllyceCan
#blackwomenrock
#blackyoutubers #nachos #guacamole #homemade #yass #mukbangasmr #crunchy
#eatingsounds #doritos #beefnachos #mouthwateringfood</t>
  </si>
  <si>
    <t>ALLYCECANEAT|YOUTUBE</t>
  </si>
  <si>
    <t>vegetable,junk food,meal,food</t>
  </si>
  <si>
    <t>14:34</t>
  </si>
  <si>
    <t>23.06.2019 16:28</t>
  </si>
  <si>
    <t>DORITOS?</t>
  </si>
  <si>
    <t>DORITOS?
Lol that was so funny should I do it in a different game please tell me in the comments :3</t>
  </si>
  <si>
    <t>Angel Playz</t>
  </si>
  <si>
    <t>Some cursed edits I did because I lost my sanity
-
-
-
The lord cannot save me now
-
-
-
Ignore tags 
#bnha #bnhaedits #edits #photoedits #bnhaphotoedit #bnhamemes #mha #mhaedits #bnhaedit #mhaedit #mhamemes #whydoidothis #mhamemes #anime #animememes #myheroacademia #bokunoheroacademia</t>
  </si>
  <si>
    <t>Egg</t>
  </si>
  <si>
    <t>23.06.2019 23:12</t>
  </si>
  <si>
    <t>What do you want from the #vendingmachine ? #chips #donuts or #voka #tequila</t>
  </si>
  <si>
    <t>23.06.2019 14:42</t>
  </si>
  <si>
    <t>Electric Chair
Y’all know what’s a fye food combination? Doritos and baked beans</t>
  </si>
  <si>
    <t>JonnyB⚡️</t>
  </si>
  <si>
    <t>&gt;&gt;13426404 List including Libre with some alternatives:
&gt;7-UP (also all pepsico products)
&gt;Absolut vodka
&gt;Apple (alternative: purism)
&gt;Ben &amp; Jerry's
&gt;Bud Light
&gt;Burger King
&gt;Coca Cola
&gt;Coinbase (alternatives: Binance)
&gt;Ebay
&gt;Doritos
&gt;Express Clothing
&gt;Facebook (alternatives: Mastodon)
&gt;FedEx
&gt;Gillette (alternative in EU: BIC)
&gt;Google (alternative: ddg or startpage)
&gt;Hyundai
&gt;LiveLinks
&gt;Marmite
&gt;Marvel
&gt;Mastercard (alternative: American Express)
&gt;McDonalds
&gt;Microsoft (alternative: BSD except FreeBSD, Haiku, TempleOS distro with networking, GNU</t>
  </si>
  <si>
    <t>14:30</t>
  </si>
  <si>
    <t>23.06.2019 14:36</t>
  </si>
  <si>
    <t>Sponsored by @doritos 
.
#valledebravo #lago #water #lake #animalprint #swimsuit #pretty #longhair #brunette #vacaciones #vacation</t>
  </si>
  <si>
    <t>Nicole</t>
  </si>
  <si>
    <t>Avandaro</t>
  </si>
  <si>
    <t>fashion,vacation,beauty</t>
  </si>
  <si>
    <t>23.06.2019 14:44</t>
  </si>
  <si>
    <t>Ok... here we go! Today was amazing!! From the bottom of my heart, I want to thank every one who came out, played our silly games and chatted about mini milks and Doritos () It’s been such a heart warming day  So thank you!!!  Planning the next one for Sunday 27th Oct, get those calendars out and let’s get spooky 
So much love!!! Stay weird ✌✌ #boobiespicnic #alternative #friends #picnic #picnicdate #pinkhair #alternativegirls #norwich</t>
  </si>
  <si>
    <t>Emily Boo</t>
  </si>
  <si>
    <t>tree,glasses,clothing</t>
  </si>
  <si>
    <t>tourism,vacation,event,friendship</t>
  </si>
  <si>
    <t>14:29</t>
  </si>
  <si>
    <t>23.06.2019 14:31</t>
  </si>
  <si>
    <t>Stop fucking throwing stale Doritos at me</t>
  </si>
  <si>
    <t>nico m</t>
  </si>
  <si>
    <t>My sister stole my doritos</t>
  </si>
  <si>
    <t>Honkey mokey69</t>
  </si>
  <si>
    <t>23.06.2019 14:29</t>
  </si>
  <si>
    <t>ChayChay</t>
  </si>
  <si>
    <t>23.06.2019 14:32</t>
  </si>
  <si>
    <t>Danny Doritos -
-
-
-
-
#hashtag #memer #memes #meme #funnymemes #funny #laugh #goal100 #followforfollowback #f4f #follow #dannydevito #dannydevitomemes #doritos</t>
  </si>
  <si>
    <t>sushi roll and potato</t>
  </si>
  <si>
    <t>23.06.2019 14:27</t>
  </si>
  <si>
    <t>coffee nacho cheese doritos derek bailey and W wc soccer - yes best life sunday</t>
  </si>
  <si>
    <t>H.KorineCastingCouch</t>
  </si>
  <si>
    <t>@tfbherron im eating doritos</t>
  </si>
  <si>
    <t>ًpixie</t>
  </si>
  <si>
    <t>23.06.2019 14:30</t>
  </si>
  <si>
    <t>@fed_molina @Ya1k00 Me compraron Doritos? Bue jajaja</t>
  </si>
  <si>
    <t>Juli ❣</t>
  </si>
  <si>
    <t>24.06.2019 12:59</t>
  </si>
  <si>
    <t>Our Mac N Cheese Pizza proves – without a doubt – that vegan food can be fun, creative and scrumptious!  Creamy mac n cheese with chipotle ranch and blazin doritos sit on top of our amazing crust!
.
.
.
#vegenation #carbs #macandcheese #cheese #cheesy #vegan #vegetarian #lasvegas #vegas #henderson #hendersonnv #yelp #pizza #pizzalover #sauce #spicy #pasta #goodeats #comfortfood #heresmyfood #forkyeah #slice #baked #thrillist #devourpower
https://www.facebook.com/vegenationrestaurant/photos/a.1530344833864761/2396185237280712/?type=3
Timeline Photos</t>
  </si>
  <si>
    <t>VegeNation</t>
  </si>
  <si>
    <t>cookware and bakeware,pizza,food</t>
  </si>
  <si>
    <t>Our Mac N Cheese Pizza proves – without a doubt – that vegan food can be fun, creative and scrumptious!  Creamy mac n cheese with chipotle ranch and blazin doritos sit on top of our amazing crust! .
.
.
#vegenation #carbs #macandcheese #cheese #cheesy #vegan #vegetarian #lasvegas #vegas #henderson #hendersonnv #yelp #pizza #pizzalover #sauce #spicy #pasta #goodeats #comfortfood #heresmyfood #forkyeah #slice #baked #thrillist #devourpower
@thrillist @foodbeast @instagram @munchies @yelplv @eatfamous @bestfoodlasvegas @eater @vegenation @veganchefdonald @eatervegas @pizza @topfoodnews.pizza @pizzageeks @downtownlv @downtownvegasalliance @fattiesfeed @pizzagram @cheesy @devour.pizza</t>
  </si>
  <si>
    <t>Henderson</t>
  </si>
  <si>
    <t>Ahora... Takis? Queso? Doritos Nacho? Hershey's? Caramelo? Light? Mantequilla?</t>
  </si>
  <si>
    <t>David Morales</t>
  </si>
  <si>
    <t>14:25</t>
  </si>
  <si>
    <t>unpopular opinion but the spicy sweet chili doritos aren’t even that good</t>
  </si>
  <si>
    <t>sydney ☁️</t>
  </si>
  <si>
    <t>23.06.2019 14:24</t>
  </si>
  <si>
    <t>I can't believe someone gave green light to this "Mhhmm cheese" Doritos ad...</t>
  </si>
  <si>
    <t>❤ Coco-pedi ❤</t>
  </si>
  <si>
    <t>23.06.2019 14:25</t>
  </si>
  <si>
    <t>Laffer Investments Has Decreased Pepsico (PEP) Stake By $68.26 Million; Green Plains Renewable Energy (GPRE) Has 1.37 Sentiment</t>
  </si>
  <si>
    <t>% since June 23, 2018 and is uptrending. It has outperformed by 28.71% the S&amp;P500. Some Historical PEP News: 26/04/2018 – PepsiCo 1Q Europe Sub-Saharan Africa Rev $1.67B; 19/03/2018 – Scores of Big Apple convenience stores have run out of Doritos, Cheetos and other Frito-Lay products â€” and snack fans can blame PepsiCo Chief Executive Indra Nooyi for their less crunchy lunches; 05/03/2018 – PEPSICO IN DISTRIBUTION PACT WITH BUNDABERG BREWED DRINKS; 16/04/2018 – PEPSI-COLA PRODUCTS PHILIPPINES DECLARES 0.044 PESO DIVIDEND; 26/04/2018 – PEPSICO</t>
  </si>
  <si>
    <t>Madelyn Jones</t>
  </si>
  <si>
    <t>Lol this is funny. I sent a picture to my friend kanti my vibrator was somewhere in the background. Imagine if I’d actually posted the picture 
Quite a combo you've got there. Doritos and Xvideos  Do you bro</t>
  </si>
  <si>
    <t>Caster Stan!</t>
  </si>
  <si>
    <t>Sweet chilli...the blue dorito, the master mdori, King mdororo.
Bout to have the best Doritos. Which flavour am I talking about?</t>
  </si>
  <si>
    <t>☀JUNEBABY☀</t>
  </si>
  <si>
    <t>Que pose más rara y piernas de palillo 
.
.
.
.
#7/24 #taquis #chips #doritos #jeansjacket #shorthair #duckface #instapic #likeforlikes #shein #peace #follow4followback
@sheinofficial</t>
  </si>
  <si>
    <t>Angie Vargas</t>
  </si>
  <si>
    <t>Tehuacán</t>
  </si>
  <si>
    <t>convenience food,food</t>
  </si>
  <si>
    <t>This Viral Video of the Robot Uprising is Fooling Tons of People</t>
  </si>
  <si>
    <t>books he has or by playing with some of his action figures, housed in three large boxes in his closet.
Conceived as a tough-love punishment, Tristan could be in this blissfully peaceful wonderland for hours. Should he come perilously close to missing a meal, he would be forced to survive on an impressive stash of leftover Easter candy and multiple open bags of Doritos.
One hour into the sentence, his dad Bryan took a break from the chores the rest of the family was engaged in and stood outside Tristan’s room for a heart-to-heart.
“I know I’m</t>
  </si>
  <si>
    <t>exercise equipment</t>
  </si>
  <si>
    <t>gym</t>
  </si>
  <si>
    <t>Golfer With No Hands Just Won His Club’s Championship</t>
  </si>
  <si>
    <t>Devin Holdraker</t>
  </si>
  <si>
    <t>grass,official</t>
  </si>
  <si>
    <t>14:19</t>
  </si>
  <si>
    <t>mistreatment of animals and started cooking my own plant based foods. 
The benefits of a plant based diet are amazing for health, the planet and also doesn’t contribute any animal mistreatment. I still drink beer eat pizza, tacos, burgers, lasagna, chili, nuggets, chips, sweet spicy Doritos are my favorite. I haven’t counted a calorie or macro just try and make the all my main meals whole food plant based with low fat and no added oil. 
I work out about 3/4 days a week for 1 hour. I only drink a protein shake 25g after a workout. 
And the only supplement I take is b12. Change yourself and the world this year! 
Happy 2018  KSVO
- Brandon Awe</t>
  </si>
  <si>
    <t>Vegan Living &amp; Fitness</t>
  </si>
  <si>
    <t>tattoo,underpants,clothing</t>
  </si>
  <si>
    <t>23.06.2019 14:28</t>
  </si>
  <si>
    <t>@NisaLocally Doritos cool and sour cream and chive dip xx</t>
  </si>
  <si>
    <t>Lesley Simpson</t>
  </si>
  <si>
    <t>14:18</t>
  </si>
  <si>
    <t>23.06.2019 14:26</t>
  </si>
  <si>
    <t>@kameroncarter Original Doritos and Carmel dip don’t @ me</t>
  </si>
  <si>
    <t>23.06.2019 14:20</t>
  </si>
  <si>
    <t>#113 USA - Doritos Mix: Taco Explosion (2016)⠀
⠀
#doritos #DoritosUK #doritosoftheworld #snacks #tortillachips #chips #crisps #nachos #foodblogger #doritosmix #tacodoritos #spicynacho #salsa #sourcream #taco #tacoexplosion @doritosuk @doritos @doritosca @fritolayjp</t>
  </si>
  <si>
    <t>Cherry ka Mabhebeza</t>
  </si>
  <si>
    <t>23.06.2019 14:18</t>
  </si>
  <si>
    <t>Blue blue blue!!!
Bout to have the best Doritos. Which flavour am I talking about?</t>
  </si>
  <si>
    <t>Vee</t>
  </si>
  <si>
    <t>14:15</t>
  </si>
  <si>
    <t>23.06.2019 14:21</t>
  </si>
  <si>
    <t>.
 #doritos #snacking #motherhoodislit #adultingishard #toddlerlife #momsofinstagram #satire #funnymoms #momhumor #sarcasticmom #parentingmemes #mommemes #parentfunny #momsoninstagram #hidefromyourkids #nycmoms #brooklynmom #momprobs #sahm #sahd #momblogger #momsbelike</t>
  </si>
  <si>
    <t>Fᴏᴏᴅ • 
Fᴏʟʟᴏᴡ Fᴏʀ Mᴏʀᴇ : @asiaspamaccount_ 
#explorepage #spamforspam #spamaccount #spam #barbiana #explore</t>
  </si>
  <si>
    <t>Sᴘᴀᴍ Aᴄᴄᴏᴜɴᴛ.!</t>
  </si>
  <si>
    <t>french fries,meal,fried food,fast food,junk food,food</t>
  </si>
  <si>
    <t>Doritos and Frosted flakes
19. what’s a weird food combination you love?</t>
  </si>
  <si>
    <t>not a common gyal</t>
  </si>
  <si>
    <t>Omg were getting doritos in our normal stores in Croatia wow</t>
  </si>
  <si>
    <t>I DO NOT want to smash hulk!!!!!</t>
  </si>
  <si>
    <t>Stechlin OT Dollgow</t>
  </si>
  <si>
    <t>Buen after con doritos y coca</t>
  </si>
  <si>
    <t>Naaaatt</t>
  </si>
  <si>
    <t>Culture</t>
  </si>
  <si>
    <t>Doritos and ketchup or Mac&amp; cheese and bbq sauce :)
what’s y’all favorite weird food combinations? pmo</t>
  </si>
  <si>
    <t>@dddoloreesss last night i met Doritos not Dolores</t>
  </si>
  <si>
    <t>doritos.</t>
  </si>
  <si>
    <t>I like Doritos but only the red bag</t>
  </si>
  <si>
    <t>Nasir</t>
  </si>
  <si>
    <t>23.06.2019 14:17</t>
  </si>
  <si>
    <t>My Sunday routine is laying on the couch with severe Sunday Scaries watching Dateline, eating Chipotle with Doritos, and drinking red wine‍♀️</t>
  </si>
  <si>
    <t>kiaraloren</t>
  </si>
  <si>
    <t>14:07</t>
  </si>
  <si>
    <t>23.06.2019 14:13</t>
  </si>
  <si>
    <t>#convenienciastore #skol #opem24hours #aberto24horas #bomboniere
#heiniken #devassa #itaipaiva #skol #skolbeats #whisky #chocolate
#doritos #sucos #aguadecoco #coco #bemgelada #vemquetem #brahma #aguamineral
#stellaartoispartner</t>
  </si>
  <si>
    <t>Conveniência buzios</t>
  </si>
  <si>
    <t>junk food,beer,soft drink,drink,food</t>
  </si>
  <si>
    <t>14:06</t>
  </si>
  <si>
    <t>23.06.2019 14:08</t>
  </si>
  <si>
    <t>Perfect burger for your Sunday night  Ultimate Shaq Burger! #ramadan2019 #ramadan #grilledchicken #burger #chicken #nachos #doritos #jalepenos #food #foodporn #igfood #foodphotography #foods #foodie #foodblogger #foodstagram #foodie #hotdog #jalepenos #periwings #perichicken #manchester #rochdale #mcr</t>
  </si>
  <si>
    <t>Chicken Shaq Rochdale</t>
  </si>
  <si>
    <t>Rochdale</t>
  </si>
  <si>
    <t>23.06.2019 14:06</t>
  </si>
  <si>
    <t>Doritos Rainbow #lgbt #pride#loveislove #lovewins #lgbtlove #lgbtpride #lgbtq #trans #lesbian #gay #nonbinary</t>
  </si>
  <si>
    <t>Millena Wanzeller</t>
  </si>
  <si>
    <t>14:04</t>
  </si>
  <si>
    <t>23.06.2019 14:12</t>
  </si>
  <si>
    <t>goodyBag♥</t>
  </si>
  <si>
    <t>Near halin</t>
  </si>
  <si>
    <t>Yep 
#philcollins #rx7 #mazda 
TheRPMstandard.com #therpmstandard
#cars #car #carsofinstagram #carporn #like #auto #photography #instagood #carswithoutlimits #carlifestyle #fast #speed #automotive #usa #sportscars #horsepower #performance #rotory #doritos</t>
  </si>
  <si>
    <t>TheRPMstandard.com</t>
  </si>
  <si>
    <t>Found new favourite Feiry Nachos at BLT, lovedd them! They use Doritos for their Nachos and the best part is they give extra sour cream and salsa sauce too so that we can dip those marginalised chips in it!  
Easy 9/10 here! 
However Tender Chicken Strips were quite disappointing, bit dry and filling wasn’t very good, we couldn’t finish them.
Price: Rs.440 (exclusive of tax) Value for money: 9/10 (for Nachos) 
Must try! 
.
.
.
.
.
.
.
.
.
.
.
Follow @thefoodloverfromcapital for more! ‍♀️
.
.
.
.
.
.
.
.
.
.
#islamabad #islamabaddiaries #islamabadbloggers #blt #islamabadcafe #nachos #foodphotography #foodphotography #pakistanfoodbloggers #foodie #food #isloo #islamabadfood #islamabadfoodblog #islamabadian #like #foodporn #instafood #foodbloggers #thefoodloverfromcapital
@beeflettucetomato</t>
  </si>
  <si>
    <t>Raiha Khan</t>
  </si>
  <si>
    <t>Федеральная столичная территория</t>
  </si>
  <si>
    <t>Исламабад</t>
  </si>
  <si>
    <t>tableware,vegetable,salad,appetizer,meal,food</t>
  </si>
  <si>
    <t>13:55</t>
  </si>
  <si>
    <t>23.06.2019 14:00</t>
  </si>
  <si>
    <t>@Melanthriel yes doritos</t>
  </si>
  <si>
    <t>p</t>
  </si>
  <si>
    <t>Glasgow</t>
  </si>
  <si>
    <t>23.06.2019 13:59</t>
  </si>
  <si>
    <t>He weird why he don’t like Doritos 
Hey dumb fuckers using stuffed animals to exhibit negative reinforcement to get your kids to do something, watch this...</t>
  </si>
  <si>
    <t>juicy j</t>
  </si>
  <si>
    <t>23.06.2019 13:57</t>
  </si>
  <si>
    <t>LuvYurTaste</t>
  </si>
  <si>
    <t>Church Corner</t>
  </si>
  <si>
    <t>23.06.2019 14:01</t>
  </si>
  <si>
    <t>True but wb a sandwich with some Doritos on the side after getting out the pool ?
Unpopular opinion: watermelon be smacking right out the pool</t>
  </si>
  <si>
    <t>jojo ☘️</t>
  </si>
  <si>
    <t>Dollar General Coupon Matchups for 6-23-19 to 6-29-19</t>
  </si>
  <si>
    <t>/19 (SS 05/19/19) [3.5-oz.+]$0.75/2 Nabisco Cookie or Cracker Products, exp. 8/3/19 (SS 06/23/19 R) [3.5-oz.+,]$1/3 Nabisco Cookie or Cracker Products, exp. 6/29/19 (SS 05/19/19 R) [3.5-oz.+] Final Price: $3.50 each wyb 2 Clover Valley Baked Beans, 28 oz - $1.40 Clover Valley Bottled Water, 32 pk - 2/$6 wyb 2 Coca-Cola, Sprite, or Fanta, 12 pk - 3/$10 wyb 3 $1.00/3 DG Digital Coupon Final Price: $3.00 each wyb 3 Doritos Family Size, 9.5 - 10.5 oz - 2/$5 wyb 2 Dr. Pepper, RC Cola, Sunkist, Canada Dry, A&amp;W, &amp; 7Up, 2 L - $0.95/ea wyb 3 Duke's Mayonnaise, 32 oz - $2.95 Dunkin' Donuts K-Cups, 10 ct - $5.95 $2/2 Dunkin' Donuts Coffee Products, exp. 7/30/19 (RMN 05/19/19) [Excludes dunkin' donuts cold brew] Final Price: $4.95 each wyb 2 Folgers Classic Roast, 30.5 oz - $6.75</t>
  </si>
  <si>
    <t>TCC-Jessica</t>
  </si>
  <si>
    <t>thecouponingcouple.com</t>
  </si>
  <si>
    <t>23.06.2019 13:53</t>
  </si>
  <si>
    <t>Sauce’ topped with Bacon Bits and Frazzles! ⁣
 The Mango One -  Sauce made from reduced Mango Rubicon juice topped with mango pieces and served with a beautiful mango cider. ⁣
 The Chinesey One - Black Maple Bacon Spicey Schezhaun Wing topped with fresh chillies and sesame seeds. ⁣
 THE MEXICANA ONE - Habanero Sauce Wing  topped with Guacamole, Sour Cream, Jalepenos and crispy Doritos! ⁣
 The Buffalo One - Spicy Buffalo Sauce Served with Blue Cheese sauce and Celery. ⁣
  The Gold One - Suculant wing topped with actual gold, Watermelon</t>
  </si>
  <si>
    <t>the hertfordshire foodie</t>
  </si>
  <si>
    <t>Лутон</t>
  </si>
  <si>
    <t>23.06.2019 13:52</t>
  </si>
  <si>
    <t>What the? Wow....
How If It Wasn’t For Doritos Ja Morant’s Might Have Never Been The #2 in NBA Draft (Video) http://bit.ly/2Y99bRI</t>
  </si>
  <si>
    <t>Color of Success</t>
  </si>
  <si>
    <t>Doritos Nacho Cheese Nuts Flavor Shots</t>
  </si>
  <si>
    <t>Doritos Nacho Cheese Nuts Flavor Shots
So are these any good &amp; how much were they?</t>
  </si>
  <si>
    <t>jason callan</t>
  </si>
  <si>
    <t>Our new friend  he loves Doritos.  .
.
.
.
.
#hungrybirds #pompanobeach @910blondie
@910blondie</t>
  </si>
  <si>
    <t>J E R E M i A H</t>
  </si>
  <si>
    <t>Pompano Beach</t>
  </si>
  <si>
    <t>23.06.2019 13:54</t>
  </si>
  <si>
    <t>Helen Jane</t>
  </si>
  <si>
    <t>Gameplay de Comendo Doritos</t>
  </si>
  <si>
    <t>Gameplay de Comendo Doritos
Fortnite
https://store.playstation.com/#!/pt-br/tid=CUSA07022_00</t>
  </si>
  <si>
    <t>gcitadella</t>
  </si>
  <si>
    <t>display device,electronics</t>
  </si>
  <si>
    <t>video game software,stage,multimedia</t>
  </si>
  <si>
    <t>13:46</t>
  </si>
  <si>
    <t>Georgio Armani</t>
  </si>
  <si>
    <t>Hahaha I made this one  Superb ✨ #memes #cleanmemes #superbmemes #dannydevito #dannydorito #doritos</t>
  </si>
  <si>
    <t>Soggy Snack Memers</t>
  </si>
  <si>
    <t>@BuffaloKennedy @AxeOntheAir @Doritos You haven't because ...they haven't been madesince the early 90's. They were THE best flavor @Doritos offered. I was disappointed when they stopped making them.</t>
  </si>
  <si>
    <t>Chris Payne</t>
  </si>
  <si>
    <t>@nonchalantnacho @justsomegirl81 Doritos Pound Town .....
Commencing in 3...2...1</t>
  </si>
  <si>
    <t>JosephSimpson</t>
  </si>
  <si>
    <t>23.06.2019 13:50</t>
  </si>
  <si>
    <t>Brokengirl</t>
  </si>
  <si>
    <t>23.06.2019 13:47</t>
  </si>
  <si>
    <t>sweetie</t>
  </si>
  <si>
    <t>“There are Doritos all in these sheets; what did we do last night?” -#hungoverpillowtalk</t>
  </si>
  <si>
    <t>Jenny Parker</t>
  </si>
  <si>
    <t>23.06.2019 13:46</t>
  </si>
  <si>
    <t>doritos and bts are the best things that ever happened to me</t>
  </si>
  <si>
    <t>Looking like a bag of cool ranch Doritos  #uncalculated #streetdreamsmag #justgoshoot #photooftheday #hsdailyfeature #killthegram #liveauthentic #exploreeverything #fartoodope #instagood #primeshots #igersoftheday #killeverygram #shotaward #hypebeast #highsnobiety #complex #portraitphotography #california #chromehearts #fashion #flowers #louisvuitton #nofilter #natural #style #sandiego #california
@diego19eightysix @40oz_van @bloomingdales @kesiaanaya @nike @bellahadid @farmersmarkethawaii @louisvuitton @voguemagazine @javmac3 @chromeheartsofficial</t>
  </si>
  <si>
    <t>shorts,trousers,sunglasses,shirt,shoe,clothing</t>
  </si>
  <si>
    <t>I swear mom, the bag was attacking me, and uhh, I was just trying to get it off. 
•
•
•
•
•
•
#Goldenretrieverpictures #goldenretrieverph #goldenretrieverphotos #goldenretrieverfeatures #goldenretrieverproblems #goldenretrievergram 
#goldenretrieverlife
#goldenretrievernation
#goldenretrieverclub
#goldenretrieverlife
#goldenretrievers_ofinstagram
#ilovegolden_retrievers
#retrieverthegolden
#goldenretrieversofworld
#goldenretrieversrule
#Doritos #mischief</t>
  </si>
  <si>
    <t>Maverick The Golden</t>
  </si>
  <si>
    <t>Shots! Shots! Shots!  #Doritos #Cheetos #FlavorShots</t>
  </si>
  <si>
    <t>Sunshine Market</t>
  </si>
  <si>
    <t>Watermelon with a sandwich &amp; Doritos smack
Unpopular opinion: watermelon be smacking right out the pool</t>
  </si>
  <si>
    <t>KT</t>
  </si>
  <si>
    <t>13:40</t>
  </si>
  <si>
    <t>23.06.2019 13:45</t>
  </si>
  <si>
    <t>Little Raven 13</t>
  </si>
  <si>
    <t>13:39</t>
  </si>
  <si>
    <t>23.06.2019 13:40</t>
  </si>
  <si>
    <t>Yard work and honey-do-list kind of day lunch. @originalnathans dogs grilled on the @deltaheatgrills , topped with @dukes_mayonnaise , mustard, and ketchup. Served with @boarshead_official horseradish pickles and @doritos salsa verde chips. #donthate #hotdogs #pickles #chips #deltaheatgrills #grilling #bbq #barbeque #busyday #busyweekend #fastweekend
@boarshead_official @originalnathans @dukes_mayonnaise</t>
  </si>
  <si>
    <t>Rob Foster</t>
  </si>
  <si>
    <t>Джэксонвилл</t>
  </si>
  <si>
    <t>appetizer,meal,sandwich,hot dog,fried food,fast food,junk food,food</t>
  </si>
  <si>
    <t>23.06.2019 13:43</t>
  </si>
  <si>
    <t>@Thandiwengqwebo @Doritos Nah.a</t>
  </si>
  <si>
    <t>BALUNGILE ❤</t>
  </si>
  <si>
    <t>Cabo Verde</t>
  </si>
  <si>
    <t>Personalizado Meu Teclado 2019</t>
  </si>
  <si>
    <t>Personalizado Meu Teclado 2019
Pouco Sobre mim‍♀️
IDADE:11/10
NOME:Lara Yasmim/Lara
CIDADE:
COR FAVORITA:Preto
DOCES OU SALGADO:DOCE
BEBIDA PREFERIDA:Refrigerante
CENARIO:Quarto
GRAVADO: Doritos
                       ❣REDES SOCIAIS
INSTAGRAM DO CANAL:hy_babys_s2
MEU INSTAGRAM:Lara_yasmim200
FECEBOOK:
NÚMERO DO ZAP:
ESPERO QUE GOSTE DO VÍDEO ❤ BJS</t>
  </si>
  <si>
    <t>нι вαвуѕ!ѕ2</t>
  </si>
  <si>
    <t>23.06.2019 13:44</t>
  </si>
  <si>
    <t>ᴏɴᴡᴀʙᴀ</t>
  </si>
  <si>
    <t>23.06.2019 13:42</t>
  </si>
  <si>
    <t>Blue
Bout to have the best Doritos. Which flavour am I talking about?</t>
  </si>
  <si>
    <t>Palesa</t>
  </si>
  <si>
    <t>Flamin’ hot</t>
  </si>
  <si>
    <t>Jeanie Baby</t>
  </si>
  <si>
    <t>George Lopez Demands ICE Deport Trump&amp;#8217;s &amp;#8216;Anchor Baby&amp;#8217; Children</t>
  </si>
  <si>
    <t>Is this the guy that did the doritos commercial?</t>
  </si>
  <si>
    <t>Optimus Prime</t>
  </si>
  <si>
    <t>24.06.2019 06:45</t>
  </si>
  <si>
    <t>Quote: : » TheNoobPolice said:
For some reason in BFV, the DICE designers got it into their heads that this was somehow bad and started saying crap like "shooting doritos" (something to do with being up their own **** about "Artistic direction" or "muh immersion") which is clearly a pejorative term to describe the idea, of course there's nothing different about aligning up a pixel to the centre of your screen because it's red as opposed to brown, grey or green, but the important thing is you need to be able to see it - the "game" of an FPS is</t>
  </si>
  <si>
    <t>sabootheshaman</t>
  </si>
  <si>
    <t>LIVE DE FORTINITE QUE NINGUÉM Vai ASSISTIR (RUMO A 100 SUB...)</t>
  </si>
  <si>
    <t>LIVE DE FORTINITE QUE NINGUÉM Vai ASSISTIR  (RUMO A 100 SUB...)
*BOA PRO PLEI, PQ VC NAO MUDA O SEU NICK PRA PRO PLEI*
BY: PIETRO DORITOS 1/04/2019</t>
  </si>
  <si>
    <t>GAMER ELITE</t>
  </si>
  <si>
    <t>23.06.2019 13:38</t>
  </si>
  <si>
    <t>Spicy Sweet Chili  And Cool Ranch Doritos Wings With Shrimp Fried Rice#ChefBelenon#Twistedsoulfood#AtlantaChef#BlackChef#Realmencook#ChefLife#ChefForHire#PrivateChef#Catering#Pressure#ChefsTalk#BeardedChef#SouthsideAtlanta#BlackMenCook#Bearded#MenCook#Doritos#Sunday#Food#Wings</t>
  </si>
  <si>
    <t>Belenon Philpot</t>
  </si>
  <si>
    <t>beef,kebab,fried food,food,meat</t>
  </si>
  <si>
    <t>Shay</t>
  </si>
  <si>
    <t>Ясотхон</t>
  </si>
  <si>
    <t>บ้านศรีสมพร</t>
  </si>
  <si>
    <t>23.06.2019 13:39</t>
  </si>
  <si>
    <t>Doritos que saben a takis</t>
  </si>
  <si>
    <t>Xuan</t>
  </si>
  <si>
    <t>I want a cold cut with some doritos</t>
  </si>
  <si>
    <t>KUW DAJLOAF ✨</t>
  </si>
  <si>
    <t>Man</t>
  </si>
  <si>
    <t>23.06.2019 13:36</t>
  </si>
  <si>
    <t>Wowww why I want some noodles with beef Jerky and Doritos  I’m craving smh</t>
  </si>
  <si>
    <t>Mamianna</t>
  </si>
  <si>
    <t>23.06.2019 13:35</t>
  </si>
  <si>
    <t>This
reading sartre while covered in 3 day old doritos crumbs you're yelling at a 12 yr old through your broken xbox headset about the ultimate futile effort to find meaning in life by telling strangers on the internet that you fucked their mum</t>
  </si>
  <si>
    <t>atwt</t>
  </si>
  <si>
    <t>23.06.2019 13:33</t>
  </si>
  <si>
    <t>It's Me, Your Mom!</t>
  </si>
  <si>
    <t>Камчатский край</t>
  </si>
  <si>
    <t>Петропавловск-Камчатский</t>
  </si>
  <si>
    <t>23.06.2019 13:34</t>
  </si>
  <si>
    <t>Grab a snack and relax this Sunday!
#Local Frito Lay @Doritos are on sale now 2 for $7.00.
Are you Team Cool Ranch or Team Nacho Cheese? 
See Sales: https://skhsupermarket.shoptocook.com/on-sale/
-
-
#cheese #nacho #coolranch #nachocheese #snack #snacktime #food #foodie #foodgram #snacking #weekend #sunday #chip #eatingfortheinsta #stauffersofkisselhill #shoplocal #doritos #delicious #nomnomnom #mindbodygram #cheatday #spicy #cheese #cheesy #flavor #buzzfeedfood #foodphotography</t>
  </si>
  <si>
    <t>Stauffers Fresh Foods</t>
  </si>
  <si>
    <t>Lititz</t>
  </si>
  <si>
    <t>Sports Fans!!!! #doritos https://www.facebook.com/100000177292566/posts/2803991972950018/</t>
  </si>
  <si>
    <t>Shawn Russell</t>
  </si>
  <si>
    <t>13:27</t>
  </si>
  <si>
    <t>23.06.2019 13:28</t>
  </si>
  <si>
    <t>Here we go again... Cool ranch doritos with mac and cheese on top</t>
  </si>
  <si>
    <t>GryffindorGangsta</t>
  </si>
  <si>
    <t>Каприви</t>
  </si>
  <si>
    <t>Mafwe Living Museum</t>
  </si>
  <si>
    <t>23.06.2019 13:30</t>
  </si>
  <si>
    <t>I had to read the bag 3 times; @plantsnacks your #Vegan #Cheddar #CassavaRoot #Chips taste so much like my memory of #Doritos that I am only going to call them #Fauxritos. Sooooo good!</t>
  </si>
  <si>
    <t>Alexandra McDougall</t>
  </si>
  <si>
    <t>13:24</t>
  </si>
  <si>
    <t>23.06.2019 13:25</t>
  </si>
  <si>
    <t>Hows your doritos? 
Tag owner 
#PAcreations #rx7 #rotary #13b #singleturbo #rocketbunny #bbs #howwide #deepenough #gasmotorshow #gasmagazine #speedandsound #sparco #harness #brapbrapbrap #popup #bagged #airlift #airsuspension #bestofshow
@greddyperformance @air_lift_performance @rocket_bunny_ @rotary_fanatics @streamlinemedia.sa</t>
  </si>
  <si>
    <t>Primothan Achary Creations</t>
  </si>
  <si>
    <t>13:23</t>
  </si>
  <si>
    <t>23.06.2019 13:24</t>
  </si>
  <si>
    <t>Happy Sunday cuties i am actually happy I promise 
.
Cheeky workout outside today always try and get a workout in on a sunday so I can have lots of good food  Feeling happy with how my mini cut is coming along finding it real easy to pick more healthier choices but switching it up trying to keep it interesting‍♀️ because all I ever want is chocolate keeping track of my Micros but not stressing over them if I miss something  My fave thing to snack on atm is bbq graze boxes, they absolutely taste just like doritos  You must</t>
  </si>
  <si>
    <t>Alice robson</t>
  </si>
  <si>
    <t>Trowbridge</t>
  </si>
  <si>
    <t>clothing,shorts</t>
  </si>
  <si>
    <t>beauty,undergarment</t>
  </si>
  <si>
    <t>13:22</t>
  </si>
  <si>
    <t>Global Reddit Meetup Day (GRMD), Bengaluru - 22.06.2019 bangalore</t>
  </si>
  <si>
    <t>Doritos, the cornerstone of every nutritious Redditor meal.</t>
  </si>
  <si>
    <t>SoItG00se</t>
  </si>
  <si>
    <t>India Speaks: Building a better community for redditors of India</t>
  </si>
  <si>
    <t>13:21</t>
  </si>
  <si>
    <t>23.06.2019 13:23</t>
  </si>
  <si>
    <t>@jacquelinenovak They did give out a bottle of water and mini bag of Doritos when I checked in though, so totally balanced out :(</t>
  </si>
  <si>
    <t>TheMarsh</t>
  </si>
  <si>
    <t>Marshland St James</t>
  </si>
  <si>
    <t>23.06.2019 13:20</t>
  </si>
  <si>
    <t>@AllwaysRPG Doritos, Swedish fish, sour patch kids &amp; chocolates! Booze and/or Mountain Dew for drinks</t>
  </si>
  <si>
    <t>Gareth Paints</t>
  </si>
  <si>
    <t>You can take me away from #Toronto but can't keep me away from the #Raccoons. I did not have food in my hand - he stole my doritos! @iluvshinythings</t>
  </si>
  <si>
    <t>Lindsey</t>
  </si>
  <si>
    <t>Canadian</t>
  </si>
  <si>
    <t>23.06.2019 13:27</t>
  </si>
  <si>
    <t>Melusi</t>
  </si>
  <si>
    <t>Corona Papi</t>
  </si>
  <si>
    <t>Питермарицбург</t>
  </si>
  <si>
    <t>23.06.2019 13:21</t>
  </si>
  <si>
    <t>@TheEllenShow @TheKalenAllen Too funny, yo. Too funny. Hey, girl. Come chill. Got myself some Doritos, got myself some Pepsi-Cola. Got myself some crazy ass intentions with this sugar-carb one-two combo. Holla.</t>
  </si>
  <si>
    <t>White_Kanye</t>
  </si>
  <si>
    <t>13:18</t>
  </si>
  <si>
    <t>Mmmmh cheese
Bout to have the best Doritos. Which flavour am I talking about?</t>
  </si>
  <si>
    <t>Zinhle Mathebula</t>
  </si>
  <si>
    <t>#explore #explorepage #happythreads #selfcarethreads #selfloving #selfcareloving #selfbeauty #selftips #caretips #beauty #instagram #selfloveinspo #selfcareblogger #selfcareguide #nichememe #nichememes #meme #skintips #skincaretips #clearskincare #skingoal #glossier #dailythreads #selfcaretricks #selfcarehacks #selfcaredaily #wellness #selfcareday #gain</t>
  </si>
  <si>
    <t>Self Care ◡̈</t>
  </si>
  <si>
    <t>24.06.2019 06:53</t>
  </si>
  <si>
    <t>doritos code</t>
  </si>
  <si>
    <t>where is the code for every2minutes inside doritos bags i can t .
how to find the code on a doritos bag and how to enter it online .
doritos on twitter how to find the every2minutes codes inside .
enter doritos madden 17 code winzily .
win xbox prizes with doritos superlucky .
titanfall 2 double xp code found on the back of a doritos bag have .
psa free doritos blaze pack info mut discussion madden madden .
chris on twitter doritosuk just bought this pack of doritos and .
madden 19 doritos code finally came doritos blaze pack opening .
doritos</t>
  </si>
  <si>
    <t>burrito builder</t>
  </si>
  <si>
    <t>s solver to do burrito optimization excel .
developing a mobile application with flex 4 5 air 2 5 flash .
blackberry tablet os sdk for adobe air beta 2 with adobe flash .
developing for the blackberry playbook using flex builder burrito .
eat the pop tarts pop up cafe pop tart burrito contemplate your .
nutrition mucho burrito fresh mexican grill .
freebirds world burrito fresh tex mex burritos more .
bob the builder wants a burrito drawception .
home burrito panzon .
nutrition quesada the joy of mex .
mister burrito s spicy doritos iron</t>
  </si>
  <si>
    <t>TheNoobPolice said:
For some reason in BFV, the DICE designers got it into their heads that this was somehow bad and started saying crap like "shooting doritos" (something to do with being up their own **** about "Artistic direction" or "muh immersion") which is clearly a pejorative term to describe the idea, of course there's nothing different about aligning up a pixel to the centre of your screen because it's red as opposed to brown, grey or green, but the important thing is you need to be able to see it - the "game" of an FPS is to</t>
  </si>
  <si>
    <t>Ferdinand_J_Foch</t>
  </si>
  <si>
    <t>24.06.2019 05:03</t>
  </si>
  <si>
    <t>extra toasty cheez its reddit</t>
  </si>
  <si>
    <t>in family size funny .
4 20 with my brand new ezsai stay high everyone waxpen .
homemade cheez its recipe serious eats .
found the toasted cheddar chalupa in flint michigan tacobell .
thanks for all the us snacks u jefferson497 snackexchange .
holy uno batman simple pleasures 2017 redditgifts .
cheez it baked snack cheese crackers extra toasty 12 4 oz box food .
cheez its after dark smoking .
doritos cheese ceedoar cheezait brooves cheez it meme on me me .
extra toasty cheddar cheese crackers .
burns cheez it crackers product made extra toasty</t>
  </si>
  <si>
    <t>13:17</t>
  </si>
  <si>
    <t>I am pretty sure a lot of companies dilute fetus' remains in their products, like Doritos allegedly have been accused of along with other fast food companies. It's small numbers but still traceable.
It's extremely dark shit happening behind the curtains</t>
  </si>
  <si>
    <t>13:16</t>
  </si>
  <si>
    <t>23.06.2019 13:16</t>
  </si>
  <si>
    <t>My lil brother feet smell like some rotel and Doritos</t>
  </si>
  <si>
    <t>King</t>
  </si>
  <si>
    <t>Jailbird Joey</t>
  </si>
  <si>
    <t>semi</t>
  </si>
  <si>
    <t>23.06.2019 13:17</t>
  </si>
  <si>
    <t>Tremayne</t>
  </si>
  <si>
    <t>23.06.2019 13:14</t>
  </si>
  <si>
    <t>#nacho #Doritos #food #foodporn #foodie #instafood #love #inagood #yummy #like #delicious #follow #foodstagram #foodblogger #foodgasm #foodlover #photooftheday #picoftheday #dinner #tasty #lunch #followme #instagram #instadaily #foodies</t>
  </si>
  <si>
    <t>The Real Cooking Dad</t>
  </si>
  <si>
    <t>Marysville</t>
  </si>
  <si>
    <t>sandwich,fast food,meal,junk food,appetizer,food</t>
  </si>
  <si>
    <t>23.06.2019 13:18</t>
  </si>
  <si>
    <t>ASMR TACO BELL  | EATING SOUNDS</t>
  </si>
  <si>
    <t>ASMR TACO BELL  | EATING SOUNDS
 taco bell mexican pizza
 doritos locos taco (nacho cheese flavor)
 burrito supreme
drink: sprite
aloha yall! this is my first ASMR video, I hope I did ok and I hope you like it! I will be making more videos with wifey, stay tuned 
 use headphones
thanks for watching, please subscribe!! aloha 
#tacobell
#tacobellasmr
#mexicanpizza
#burritoasmr
#eatingsounds
#koiasmr</t>
  </si>
  <si>
    <t>KOI ASMR</t>
  </si>
  <si>
    <t>I don't want to get all dressed up and gaudy... I don't want go out and put on for people around me. I just want to sit at home with you on the couch, play Tekken and eat Doritos... and if you let me, suck the cheese from your fingers</t>
  </si>
  <si>
    <t>AShaye היחיד</t>
  </si>
  <si>
    <t>23.06.2019 13:15</t>
  </si>
  <si>
    <t>chris</t>
  </si>
  <si>
    <t>13:07</t>
  </si>
  <si>
    <t>As Union Pacific (UNP) Shares Rose, Aviva Plc Has Lowered by $31.71 Million Its Stake; Apple Com (AAPL) Holder Alexandria Capital Has Cut Stake</t>
  </si>
  <si>
    <t>Develop Displays To Replace Samsung Screens -Apple Has California Facility For Producing MicroLED Screens -Apple MicroLED Plans May Hurt Suppliers Such As Sharp, LG Display –! $AAPL; 27/04/2018 – Chinese tariffs could raise the cost of phones, computers and other components, and many of Apple’s products are made in China. This could cause disruptions to the supply chain or other penalties such as boycotts; 19/03/2018 – Scores of Big Apple convenience stores have run out of Doritos, Cheetos and other Frito-Lay products â€” and snack fans can blame</t>
  </si>
  <si>
    <t>Nicole Straley</t>
  </si>
  <si>
    <t>13:04</t>
  </si>
  <si>
    <t>23.06.2019 22:14</t>
  </si>
  <si>
    <t>ME: I don't understand why I'm not feeling any fitter.
ALSO ME: Erm........ #oops #dirtygainz</t>
  </si>
  <si>
    <t>Paul Hawkins</t>
  </si>
  <si>
    <t>13:01</t>
  </si>
  <si>
    <t>23.06.2019 13:07</t>
  </si>
  <si>
    <t>Mom is grocery shopping today. She wanted a list to get me through the week. I hope she gets Nacho Cheese Doritos!!! Forgot to specify. #gamer #gamerfuel #doritos #mtndew #hotpockets #taquitos #codbo4 #cod #ps4 #hardcoregamer #Ilive4this #flexing #thanksmom</t>
  </si>
  <si>
    <t>Official Neckbeard Clan</t>
  </si>
  <si>
    <t>drawing,document</t>
  </si>
  <si>
    <t>13:00</t>
  </si>
  <si>
    <t>Wave God</t>
  </si>
  <si>
    <t>@Oma_ebooks @flowerflower_co @iLoveRin_ebooks *gives doritos* :)</t>
  </si>
  <si>
    <t>_Lu_Loves_Otomes_</t>
  </si>
  <si>
    <t>Head Rajkan</t>
  </si>
  <si>
    <t>@Doritos_Mx Y los pinches Doritos toro???</t>
  </si>
  <si>
    <t>Angel</t>
  </si>
  <si>
    <t>Веракрус</t>
  </si>
  <si>
    <t>Халапа-Энрикес</t>
  </si>
  <si>
    <t>23.06.2019 13:05</t>
  </si>
  <si>
    <t>dan</t>
  </si>
  <si>
    <t>Quilmes</t>
  </si>
  <si>
    <t>23.06.2019 13:04</t>
  </si>
  <si>
    <t>@flowerflower_co @iLoveRin_ebooks @Oma_ebooks *gives doritos* :)</t>
  </si>
  <si>
    <t>23.06.2019 13:02</t>
  </si>
  <si>
    <t>Quiero una cocca con doritos</t>
  </si>
  <si>
    <t>Laii</t>
  </si>
  <si>
    <t>23.06.2019 13:00</t>
  </si>
  <si>
    <t>@PikoUtatane5 @flowerflower_co @iLoveRin_ebooks @Oma_ebooks *gives doritos* :)</t>
  </si>
  <si>
    <t>23.06.2019 13:03</t>
  </si>
  <si>
    <t>#saltlife #memes #memesdaily #memesfordays #memorialdayweekend #boston #newyork #florida #horsepower #goat #lasvegas #doritos #j #catsofinstagram #catchup #getyousome #getyourweightup #getyouagirlthatcandoboth #headphones #headbands #head #skinny #blue #black #white #blacknwhite_perfection #fdt #dt</t>
  </si>
  <si>
    <t>12:57</t>
  </si>
  <si>
    <t>23.06.2019 13:11</t>
  </si>
  <si>
    <t>Doritos gives me the ability to relive my high school days.</t>
  </si>
  <si>
    <t>ezekiel on the wall</t>
  </si>
  <si>
    <t>12:55</t>
  </si>
  <si>
    <t>ALL MEGA SIZE！
#uk #poundland #tesco #nottingham</t>
  </si>
  <si>
    <t>JessicaZhang</t>
  </si>
  <si>
    <t>12:54</t>
  </si>
  <si>
    <t>Mini memes #1</t>
  </si>
  <si>
    <t>Mini memes #1
Hope u like them</t>
  </si>
  <si>
    <t>‘Fortnite’ Legend Dr.Lupo Pulls Off A Record-Breaking Charity Stream Raising Nearly $1M</t>
  </si>
  <si>
    <t>,000). The $1 million super stretch goal was to get him to Pon Pon, Ninja’s signature dance, on stream, something he’s never done. And may have to do next year, as the total was just shy.
SAN JOSE, CA - OCTOBER 27: Team DrLupo competes in Doritos Bowl at TwitchCon 2018 held at San Jose McEnery Convention Center on October 27, 2018 in San Jose, California. (Photo by Kimberly White/Getty Images for Frito-Lay North America)
Getty Images for Frito-Lay North America
The final hour or so of the stream was absolute insanity, and it was easy to</t>
  </si>
  <si>
    <t>Paul Tassi</t>
  </si>
  <si>
    <t>forbes.com</t>
  </si>
  <si>
    <t>23.06.2019 12:57</t>
  </si>
  <si>
    <t>@Doritos Doritos give me the super power of pretending to love my job for up to 40 hours a week!
#IncognitoDoritos #entry</t>
  </si>
  <si>
    <t>Jonnalyn</t>
  </si>
  <si>
    <t>Farmington Hills</t>
  </si>
  <si>
    <t>23.06.2019 12:56</t>
  </si>
  <si>
    <t>kagiso</t>
  </si>
  <si>
    <t>@imani_naudia Lmaooooo con Doritos nooooo mami das nastyyyy@</t>
  </si>
  <si>
    <t>23.06.2019 12:55</t>
  </si>
  <si>
    <t>Remember you must die IN THE DARK... and so forth... #tech #theatre #costumes #mementomori #blacklight #ants #doritos #lightningbugs #hashtag</t>
  </si>
  <si>
    <t>Lex Gurst</t>
  </si>
  <si>
    <t>space,sky</t>
  </si>
  <si>
    <t>12:50</t>
  </si>
  <si>
    <t>Here are the CWS Dogs of 2019 leaders. The OmaHog (bacon wrapped hot dog topped with Pulled Pork, bbq sauce, shredded cheese and candied jalapeños) - the Red Raider (topped with brisket, queso cheese, hot sauce, and spicy Doritos) and the Gator Hater (topped with Mac &amp;amp; cheese, horseradish sauce and Parmesan Pablo crumbs) - one of these dogs is going to win the CWSDogsof2019 contest — today may be your last day to try them - we are open until 5
https://www.facebook.com/BBgrillarcade/photos/a.320628648076192/1355054437966936/?type=3
Photos from B &amp; B Grill and Arcade's post</t>
  </si>
  <si>
    <t>B &amp; B Grill and Arcade</t>
  </si>
  <si>
    <t>23.06.2019 12:51</t>
  </si>
  <si>
    <t>Gnocchi, Doritos, Good Humor strawberry shortcake bars, cinnamon donuts, NyQuil &amp; a single orange.
My cure for the common cold.
Hopefully.</t>
  </si>
  <si>
    <t>Jen Tulicki</t>
  </si>
  <si>
    <t>23.06.2019 12:58</t>
  </si>
  <si>
    <t>eating my flamin hot doritos watching jane the virgin ❤️</t>
  </si>
  <si>
    <t>Mas</t>
  </si>
  <si>
    <t>Gnocchi, Doritos, Good Humor strawberry shortcake bars, cinnamon donuts, NyQuil &amp; a single orange.
My cure for the common cold. Hopefully.</t>
  </si>
  <si>
    <t>worthless person</t>
  </si>
  <si>
    <t>Champagne and Doritos for breakfast. It’s going to be an interesting day...</t>
  </si>
  <si>
    <t>JetlagDre</t>
  </si>
  <si>
    <t>origamiamigo</t>
  </si>
  <si>
    <t>12:43</t>
  </si>
  <si>
    <t>23.06.2019 12:50</t>
  </si>
  <si>
    <t>This is all gone when I'm high
#weed #smokeweed #bai #doritos #hotcheetos #canadadry #pothead</t>
  </si>
  <si>
    <t>⚠️Im Toxic⚠️Enjoy⚠️</t>
  </si>
  <si>
    <t>23.06.2019 12:46</t>
  </si>
  <si>
    <t>❤️V I R G I N M A R Y❤️</t>
  </si>
  <si>
    <t>Randburg</t>
  </si>
  <si>
    <t>23.06.2019 12:43</t>
  </si>
  <si>
    <t>@cassaleigh_ I’m eating Doritos in basketball shorts and my bridesmaid robe, I cannot judge.</t>
  </si>
  <si>
    <t>Auntie Nanners ‍♀️</t>
  </si>
  <si>
    <t>12:40</t>
  </si>
  <si>
    <t>23.06.2019 12:41</t>
  </si>
  <si>
    <t>yasss herc
june favs✨
gym: stingrays 
team: pa midnight 
anon: @shoottokiII i guess 
food: nacho cheese doritos 
drink: LEMONADE 
animal: golden retrievers
product: abh brow powder duo saves my life 
reply w an emoji for a clean copy in ur dms</t>
  </si>
  <si>
    <t>❌️‍‍⚖️</t>
  </si>
  <si>
    <t>South Section</t>
  </si>
  <si>
    <t>12:39</t>
  </si>
  <si>
    <t>#rainbow #gay #gaybears #gaysp #paradagaysp #paradalgbt #gayrj #gaylove #instagay</t>
  </si>
  <si>
    <t>QUICK BOY</t>
  </si>
  <si>
    <t>Consolação</t>
  </si>
  <si>
    <t>Tyler "Ninja" Blevins plays Call of Duty: Black Ops 4 during the Doritos Bowl 2018 at TwitchCon 2018 in San Jose, California.
The world's most recognizable Fortnite player won't be participating in the biggest video game tournament of all time. Tyler "Ninja" Blevins, who has raked in millions of dollars playing the game, failed to qualify for next month's Fortnite World Cup Finals.
Ninja - Competition - Weeks - Friday - Cut
Ninja was eliminated from the solo competition two weeks ago, and on Friday he missed the cut for the duos competition</t>
  </si>
  <si>
    <t>Steven Musil</t>
  </si>
  <si>
    <t>longroom.com</t>
  </si>
  <si>
    <t>23.06.2019 12:37</t>
  </si>
  <si>
    <t>@trey_rowland59 @Doritos @rowlcast Truly iconic. Its hard to think of anything more patriotic than a college football, wwe, Doritos, Spider-Man infusion.</t>
  </si>
  <si>
    <t>Arawl</t>
  </si>
  <si>
    <t>#doritos #piggykisses #love #georgie #minipig</t>
  </si>
  <si>
    <t>Jenny Lau Crawford</t>
  </si>
  <si>
    <t>wildlife,livestock</t>
  </si>
  <si>
    <t>12:35</t>
  </si>
  <si>
    <t>23.06.2019 13:09</t>
  </si>
  <si>
    <t>What’s your favourite go-to snack while workin’? Comment below 
My classic is fruit with an iced coffee and maaaaybe some Doritos 
#entrepreneurlessons #halfway2019 #girlbosshabits #brickandmortar #socialmediacoach #socialmediamanager #socialmediaaudit #localbusinessgrowth #socialmediaexpert #instagramtipsforbusiness #worksnacks #strawberrysnack #socialmediawork #fempreneur #onlineentrepreneur #onlinebusinesscoaching #femaleentrepreneurlife #sidehustler</t>
  </si>
  <si>
    <t>Amanda | Social Media Tips</t>
  </si>
  <si>
    <t>frozen dessert,raspberry,diet food,dessert,natural foods,berry,food,fruit,strawberry</t>
  </si>
  <si>
    <t>23.06.2019 12:42</t>
  </si>
  <si>
    <t>Sweet &amp; Spicy Chili Doritos are the only Doritos that matter.</t>
  </si>
  <si>
    <t>safa.</t>
  </si>
  <si>
    <t>Mozambique</t>
  </si>
  <si>
    <t>Нампула</t>
  </si>
  <si>
    <t>Rope</t>
  </si>
  <si>
    <t>12:34</t>
  </si>
  <si>
    <t>23.06.2019 12:44</t>
  </si>
  <si>
    <t>Allen Cook</t>
  </si>
  <si>
    <t>Лексингтон</t>
  </si>
  <si>
    <t>RecreationalExorcist</t>
  </si>
  <si>
    <t>12:33</t>
  </si>
  <si>
    <t>UNRELEASED VIDEO - Do Doritos</t>
  </si>
  <si>
    <t>UNRELEASED VIDEO - Do Doritos
This was made last Halloween in 2018.</t>
  </si>
  <si>
    <t>Austin Galaxy</t>
  </si>
  <si>
    <t>12:32</t>
  </si>
  <si>
    <t>... follow @just_threads_and_niche for more niche meme hacksand tips!
I think i am the only one that does lol am i or do u do it too?
Tell me in the comments... Ily
Check my story
F.c : 1632! Tysm
Tags ignore! #explorepage #explore #threadsaccount #throwbackthursday #twitter #threads #twitterquotes #tubler #tips #twitterthreads #selfcarethreads #selfcare #skincareroutine #sfs #selflovethread #selflove #skincare #skincaretips #starbuckssecretmenu #nichememe #nichememers #nichememesdaily #nichememepage #nichememecommunity #nichememeaccounts #nichememeacc #lazyday #netflixandchill
@pngspng @pngcupcake @just_threads_and_niche @pngshimmer @melonpngs @pngcoconut</t>
  </si>
  <si>
    <t>THREAD$_&amp;_NICH£</t>
  </si>
  <si>
    <t>&amp;Doritos #goat #lovedoritos #mexicangoat
@doritos @simply.goats</t>
  </si>
  <si>
    <t>Maxime Léon</t>
  </si>
  <si>
    <t>Балеарские острова</t>
  </si>
  <si>
    <t>Cala Figuera</t>
  </si>
  <si>
    <t>FOLLOW @bestfilms_here FOR MORE •
•
•
•
•
•
•
•
•
•
#marvel #avengers #avengersmemes #thanos #endgame #spiderman #spidermanmemes #xmen #marvelmemes #marvelcomics #captainamerica #thor #tonystark #holytrilogy #ironman #endgame #avengersassemble #marveluniverse #marvelmovie #marvelpics #spiderman4 #spiderman3 #spiderman2 #movies #marvelentertainment #marvelstudio #marvelshots #marvelheroes #marvellegends #marvelcinematicuniverse</t>
  </si>
  <si>
    <t>mountain dew machine</t>
  </si>
  <si>
    <t>make mountain dew vending machine with cardboard diy youtube .
mountain dew doritos in a hospital paddock post .
great a mountain dew machine i could really go for a mountain .
mountain dew and pepsi can vending machine a brand new ven flickr .
mountain dew vending machine in pigeon forge album on imgur .
mountain dew and mountain dew code red vending machine mt dew .
buying a mountain dew from a vending machine youtube .
1974 mountain dew vending machine mtn dew kid .
automatic pepsi cola carbonated drink filling machine mirinda .
rare vintage</t>
  </si>
  <si>
    <t>23.06.2019 12:29</t>
  </si>
  <si>
    <t>june favs✨
gym: stingrays 
team: pa midnight 
anon: @shoottokiII i guess 
food: nacho cheese doritos 
drink: LEMONADE 
animal: golden retrievers
product: abh brow powder duo saves my life 
reply w an emoji for a clean copy in ur dms</t>
  </si>
  <si>
    <t>scotty spinks fan account</t>
  </si>
  <si>
    <t>Чавинь</t>
  </si>
  <si>
    <t>Thốt Nốt</t>
  </si>
  <si>
    <t>23.06.2019 12:45</t>
  </si>
  <si>
    <t>#doritos #pizzahut #mountaindew #pepsi #blockbuster #n64 #nintendo #weekend #retro #retrogamer www.facebook.com/1coinonly</t>
  </si>
  <si>
    <t>1 Coin Only</t>
  </si>
  <si>
    <t>convenience food,drink,food,snack</t>
  </si>
  <si>
    <t>23.06.2019 12:30</t>
  </si>
  <si>
    <t>Bout to have the best Doritos. Which flavour am I talking about?</t>
  </si>
  <si>
    <t>Zee</t>
  </si>
  <si>
    <t>Swaziland</t>
  </si>
  <si>
    <t>23.06.2019 12:33</t>
  </si>
  <si>
    <t>PearlRiverFlow</t>
  </si>
  <si>
    <t>water, some salt, &amp; 1 tsp Apple cider vinegar. Sauté can of corn drained, 4 cloves of garlic chopped, 2 jalapeños chopped, 1 shallot on M for 10 min. Mix in can of drained pinto beans &amp; soyrizo. Add cumin, chilula, lime juice, chopped cilantro, crushed up @doritos salsa verde tortilla chips, &amp; other spices. Stir in chopped roasted veggies &amp; rice. Taste. Season. Adjust. Wrap in a tortilla. Heat. Serve. Enjoy!
.
.
.
#diabetes #insulin #t1d #vegan #whatveganseat #superfood #invisibleillness #chronicillness #disability #disabilityawareness</t>
  </si>
  <si>
    <t>Kevin Wren</t>
  </si>
  <si>
    <t>drink,food</t>
  </si>
  <si>
    <t>23.06.2019 12:32</t>
  </si>
  <si>
    <t>Gone Girl</t>
  </si>
  <si>
    <t>Pitts Town</t>
  </si>
  <si>
    <t>Mr Sigabi</t>
  </si>
  <si>
    <t>24.06.2019 06:50</t>
  </si>
  <si>
    <t>Esports player Ninja fails to qualify for Fortnite World Cup – CNET</t>
  </si>
  <si>
    <t>Home News Esports player Ninja fails to qualify for Fortnite World Cup – CNET Esports player Ninja fails to qualify for Fortnite World Cup – CNET June 23, 2019
Tyler “Ninja” Blevins plays Call of Duty: Black Ops 4 during the Doritos Bowl 2018 at TwitchCon 2018 in San Jose, California. Robert Reiners / Getty Images The world’s most recognizable Fortnite player won’t be participating in the biggest video game tournament of all time. Tyler “Ninja” Blevins, who has raked in millions of dollars playing the game, failed to qualify for next month’s</t>
  </si>
  <si>
    <t>News Post Daily</t>
  </si>
  <si>
    <t>newspostdaily.com</t>
  </si>
  <si>
    <t>The Nib</t>
  </si>
  <si>
    <t>12:26</t>
  </si>
  <si>
    <t>@GoBlueTsunami No. You gotta crush Doritos on it. What is WRONG with you?</t>
  </si>
  <si>
    <t>Behind Blue Eyes</t>
  </si>
  <si>
    <t>NE</t>
  </si>
  <si>
    <t>23.06.2019 12:28</t>
  </si>
  <si>
    <t>Can only be green
Bout to have the best Doritos. Which flavour am I talking about?</t>
  </si>
  <si>
    <t>...</t>
  </si>
  <si>
    <t>Every Diet Works, Given You're in a Caloric Deficit Diet &amp; Able To Sustain It!
#triangle @doritosindia 
#nachos #glutenfree #snack 
#indianfoodblogger #indianblogger #movietime 
#snacktime #vegetarian 
#potd #foodgawker #foodporn #foodphotography #diet</t>
  </si>
  <si>
    <t>Rakhi Panchariya</t>
  </si>
  <si>
    <t>Андхра-Прадеш</t>
  </si>
  <si>
    <t>Виджаявада</t>
  </si>
  <si>
    <t>chocolate,biscuit,dessert,cookies and crackers,cookie,baked goods,food,snack</t>
  </si>
  <si>
    <t>Today's 24 Hour Giveaway  .
➡️Frito-Lay Cheesy Mix Variety Pack, 40 Count ⬅️
.
Enter To Win NOW!
Check Bio For Giveaway Link! 
.
⌚ENDS AT MIDNIGHT ⌚
. *Not affiliated with the manufacturer, Instagram, Facebook, or Amazon. Must be 18+ and a resident of the United States to enter. Please read full rules and details on the entry page.
#yourdailygiveaway #giveaways #giveawaycontest #snacksforkids #tastygiveaway #sunchips #dailygiveaway #24hourgiveaway #wintoday #doritos #easytowin #cheetos #giveawayfree #fritolay #sweepstakes #giveawaysunday</t>
  </si>
  <si>
    <t>YourDailyGiveaway</t>
  </si>
  <si>
    <t>23.06.2019 12:25</t>
  </si>
  <si>
    <t>Update: I chose to take it there, yet again, and I am so full of regret. Everything hurts and I think my right kidney is actually failing
Torn between doing the absolute most tonight, and laying in bed with Doritos and Netflix til morning</t>
  </si>
  <si>
    <t>ßrï Mårïê</t>
  </si>
  <si>
    <t>23.06.2019 12:27</t>
  </si>
  <si>
    <t>Sister Mphahlwa</t>
  </si>
  <si>
    <t>Ready player one! ❤️ #dva #dvacosplay #dvacosplayer #dvagirl #dvaoverwatch #overwatch #overwatchcosplay #blizzard #videogame #shooter #cosplay #cosplayer #cosplaying #cosplayoninstagram #cosplaygirl #korean #doritos #nerfthis #meka #makeup #videogamecosplay #cosplayphotography #cosplayworld #cosplaylove</t>
  </si>
  <si>
    <t>D.mon ✨</t>
  </si>
  <si>
    <t>@DisconnctedNull @ParkerGames Dr. Pepper and doritos</t>
  </si>
  <si>
    <t>Dan the Duct tape ball</t>
  </si>
  <si>
    <t>Cool Ranch Doritos have been around longer than ICE. One of these things we can do without.
https://thenib.com/things-that-have-been-around-longer-than-ice
Things That Have Been Around Longer Than ICE
If you think we can’t abolish ICE because we need it, think again! It hasn’t even been around that long.</t>
  </si>
  <si>
    <t>23.06.2019 12:22</t>
  </si>
  <si>
    <t>Running on an hour sleep due to stomach issues and anxiety attacks back to back. Had two cups of coffee, OJ, a pop tart and some organic Doritos. Think I'll make it today.</t>
  </si>
  <si>
    <t>Mandy</t>
  </si>
  <si>
    <t>23.06.2019 12:23</t>
  </si>
  <si>
    <t>On Xvids While Studying &amp; Eating A Bag Of Doritos .... W.e You Do Just Wash Ya Hands .
The only bag of Doritos that matter</t>
  </si>
  <si>
    <t>☤M⃟∀ƉεL͚εརℵع☪︎</t>
  </si>
  <si>
    <t>23.06.2019 12:18</t>
  </si>
  <si>
    <t>We and our partners use cookies to understand how you use our site, improve your experience and serve you personalized content and advertising. Read about how we use cookies in our cookie policy and how you can control them by clicking "Manage Settings". By continuing to use this site, you accept these cookies.
Tyler "Ninja" Blevins plays Call of Duty: Black Ops 4 during the Doritos Bowl 2018 at TwitchCon 2018 in San Jose, California.
The world's most recognizable Fortnite player won't be participating in the biggest video game tournament of</t>
  </si>
  <si>
    <t>cnet.com</t>
  </si>
  <si>
    <t>23.06.2019 12:21</t>
  </si>
  <si>
    <t>Roderick</t>
  </si>
  <si>
    <t>23.06.2019 12:17</t>
  </si>
  <si>
    <t>@Doritos #IncognitoDoritos #Entry Your delicious Cool Ranch flavor allows me to podcast to my highest ability. Your product gives me superhuman cognition and the mental ability to compare college football scenarios to late 90s pro wrestling. Your chips make me a better man</t>
  </si>
  <si>
    <t>nucci</t>
  </si>
  <si>
    <t>Окала</t>
  </si>
  <si>
    <t>I love, love, love this one from my friend Julia, at Julia's Simply Southern. Imagine this deliciousness on a hot summer day. Would make a great meal for the whole family to enjoy.
https://juliassimplysouthern.com/2019/04/dorito-taco-salad-with-catalina.html
Dorito Taco Salad with Catalina - Julias Simply Southern
A classic favorite, Dorito Taco Salad with Catalina. Seasoned ground beef and salad combined with tangy dressing and crunchy Doritos.</t>
  </si>
  <si>
    <t>Cooking with Mary and Friends</t>
  </si>
  <si>
    <t>Prefere Doritos ou cheetos? — DORITOS PQP  https://curiouscat.me/quintbia_/post/910206672?t=1561306522</t>
  </si>
  <si>
    <t>Indesejada dos role</t>
  </si>
  <si>
    <t>Campeche</t>
  </si>
  <si>
    <t>23.06.2019 12:15</t>
  </si>
  <si>
    <t>@TaReefKnockOut
Want to score this Limited-Edition Doritos Spidey Suit? Tell us what super power Doritos gives you using #IncognitoDoritos #Entry for the chance to win! Rules @ https://bit.ly/2MXEpdc Be sure to check out #SpiderManFarFromHome, in theaters July 2!</t>
  </si>
  <si>
    <t>Josh.0</t>
  </si>
  <si>
    <t>Miramar</t>
  </si>
  <si>
    <t>23.06.2019 12:14</t>
  </si>
  <si>
    <t>Trey Rowland</t>
  </si>
  <si>
    <t>Check out http://KetchupSpotting.ca for a chance to win a year's supply of Doritos® plus official Ketchup Season gear, for you and a friend https://KetchupSpotting.ca</t>
  </si>
  <si>
    <t>judy folk</t>
  </si>
  <si>
    <t>23.06.2019 12:16</t>
  </si>
  <si>
    <t>@Thandiwengqwebo @Doritos Was gonna send you R19 uyozthengela qha andikwazi so nah</t>
  </si>
  <si>
    <t>jackie bumbles</t>
  </si>
  <si>
    <t>Are you team #barb ?
@barbwirequeen</t>
  </si>
  <si>
    <t>✨Teen Queen Drag Race✨</t>
  </si>
  <si>
    <t>23.06.2019 12:09</t>
  </si>
  <si>
    <t>Mezclamos todas las papas del super mercado</t>
  </si>
  <si>
    <t>Gabriel carrizales</t>
  </si>
  <si>
    <t>RULÉS</t>
  </si>
  <si>
    <t>23.06.2019 12:08</t>
  </si>
  <si>
    <t>Loaded Cheese Nachos 
.
.
.
#travelgram #foodcoma #nomnom #love #delhi #delhigram #foodlove #instafood #instagood #zingyzest #dilsefoodie #food #newdelhi #foodies #foodphotography #tasty #instafood #soulfood #foodblogger #lifestyleblogger #all_shots #buzzfeedfood #indianfood #thefoodiemonk #doritos #nachos #nachoslover #nachos
#FoodgasmsOverOrgasms</t>
  </si>
  <si>
    <t>My Hogging Journal</t>
  </si>
  <si>
    <t>baked goods,dessert,food</t>
  </si>
  <si>
    <t>Easy Mexican Chicken Casserole combines the best parts of taco night into one easy, hearty, flavorful dish with chicken, rice, beans, cheese, and tortilla chips or doritos.
Recipe: https://www.mamagourmand.com/mexican-chicken-casserole/
https://www.facebook.com/mamagourmand/photos/a.1244838382210906/2754943537867042/?type=3</t>
  </si>
  <si>
    <t>MamaGourmand</t>
  </si>
  <si>
    <t>salad,cookware and bakeware,vegetable,food</t>
  </si>
  <si>
    <t>12:02</t>
  </si>
  <si>
    <t>23.06.2019 12:10</t>
  </si>
  <si>
    <t>@JuanPabloEMT @Doritos_Mx Mi gallo era Monreal.</t>
  </si>
  <si>
    <t>Gatito Molière</t>
  </si>
  <si>
    <t>Сен-Тропе</t>
  </si>
  <si>
    <t>23.06.2019 12:05</t>
  </si>
  <si>
    <t>Nuevos doritos spiderman lejos de casa</t>
  </si>
  <si>
    <t>Hola XD</t>
  </si>
  <si>
    <t>Alejandro99 bayuelos craft gamer 789 pro gato</t>
  </si>
  <si>
    <t>It has been used in a Super Bowl ad for Doritos, as a plug for Leggo's tomato sauce and as the jingle in a Foamguys Scrubbing Bubbles commercial with an animated bubble singing some unlikely lyrics. It has been recorded by most of the greatest tenors of the world — and also by Alvin and the Chipmunks. And if you still haven't heard enough of it, you can sing along with the karaoke version or order it up as your ringtone from the iTunes store. We're talking about "La donna e mobile," from Rigoletto, used here in this Ikea commercial</t>
  </si>
  <si>
    <t>Seattle Opera</t>
  </si>
  <si>
    <t>23.06.2019 12:04</t>
  </si>
  <si>
    <t>Is bunny hopping around
₍₎..⃗.pledgeneo
₍₎..⃗.I forgot
══════ ∘◦❁◦∘ ═══════
『』￤Like/Comment/Share
『』￤Follow the @xtokkidvax For more
══════ ∘◦❁◦∘ ═══════
[Tags] #dva #overwatch #Cute #Gamer #Love #Fanart #Overwatchdva #dvacosplay #Bunnies #Dvafanart #Doritos #Pcgamer #Progamer #Starcraft #Positive #Heroes
Thank you for visitingପ( •̤ᴗ•̤ )੭⁾⁾.｡.:✽・ﾟ＋</t>
  </si>
  <si>
    <t>clothing,fictional character</t>
  </si>
  <si>
    <t>Veja a cobertura da parada nos stories 
.
#gaysp #lgbt #lgbtbrasil #bissexual #lesbica #lgbt #pansexual #homosexual #transexual #assexual #dragqueenbrasil #androgino #gayrj #bigenero #generofluido #agenero #intersexual #transbrasil #gaybrasil #orgulholgbt #lgbtq
@harlleymusic @murillozyess</t>
  </si>
  <si>
    <t>Coisa de Viado</t>
  </si>
  <si>
    <t>11:58</t>
  </si>
  <si>
    <t>JAMAICAN BREAKFAST  • EATING SHOW • MUKBANG</t>
  </si>
  <si>
    <t>JAMAICAN BREAKFAST  • EATING SHOW • MUKBANG
 ASMR  :  Franks Hot Sauce : Eating Chewing Sucking Sounds : NO TALKING 
https://youtu.be/42MxFpzd1Tk
 HOW TO TWERK TUTORIALS 
https://www.youtube.com/playlist?list=PLjBYE8L9Gi9cg-t2KTqppxD2Mh7vAFayY
OMORC, A Healthy Diet Appliance 
AIR FRYER 
Link: http://bit.ly/2ELBDlu
Promo Code: save30off • $30.00 Off
 SHRIMP BOIL  • (HEADS ON) • EATING SHOW • MUKBANG https://youtu.be/begk2Kc6XTA
KIMCHI • DORITOS •  NOODLES  • EATING SHOW • MUKBANG https://youtu.be/s5Ldg17C3qE
BULLYMAKE • Loyal • https://bullymake.com/?ref=58 
 WISH LIST 
https://www.amazon.com/registry/wishlist/730JPOHORJQG/ref=cm_sw_r_sms_awwl_xs_OWbbBb5YMFWXE
 • ONLY FANS •  • https://onlyfans.com/ninaunrated?ref=1118007</t>
  </si>
  <si>
    <t>@alorazoriia I'm pretty sure my history teacher had a political comic on his wall about women eating doritos lmao</t>
  </si>
  <si>
    <t>❤RainBiCake❤</t>
  </si>
  <si>
    <t>11:57</t>
  </si>
  <si>
    <t>babygal</t>
  </si>
  <si>
    <t>23.06.2019 12:02</t>
  </si>
  <si>
    <t>Lorna</t>
  </si>
  <si>
    <t>23.06.2019 12:00</t>
  </si>
  <si>
    <t>Pliz, they smell like feet
The Cheese Flavored Doritos Are Elite.</t>
  </si>
  <si>
    <t>yuu ha.a</t>
  </si>
  <si>
    <t>Mafikeng</t>
  </si>
  <si>
    <t>Sweet chilli
Bout to have the best Doritos. Which flavour am I talking about?</t>
  </si>
  <si>
    <t>Lebo</t>
  </si>
  <si>
    <t>Rand</t>
  </si>
  <si>
    <t>23.06.2019 12:07</t>
  </si>
  <si>
    <t>X2
Maldi tasea creo que me voy a volver adicta a los doritos</t>
  </si>
  <si>
    <t>11:56</t>
  </si>
  <si>
    <t>For the record they were sweet and spicy chili flavor. I was ready to risk it all
I fought a raccoon over some Doritos last night</t>
  </si>
  <si>
    <t>Sean</t>
  </si>
  <si>
    <t>23.06.2019 12:06</t>
  </si>
  <si>
    <t>Nuevos doritos spiderman lejos de casa
2019</t>
  </si>
  <si>
    <t>23.06.2019 12:01</t>
  </si>
  <si>
    <t>Had a caesar this morning at brunch with cool ranch doritos in it, lmao happy pride homos.</t>
  </si>
  <si>
    <t>Gerry</t>
  </si>
  <si>
    <t>Some of my favorite treats on vacation. The fresh seafood and spicy Doritos we got at Walmart. The Walmart was amazing. Underground parking, people mover up to the store. It was clean, organized and cheap. Wish I took more pictures of the store
#food #cocktails #shrimp #doritosyoucantbuyintheUS</t>
  </si>
  <si>
    <t>JennRecord</t>
  </si>
  <si>
    <t>soft drink,health shake,non-alcoholic beverage,cocktail,drink</t>
  </si>
  <si>
    <t>23.06.2019 11:58</t>
  </si>
  <si>
    <t>JUN MO</t>
  </si>
  <si>
    <t>23.06.2019 11:55</t>
  </si>
  <si>
    <t>SHRIMP NACHOS AVAILABLE TODAY 6:30PM TO 10PM PICK UP AND DELIVERY
#‍‍THE COOKING CONTINUES  #THE1‍EK #MAMAPREP_EK #EKNACHOS #SHRIMPNACHOS #NACHOCHEESE #BACONNACHOS #BACON #VIEWGASM #FOODGOD #FOODGASM #FOODPORN #FOODIES #GOODEATS #TASTEBUDS #FOODISLIFE #KINGFLAVOR #FLAVORKINGS #NONSTOP #YOUNGVISIONARIES #INVESTINYOU #ENTREPRENEURS #LEGACY #EKGOTTHESAUCE
@thrillist @iamdanileigh @doritos @iamcardib</t>
  </si>
  <si>
    <t>fried chicken,fried food,food</t>
  </si>
  <si>
    <t>23.06.2019 11:56</t>
  </si>
  <si>
    <t>@rockcock64 Their "doritos" are pretty good too.</t>
  </si>
  <si>
    <t>R.C</t>
  </si>
  <si>
    <t>Ghost</t>
  </si>
  <si>
    <t>23.06.2019 11:54</t>
  </si>
  <si>
    <t>Butter Butt</t>
  </si>
  <si>
    <t>Lebowakgomo</t>
  </si>
  <si>
    <t>23.06.2019 19:54</t>
  </si>
  <si>
    <t>#ecco #arrivigraditi ##sorprese #good #likeforlike #american #fabianafelice</t>
  </si>
  <si>
    <t>Amalia Capozzo</t>
  </si>
  <si>
    <t>11:46</t>
  </si>
  <si>
    <t>23.06.2019 22:43</t>
  </si>
  <si>
    <t>Night in bags £15
We have a limited stock of night in bags available. Get a 1kg best of both box, packet of popcorn, 1 packet of Doritos, 1 chocolate bar and 2 x diet cokes
https://www.facebook.com/sugarrushbb/photos/a.206022729808162/621226201621144/?type=3</t>
  </si>
  <si>
    <t>Sugar Rush Confectionery Bideford &amp; Barnstaple</t>
  </si>
  <si>
    <t>Love my meaty mix ups @walkers_crisps #goldenretriever #walkers #crisps #puppy</t>
  </si>
  <si>
    <t>rachel morley</t>
  </si>
  <si>
    <t>23.06.2019 11:51</t>
  </si>
  <si>
    <t>Doritos Challenge</t>
  </si>
  <si>
    <t>Doritos Challenge
Like and don't forget to have  fun sub</t>
  </si>
  <si>
    <t>dbrune 12</t>
  </si>
  <si>
    <t>food,snack,fast food,junk food</t>
  </si>
  <si>
    <t>23.06.2019 11:49</t>
  </si>
  <si>
    <t>Live Stream: July 22nd 2018 - The Perfect Baldness Remedy</t>
  </si>
  <si>
    <t>Live Stream: July 22nd 2018 - The Perfect Baldness Remedy
This is a re-upload of a live stream that took place on July 22nd 2018.
Games I played in this stream:
Doritos Crash Course (Xbox 360)
Dead Rising 2: Off The Record (Xbox 360)
Follow my social media and join my Discord to get notified of future stream uploads!
Twitch: https://www.twitch.tv/grimahim
Discord: https://discord.gg/McKUPnx
Twitter: https://twitter.com/Grimahim
Live Streams Playlist: https://www.youtube.com/playlist?list=PLmisyfliypufqA-GaFSBYT_SB_Bf8bxr8</t>
  </si>
  <si>
    <t>Grimahim</t>
  </si>
  <si>
    <t>music,performance</t>
  </si>
  <si>
    <t>23.06.2019 11:43</t>
  </si>
  <si>
    <t>@_justins7 First thing I would do is trade bolden for James harden straight up. Obviously Houston wouldn’t say no. Then I’d trade Joel for a paper weight and a bag of Doritos. I’d then trade the remaining players for second round picks since the fans like them so much.</t>
  </si>
  <si>
    <t>RUNITBACK</t>
  </si>
  <si>
    <t>Tokyo Machine ~ Saikou</t>
  </si>
  <si>
    <t>Tokyo Machine ~ Saikou
intro echa por Emi doritos VFX
https://youtu.be/CpeBQRhllqo</t>
  </si>
  <si>
    <t>Eliandush ala k guapo LS</t>
  </si>
  <si>
    <t>23.06.2019 11:40</t>
  </si>
  <si>
    <t>@ChrisBramms @TalkingWolves George never played in that strip I don’t think. Doritos took over sponsorship for our Premier League season under Dave Jones, but Ndah was injured throughout if memory serves. @paulberry2303 can you confirm?</t>
  </si>
  <si>
    <t>Stevie B</t>
  </si>
  <si>
    <t>23.06.2019 11:42</t>
  </si>
  <si>
    <t>Poppy</t>
  </si>
  <si>
    <t>23.06.2019 13:19</t>
  </si>
  <si>
    <t>En eglenceli doritos risk oyunu</t>
  </si>
  <si>
    <t>cemre&amp;iklim Köseoğlu</t>
  </si>
  <si>
    <t>NJ Associated Supermarkets Weekly Ad Clip | 06.21.2019 - 06.27.2019</t>
  </si>
  <si>
    <t>NJ Associated Supermarkets Weekly Ad Clip | 06.21.2019 - 06.27.2019
Scroll through the Associated Supermarkets promotional flyer valid from 06.21.2019 to 06.27.2019. On 4 pages of the currently valid weekly ad, you will find the best goods from the Grocery category. This weekly ad offers discounts on more than 105 products that certainly belong among the goods you regularly buy. If you want to save on your next shopping at Associated Supermarkets, do not forget to leaf through the entire flyer from page 1 to page 4. On the current page you will find promotions on ale, beef meat, beer, broccoli, butter, corn, corn oil, cream cheese, del monte, evaporated milk, granulated sugar, mccain, milk, mug, nectarines, rice, spring water, sugar, tea, tuna, ketchup, pork chops, pork meat, chicken, chicken legs, pancakes, pepsi, cheese, iced tea, pasta, light tuna, bumble bee, lipton, punch, bounty, fruit, oil, cream; however, circular of Associated Supermarkets offers many other discounts on goods like beet, box, butter, capri sun, coffee. If you want to shop smart and save a significant portion of the costs of your next shopping at your favourite Associated Supermarkets store, you should not miss this weekly ad full of amazing prices and wonderful discounts. Come back to Weekly Ad Clips &amp; Opportunity
 every day and you will not miss any of the great promotions offered by your favourite retailers.
NEW JERSEY
SALE STARTS FRIDAY JUNE 21, THRU JUNE 27, 2019. EVERYTHING YOU NEED, JUST AROUND THE CORNER. ASSOCIATED ng 2/3 Summer Deals! $299 LB. FRESH BUNCHED BROCCOLI CHUCK STEAKS USDA CHOICE BEEF $1.49 $179 LB. LB. CALIFORNIA NECTARINES BONE-IN CENTER CUT PORK CHOPS GRAIN FED 5/52 99 PERDUE LB. Wrole Chicken Legs FAMILY PERDUE ALL NATURAL WHOLE SWEET YELLOW CORN Pack GS FRESH GRADE A CHICKEN Amazing HOT PRICED Itens $4 99 3/$3 99c 2/$ BLIMBLE BEES BUMBLE BEE CHUNK LIGHT TUNA BOUNTY ESSENTIALS ROunty KELLOGG'S FROOT LOOPS PEPSI, MTN.DEW- MUG, MIST TWIST OR LIPTON PK. ESsentials BUMBLE BEE WATER 5 OZ. CAN $4 99 2/$5 SELECT VAR DER OPS Domino pepsi JACKS 4C DOMINO GRANULATED SUGAR ICED TEA MIX 13.90-70.30 OZ. CONT $2 99 2/$4 3/$2 99 R ON CAROZZI PASTA POLAND SPRING WATER HAWAIIAN PUNCH FRUIT JUICY RED DEL MONTE KETCHUP 24 OZ. CONT Sring 12 PK. 23.7 Oz 128 Oz. CONT a/$5 $14 99 310*$799 AVENUE A CORN OIL POLAND SPRING WATER 24 PK. RICO RICE CARNATION EVAPORATED MILK LONG GRAIN OR GOLD PARBOILED 20 LB. BAG 320 FL. OZ. CONT WITH AREIMIT 1 OFASE OR CIGARETTES WITH ADD T1 ASE OR EXCLUDING BEER&amp;CIGARETTES m MOBE LIMIT1OFEESE OR EXCLO Nes Rico Rico nJand rinn arnation arnation 6 aland Milk 2/$4 CABOT /$6 2/ $3.99 2/$3 2/$3 SIMPLY CABO CABOT CREAM CHEESE BUTTER QTRS. CREAM REGULAR OR LIGHT rREAM 2/54 $4 99 $39 4/$5 $3.9 2/$ Brown 'N Serv onBIRDS EYE RN ON THE COB UTE EARS BANQUET EGGO LES OR PANCAKES MCCAIN SAUSA SERVE SELECT VAR 899 Brown'N Serv M OR EGGO BREAKFAST SHOPASSOCIATED.COM SEE INSIDE FOR MORE SOME PICTURES ARE FOR DESIGN PURPOSES ONLY AND DO NOT NECESSARILY REPRESENT ITEMS ON aLE FOR TYPOGRAPHICAL ERRORas.</t>
  </si>
  <si>
    <t>Craving for some pizza and doritos</t>
  </si>
  <si>
    <t>Andy Bea</t>
  </si>
  <si>
    <t>I Don't Need No Champagne
#unikboiunikboy #rapartist #rappers #rapper #soundcloudrapper #soundcloud #explorepage #explore #upcomingrapper #upcomingartist #hiphop</t>
  </si>
  <si>
    <t>U N I K B O Y</t>
  </si>
  <si>
    <t>23.06.2019 11:48</t>
  </si>
  <si>
    <t>Mivuyo Mnyaiza</t>
  </si>
  <si>
    <t>@TrueSaitama @SpiderManMovie @Doritos Same</t>
  </si>
  <si>
    <t>E m m a y e e</t>
  </si>
  <si>
    <t>SniperClanThePro - Cambridge Paving Stones feat. Gangster G &amp; Lil Wiener (Official Audio)</t>
  </si>
  <si>
    <t>SniperClanThePro - Cambridge Paving Stones feat. Gangster G &amp; Lil Wiener (Official Audio)
Cambridge Paving Stones feat. Gangster G and Lil Wiener
Phone - SniperClanThePro's Debut Studio Album
Cambridge Paving Stones
With Armortec Theyll Always Look Like New
Cambridge Paving Stones
The Crack And Coke, They Be The Drugs I Brew
Cambridge Paving Stones
I Blow Ya Brains, Wit My Glock I Shoot
Cambridge Paving Stones
Don't Mess Wit Me I Be Like Who Is You
Munchin On Doritos
Listenin To Migos
Chillin On My Bean Bag
Get Killed Blame Lag
Get</t>
  </si>
  <si>
    <t>N00BSLAYR</t>
  </si>
  <si>
    <t>SizweSaMantungwa</t>
  </si>
  <si>
    <t>Tembisa</t>
  </si>
  <si>
    <t>23.06.2019 11:38</t>
  </si>
  <si>
    <t>blue doritos &lt;</t>
  </si>
  <si>
    <t>مجرفة</t>
  </si>
  <si>
    <t>Comment who you got!❤️
•
•
•
•
•
•
•
•
•
•
•
#niche #nichememes #awwwe #reesespeanutbuttercups #cornetoicecream #burger #mcdonaldsfries #popcorn #cinemapopcorn #dairymilk #doritos #nachocheesedoritos #mandmcookies #rainbowcookies #yummycake #cuteniche #getaboyfriend #pickafood ☺️
@jonahmarais @tomholland2013 @shawnmendes @corbynbesson @noahschnapp @jackaverymusic @daviddobrik @colesprouse @finnwolfhardofficial</t>
  </si>
  <si>
    <t>sandwich,snack,junk food,food,fast food</t>
  </si>
  <si>
    <t>23.06.2019 12:11</t>
  </si>
  <si>
    <t>Doriesquites #Doritos #elote #lamichoacanapremium</t>
  </si>
  <si>
    <t>23.06.2019 11:30</t>
  </si>
  <si>
    <t>Brian</t>
  </si>
  <si>
    <t>23.06.2019 11:29</t>
  </si>
  <si>
    <t>Hace mil que no como doritos</t>
  </si>
  <si>
    <t>Franco</t>
  </si>
  <si>
    <t>23.06.2019 11:27</t>
  </si>
  <si>
    <t>Goodmorning 
.
| Follow (@dowwnsouf)
•
{ #explore#spamaccount#newspampage#rainydays#sage#clappinbunz#nateclip#school#miami#dade#downsouth#dowwnsouf#spam#priv#lahhatl#vh1#doritos}</t>
  </si>
  <si>
    <t>we stressed</t>
  </si>
  <si>
    <t>23.06.2019 11:25</t>
  </si>
  <si>
    <t>Michelle</t>
  </si>
  <si>
    <t>Loving #sunday ﻿
Closed today at both locations.﻿
Open Monday in Regina.﻿
♡﻿
♡﻿
♡﻿
#salsa #salsaclass #misunderstanding #tortillachips #donttouchmychips #oopsie #eatthechips #weekendvibes #happysunday #relax #bibandtuckerclothing #yqrfashion #shopyqr  #shopping #fashion #canadianfashion #shopsmall #shoplocal #yqr #uniquefashion #bestdressed #moosejaw #ymj #shopymj #ymjfashion</t>
  </si>
  <si>
    <t>Bib And Tucker Women Boutique</t>
  </si>
  <si>
    <t>Реджайна</t>
  </si>
  <si>
    <t>23.06.2019 11:28</t>
  </si>
  <si>
    <t>Plancorp Lowered Its Apple (AAPL) Stake by $370,440; Stock Value Rose; Caterpillar Del (CAT) Holder Impala Asset Management Has Cut Holding</t>
  </si>
  <si>
    <t>AAPL News: 02/05/2018 – S&amp;PGRBulletin: Apple Rtgs Not Affected By New Cap Return Prgrm; 19/03/2018 – Scores of Big Apple convenience stores have run out of Doritos, Cheetos and other Frito-Lay products â€” and snack fans can blame PepsiCo Chief Executive Indra Nooyi for their less crunchy lunches; 07/03/2018 – AppleInsider: Rumor: Apple working on cheaper HomePod for launch this year; 15/05/2018 – Apple CEO Tim Cook says trade between the U.S. and China benefits both countries; 09/04/2018 – Amazon spent nearly $23 billion on R&amp;D last year</t>
  </si>
  <si>
    <t>23.06.2019 11:22</t>
  </si>
  <si>
    <t>Dr. M The Mad Genius</t>
  </si>
  <si>
    <t>Hidden Valley</t>
  </si>
  <si>
    <t>Bold enough to face a pro player? ️
Dreamhack summer 2019
@ignorance @dreamhack @michirage @unicornpeps @doritos @anniefuchsia</t>
  </si>
  <si>
    <t>ᴘɪᴍᴛɪᴍ</t>
  </si>
  <si>
    <t>Йёнчёпинг</t>
  </si>
  <si>
    <t>-
#niche #nichememes #selfcare #nailcare #meditation #memes #starterpackmemes #meme #sad #fff #lfl #milkmakeup 
#explore #memes #nailcare #aesthetic #edits #starbucks  #music #skincare #lipcare #f4f #followme #billieeilish #threads #selfcarethreads #picsart #selflove #positivity #schoolmemes #schoolthreads #cuteaesthetic</t>
  </si>
  <si>
    <t>23.06.2019 11:19</t>
  </si>
  <si>
    <t>@questnutrition protein chips are addicting!! I tried all 3 and my favorite is their chili lime followed by nacho cheese then ranch. My husband  enjoyed them too but his favorite was nacho cheese. He even said the nacho cheese have even more flavor than doritos nacho cheese. We will definitely be purchasing more of the chili lime and nacho cheese. Ugh now I'm craving these chips with the layered dip.....yum.
.
.
.
#keto #ketolifestyle #lowcarb #ketogenic  #lowcarblifestyle #healthy #healthylifestyle #ketolife #ketojourney #ketoaf #positive #ketocommunity #ketofriends #positivevibes #weightlossjourney #ketomom #ketoeats #ketofood #quest #questchips #proteinchips #questnutrition #questproteinchips #ketosnack</t>
  </si>
  <si>
    <t>All-Time Best Ads: @Apple @Doritos @McDonalds @Oreo @CocaCola @Always @Audi  http://ow.ly/DwTk30oV2b2</t>
  </si>
  <si>
    <t>Mohammed Abuazzah | محمد مروان أبوعزة</t>
  </si>
  <si>
    <t>23.06.2019 11:18</t>
  </si>
  <si>
    <t>Doritos aci ve tatli</t>
  </si>
  <si>
    <t>Eni dersin aklini yersin</t>
  </si>
  <si>
    <t>Peppa pig mlg PT3</t>
  </si>
  <si>
    <t>Peppa pig mlg PT3
Peppa pig mlg</t>
  </si>
  <si>
    <t>FAZE Ryder9 Gaming</t>
  </si>
  <si>
    <t>23.06.2019 11:17</t>
  </si>
  <si>
    <t>Rocío Canelas</t>
  </si>
  <si>
    <t>Honduras</t>
  </si>
  <si>
    <t>23.06.2019 11:14</t>
  </si>
  <si>
    <t>Makan doritos aja</t>
  </si>
  <si>
    <t>diana virsa umbas</t>
  </si>
  <si>
    <t>Strawberry</t>
  </si>
  <si>
    <t>23.06.2019 11:16</t>
  </si>
  <si>
    <t>Recommended post workout meal: clean high protein
Me: packet of Doritos + Diddle Daddles</t>
  </si>
  <si>
    <t>sazi</t>
  </si>
  <si>
    <t>me: i'm gonna diet . 
also me: *shares bag of doritos with grandma for breakfast*
.
˖◛⁺⑅♡
.
#monkees #themonkees #davyjones #petertork #60s #sixties #aesthetic #greenaesthetic #pastel #mikenesmith #michaelnesmith #pastelgreen #food #venezuela #mickydolenz #peace #baby #edgy #soft #green</t>
  </si>
  <si>
    <t>┊͙nena┊͙</t>
  </si>
  <si>
    <t>' 
-
:      ?
-
-
tags:
#nichememes #niche #nichememe #selfcarethreads #threads #nichememesacc #threadsaccount #png #pngs #pngaccount #nichememers #nichememer #moodboard #moodboards #pfp #nichepfp #explore #explorepage #nicheaesthetic #aesthetic #nichememeaccounts #nicheoverlaysh
@pngcupcake @sweetpeprniche</t>
  </si>
  <si>
    <t>em and gini ®</t>
  </si>
  <si>
    <t>gadget</t>
  </si>
  <si>
    <t>23.06.2019 19:14</t>
  </si>
  <si>
    <t>the only reason i made this is bc im going on a road trip soon lol |6.23.19| ~follower count:40
~self promo accepted
~be happy loves
tags:
#niche #meme #nichememe #nicheacc #nichememeacc #nichememeaccount #nicheideas #nichecommunity #gain #roadtrip #nichestarterpack #nicheedits #nichedaily #selfcare #follow #explore #explorepage #fff #lfl #sfs #peachynche</t>
  </si>
  <si>
    <t>níϲհҽ✌️</t>
  </si>
  <si>
    <t>23.06.2019 11:11</t>
  </si>
  <si>
    <t>@Doritos Doritos give me saliva bending powers because when I eat Doritos around my friends all their mouths start to water. #IncognitoDoritos #Entry</t>
  </si>
  <si>
    <t>Miitomo Trash</t>
  </si>
  <si>
    <t>23.06.2019 11:13</t>
  </si>
  <si>
    <t>They will be a team to watch out for next year. #toronto #torontomapleleafs #nhl #mapleleafs #hockey #doritos #sports #dailyfantasysports</t>
  </si>
  <si>
    <t>Gametime Blitz</t>
  </si>
  <si>
    <t>Doritos,Adidas</t>
  </si>
  <si>
    <t>23.06.2019 11:20</t>
  </si>
  <si>
    <t>List snaccs fav ku:
1. Rin bee
2. Pocky
3. Doritos kuning
4. Doritos ijo
5. Chocopie
6. Kusuka
7. Chitato
8. Pringles</t>
  </si>
  <si>
    <t>seenta the lion</t>
  </si>
  <si>
    <t>23.06.2019 11:10</t>
  </si>
  <si>
    <t>Watching goggle box and realised that @ChrisEubankJr is the smartest man on earth... I wish I’d have bought Doritos and dip now</t>
  </si>
  <si>
    <t>TheRealMT</t>
  </si>
  <si>
    <t>23.06.2019 11:07</t>
  </si>
  <si>
    <t>Mukukuzvi</t>
  </si>
  <si>
    <t>Ion give a fuck what Doritos were *fried in u ain’t supposed to be able to light a whole BBQ pit with them bitches.</t>
  </si>
  <si>
    <t>Da Unkle</t>
  </si>
  <si>
    <t>23.06.2019 11:09</t>
  </si>
  <si>
    <t>Ion give a fuck what Doritos were friend in u ain’t supposed to be able to light a whole BBQ pit with them bitches.</t>
  </si>
  <si>
    <t>23.06.2019 11:04</t>
  </si>
  <si>
    <t>@Doritos_Xtreme @SnellSZN you act like im a random bigot over nba twitter lmao
its all about companies and media making this a bigger deal than it already is</t>
  </si>
  <si>
    <t>heh  and 71473 others</t>
  </si>
  <si>
    <t>Jerr</t>
  </si>
  <si>
    <t>23.06.2019 11:12</t>
  </si>
  <si>
    <t>•Vegan+GF 'doritos'•
Because why the heck not?! I was a vegetarian for ten years throughout my late middle school years all through highschool and a bit after- until i moved to Colorado where i can find the most humanely raised and cared for animal products that completely changed my outlook as well as health. While being a vegetarian though i was constantly contemplating going vegan which in my head would be immediately turned down with the thought of no more dairy  which at that time in my life i thought was impossible. Well nearing 6</t>
  </si>
  <si>
    <t>Morgan</t>
  </si>
  <si>
    <t>Coal Creek</t>
  </si>
  <si>
    <t>fast food,junk food,fried food,food</t>
  </si>
  <si>
    <t>a sandwich &amp;&amp; some doritos would smack rn !</t>
  </si>
  <si>
    <t>wawa</t>
  </si>
  <si>
    <t>23.06.2019 11:05</t>
  </si>
  <si>
    <t>Funniest part is they probably live in Ahite gated neighborhood
White women on social media will buy into the craziest spiritual dogma made by some doped up guy living in a tent off doritos and ganja, but tell them it's okay they came from a majority white neighborhood they'll act like you told them the moon is made out of cheese.</t>
  </si>
  <si>
    <t>a russian bot</t>
  </si>
  <si>
    <t>23.06.2019 11:03</t>
  </si>
  <si>
    <t>Blazin’ Buffalo Ranch doritos for breakfast?! Why not ‍♀️ #nwblessingcustomleather #cactus #sunflower #westernstyle #westernwear #cowgirlstyle</t>
  </si>
  <si>
    <t>Nick &amp; Ashley Blessing</t>
  </si>
  <si>
    <t>bag,clothing</t>
  </si>
  <si>
    <t>the car scene. If you don't know him or follow him you should he's good people.
While we're on the subject @Doritos hook the man up with a discount at the least. He's working hard for you guys. I know I eat well out of his trunk.
Hot Import Nights was fun, I have plenty of gripes about the show and the lighting but all in all it turned out pretty well. Much smaller than I had anticipated. Sad my car wasn't there. But on to the next one. I'll see you guys at #TunedOriginals with a car.
#Nissan #Pulsar #GTIR #NissanSunny #RNN14 #N14 #SR20DET #AWD #RHD #jdm #AutoX #Autocross #rhdspecialties #Skyline #r32 #r33 #r34 #northwestnissans #mazda #RX7FD ##Chips
@doritos @dori7os_fd3s</t>
  </si>
  <si>
    <t>Stoph Johnson</t>
  </si>
  <si>
    <t>Кент</t>
  </si>
  <si>
    <t>Top 100 Funniest Doritos Commercials of ALL TIME!</t>
  </si>
  <si>
    <t>Mr Top</t>
  </si>
  <si>
    <t>10:59</t>
  </si>
  <si>
    <t>23.06.2019 11:00</t>
  </si>
  <si>
    <t>Mmm Doritos 
●
○
●
○
#germanshepherdworld #germanshepherdsuk #germanshepherdlover #germanshepherdsofig #germanshepherdsofinsta #gsd #gsdphotos #gsdofinstagram #gsdlife #cheekygirl #greedygirl #foodthief #doritos #cheesedoritos #crisps</t>
  </si>
  <si>
    <t>Luna and Max</t>
  </si>
  <si>
    <t>23.06.2019 11:01</t>
  </si>
  <si>
    <t>I would swim all the oceans just to see you smile
Instagram:@the_doritos_of_the_bts 
Twitter:@the_doritos_bts
#yoongi #junghoseok  #bts #kpop</t>
  </si>
  <si>
    <t>23.06.2019 11:23</t>
  </si>
  <si>
    <t>Iran: To Neocon or Not to Neocon, Is That the Question?</t>
  </si>
  <si>
    <t>The story goes Saddam, when held by coalition forces, was given Cheetos, which he hated and refused to eat.
Then they gave him Doritos, which he loved. Reportedly he always ate the whole bag at once.
Since then I've always called Doritos snacks "Saddam Chips".
And as you know, picante sauce goes good with Saddam Chips.</t>
  </si>
  <si>
    <t>The Hillbilly Kitty</t>
  </si>
  <si>
    <t>pjmedia.com</t>
  </si>
  <si>
    <t>PJ Media</t>
  </si>
  <si>
    <t>Studying with Xvideos in the background, clearly you’re working very hard
The only bag of Doritos that matter</t>
  </si>
  <si>
    <t>Osama bin heavy laden</t>
  </si>
  <si>
    <t>23.06.2019 11:02</t>
  </si>
  <si>
    <t>#Clinton_Samps</t>
  </si>
  <si>
    <t>My first niche meme
•
#niche #nichememes #aesthetic #nichememe #meme #memes #explorepage #tumblr #moodboard #love #nichememeaccount #cute #explore #like #nichememer #follow #nichememecommunity #art #fff #nichememeaccounts #selfcare #nichecommunity #nichememesacc #nichememeideas</t>
  </si>
  <si>
    <t>Ⓜⓞⓡⓖⓐⓝ ❤Xo</t>
  </si>
  <si>
    <t>kgosi mokgatlhane</t>
  </si>
  <si>
    <t>When Tiktok takes the audio from your videos but I always have copies lolI'll just repost it so it's my audio, the loopholes.
I wanna cosplay D.Va again, I enjoy cosplaying her and just eating doritos and mountain dew. That's the only time i binge eat crap is when I'm a character lmao I guess i get that anime appetite lmao☠
#tiktokcosplay #tiktokmeme #tiktokgirls #video #linkinbio #cosplayer #cosplayandgamergirls #cosplaygirl #girl #tiktok #meme #ironicmemes #trend #pantyandstocking #dva #dvacosplay #dvaoverwatch #overwatch #overwatchdvacosplay #cosplay #video #funnyvideos #fatty #fattymcfatterson #comedy #laugh #humor #sweet #snack #follow #trending
@alexejasimonecosplay</t>
  </si>
  <si>
    <t>Alexeja Simone❤️</t>
  </si>
  <si>
    <t>10:56</t>
  </si>
  <si>
    <t>23.06.2019 10:58</t>
  </si>
  <si>
    <t>Cheese or Ranch?
INSTANTLY WIN Doritos!
ENTER HERE -&gt;…
Cheese or Ranch? INSTANTLY WIN Doritos! ENTER HERE -&gt;http://bit.ly/2GqoC0d #freestuff #freebies #giveaway #freestuffbuddy</t>
  </si>
  <si>
    <t>Free Stuff Buddy</t>
  </si>
  <si>
    <t>fried food,convenience food,fast food,food,junk food,snack</t>
  </si>
  <si>
    <t>2 guys time ! @2guysfromjersey 
#podcast #funny #comedy #newjersey #top5 #doritos</t>
  </si>
  <si>
    <t>Erin Wohlberg</t>
  </si>
  <si>
    <t>23.06.2019 10:57</t>
  </si>
  <si>
    <t>Juvencio Cruz</t>
  </si>
  <si>
    <t>Concentrated on the baseball game eating my favorite chips  @doritos and hydrating with @powerade 
@fashionista_kids2019 •
•
•
•
•
#kids_fashion  #toddler #kids #kids #miami #365 #kidsfashion #toddlerfashion #kidzootd #kidsmodel 
#mermaid #toddler #summer #amazon #365 #miami #kids_fashion #toddler #kids #kids #kidsfashion #toddlerfashion #kidzootd #kidsmodel #ootdfashion #ootd #ootdtoddler #fashionista_kids2019
@powerade @doritos</t>
  </si>
  <si>
    <t>ℝ</t>
  </si>
  <si>
    <t>~    ~
#schoolsucks#testweek#prayforme#netflix#thesmiths#the80’s#teenagers#theweekend#homework#loveeveryone#oceaneyes#mapofthesoul#lucifer#chillingadventuresofsabrina#bughead
@milkyycherry</t>
  </si>
  <si>
    <t>N•A•N•C•Y</t>
  </si>
  <si>
    <t>Dieheart Atlanta Hawks Fan Live Reaction To The 2019 NBA Draft #Hawksnbachamps2020</t>
  </si>
  <si>
    <t>Dieheart Atlanta Hawks Fan Live Reaction To The 2019 NBA Draft #Hawksnbachamps2020
What’s good y’all in today’s video I went to the Atlanta hawks draft party and did a Vlog of what I did at the draft party and my reaction to the hawks pick.Thanks for watching!!Like the video for 10000 Doritos bag at your house in 5 seconds
Social Media
Instagram-Michaelisgoat 
Twitter-Icemike11
Snapchat-Sup_mike
Click this link and mr beast will come to your house in 10 second with 10000 dollars-https://www.youtube.com/channel/UCzDAfAA-bVkJX2Jaf34mRTA 
Music 
Suge-DaBaby 
☑️Subscribe To The Channel If You Are New-
https://www.youtube.com/channel/UCzDAfAA-bVkJX2Jaf34mRTA 
#nbadraft #nba #camreddish #atlantahawks #MTHF #Vlog #entertainment #basketball #zionwilliamson #De’andrehunter 
Trae young mvp 2020</t>
  </si>
  <si>
    <t>Michael Thehawksfan</t>
  </si>
  <si>
    <t>I’m talking Taco Bell, Doritos, tic tacs, a 7/11 sandwich, wings to-go from big woodys, a Mountain Dew code red..</t>
  </si>
  <si>
    <t>Spongenob</t>
  </si>
  <si>
    <t>#potatochipbags #potatochipbagupcycle #terracycle @terracycle #hangingplantholder #garbage #doritos #plants @greenossining @the_greenheart_solution @bjf10598</t>
  </si>
  <si>
    <t>Chip Bag Upcycling</t>
  </si>
  <si>
    <t>23.06.2019 10:50</t>
  </si>
  <si>
    <t>Wish my bf would ditch his Birkenstocks! He's sooo crunchy. Cheesy, too.
I'd literally rather gnaw off my own arm than eat at a soulless chain while road tripping. Or really, ever. Doritos Locos Tacos excepted, and they're my now not-so-secret shame. So, shh... Though I digress. 'Cause you see, I don't care how ravenous I may be. In fact, I once wound up at Panera Bread due to the despotic majority decree of a bunch of very hungry fellow road trippers, and I was desolate! Desolate, I tell you. First world problems, I know.
Anyway, it's</t>
  </si>
  <si>
    <t>rudumplingme</t>
  </si>
  <si>
    <t>fried food,junk food,fast food,sandwich,food</t>
  </si>
  <si>
    <t>23.06.2019 10:52</t>
  </si>
  <si>
    <t>il mange des doritos en mattant du porno pendant qu'il étudie ou jreve
The only bag of Doritos that matter</t>
  </si>
  <si>
    <t>Provincia de Bocas del Toro</t>
  </si>
  <si>
    <t>Hueco Cato</t>
  </si>
  <si>
    <t>23.06.2019 10:46</t>
  </si>
  <si>
    <t>It’s baseball season ⚾️ &amp; what better gift for a 21 year old than their very own tailgate setup?! This Igloo cooler comes packed with:
⚾️- snacks such as Doritos, Pringles, &amp; sunflower seeds 
⚾️- Miller Lite &amp; Gatorade  ⚾️- BOTTLE OPENER  ⚾️- T shirts   
A new cooler is perfect for any occasion, and this one has wheels for an easier handle.  The bottle opener sunglasses are not only stylish but they are useful when you need to crack one open  This gift was paired with White Sox vs Cubs tickets     Create your own cooler gift by shopping the link in my bio   Happy gifting! .
.
.
#gifts #21stbirthday #tailgate
@target @amazon</t>
  </si>
  <si>
    <t>Kathryn Theresa</t>
  </si>
  <si>
    <t>23.06.2019 10:55</t>
  </si>
  <si>
    <t>Ramiz.</t>
  </si>
  <si>
    <t>Hit a few chapters with porn in the study breaks.
The only bag of Doritos that matter</t>
  </si>
  <si>
    <t>10:43</t>
  </si>
  <si>
    <t>23.06.2019 10:44</t>
  </si>
  <si>
    <t>Ian</t>
  </si>
  <si>
    <t>10:42</t>
  </si>
  <si>
    <t>Akitsi mara etla ka pack e blue
Bout to have the best Doritos. Which flavour am I talking about?</t>
  </si>
  <si>
    <t>Nox Mahlangu</t>
  </si>
  <si>
    <t>23.06.2019 10:47</t>
  </si>
  <si>
    <t>Doritos və lays yedik</t>
  </si>
  <si>
    <t>ResulSeferov2010 Melek</t>
  </si>
  <si>
    <t>junk food,food,soft drink,drink</t>
  </si>
  <si>
    <t>23.06.2019 10:42</t>
  </si>
  <si>
    <t>Martin Huntbach</t>
  </si>
  <si>
    <t>Doritos ekşi acı</t>
  </si>
  <si>
    <t>Doritos  ekşi acı</t>
  </si>
  <si>
    <t>Leyla Inanc</t>
  </si>
  <si>
    <t>23.06.2019 10:41</t>
  </si>
  <si>
    <t>Sr Egea❄️</t>
  </si>
  <si>
    <t>Мурсия</t>
  </si>
  <si>
    <t>Картахена</t>
  </si>
  <si>
    <t>23.06.2019 10:39</t>
  </si>
  <si>
    <t>Rita ⛱</t>
  </si>
  <si>
    <t>23.06.2019 10:38</t>
  </si>
  <si>
    <t>Peter Parker</t>
  </si>
  <si>
    <t>23.06.2019 10:37</t>
  </si>
  <si>
    <t>@GregBirdRBW Holder &amp; Bird are complete trash. Holder shouldn’t be on the squad his stats with risp are trassshhhh. Bird I used to like a lot tbh. Great defensively but ever since he got hurt he’s sucked. We have Voit and Encarnacion now trade him for a 30 rack and some Doritos</t>
  </si>
  <si>
    <t>Pûff</t>
  </si>
  <si>
    <t>Кингстон-апон-Халл</t>
  </si>
  <si>
    <t>10:36</t>
  </si>
  <si>
    <t>green of course
Bout to have the best Doritos. Which flavour am I talking about?</t>
  </si>
  <si>
    <t>powerpuff boy</t>
  </si>
  <si>
    <t>23.06.2019 10:45</t>
  </si>
  <si>
    <t>Yellow definetely
Bout to have the best Doritos. Which flavour am I talking about?</t>
  </si>
  <si>
    <t>uSibusiso</t>
  </si>
  <si>
    <t>23.06.2019 10:36</t>
  </si>
  <si>
    <t>@Doritos_Mx @QwertyJojo  Doritos sabe ❤️</t>
  </si>
  <si>
    <t>Beauty Killer</t>
  </si>
  <si>
    <t>23.06.2019 10:35</t>
  </si>
  <si>
    <t>TUMELO</t>
  </si>
  <si>
    <t>23.06.2019 10:31</t>
  </si>
  <si>
    <t>stacey devereaux</t>
  </si>
  <si>
    <t>Blue packet obviously
Bout to have the best Doritos. Which flavour am I talking about?</t>
  </si>
  <si>
    <t>faddy</t>
  </si>
  <si>
    <t>Sasolburg</t>
  </si>
  <si>
    <t>10:27</t>
  </si>
  <si>
    <t>Brawl stars funny and fail moments</t>
  </si>
  <si>
    <t>Hasan Y.T.B</t>
  </si>
  <si>
    <t>Throwback to smoke and helicopters and guns and short-shorts and sunburn and Doritos and other ‘Mercia stuff.
#stunts #acting #helicopter #flfilm</t>
  </si>
  <si>
    <t>Stephanie</t>
  </si>
  <si>
    <t>tree,smoke</t>
  </si>
  <si>
    <t>grass,sky,rainbow</t>
  </si>
  <si>
    <t>23.06.2019 10:53</t>
  </si>
  <si>
    <t>Shia in Iraq.  What was he thinking???)
Should we have gone into Iraq with the intention of *forcing* them to become a secular, democratic republic?  Hey, Saddam loved Doritos.  It's the Sunni who were the more secular and westernized.  The question is not whether we *should* have - we SHOULD have, if we were going to go in at all.  Now one can ask if we should have gone in at all, and that's another discussion.  On most arguments, probably not.  My position is only, if we're GOING to do it, to do it RIGHT.</t>
  </si>
  <si>
    <t>itellu3times</t>
  </si>
  <si>
    <t>23.06.2019 10:26</t>
  </si>
  <si>
    <t>Like a Doritos 
•
•
•
•
•
#Gym #workout #bodybuilding #Fitness #backattack #Back #Pump #pumpspirit #checkbody #gymshark #Myprotein #MyproteinPT</t>
  </si>
  <si>
    <t>Mackenzie Dinis</t>
  </si>
  <si>
    <t>Odivelas</t>
  </si>
  <si>
    <t>carol</t>
  </si>
  <si>
    <t>23.06.2019 10:25</t>
  </si>
  <si>
    <t>͏͏azi</t>
  </si>
  <si>
    <t>Хай-Уиком</t>
  </si>
  <si>
    <t>23.06.2019 10:24</t>
  </si>
  <si>
    <t>Corporate Carol</t>
  </si>
  <si>
    <t>Nigga is studying Physics and watching porn at the same time. Lead us King.
The only bag of Doritos that matter</t>
  </si>
  <si>
    <t>Bubuh_</t>
  </si>
  <si>
    <t>23.06.2019 18:24</t>
  </si>
  <si>
    <t>Netflix as a teen
DM me if you want to collab:)
l+c
•
•
•
•
•
QOTD: what's your favorite show on Netflix
AOTD: Stranger Things!♥️ #netflix #netflixmovies #niche #nichememes #red #black</t>
  </si>
  <si>
    <t>xo</t>
  </si>
  <si>
    <t>23.06.2019 10:27</t>
  </si>
  <si>
    <t>The blue packet
Bout to have the best Doritos. Which flavour am I talking about?</t>
  </si>
  <si>
    <t>P.</t>
  </si>
  <si>
    <t>23.06.2019 10:43</t>
  </si>
  <si>
    <t>DILLMA_VLOGSYT</t>
  </si>
  <si>
    <t>23.06.2019 10:23</t>
  </si>
  <si>
    <t>My tl:
My brain: I wanna munch... SQUAD
Hey Canada, Ketchup Season is finally here! Spot the #DoritosKetchup chips and upload a screenshot for a chance to win a year’s supply of Doritos. #MadeInCanada</t>
  </si>
  <si>
    <t>as a lesbian,</t>
  </si>
  <si>
    <t>WAN BISSAKA</t>
  </si>
  <si>
    <t>the weed is an opening on a new world 
.
.
. 420
.
.
#weed #cannabis #marijuana #cannabiscommunity #weedporn #thc #cbd #stoner #weedstagram #kush #cannabisculture #hightimes #ganja #maryjane #smoke #hype #hypebeast #supreme #streetwear #fashion #yeezy #nike #sneakers #bape #offwhite #style #adidas #like #sneakerhead #jordan
@adidasoriginals @supremenewyork @rawlife247 @doritos @itsaclipper @herbsavergrinder @yeezymafia @bape__france</t>
  </si>
  <si>
    <t>Yaazzz</t>
  </si>
  <si>
    <t>Матаро</t>
  </si>
  <si>
    <t>Only in Canada! Lol #canada #canadaeh #cannabis #maryjane #upinsmoke #cheechandchong #high #legal #doritos #stoner</t>
  </si>
  <si>
    <t>skylaa1266</t>
  </si>
  <si>
    <t>24.06.2019 20:18</t>
  </si>
  <si>
    <t>Headline June 24, 2019/ '' 'WORLD'S INEPTITUDE WONDERS' ''</t>
  </si>
  <si>
    <t>woman's hand, raised in a position similar to what ballet calls allonge.
I saw the hand-drawing video after it was aggregated by an account called @SatisfyingDaily, which posts ''extremely satisfying'' clips on Twitter.
These clips tend to be satisfying the way Doritos are satisfying : not nourishing so much as easy to devour. Short and generally soundless, they are for when we pick our phones without knowing what we want to see, to fill those moments with someone slicing a bar of soap.
How-to-videos are the Internet's version of Xanax, When we</t>
  </si>
  <si>
    <t>Hussain Ali (noreply@blogger.com)</t>
  </si>
  <si>
    <t>samdailytimes.org</t>
  </si>
  <si>
    <t>Alexa, what’s the world record for amount of Doritos someone has fit in their mouth at once?</t>
  </si>
  <si>
    <t>Feminem</t>
  </si>
  <si>
    <t>Help!!</t>
  </si>
  <si>
    <t>The sad thing is he wouldn’t care if I did that. He’ll eat an entire bag of Doritos in one sitting and call it a meal. He said he grew up eating a bowl of cereal as a meal which is why he thinks this is ok.</t>
  </si>
  <si>
    <t>23.06.2019 10:20</t>
  </si>
  <si>
    <t>Aljustrel sunset. Portuguese seafood and rice. A day of brain Doritos. Portugal = Bliss.
.
.
.
#authorlife #writersresidency #writersofinstagram #portugal #portugal #aljustrel #portuguesefood</t>
  </si>
  <si>
    <t>Andra Watkins</t>
  </si>
  <si>
    <t>Aljustrel</t>
  </si>
  <si>
    <t>landscape,town,highland,city,mountain,sunrise,dusk,afterglow,sunset,dawn,horizon,cloud,sky</t>
  </si>
  <si>
    <t>23.06.2019 10:19</t>
  </si>
  <si>
    <t>Nothing Butt-Gravy @thenammshow
.
.
.
.
.
.
.
.
.
.
.
.
✊ #guitarpedals #effectspedals #fuzz #octave #feedback #controller #newstuff #lampelectric #gonzo #goodtimes #handmade #art #electronics #gutshot #sound #audio #custom #california #oneofakind
@guitarworldmagazine @haribousa @doritos @thenammshow @lampelectric @effectslayouts</t>
  </si>
  <si>
    <t>PizzaLamp's Effects Laboratory</t>
  </si>
  <si>
    <t>23.06.2019 10:16</t>
  </si>
  <si>
    <t>@Ninnyztv You're not a real gamer. Where's the Doritos? The left over taco bell? The accidentally forgot-to-remove-it-before-taking-the-picture sex toy?
XD
Pretty nice desk thus far yo. So nice and clean! Must be quite the accomplishment now having done it yourself too :D</t>
  </si>
  <si>
    <t>GTX</t>
  </si>
  <si>
    <t>23.06.2019 10:22</t>
  </si>
  <si>
    <t>@Doritos The power to get doritos dust all over my new Spider-Man costume #IncognitoDoritos #entry</t>
  </si>
  <si>
    <t>De'Angelo</t>
  </si>
  <si>
    <t>23.06.2019 10:17</t>
  </si>
  <si>
    <t>this is me running outta inspo hehe but anyyays comment what you got and if you would do it!
✧✧
✧✧
✧✧
✧✧
✧✧
✧✧ tags↴
#nichememes #nichies #niche #nichememesaccount #nicheaccount #nichesaccount #nicheaccounts #nichesacounts #nichememesaccounts #nichememeaccount #doritos #arianagrande #ari #pizza</t>
  </si>
  <si>
    <t>23.06.2019 10:18</t>
  </si>
  <si>
    <t>Doritos roulette challenge (alone)</t>
  </si>
  <si>
    <t>Gaming Ties</t>
  </si>
  <si>
    <t>junk food,fast food,meal,food</t>
  </si>
  <si>
    <t>23.06.2019 10:12</t>
  </si>
  <si>
    <t>{ found my Dorito soul mate♡}
[If you try offend Doritos we will throw one at ya]
~julia~
#  ♡⬇️
-
♡followers, 231|
♡date, 23/0619|
♡roblox:jxlia2006 ♡requested by @hobiix.san ~
-
♡⬇️
#roblox #bloxburg #gfx #julia #robloxbloxburg
#brown #realistic #attend #youtube #speedbuild
#design #robloxgfx #robloxmemes
#gaming #robloxbuilds #robloxian #robloxgfxs
@hobiix.san</t>
  </si>
  <si>
    <t>[INSERT A WIERDO]</t>
  </si>
  <si>
    <t>23.06.2019 10:11</t>
  </si>
  <si>
    <t>the green pack duh
Bout to have the best Doritos. Which flavour am I talking about?</t>
  </si>
  <si>
    <t>Childish Justino</t>
  </si>
  <si>
    <t>Boksburg</t>
  </si>
  <si>
    <t>Doritos asmr (very crispy) *NO TALKING*</t>
  </si>
  <si>
    <t>Doritos asmr (very crispy) *NO TALKING*
Hey today I did doritos asmr</t>
  </si>
  <si>
    <t>aliyana razaofcl</t>
  </si>
  <si>
    <t>10:07</t>
  </si>
  <si>
    <t>23.06.2019 10:14</t>
  </si>
  <si>
    <t>”Doritos o Lays”
.
.
.
_
@condylan_ 
_
#streetleaks #streetphotography #spicollective #life_is_street #capturestreets #storyofthestreet #lensculturestreets #ourstreets #everybodystreet #lensculture #streetlife_award #fromstreetswithlove #myspc #streets_storytelling #streetphotographers #thestreetphotographyhub #zonestreet #challengerstreets #streetdreamsmag #friendsinperson #wearethestreet #streetsgrammer #streetphoto #myfeatureshoot #lensonstreets #streetphotographerscommunity #photoobserve #photooftheday #street #photography</t>
  </si>
  <si>
    <t>street art,window</t>
  </si>
  <si>
    <t>street,art</t>
  </si>
  <si>
    <t>@TJMair @ThelastDragan_3 @deepinsights19 @A_3rdWay @RockyMonotheist @Dylon59556561 @RTheatheist @mostly_monkey @Megavolt1 @debbiepalm44 That's your excuse for everything isnt it? 'cant be arsed'
Ants mum: ant got to the  shops please
Ant: cba go urself u slut and get me a large bag of doritos a fanta fruit twist and some large blue rizla</t>
  </si>
  <si>
    <t>surp</t>
  </si>
  <si>
    <t>Центральный Манчестер</t>
  </si>
  <si>
    <t>23.06.2019 10:07</t>
  </si>
  <si>
    <t>Tracy Hanson</t>
  </si>
  <si>
    <t>23.06.2019 10:34</t>
  </si>
  <si>
    <t>#Terrabussi #BocaDeDama - #Doritos - #Seremix #LicuadoDeLeche #Chocolate ❤ Desayunanding... #Rodaje #diadefilmacion #filmmaking #desayuno</t>
  </si>
  <si>
    <t>Denise Mendez</t>
  </si>
  <si>
    <t>23.06.2019 10:06</t>
  </si>
  <si>
    <t>foods: I limit my consumption of any packaged foods. I try my best to only eat fresh foods. So I avoid things such as Doritos,  crisps etc. If I’m craving it one day I will indulge but I do not eat it regularly as most contain unhealthy fats ✨
Fried foods: I love fries or fried chicken as much as the next girl. But regularly eating fried foods can be unhealthy. So instead I make sure to grill most of my food. If I’m craving fries I will have it, but I make sure not to eat them daily. Also i use oil such as “coconut, rapeseed oil or olive oil</t>
  </si>
  <si>
    <t>Gill</t>
  </si>
  <si>
    <t>Najzabavnije trenutke upotpunjujem sjajnim ukusima  @mentossrbija i @doritos.srbija  #snacks #
@mentos @doritos.srbija</t>
  </si>
  <si>
    <t>Lidija Aranđelović</t>
  </si>
  <si>
    <t>Couple of doritos killin it 
#rx7 #rotary #fd #formuladriftjapan #ebisucircuit
@formulad @formuladjapan</t>
  </si>
  <si>
    <t>Coleton Parrish</t>
  </si>
  <si>
    <t>Фукусима</t>
  </si>
  <si>
    <t>Иваки</t>
  </si>
  <si>
    <t>asphalt,road,race,motorsport</t>
  </si>
  <si>
    <t>Que comece a festa!!! #pride #doritosrainbow #doritos @joaogatihairstylist</t>
  </si>
  <si>
    <t>glauciothomaz</t>
  </si>
  <si>
    <t>24.06.2019 06:42</t>
  </si>
  <si>
    <t>Day 38: Grants, NM</t>
  </si>
  <si>
    <t>. Also, their WiFi was the fastest I have ever experienced in NM!! I was downloading podcasts on podcasts. Wow, what a treat. Worth a visit, lol.
I was still starving after my sub, but $7 for a veggie sub seemed too much. So I went to the gas station and bought:
-cheese
-Doritos
-4 hard boiled eggs
And it was only $6!
I sat and rested, tried to digest, and waited out some passing storm clouds.
By noon, I was itching to get into town. My plan was to stay the night, since it was another 6 miles to town. That would put me around 15 miles for the day</t>
  </si>
  <si>
    <t>Dirty Bowl</t>
  </si>
  <si>
    <t>24.06.2019 07:19</t>
  </si>
  <si>
    <t>Day ThirtyTwo: Brain Doritos</t>
  </si>
  <si>
    <t>23Time 5 hours A residency Saturday. I don’t always use them for brain doritos, but on my next-to-last Saturday, I wanted to check out for a few hours. Brain Doritos = mindless reading, usually trash magazines, erotic romances, and other things requiring no thought. I caught up on back issues of the Sunday Styles section of the NY Times first. Then I settled in bed, downloaded the latest novel by the dear Jacqueline Francis, and read for three hours. (Get Returning His Love HERE .) Sarah, Tone and I drove to Aljustrel, the closest proper town</t>
  </si>
  <si>
    <t>andrawatkins.com</t>
  </si>
  <si>
    <t>09:57</t>
  </si>
  <si>
    <t>23.06.2019 18:21</t>
  </si>
  <si>
    <t>Vcs preferem DOCE ou SALGADO?
Me:SALGADOOOO❤️ #larissaflor 
#youtuberPE 
#digitalinfluencer 
#girls 
#amigo 
#youtuber
@luanferrarini</t>
  </si>
  <si>
    <t>LARISSA FLOR E PRODU</t>
  </si>
  <si>
    <t>Rio de Mouro</t>
  </si>
  <si>
    <t>natural foods,junk food,drink,snack,food,soft drink,convenience food</t>
  </si>
  <si>
    <t>I was able to finally finish this Indy (Pog) collection. This one #140 was the elusive piece. Similar to the Pog’s from the early 90’s. These were premiums in Doritos and Frito-Lay products in France.</t>
  </si>
  <si>
    <t>Michael  J Hoag</t>
  </si>
  <si>
    <t>23.06.2019 09:55</t>
  </si>
  <si>
    <t>@NASCARSuperman I went to a Cherry Fair today in Schaefferstown, PA. I got cherry vanilla ice cream and cherry pancakes with powdered sugar. That food did not get me fat like Garfield. I also got Mountain Dew Liberty Brew, Doritos, a breakfast bowl, and watermelon honey sticks. I am not fat!</t>
  </si>
  <si>
    <t>Schaefferstown, PA</t>
  </si>
  <si>
    <t>Schaefferstown</t>
  </si>
  <si>
    <t>23.06.2019 10:01</t>
  </si>
  <si>
    <t>Daisy Doo</t>
  </si>
  <si>
    <t>09:52</t>
  </si>
  <si>
    <t>23.06.2019 09:58</t>
  </si>
  <si>
    <t>The Queen</t>
  </si>
  <si>
    <t>23.06.2019 09:54</t>
  </si>
  <si>
    <t>@Doritos Wtf</t>
  </si>
  <si>
    <t>Asphyxia</t>
  </si>
  <si>
    <t>23.06.2019 09:53</t>
  </si>
  <si>
    <t>Durag Sensei</t>
  </si>
  <si>
    <t>23.06.2019 09:52</t>
  </si>
  <si>
    <t>Are we just going crazy?
•
#QOTD- What is your favourite Doritos flavour? 
#AOTD- One of us likes Chilli Heatwave and the other tangy cheese!
•
#british #britishmemes #bristishthrowbacks #throwbacks #nostalgia #britishnostalgia #memes #memesdaily #dailyposts #britishmemesdaily #fun</t>
  </si>
  <si>
    <t>British memes &amp; throwbacks</t>
  </si>
  <si>
    <t>09:50</t>
  </si>
  <si>
    <t>Nah Doritos glacier freeze Gatorade and a nice sandwich ur grandma made is the pool snack
Unpopular opinion: watermelon be smacking right out the pool</t>
  </si>
  <si>
    <t>JustEn</t>
  </si>
  <si>
    <t>MABENA</t>
  </si>
  <si>
    <t>Юго-Восточный Сулавеси</t>
  </si>
  <si>
    <t>Winning</t>
  </si>
  <si>
    <t>I BANGED UR MOM LAST NIGHT*eats Doritos* ##incestmemes #funnymemes #meme #memesdaily #memes #alabama #alabama100 #alabamamemes #meeeemes #followme #fights #fightvideos #streetfights #schoolfights incestmemes #funnymemes #meme #memesdaily #memes #alabama #alabama100 #alabamamemes #meeeemes #followme #fights #fightvideos #streetfights #schoolfights</t>
  </si>
  <si>
    <t>Mr.steal your meme</t>
  </si>
  <si>
    <t>09:49</t>
  </si>
  <si>
    <t>Sivu.</t>
  </si>
  <si>
    <t>Себу</t>
  </si>
  <si>
    <t>Southern Poblacion</t>
  </si>
  <si>
    <t>23.06.2019 09:51</t>
  </si>
  <si>
    <t>Every Christmas or birthday for my entire childhood I asked my parents AND Santa for .. AND I QUOTE 
“100 bags of Doritos”</t>
  </si>
  <si>
    <t>Stefani</t>
  </si>
  <si>
    <t>The Cheese Flavored Doritos Are Elite.
Bout to have the best Doritos. Which flavour am I talking about?</t>
  </si>
  <si>
    <t>Nyeleti</t>
  </si>
  <si>
    <t>23.06.2019 10:10</t>
  </si>
  <si>
    <t>How Is It Still Alive: Horse Out Here Walking Around With A Hole In Its Neck!</t>
  </si>
  <si>
    <t>Chappie the type of nigga u send to the store to grab some dutches  and doritos</t>
  </si>
  <si>
    <t>SM⭕K € L⭕UD✔€RIFI€D SAVAG€</t>
  </si>
  <si>
    <t>23.06.2019 09:50</t>
  </si>
  <si>
    <t>Lukho</t>
  </si>
  <si>
    <t>23.06.2019 09:46</t>
  </si>
  <si>
    <t>bangz</t>
  </si>
  <si>
    <t>LaBaby</t>
  </si>
  <si>
    <t>MaKhumalo</t>
  </si>
  <si>
    <t>23.06.2019 09:48</t>
  </si>
  <si>
    <t>Mountain Dew, Doritos
 She holds me so close and warm
 Tears return to soil</t>
  </si>
  <si>
    <t>23.06.2019 09:44</t>
  </si>
  <si>
    <t>PR1M4LF34R166</t>
  </si>
  <si>
    <t>Amazing Spider-Man</t>
  </si>
  <si>
    <t>09:40</t>
  </si>
  <si>
    <t>Obvs the green ones
Bout to have the best Doritos. Which flavour am I talking about?</t>
  </si>
  <si>
    <t>Mas‍♀️</t>
  </si>
  <si>
    <t>23.06.2019 09:43</t>
  </si>
  <si>
    <t>Please tell me you washed your hands before eating those..
The only bag of Doritos that matter</t>
  </si>
  <si>
    <t>Pokémon: Sobbles cry twice</t>
  </si>
  <si>
    <t>23.06.2019 09:42</t>
  </si>
  <si>
    <t>Gerald (Gerre) Heron</t>
  </si>
  <si>
    <t>23.06.2019 09:47</t>
  </si>
  <si>
    <t>@Doritos It gives me the power to reverse the snap just by eating one Dorito.</t>
  </si>
  <si>
    <t>Bryan Gustafson</t>
  </si>
  <si>
    <t>23.06.2019 09:41</t>
  </si>
  <si>
    <t>Boss Ladies
Show : Dance Moms
.
.
.
#dance #dancer #dancers #dancersofinstagram #ballet #lyrical #contemporary #tap #hiphop #comercial #jazz #ballroom #studio #dancemoms #dwts #dwtsjuniors #worldofdance #doritos #dancedorito #dancedoritowebsite #maddieziegler #mackenzieziegler #kendallvertes #niasioux #kalanihilliker #brynnrumfallo #jojosiwa
@niasioux @kendallvertes @maddieziegler @brynnrumfallo @kenzie @kalanihilliker @itsjojosiwa</t>
  </si>
  <si>
    <t>A dorito who loves dancing</t>
  </si>
  <si>
    <t>competition,scene,theatre,musical theatre,stage,event,modern dance,performance art,choreography,performance,sports</t>
  </si>
  <si>
    <t>09:37</t>
  </si>
  <si>
    <t>23.06.2019 09:39</t>
  </si>
  <si>
    <t>John From Work</t>
  </si>
  <si>
    <t>Saint-Clément-les-Places</t>
  </si>
  <si>
    <t>09:36</t>
  </si>
  <si>
    <t>It’s delivery day yallllContact us at 438-3002 to place your order today ! Get your snack bundles AS LOW AS $19.99 
☺️
#snacks #snackbundles  #wholesaleprices lunchbox #lunchboxideas #healthysnacks #chips #nabisco #cheaperbythedozen #fruitcocktail #fruitsnacks #healthybar #cookies #nuts #instasnack #snacktime #oreo #chipsahoy</t>
  </si>
  <si>
    <t>One Stop Snack Shop</t>
  </si>
  <si>
    <t>junk food,snack,convenience food,food</t>
  </si>
  <si>
    <t>Drugstore Deals: June 23-29, 2019</t>
  </si>
  <si>
    <t>(from 6-16 R)
$1.00 each after coupon(s) and store rewards
$0.99 Smile &amp; Save Paper Plates , 64 ct or Foil, 25 sq ft with in-ad coupon (limit 4)
$0.99 Smile &amp; Save Sandwich Bags , 50 or 15o ct or Freezer or Storage Bags, 15-20 ct with in-ad coupon (limit 4)
$12.99 White Claw or Bon &amp; Viv Spiked Seltzer , 12 oz cans + deposit
-$12.00/1 Mail in Rebate (prints at checkout)
$0.99 after rebate
3 for $4.00 Pringles
– $1.00/3 Paperless coupon
$1.00 each after coupon
$1.99 Lay’s or Doritos , 7.75-9.75 oz
$4.99 Colgate Toothbrush or Toothpaste , twin packs</t>
  </si>
  <si>
    <t>melissa1</t>
  </si>
  <si>
    <t>bargainstobounty.com</t>
  </si>
  <si>
    <t>23.06.2019 09:49</t>
  </si>
  <si>
    <t>Things that bring me pure joy:
When jimin is happy
Praising jimin
Others praising jimin
Jimin’s laughter
Jimin eating
Jimin being proud of himself
Jimin dancing
Jimins vocals
Jimin’s smile
Jimin’s eye smile
My chihuahua
Food
Traveling
Sleeping
Flaming hot Doritos
Sour gummies</t>
  </si>
  <si>
    <t>Brisa</t>
  </si>
  <si>
    <t>Бенуэ</t>
  </si>
  <si>
    <t>Jimin</t>
  </si>
  <si>
    <t>23.06.2019 09:38</t>
  </si>
  <si>
    <t>Mood all Sunday #ad #doritos #flamas #myfavorite #thewaytomyheart
@doritos</t>
  </si>
  <si>
    <t>Kayla</t>
  </si>
  <si>
    <t>23.06.2019 09:35</t>
  </si>
  <si>
    <t>I’ve just wiped Doritos Chilli Heatwave dust in my eye and now the name makes bastard sense.</t>
  </si>
  <si>
    <t>Ceej Tee</t>
  </si>
  <si>
    <t>Портсмут</t>
  </si>
  <si>
    <t>23.06.2019 09:37</t>
  </si>
  <si>
    <t>Boikanyo Thebe</t>
  </si>
  <si>
    <t>23.06.2019 09:33</t>
  </si>
  <si>
    <t>Sphesihle</t>
  </si>
  <si>
    <t>Imagine not only choosing the wrong bag but the wrong porn site too
The only bag of Doritos that matter</t>
  </si>
  <si>
    <t>White Lotus</t>
  </si>
  <si>
    <t>Half Assini</t>
  </si>
  <si>
    <t>NoraEkard</t>
  </si>
  <si>
    <t>Dollar General Coupon Matchups – Week Of 06/23- 06/29</t>
  </si>
  <si>
    <t>Valley Bottled Water, 32 pk - 2/$6 wyb 2 Coca-Cola, Sprite, or Fanta, 12 pk - 3/$10 wyb 3 $1.00/3 DG Digital Coupon
Final Price: $3.00 each wyb 3 Doritos Family Size, 9.5 - 10.5 oz - 2/$5 wyb 2 Dr. Pepper, RC Cola, Sunkist, Canada Dry, A&amp;W, &amp; 7Up, 2 L - $0.95/ea wyb 3 Duke's Mayonnaise, 32 oz - $2.95 Dunkin' Donuts K-Cups, 10 ct - $5.95 $2/2 Dunkin' Donuts Coffee Products, exp. 7/30/19 (RMN 05/19/19) [Excludes dunkin' donuts cold brew]
Final Price: $4.95 each wyb 2 Folgers Classic Roast, 30.5 oz - $6.75 $1/1 Folgers Product printable
Final Price</t>
  </si>
  <si>
    <t>forthemommas.com</t>
  </si>
  <si>
    <t>Posted @withrepost • @viralxnets Your 2nd emoji is your reaction 
@suprememojib
-
Follow @viralxnets ❤️</t>
  </si>
  <si>
    <t>Teenvirals</t>
  </si>
  <si>
    <t>23.06.2019 09:28</t>
  </si>
  <si>
    <t>@MluDeGreat This picture looked innocent.. Just Doritos.</t>
  </si>
  <si>
    <t>տԺԑԻραιԺ</t>
  </si>
  <si>
    <t>Nine</t>
  </si>
  <si>
    <t>23.06.2019 10:09</t>
  </si>
  <si>
    <t>Who doesn’t love a good creepy attic. @openyourpassport this is her attic since she moved into her house a few years ago. It is a serial killers wet dream setting  also I say there is defo a spirit living there looking for some Doritos #creepyattic #strangeplaces #exploring #serialkillerswetdream</t>
  </si>
  <si>
    <t>GlennCoco91</t>
  </si>
  <si>
    <t>ᵈᵃʷⁿᵉʸ</t>
  </si>
  <si>
    <t>@PresbyPolemics Absolutely! Pot is an incredibly dangerous drug. It doesn’t enhance appreciation for the truthful nature of things. A glass of fine wine makes a well prepared meal taste better. Pot makes a bag of Doritos taste like food from the Angels.</t>
  </si>
  <si>
    <t>Ron H</t>
  </si>
  <si>
    <t>23.06.2019 09:27</t>
  </si>
  <si>
    <t>Mhairi Ledgerwood</t>
  </si>
  <si>
    <t>Задунайский край</t>
  </si>
  <si>
    <t>Pat</t>
  </si>
  <si>
    <t>23.06.2019 09:30</t>
  </si>
  <si>
    <t>@SMichelle1978 I only tried the Cheetos once and didn’t like them much. Regular potato chips were the best. Doritos were ok. I don’t even eat a lot of sandwiches anymore. People will try it once and that will be it. It won’t last.</t>
  </si>
  <si>
    <t>Rob Poe</t>
  </si>
  <si>
    <t>St. Francisville</t>
  </si>
  <si>
    <t>Nqaba</t>
  </si>
  <si>
    <t>23.06.2019 09:26</t>
  </si>
  <si>
    <t>Alejandro Tinajero</t>
  </si>
  <si>
    <t>23.06.2019 09:29</t>
  </si>
  <si>
    <t>@Isakprivvv That’s what you get for eating doritos</t>
  </si>
  <si>
    <t>23.06.2019 09:25</t>
  </si>
  <si>
    <t>Tammy 2</t>
  </si>
  <si>
    <t>23.06.2019 09:23</t>
  </si>
  <si>
    <t>Samantha Mulcaster</t>
  </si>
  <si>
    <t>23.06.2019 09:31</t>
  </si>
  <si>
    <t>SuperCivilKnight_YT</t>
  </si>
  <si>
    <t>23.06.2019 09:22</t>
  </si>
  <si>
    <t>liz</t>
  </si>
  <si>
    <t>@Doritos You literally had a flavor with FOUR CHEESE in the name
XD LMAO
I love you, @Doritos
Never change</t>
  </si>
  <si>
    <t>George Stebbins</t>
  </si>
  <si>
    <t>RibBot</t>
  </si>
  <si>
    <t>Boutiers-Saint-Trojan</t>
  </si>
  <si>
    <t>sula_lb</t>
  </si>
  <si>
    <t>Kampala</t>
  </si>
  <si>
    <t>Кампала</t>
  </si>
  <si>
    <t>23.06.2019 09:21</t>
  </si>
  <si>
    <t>Anne T. Donahue</t>
  </si>
  <si>
    <t>Oh my god 
I put on snap “I put my dick in a bag of Doritos” AND SOMEONE SAID ID DO THAT IF YOU WPUKD SUCK IT OFF 
FUCK OFF NOOOOO</t>
  </si>
  <si>
    <t>ruby    semi-ia to study</t>
  </si>
  <si>
    <t>23.06.2019 09:24</t>
  </si>
  <si>
    <t>Dafne ️‍</t>
  </si>
  <si>
    <t>⠀⠀ don’t tell joonie but i only plan on eating doritos dipped in nutella today hehe (*´꒳`*)</t>
  </si>
  <si>
    <t>Ниньби́нь</t>
  </si>
  <si>
    <t>xã Chất Bình</t>
  </si>
  <si>
    <t>Panda</t>
  </si>
  <si>
    <t>23.06.2019 09:19</t>
  </si>
  <si>
    <t>Chantal Botha</t>
  </si>
  <si>
    <t>obviously the cheese flavour
Bout to have the best Doritos. Which flavour am I talking about?</t>
  </si>
  <si>
    <t>sbwl love back.</t>
  </si>
  <si>
    <t>tshego.</t>
  </si>
  <si>
    <t>23.06.2019 09:16</t>
  </si>
  <si>
    <t>Ramaphosisa‍♀️</t>
  </si>
  <si>
    <t>Трнавский край</t>
  </si>
  <si>
    <t>Трнава</t>
  </si>
  <si>
    <t>Doritos can go
One has to go: Chips Edition</t>
  </si>
  <si>
    <t>Simphiwe</t>
  </si>
  <si>
    <t>23.06.2019 09:17</t>
  </si>
  <si>
    <t>Uh Ha Ha</t>
  </si>
  <si>
    <t>09:13</t>
  </si>
  <si>
    <t>23.06.2019 09:14</t>
  </si>
  <si>
    <t>Aunty Cuz</t>
  </si>
  <si>
    <t>09:12</t>
  </si>
  <si>
    <t>23.06.2019 09:13</t>
  </si>
  <si>
    <t>@Doritos This would give me the power to wear this at a club, confuse the bouncer when I hand over my ID, and impress everyone there with my awesome spider moves #Entry #IncognitoDoritos</t>
  </si>
  <si>
    <t>09:11</t>
  </si>
  <si>
    <t>Homemade Guacamole 
.
.
.
#guacamole #avocado #doritos #nachos #homemade #foodlover #foodstagram #instafood #goodfoodgoodmood #summervibes #latino #food #freshfood #sakafo</t>
  </si>
  <si>
    <t>Natacha_</t>
  </si>
  <si>
    <t>garnish,salad,diet food,natural foods,fruit,vegetable,food</t>
  </si>
  <si>
    <t>The blue or green ones ?
Bout to have the best Doritos. Which flavour am I talking about?</t>
  </si>
  <si>
    <t>A baby boy</t>
  </si>
  <si>
    <t>Waking up with my favourite Ginger!  Dorito Davies.
.
.
.
.
#gingerkittens #cats_of_instagram #cat #instacat #bestie #furryporn #doritos #sleepy #cute #lad</t>
  </si>
  <si>
    <t>Mike Davies</t>
  </si>
  <si>
    <t>The green ones are the best ones
The only bag of Doritos that matter</t>
  </si>
  <si>
    <t>Akhona Dlamini</t>
  </si>
  <si>
    <t>23.06.2019 09:09</t>
  </si>
  <si>
    <t>Homie eating Doritos while studying and watching porn in the kitchen
The only bag of Doritos that matter</t>
  </si>
  <si>
    <t>Kwanda Fox</t>
  </si>
  <si>
    <t>West Rand Garden estates</t>
  </si>
  <si>
    <t>23.06.2019 09:10</t>
  </si>
  <si>
    <t>NACHO STYLE FEAST  Syn Free chilli mix with @jdseasonings wedges and 30g of cheese (HexA) I made loads of the chilli so I’m gonna have it tonight with Doritos  —————— Syn Free Chilli Mix - Mince (p) - Onion (s)
- Kidney Beans
- Carrot (s)
- Celery (s)
- Chilli Powder - Paprika - 2 tins of chopped tomatoes 
#slimmingworld #slimmingworlduk #slimmingworldblog #slimmingworldfood #slimmingworldlife #slimmingworldfamily #slimmingworldmotivation #slimmingworldjourney #slimmingworldmafia #weightloss #weightlossjourney #weightlosstransformation #weightlossmotivation #swjourney #food #foodoptimising #jdseasonings #synfree</t>
  </si>
  <si>
    <t>Paige</t>
  </si>
  <si>
    <t>Ants Vs Dorito #teamwork #ant #doritos</t>
  </si>
  <si>
    <t>Luke Miles</t>
  </si>
  <si>
    <t>Пелопоннеса, Западной Греции и Ионии</t>
  </si>
  <si>
    <t>Βαλεριάνος</t>
  </si>
  <si>
    <t>asphalt</t>
  </si>
  <si>
    <t>23.06.2019 09:08</t>
  </si>
  <si>
    <t>ryuzaki</t>
  </si>
  <si>
    <t>23.06.2019 18:53</t>
  </si>
  <si>
    <t>In the ’80s, my mother would grab a bucket of fried chicken, a bag of Doritos, and a thermos of Kool-Aid, and we’d be off.
https://www.scarymommy.com/beach-days-80s-beach-days-today/?utm_source=CM
Beach Days In The ’80s Vs. Beach Days Of Today
Oh, how things have changed since the magical beach days of my '80s childhood. -Club Mid</t>
  </si>
  <si>
    <t>Scary Mommy Tweens &amp; Teens</t>
  </si>
  <si>
    <t>tourism,sand,water,leisure,beach,sky,ocean,summer,vacation</t>
  </si>
  <si>
    <t>Taco Bell fans, hold on to your Doritos Locos Tacos. Taco Bell is turning a hotel in Palm Springs, California into The Bell: A Taco Bell Hotel and Resort. The pop-up lasts Aug. 8-12 with 70 rooms available each night.
https://www.indeonline.com/zz/entertainmentlife/20190620/taco-bell-is-launching-themed-hotel-pop-up---heres-how-to-get-room
Taco Bell is launching a themed hotel pop-up — Here's how to get a room
Taco Bell fans, hold on to your Doritos Locos Tacos — Taco Bell has created the destination of a lifetime for the die-hards out there. A four-</t>
  </si>
  <si>
    <t>The Independent (Massillon, OH)</t>
  </si>
  <si>
    <t>23.06.2019 09:02</t>
  </si>
  <si>
    <t>I see that porn on the tablet my nigga jerk and work 
The only bag of Doritos that matter</t>
  </si>
  <si>
    <t>Sotho Guy ‍</t>
  </si>
  <si>
    <t>South Bend</t>
  </si>
  <si>
    <t>23.06.2019 09:03</t>
  </si>
  <si>
    <t>Rate this beast @dori7os_fd3s  #DORI7OS #Doritos #PoweredbyDoritos #Mazda #RX7 #FDRX7 #FD3S #FD3SNation #Efini #13B #13BREW #rotary #rotaryengine #rotarypower #wankel #turbo #twinturbo #RHD</t>
  </si>
  <si>
    <t>Cars| car enthusiast| brand</t>
  </si>
  <si>
    <t>23.06.2019 08:59</t>
  </si>
  <si>
    <t>You time travelled back to ‘09 for the limited edition purple pack Taco flavour
Bout to have the best Doritos. Which flavour am I talking about?</t>
  </si>
  <si>
    <t>Pan</t>
  </si>
  <si>
    <t>23.06.2019 08:57</t>
  </si>
  <si>
    <t>Siyabonga</t>
  </si>
  <si>
    <t>TSURO</t>
  </si>
  <si>
    <t>Paden</t>
  </si>
  <si>
    <t>Ngoako Lerato Mannya</t>
  </si>
  <si>
    <t>23.06.2019 08:55</t>
  </si>
  <si>
    <t>Nachos for lunch320cals and worth every one they were unreal
#nachos #salsa #doritos  #doritosnachos #weightlosstransformation#weightloss #flexiblediet #mfp #caloriecounting #myfitnesspal #caloriedeficit #food #slimmingworld #weightwatchers #fooddiary #diet #lifestylechange #fromflabtofab #weightlossgoals #macros #goalweight#gettingfit#trackingmacros#icandoit#weightlossjourney</t>
  </si>
  <si>
    <t>Weight Loss Account</t>
  </si>
  <si>
    <t>meal,pasta,chinese noodles,french fries,fast food,spaghetti,junk food,food</t>
  </si>
  <si>
    <t>08:53</t>
  </si>
  <si>
    <t>23.06.2019 09:00</t>
  </si>
  <si>
    <t>@Beanaldo__ Ebony anal an Doritos - man is living!</t>
  </si>
  <si>
    <t>Walts</t>
  </si>
  <si>
    <t>Вестра-Гёталанд</t>
  </si>
  <si>
    <t>Гётеборг</t>
  </si>
  <si>
    <t>I HATE HOT DRINKS PLEASE STOP TORTURATING ME  WEIRD BODY ❤️OKAY, do you guys get sick on summer too? ❤️ I literally hate this. I can't even remember the last time when I got sick on winter. It makes no sense, why would i get sick on summer? I drink lots of iced coffee and iced drinks on winter and I get nothing.
‼️ALSO, THIS IS my first comic made in Procreate. It is pretty bad, but I promise I will learn Procreate and make better content❤️‼️
-
-
#draw #drawing #drawings #doodle #doodles #digitalart #art #illustration #artoftheday #artistsoninstagram #arts #comic #comics #webcomic #webtoon #webtoons #digitalcomic #comicartist #artoftheday #doritos #cold #summer #icedcoffee #bfcomicsspotlight #featurefriday #seemedoodle</t>
  </si>
  <si>
    <t>Mary Nicola</t>
  </si>
  <si>
    <t>in the space of two days I’ve eaten my way through five large spicy Doritos packets
-
#avatarthelastairbender #avatar #atla #thedragonprince #tdp #rayllum #rayla #katara #sokka #princezuko #firebender #waterbender #airbender #textpost #twitterpost #netflix</t>
  </si>
  <si>
    <t>Olly (she/her/they/their)✧//</t>
  </si>
  <si>
    <t>23.06.2019 09:01</t>
  </si>
  <si>
    <t>⛲️ Current mood ⛲️.
⠀⠀⠀⠀⠀⠀⠀⠀⠀
That’s not true I am currently hugging my toilet and throwing up everything I ever ate in my life after a full day of tubing and daydrinking shitty canned wine and doritos please god make it go away and I’ll never pretend to like off brand rosé ever again ugh kill me whyyyyyyy
⠀⠀⠀⠀⠀⠀⠀⠀⠀
 @_tiffanymcarter #girlmeetsfood #washingtondc #igdc #acreativedc #BYThings #dclife #dcliving #dctography #thedistrict #dcitystyle #wegramthistown
@capitalcooking @brightestyoungthings @angelicatalan @washingtonianmag @washpostphoto @yelpdc @visitwashingtondc @dcitystyle @lindawangphotography @tsgwashingtondc @johnnaknowsgoodfood @wethepeopledc @dcfempreneur @washingtonpostmag @rudefoodpics @202creates @thelifeofshaiboo @dcbucketlister @brbdrooling @pike.and.rozay</t>
  </si>
  <si>
    <t>Girl Meets Food®</t>
  </si>
  <si>
    <t>shoe,clothing,trousers</t>
  </si>
  <si>
    <t>DerBarde️</t>
  </si>
  <si>
    <t>23.06.2019 08:50</t>
  </si>
  <si>
    <t>My weird friend says doritos are better than ruffles‍♂️</t>
  </si>
  <si>
    <t>23.06.2019 08:48</t>
  </si>
  <si>
    <t>KnysNaH</t>
  </si>
  <si>
    <t>League City</t>
  </si>
  <si>
    <t>23.06.2019 08:47</t>
  </si>
  <si>
    <t>@Doritos Can kindness be a super power?
Because I feel like this world could use a lot more of that, right now. #IncognitoDoritos #SpiderMan</t>
  </si>
  <si>
    <t>Raditiya Dayanti</t>
  </si>
  <si>
    <t>08:44</t>
  </si>
  <si>
    <t>23.06.2019 08:45</t>
  </si>
  <si>
    <t>23.06.2019 08:44</t>
  </si>
  <si>
    <t>I can’t wait for my parents to come back off holiday so I can have proper dinners again and not Doritos and dips every night</t>
  </si>
  <si>
    <t>Heather Lacy</t>
  </si>
  <si>
    <t>Greeeen
Bout to have the best Doritos. Which flavour am I talking about?</t>
  </si>
  <si>
    <t>Fefe</t>
  </si>
  <si>
    <t>That FD  @dori7os_fd3s  #DORI7OS #Doritos #PoweredbyDoritos #Mazda #RX7 #FDRX7 #FD3S #FD3SNation #Efini #13B #13BREW #rotary #rotaryengine #rotarypower #wankel #turbo #twinturbo #RHD</t>
  </si>
  <si>
    <t>dan|brand|cars</t>
  </si>
  <si>
    <t>08:42</t>
  </si>
  <si>
    <t>23.06.2019 08:53</t>
  </si>
  <si>
    <t>BBQ Chicken Nachos before/after
.
.
.
#food #foodporn #foodie #instafood #love #instagood #foodphotography #yummy #like #delicious #follow #foodstagram #foodblogger #foodgasm #foodlover #photooftheday #healthyfood #picoftheday #dinner #healthy #fitness #tasty #eat #lunch #instagram #instadaily #foodie
@doritosuk @doritos @nachos</t>
  </si>
  <si>
    <t>Food+Foto</t>
  </si>
  <si>
    <t>Warminster</t>
  </si>
  <si>
    <t>pasta,spaghetti,junk food,food</t>
  </si>
  <si>
    <t>Zenande||sNene Leaks||Catfish</t>
  </si>
  <si>
    <t>23.06.2019 08:49</t>
  </si>
  <si>
    <t>Ghetto Intelligence</t>
  </si>
  <si>
    <t>Just redownloaded twitter to express how much I hate Cool Ranch Doritos, worst snack food ever.</t>
  </si>
  <si>
    <t>rachel</t>
  </si>
  <si>
    <t>MaDuma, MaMthombeni, Lwandle</t>
  </si>
  <si>
    <t>Ladysmith</t>
  </si>
  <si>
    <t>r¤nªn</t>
  </si>
  <si>
    <t>23.06.2019 08:40</t>
  </si>
  <si>
    <t>there are two types of people in this world, good genuine nice people and people who like cool ranch doritos.</t>
  </si>
  <si>
    <t>Jay Ashton</t>
  </si>
  <si>
    <t>23.06.2019 08:41</t>
  </si>
  <si>
    <t>Purrple Astronutz</t>
  </si>
  <si>
    <t>Half Moon Bay</t>
  </si>
  <si>
    <t>MISTER REF</t>
  </si>
  <si>
    <t>08:39</t>
  </si>
  <si>
    <t>Blue bag.
Bout to have the best Doritos. Which flavour am I talking about?</t>
  </si>
  <si>
    <t>Views From Kukuterian</t>
  </si>
  <si>
    <t>You most definitely talking about the ones tse nkgang maoto
Bout to have the best Doritos. Which flavour am I talking about?</t>
  </si>
  <si>
    <t>Lord 6th</t>
  </si>
  <si>
    <t>23.06.2019 08:38</t>
  </si>
  <si>
    <t>lol i feel bad for Mark hahahahahaha
Hey Canada, Ketchup Season is finally here! Spot the #DoritosKetchup chips and upload a screenshot for a chance to win a year’s supply of Doritos. #MadeInCanada</t>
  </si>
  <si>
    <t>kc ✨</t>
  </si>
  <si>
    <t>23.06.2019 08:46</t>
  </si>
  <si>
    <t>I like to try new recipes and have my family rate them. In the margin of the cookbook (or recipe card), I make a note of what everyone “scored” the dish.  I also include any of their suggestions, such as what to add more of, less of or what to pair it with.  If I make it for a special occasion, I also write that for reference.  I collected cookbooks years before @pinterest. How many of you still collect cookbooks? (Make sure to comment below so my posts will continue to show in your feed!).__________________________ #sundaydinner #sundaysupper #recipes #familymeals #cookingforacrowd #cookbook #food #foodie #yummy #yummyfood #delicious #homemade #tasty #cooking #instafood #momlife #homecooked #homecookedmeal #instablogger #kentuckyblogger
@doritos @walmart @tostitos</t>
  </si>
  <si>
    <t>Marada Chaffins</t>
  </si>
  <si>
    <t>Pines twins and the doritos
#gravityfalls #notmyartwork #thebestserie #pinestwins #billcipher #mabelpines #dipperpines #stanleypines #stanfordpines</t>
  </si>
  <si>
    <t>The Pines</t>
  </si>
  <si>
    <t>08:34</t>
  </si>
  <si>
    <t>23.06.2019 08:36</t>
  </si>
  <si>
    <t>Green packet
Bout to have the best Doritos. Which flavour am I talking about?</t>
  </si>
  <si>
    <t>Achaia</t>
  </si>
  <si>
    <t>23.06.2019 09:06</t>
  </si>
  <si>
    <t>Ecrin Su Çoban X Emma Watson 
dt : tagged
for : EcrinSu ve Emma⛓
__________________________
@ecrinsucoban_offical &amp; @ecrinsucoban &amp; @emmawatson 
________________________________
#teamecsu #ecrinsuçoban #ecrinsucoban #ecrinsucobanfan #eçfc #alicemüzikali #alice #masalşatosu #sungerboob
@exrinsu.vsp @myladybug_ecrinsu @ecrininmelekleri @wafflecrinsu @ecrinsu.cupcake @doritos.ecrin</t>
  </si>
  <si>
    <t>98</t>
  </si>
  <si>
    <t>Сен-Бриё</t>
  </si>
  <si>
    <t>Ernestein</t>
  </si>
  <si>
    <t>green
Bout to have the best Doritos. Which flavour am I talking about?</t>
  </si>
  <si>
    <t>pan ️‍</t>
  </si>
  <si>
    <t>23.06.2019 08:34</t>
  </si>
  <si>
    <t>So porn helps you study my guy?
The only bag of Doritos that matter</t>
  </si>
  <si>
    <t>Robyn Fenty’s soulmate</t>
  </si>
  <si>
    <t>08:29</t>
  </si>
  <si>
    <t>23.06.2019 08:30</t>
  </si>
  <si>
    <t>New Age Chester</t>
  </si>
  <si>
    <t>Rustenburg</t>
  </si>
  <si>
    <t>23.06.2019 08:39</t>
  </si>
  <si>
    <t>Senior</t>
  </si>
  <si>
    <t>Marshmallows, doritos and ghoststories in the midsummer sunset.
.
.
.
.
#iceland #hraunborgir #camping #traveling #travelphotography #instatravel #icelandtravel #teavelwithkids #kids #sunset #midsummer #doritos #marshmallows #vikingfamilyadventures</t>
  </si>
  <si>
    <t>Óskar &amp; Inga</t>
  </si>
  <si>
    <t>grass,sky</t>
  </si>
  <si>
    <t>Blue packet!!!
Bout to have the best Doritos. Which flavour am I talking about?</t>
  </si>
  <si>
    <t>uLebo ongumXhosa ❤️</t>
  </si>
  <si>
    <t>23.06.2019 08:37</t>
  </si>
  <si>
    <t>Blue ones mam. Anything else and uyathakatha
Bout to have the best Doritos. Which flavour am I talking about?</t>
  </si>
  <si>
    <t>Silindile</t>
  </si>
  <si>
    <t>Somalia</t>
  </si>
  <si>
    <t>Хиран</t>
  </si>
  <si>
    <t>Food Cade</t>
  </si>
  <si>
    <t>23.06.2019 08:35</t>
  </si>
  <si>
    <t>flame</t>
  </si>
  <si>
    <t>23.06.2019 08:43</t>
  </si>
  <si>
    <t>Buhle Gamede</t>
  </si>
  <si>
    <t>23.06.2019 08:32</t>
  </si>
  <si>
    <t>Double Cheese
Bout to have the best Doritos. Which flavour am I talking about?</t>
  </si>
  <si>
    <t>Siya</t>
  </si>
  <si>
    <t>Jimmy!!!  You’re so old!!!!  @Doritos @680TheFan
@CelliniNick @Braves @680TheFan The future.</t>
  </si>
  <si>
    <t>nick cellini</t>
  </si>
  <si>
    <t>Marietta</t>
  </si>
  <si>
    <t>Blue packet
Bout to have the best Doritos. Which flavour am I talking about?</t>
  </si>
  <si>
    <t>Mnisiwemvula</t>
  </si>
  <si>
    <t>Хузестан</t>
  </si>
  <si>
    <t>لیوس</t>
  </si>
  <si>
    <t>23.06.2019 08:42</t>
  </si>
  <si>
    <t>- Ayowole McSauce</t>
  </si>
  <si>
    <t>BreadMama</t>
  </si>
  <si>
    <t>Автономная Республика Крым</t>
  </si>
  <si>
    <t>'Kachi</t>
  </si>
  <si>
    <t>Умбрия</t>
  </si>
  <si>
    <t>Africa</t>
  </si>
  <si>
    <t>Olaoluwa</t>
  </si>
  <si>
    <t>lilitha_q</t>
  </si>
  <si>
    <t>green or orange
Bout to have the best Doritos. Which flavour am I talking about?</t>
  </si>
  <si>
    <t>Lato</t>
  </si>
  <si>
    <t>Curonian Veste</t>
  </si>
  <si>
    <t>michael skillz</t>
  </si>
  <si>
    <t>guess you met your match
I’m trying to enjoy these Doritos and little Doug has matched me chip for chip smh I’m used to eating whole bags around here</t>
  </si>
  <si>
    <t>KEESH</t>
  </si>
  <si>
    <t>Dandenong</t>
  </si>
  <si>
    <t>@TalkingWolves Kids at school calling me doritos. Good Times.</t>
  </si>
  <si>
    <t>Sean Donne-Davis</t>
  </si>
  <si>
    <t>Not the best (again) but Ben makes it so much better ❤️❤️-Han
•
•
•
•
#queen #bohemianrhapsody #fanpage #freddiemercury #rogertaylor #brianmay #johndeacon #ramimalek #benhardy #joemazzello #gwilymlee #70s #80s #boRhapmovie#queenmemes#bohemianrhapsodymemes#borhapmemes.
@benhardy</t>
  </si>
  <si>
    <t>BenAndRogerAreTheLoveOfMyLives</t>
  </si>
  <si>
    <t>car,soft drink,drink</t>
  </si>
  <si>
    <t>23.06.2019 08:27</t>
  </si>
  <si>
    <t>Christopher La Riva</t>
  </si>
  <si>
    <t>Got me some snacks #munchday#sunday#netflix</t>
  </si>
  <si>
    <t>Dan Burchell</t>
  </si>
  <si>
    <t>Mexican 
-
-
-
#fun #funny #funnyvideo # #mexican #doritos #man #crazy #run #hide</t>
  </si>
  <si>
    <t>Minsundrrstood_1_</t>
  </si>
  <si>
    <t>Sniper Sunday // Fortnite montage</t>
  </si>
  <si>
    <t>Sniper Sunday // Fortnite montage
Very epic content
Leave a like if you want more &amp; consider subscribing
Follow my instagram page:
https://www.instagram.com/yt_itsalpha/</t>
  </si>
  <si>
    <t>Its Alpha</t>
  </si>
  <si>
    <t>Sthe there’s a lot going on here 
The only bag of Doritos that matter</t>
  </si>
  <si>
    <t>23.06.2019 08:26</t>
  </si>
  <si>
    <t>@MiguelinFM_98 Este tuit huele a doritos y sudor</t>
  </si>
  <si>
    <t>MarsialSeUve</t>
  </si>
  <si>
    <t>Sanele Sikhakhane</t>
  </si>
  <si>
    <t>The only way to study
The only bag of Doritos that matter</t>
  </si>
  <si>
    <t>Staying alive_BG</t>
  </si>
  <si>
    <t>23.06.2019 08:31</t>
  </si>
  <si>
    <t>Nisha</t>
  </si>
  <si>
    <t>Meneer ✨</t>
  </si>
  <si>
    <t>Caesar mayor</t>
  </si>
  <si>
    <t>Эдо</t>
  </si>
  <si>
    <t>Бенин-Сити</t>
  </si>
  <si>
    <t>i mean i guess</t>
  </si>
  <si>
    <t>Hahaha I do that -
-
-
-
-
-
-
-
#darkmemes #dankmemes #memes #meme #darkhumour #edgymemes #dolandark #grandayy #pewdiepie #emo #instagram #memesdaily #memed #sex #sexmemes #funnymemes #gay #lesbian #bisexual #transgender #kissingyourhomiesgoodnight</t>
  </si>
  <si>
    <t>Dr.Nut PHD™️</t>
  </si>
  <si>
    <t>He was less irritating when he was a doritos
#gravityfalls #notmyartwork #thebestserie #dipperpines #billcipher #bipper #billdip</t>
  </si>
  <si>
    <t>The super power is to never have the Dorito residue stuck on your fingertips after eating Doritos. #IncognitoDoritos  #Entry
Want to score this Limited-Edition Doritos Spidey Suit? Tell us what super power Doritos gives you using #IncognitoDoritos #Entry for the chance to win! Rules @ https://bit.ly/2MXEpdc Be sure to check out #SpiderManFarFromHome, in theaters July 2!</t>
  </si>
  <si>
    <t>Navi</t>
  </si>
  <si>
    <t>Snacking at “8am in tha mawwnin” ☀️ ☀️ #Doritos #spidermanfarfromhome</t>
  </si>
  <si>
    <t>JOZAY™</t>
  </si>
  <si>
    <t>Dave Pitinga</t>
  </si>
  <si>
    <t>Mountain View</t>
  </si>
  <si>
    <t>dOriToS
.
.
.
.
.
.
.
#memes #cringe #edgymemes #STOLEN #stolenmeme #memepage #normie #tiktok #sensitive #earrapememes #earrape #cursedimage #cursed #minecraftmeme #comunism #communismmemes #nigga #penismemes #doggo</t>
  </si>
  <si>
    <t>NΞʞƎN̶</t>
  </si>
  <si>
    <t>Twilight</t>
  </si>
  <si>
    <t>SiThEmBiso</t>
  </si>
  <si>
    <t>Unkle Bay</t>
  </si>
  <si>
    <t>back to my nap hopefully I can continue my board game because yeosang owes me a bag of doritos if i won</t>
  </si>
  <si>
    <t>jay  oneteez zone</t>
  </si>
  <si>
    <t>Anneka</t>
  </si>
  <si>
    <t>Oswestry</t>
  </si>
  <si>
    <t>23.06.2019 15:49</t>
  </si>
  <si>
    <t>It's the little things 
Moving house can be stressful. This time it has been pretty much ok... ...the best bit? Subway deliver to my new house  what's not to love haha especially when I've been wanting nothing but subway every day!
#food #foodie #happy #happyplace #tasty #yummy #nomnom #instafood #foodstagram #subway #delivery #love #lovefood #moving #housemove #new #fresh</t>
  </si>
  <si>
    <t>Jessica Barlow</t>
  </si>
  <si>
    <t>Bentley</t>
  </si>
  <si>
    <t>comfort food,fried food,snack,fast food,meal,junk food,food</t>
  </si>
  <si>
    <t>, and im not trying to be ️‍♀️I have so much respect for everyone else who is, but its just not something for me. I love sharing and posting about my journey but I also have so much going on outside of my "fitness life"
.
I go out with my friends, I party, I drink my beers, I down whole family-sized bags of doritos in one sitting  I do lots of things that arent very much #fitgirl and that is OKAY. Unless your career revolves around fitness, i don't think there is any need for it to control every other aspect of your life. Don't be too hard on yourself, and make fitness something that fits into your lifestyle and not the other way around!! ☝️</t>
  </si>
  <si>
    <t>France Preecha</t>
  </si>
  <si>
    <t>Роттердам</t>
  </si>
  <si>
    <t>leisure,summer,grass,vacation</t>
  </si>
  <si>
    <t>Posted up, nacho cheese on the fingers. ⠀
•⠀
•⠀
•⠀
•⠀
•⠀
#photobycurtis #clicksclub #denverphotographer #denverphotography #denverphoto #portraitphotography #portrait_star #portrait_universe #canonsl2 #canonphotography #canon_camera  #photography #photooftheday #love #photo #instagood #nature #art #photographer #like #instagram #picoftheday #travel #follow #fashion #beautiful #photoshoot #model #canon #style
@amandasjefferies</t>
  </si>
  <si>
    <t>Curtis Tucker</t>
  </si>
  <si>
    <t>@Doritos #IncognitoDoritos #Entry They give me the power to make doritos disappear really fast!</t>
  </si>
  <si>
    <t>Keely Hostetter</t>
  </si>
  <si>
    <t>So I’m telling myself that @doritos - it’s like eating corn bread with cheese and tomato for breakfast.  #glutenfree #doritos</t>
  </si>
  <si>
    <t>Dàiyù</t>
  </si>
  <si>
    <t>#doritos #photogenic</t>
  </si>
  <si>
    <t>Amy Gillett</t>
  </si>
  <si>
    <t>We've decided to get a bit fancy with next month's Canadian box...  Along with a few of your favourite childhood treats, we're including a few more "adult" snacks for you to try.</t>
  </si>
  <si>
    <t>Expack</t>
  </si>
  <si>
    <t>President Valentine</t>
  </si>
  <si>
    <t>Becca</t>
  </si>
  <si>
    <t>I'M DORITOS AF RN TBH MOUNTAIN DEW #YOLO SWAG XD Follow your dad in her former husband left her some of hearing people don't</t>
  </si>
  <si>
    <t>Dhlamini</t>
  </si>
  <si>
    <t>HOBO COURIER</t>
  </si>
  <si>
    <t>Sgeza</t>
  </si>
  <si>
    <t>¿��¿</t>
  </si>
  <si>
    <t>BeardGang</t>
  </si>
  <si>
    <t>Singapore</t>
  </si>
  <si>
    <t>Сингапур</t>
  </si>
  <si>
    <t>23.06.2019 08:33</t>
  </si>
  <si>
    <t>Sebastian.</t>
  </si>
  <si>
    <t>THABANG</t>
  </si>
  <si>
    <t>23.06.2019 07:50</t>
  </si>
  <si>
    <t>Jordan Coetzee</t>
  </si>
  <si>
    <t>Togo</t>
  </si>
  <si>
    <t>Ломе</t>
  </si>
  <si>
    <t>23.06.2019 07:46</t>
  </si>
  <si>
    <t>@Doritos Doritos gives me the power to eat unlimited bags of delicious chips  #IncognitoDoritos #Entry</t>
  </si>
  <si>
    <t>Roger Bowers</t>
  </si>
  <si>
    <t>#albania #ethnicalbania #shqipnietnike #kosova #kosovo #kosovoisalbania #dardania #illyrian #illyria #fuckserbia
@shqiponjet @shqyponjat @illyrian_aristocrath @ilir.kq @shqiposting_in_catholicism @illyria_dardania_maps @albanians.are.illyrians @drenicak.v2 @proud._.albanian @albanian_third_position @illyrian_pelasgian @shqiptariaofficial</t>
  </si>
  <si>
    <t>Z O G</t>
  </si>
  <si>
    <t>07:39</t>
  </si>
  <si>
    <t>23.06.2019 07:43</t>
  </si>
  <si>
    <t>@Doritos Doritos gives me the "I can do one more chore before bed" power!!! #IncognitoDoritos #entry</t>
  </si>
  <si>
    <t>Denise Jiles</t>
  </si>
  <si>
    <t>23.06.2019 15:20</t>
  </si>
  <si>
    <t>Subway for lunch! Double chicken &amp; bacon with BBQ sauce for me and meatball marinara sub for jack.. fully stuffed now, time to relax after a morning at the swimming pool! 
#weightloss #glutendairyfree #weightlosstransformation #whole30recipes #wwlife #swimming #exercise #ww</t>
  </si>
  <si>
    <t>Katie &amp; Jack</t>
  </si>
  <si>
    <t>Ньюпорт</t>
  </si>
  <si>
    <t>comfort food,junk food,meal,food</t>
  </si>
  <si>
    <t>23.06.2019 07:40</t>
  </si>
  <si>
    <t>Sofa Sizama</t>
  </si>
  <si>
    <t>23.06.2019 07:37</t>
  </si>
  <si>
    <t>Jordan Teufel</t>
  </si>
  <si>
    <t>07:31</t>
  </si>
  <si>
    <t>23.06.2019 07:32</t>
  </si>
  <si>
    <t>Agi Oageng Moche</t>
  </si>
  <si>
    <t>23.06.2019 07:34</t>
  </si>
  <si>
    <t>@GiftedMaster69 @Just_Jolty No, obviously I will be but he will be at my right side in a dog basket made entirely of Doritos.</t>
  </si>
  <si>
    <t>Buster - Mr Leather UK</t>
  </si>
  <si>
    <t>07:25</t>
  </si>
  <si>
    <t>Yaah
#darkhumor #darkmemes #memes #tom#memesdaily #dailymemes#offensuvememes #death #memes #tom #memesdaily#memes</t>
  </si>
  <si>
    <t>follows you</t>
  </si>
  <si>
    <t>23.06.2019 07:28</t>
  </si>
  <si>
    <t>23.06.2019 07:22</t>
  </si>
  <si>
    <t>Doritos for me lol
Pringles</t>
  </si>
  <si>
    <t>Gerald Chigwada Jnr</t>
  </si>
  <si>
    <t>Chinelo Brandt</t>
  </si>
  <si>
    <t>ronnie cassol</t>
  </si>
  <si>
    <t>Венето</t>
  </si>
  <si>
    <t>Падуя</t>
  </si>
  <si>
    <t>23.06.2019 07:21</t>
  </si>
  <si>
    <t>Lee T. Lunsford 2.8K</t>
  </si>
  <si>
    <t>Оренбургская область</t>
  </si>
  <si>
    <t>Воздвиженка</t>
  </si>
  <si>
    <t>23.06.2019 07:13</t>
  </si>
  <si>
    <t>2018 bikini masters overall champion @npcfirstcallout  @circe.xxii killin it ALL DAY!!! Repost @circe.xxii with @get_repost
・・・
Actions Speak Louder than Pics.
✩
{5’6.75” • 127.5lbs}
3 weeks into prep, keeping a slow and steady pace.
Still holding at 2.5lbs from stage weight, so this upcoming week is my last chance to indulge in the cake and Doritos and other junk I manage to fit into my day before I start eating healthily on a more consistent basis. If I’m nothing else, I’m a walking reminder of “everything in moderation.” Yes</t>
  </si>
  <si>
    <t>NPC First Callout</t>
  </si>
  <si>
    <t>exercise machine,exercise equipment</t>
  </si>
  <si>
    <t>undergarment,gym</t>
  </si>
  <si>
    <t>07:12</t>
  </si>
  <si>
    <t>23.06.2019 07:14</t>
  </si>
  <si>
    <t>@Doritos gives me the power to calm the dragon sleeping in my belly #IncognitoDoritos  #entry</t>
  </si>
  <si>
    <t>Regina A. Carter</t>
  </si>
  <si>
    <t>23.06.2019 07:10</t>
  </si>
  <si>
    <t>Masheleni</t>
  </si>
  <si>
    <t>07:09</t>
  </si>
  <si>
    <t>23.06.2019 07:16</t>
  </si>
  <si>
    <t>flytattedskenggg️‍</t>
  </si>
  <si>
    <t>23.06.2019 07:08</t>
  </si>
  <si>
    <t>Sharon_</t>
  </si>
  <si>
    <t>23.06.2019 07:12</t>
  </si>
  <si>
    <t>Has anyone else ever noticed that Doritos that come in the small bags taste better than the Doritos that come in the big bags?</t>
  </si>
  <si>
    <t>Jaden Jones ♡</t>
  </si>
  <si>
    <t>23.06.2019 07:07</t>
  </si>
  <si>
    <t>Melo</t>
  </si>
  <si>
    <t>I desperately want Doritos and French onion dip. DESPERATELY. The Doritos here are weird as shit</t>
  </si>
  <si>
    <t>Bryan Zarmicle</t>
  </si>
  <si>
    <t>Bonnieville</t>
  </si>
  <si>
    <t>23.06.2019 07:05</t>
  </si>
  <si>
    <t>rudy perales jr.</t>
  </si>
  <si>
    <t>07:02</t>
  </si>
  <si>
    <t>23.06.2019 07:03</t>
  </si>
  <si>
    <t>@mberg70651 
The ability to eat half the bag in one sitting.
Want to score this Limited-Edition Doritos Spidey Suit? Tell us what super power Doritos gives you using #IncognitoDoritos #Entry for the chance to win! Rules @ https://bit.ly/2MXEpdc Be sure to check out #SpiderManFarFromHome, in theaters July 2!</t>
  </si>
  <si>
    <t>MIKE BERG</t>
  </si>
  <si>
    <t>23.06.2019 07:09</t>
  </si>
  <si>
    <t>UzoPass(a) mara
The only bag of Doritos that matter</t>
  </si>
  <si>
    <t>im Gold babe</t>
  </si>
  <si>
    <t>mkpixie</t>
  </si>
  <si>
    <t>23.06.2019 14:38</t>
  </si>
  <si>
    <t>For those who didn't know what flexible diet is , here's the answer.  .
.
.
.  @fitness_motivation_tips 
 @fitness_motivation_tips 
 @fitness_motivation_tips  .
.
.
.
#AbsAreMadeInTheKitchen #Yummy #Delicious #MealPlan #MealPrep #FitnessMeal #FitnessFood #GymFood #FoodPorn #InstaFood #Foodstagram #Foodspiration #Healthy #HealthyFoods
@fatlossgo</t>
  </si>
  <si>
    <t>Fitness Motivation &amp; Tips</t>
  </si>
  <si>
    <t>Лацио</t>
  </si>
  <si>
    <t>Рим</t>
  </si>
  <si>
    <t>convenience food,diet food,junk food,natural foods,fast food,vegetable,meal,food</t>
  </si>
  <si>
    <t>23.06.2019 07:19</t>
  </si>
  <si>
    <t>Doritos
Walkers suck</t>
  </si>
  <si>
    <t>Nik Dauksa</t>
  </si>
  <si>
    <t>23.06.2019 06:57</t>
  </si>
  <si>
    <t>Nigger are you legit on xvideos while studying?
The only bag of Doritos that matter</t>
  </si>
  <si>
    <t>Wiz and 1459 others</t>
  </si>
  <si>
    <t>23.06.2019 06:59</t>
  </si>
  <si>
    <t>I’ll cook you hibachi for a bag of Doritos &amp; a pair of socks that say bad bitch on them.
Wowwwwww, i came to get hibachi by myself. These folks say they can’t cook in front of me unless i buy 2 plates........... i hate it here . They don’t even want a nigga doing solo solo shit</t>
  </si>
  <si>
    <t>BossRae.</t>
  </si>
  <si>
    <t>I'M NOT HATING, I'M DORITOS AF RN TBH MOUNTAIN DEW #YOLO SWAG XD Follow your warning sign,
You will be too far from The</t>
  </si>
  <si>
    <t>23.06.2019 06:53</t>
  </si>
  <si>
    <t>@TalkingWolves How much did @Doritos pay you for this?</t>
  </si>
  <si>
    <t>Reggae Wolves</t>
  </si>
  <si>
    <t>23.06.2019 06:55</t>
  </si>
  <si>
    <t>eM | Hanzosager</t>
  </si>
  <si>
    <t>23.06.2019 06:54</t>
  </si>
  <si>
    <t>when eminem said ''young Hov''</t>
  </si>
  <si>
    <t>Fun fact: TB sold more than a *billion* of those Doritos tacos in the 1st year.
Huge fail? TB's Doritos tacos have been booming for nearly 10 yrs, and continue to be among their most popular items.</t>
  </si>
  <si>
    <t>Bubbsy</t>
  </si>
  <si>
    <t>Riverview Trust Co Acquires New Holdings in PepsiCo, Inc. (NASDAQ:PEP)</t>
  </si>
  <si>
    <t>%.
PepsiCo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</si>
  <si>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Elizabeth Gardner</t>
  </si>
  <si>
    <t>PepsiCo, Inc. (NASDAQ:PEP) Shares Bought by Mn Services Vermogensbeheer B.V.</t>
  </si>
  <si>
    <t>. Following the transaction, the chairman now directly owns 232,394 shares of the company’s stock, valued at approximately $30,078,755.42. The disclosure for this sale can be found here . In the last three months, insiders sold 48,494 shares of company stock valued at $6,173,705. 0.28% of the stock is owned by corporate insiders.
PepsiCo Company Profile
PepsiCo, Inc operates as a food and beverage company worldwide. The company's Frito-Lay North America segment offers branded dips; Cheetos cheese-flavored snacks; and Doritos tortilla, Fritos corn</t>
  </si>
  <si>
    <t>23.06.2019 06:43</t>
  </si>
  <si>
    <t>Nobody</t>
  </si>
  <si>
    <t>06:40</t>
  </si>
  <si>
    <t>23.06.2019 06:41</t>
  </si>
  <si>
    <t>....Damn....back when times where simpler and the games were fun to pull an all nighter with the boys and an unhealthy amount of mountain dew game fuel and sweet chili Doritos. So many memories made fr
So many memories</t>
  </si>
  <si>
    <t>ost in Transation</t>
  </si>
  <si>
    <t>23.06.2019 14:11</t>
  </si>
  <si>
    <t>What would his name be? :)
#nichecommunity #nichememeaccount #nichememecommunity #nichememestarterpack #niches #nichememeideas #nichememes #nichememers #nichememepage #nichememedaily #memes #explorepageready #explorepage</t>
  </si>
  <si>
    <t>niches</t>
  </si>
  <si>
    <t>teddy bear,snack,food</t>
  </si>
  <si>
    <t>23.06.2019 06:42</t>
  </si>
  <si>
    <t>leon ❖</t>
  </si>
  <si>
    <t>@ghate_mohit What do you think about Super Bowl commercials?
https://www.vox.com/platform/amp/the-goods/2019/1/25/18197609/super-bowl-ads-commercials-doritos-sprint-skittles</t>
  </si>
  <si>
    <t>クルヂィープ Paranjpe</t>
  </si>
  <si>
    <t>Nagpur</t>
  </si>
  <si>
    <t>23.06.2019 06:37</t>
  </si>
  <si>
    <t>The ability to rid hunger!
Want to score this Limited-Edition Doritos Spidey Suit? Tell us what super power Doritos gives you using #IncognitoDoritos #Entry for the chance to win! Rules @ https://bit.ly/2MXEpdc Be sure to check out #SpiderManFarFromHome, in theaters July 2!</t>
  </si>
  <si>
    <t>Pat Connors</t>
  </si>
  <si>
    <t>23.06.2019 06:33</t>
  </si>
  <si>
    <t>@TazedanConfused @Doritos How do you eat only ONE?!?! Are you going to eat only one chip a day?!?!</t>
  </si>
  <si>
    <t>FatalLeigh</t>
  </si>
  <si>
    <t>06:31</t>
  </si>
  <si>
    <t>@Doritos Doritos gives me the power to write a haiku about how delicious they are. 
Doritos I love. 
Nacho Cheese or some Cool Ranch. 
All flavors are great. 
#IncognitoDoritos #Entry</t>
  </si>
  <si>
    <t>Charlie Brown</t>
  </si>
  <si>
    <t>23.06.2019 06:31</t>
  </si>
  <si>
    <t>Is the xvideos website open for motivation? 
The only bag of Doritos that matter</t>
  </si>
  <si>
    <t>06:29</t>
  </si>
  <si>
    <t>23.06.2019 06:29</t>
  </si>
  <si>
    <t>Twisted Narcissist</t>
  </si>
  <si>
    <t>06:28</t>
  </si>
  <si>
    <t>박선희</t>
  </si>
  <si>
    <t>23.06.2019 06:30</t>
  </si>
  <si>
    <t>23.06.2019 06:28</t>
  </si>
  <si>
    <t>Cooler ranch Doritos sound so good</t>
  </si>
  <si>
    <t>Drewbie</t>
  </si>
  <si>
    <t>23.06.2019 06:27</t>
  </si>
  <si>
    <t>@Doritos Doritos gives me the power to write a haiku. 
Doritos I love. 
Satisfaction that they give.</t>
  </si>
  <si>
    <t>23.06.2019 06:26</t>
  </si>
  <si>
    <t>Analysts See $1.50 EPS for PepsiCo, Inc. (PEP)</t>
  </si>
  <si>
    <t>potato chips; Doritos, Tostitos, and Santitas tortilla chips; and Cheetos cheese-flavored snacks, branded dips, and Fritos corn chips. It has a 15.12 P/E ratio. The company??s Quaker Foods North America segment provides Quaker oatmeal, grits, rice cakes, granola, and oat squares; and Aunt Jemima mixes and syrups, Quaker Chewy granola bars, Cap??n Crunch cereal, Life cereal, and Rice-A-Roni side dishes.
More notable recent PepsiCo, Inc. (NASDAQ:PEP) news were published by: Nasdaq.com which released: “Australia’s Pacific Equity Partners set to raise</t>
  </si>
  <si>
    <t>David Arnold</t>
  </si>
  <si>
    <t>06:21</t>
  </si>
  <si>
    <t>23.06.2019 06:22</t>
  </si>
  <si>
    <t>23.06.2019 06:23</t>
  </si>
  <si>
    <t>Mugetsu</t>
  </si>
  <si>
    <t>Mountain Dew, Doritos
 Passing over our village
 The end of all things</t>
  </si>
  <si>
    <t>23.06.2019 06:15</t>
  </si>
  <si>
    <t>Doritos will be my all time favourite sponsor on a wolves shirt, nothing can ever top it</t>
  </si>
  <si>
    <t>europa league winners 19/20</t>
  </si>
  <si>
    <t>Dudley</t>
  </si>
  <si>
    <t>23.06.2019 06:14</t>
  </si>
  <si>
    <t>EPS for Prologis, Inc. (PLD) Expected At $0.77; Special Opportunities Fund Has 1 Sentiment</t>
  </si>
  <si>
    <t>, also Seekingalpha.com with their article: “SPE: Regular Distribution Imminent – Seeking Alpha” published on March 15, 2019, Seekingalpha.com published: “Special Opportunities Fund declares $0.21875 dividend – Seeking Alpha” on June 07, 2019. More interesting news about Special Opportunities Fund, Inc. (NYSE:SPE) were released by: Prnewswire.com and their article: “‘Incognito Doritos’ Unveiled To Help Spider-Manâ„¢ Conceal His Iconic Suit – PRNewswire” published on June 19, 2019 as well as Globenewswire.com ‘s news article titled: “Comstock</t>
  </si>
  <si>
    <t>Bernard Talley</t>
  </si>
  <si>
    <t>23.06.2019 06:19</t>
  </si>
  <si>
    <t>Anyone else wake up to crumbs in their bed from a bag of @Doritos  “accidentally” ate while unconscious? Just me? Okay.</t>
  </si>
  <si>
    <t>Linda</t>
  </si>
  <si>
    <t>23.06.2019 06:21</t>
  </si>
  <si>
    <t>When Doritos launched their 3D crisps and were giving them away at the turnstiles...@Newey_7 and I had about 40 packs between us stuffed down our shirts...
This Wolves shirt reminds me of ___________
#WWFC #TalkingWolves</t>
  </si>
  <si>
    <t>Newey</t>
  </si>
  <si>
    <t>06:09</t>
  </si>
  <si>
    <t>23.06.2019 06:10</t>
  </si>
  <si>
    <t>Crip Feehorn</t>
  </si>
  <si>
    <t>23.06.2019 06:20</t>
  </si>
  <si>
    <t>Guinness night with Doritos vibe 
#instabeer #guiness</t>
  </si>
  <si>
    <t>Eldan</t>
  </si>
  <si>
    <t>Otago</t>
  </si>
  <si>
    <t>Данидин</t>
  </si>
  <si>
    <t>06:07</t>
  </si>
  <si>
    <t>23.06.2019 06:11</t>
  </si>
  <si>
    <t>CJ</t>
  </si>
  <si>
    <t>23.06.2019 06:05</t>
  </si>
  <si>
    <t>Zaka</t>
  </si>
  <si>
    <t>23.06.2019 06:01</t>
  </si>
  <si>
    <t>Imagine a world with spherical Doritos</t>
  </si>
  <si>
    <t>Linda_Puckett</t>
  </si>
  <si>
    <t>23.06.2019 06:00</t>
  </si>
  <si>
    <t>Limited Edition Doritos Spidey Spice Corn Chips And Schweppes Lemonade Drink</t>
  </si>
  <si>
    <t>Limited Edition Doritos Spidey Spice Corn Chips And Schweppes Lemonade Drink
Hi Friends Welcome To My Channel. Please Don't Forget
To Like Share And Subscribe To My Channel . Thanks For Watching.
#Limitededition #Doritos #Spideyspice #Cornchips #Schweppes #Lemonade #Drink #Snack #Jeetensworld</t>
  </si>
  <si>
    <t>JEETENS WORLD</t>
  </si>
  <si>
    <t>05:51</t>
  </si>
  <si>
    <t>23.06.2019 06:08</t>
  </si>
  <si>
    <t>Pulkit Upadhyay</t>
  </si>
  <si>
    <t>23.06.2019 05:53</t>
  </si>
  <si>
    <t>“Should I get 2 packs of chocolates for s’mores cause we know I’ll eat one by myself”, “bbq chips or Doritos, or both”, “do we really need an air mattress”, “yeah I’m pregnant I deserve an air mattress this trip”, “I should buy candles in case the bug spray doesn’t work”</t>
  </si>
  <si>
    <t>Alexandra✨</t>
  </si>
  <si>
    <t>23.06.2019 05:58</t>
  </si>
  <si>
    <t>jew0724</t>
  </si>
  <si>
    <t>23.06.2019 05:57</t>
  </si>
  <si>
    <t>Lasts...
1. stick-O
2. doritos
3. @chanellexdxd
4. night
5. S*r ****...AHAHAHAH
6. last night
7. happy
8. crush ko
9. ahma
10. wala akong jowa
Note: If someone likes your tweet, pass this message onto that person.</t>
  </si>
  <si>
    <t>francess</t>
  </si>
  <si>
    <t>23.06.2019 05:56</t>
  </si>
  <si>
    <t>Ntate Moagi</t>
  </si>
  <si>
    <t>23.06.2019 05:54</t>
  </si>
  <si>
    <t>Phemelo</t>
  </si>
  <si>
    <t>I love Sunday eating before I try for another strict week
GetFatSundays. (Going to make that a thing)
#physique #gainz #bodytransformation #fitfam #gains #gymaholic #gym #gymtime #gymlife #gymrat #gymjunkie #gymmemes #gymaddict #fit #fitness #fitspo #fitnessaddict #fitstagram #bodybuilding #powerlifting #tren #trenbolone #weightgain #progress #diet</t>
  </si>
  <si>
    <t>DMHardBulking</t>
  </si>
  <si>
    <t>confectionery,convenience food,sweetness,junk food,snack,food</t>
  </si>
  <si>
    <t>FREE KANYA CEKESHE</t>
  </si>
  <si>
    <t>sox</t>
  </si>
  <si>
    <t>23.06.2019 05:51</t>
  </si>
  <si>
    <t>:/</t>
  </si>
  <si>
    <t>Doritos Rollete Challenge Vlog#3</t>
  </si>
  <si>
    <t>Doritos Rollete Challenge Vlog#3
Leuk en grapig</t>
  </si>
  <si>
    <t>Nilgun Gozudok</t>
  </si>
  <si>
    <t>05:45</t>
  </si>
  <si>
    <t>23.06.2019 05:46</t>
  </si>
  <si>
    <t>Guys, this flavour actually does the things.
Spicy Wings Doritos flavour SLAPS! 
RT if this is the combo for you. 
#DoritosSpicyWings #foodie</t>
  </si>
  <si>
    <t>Kawala</t>
  </si>
  <si>
    <t>23.06.2019 05:47</t>
  </si>
  <si>
    <t>ma'am</t>
  </si>
  <si>
    <t>Simon's lack of sympathy for my diet saw new heights today. Doritos crumbed chilli dog and the rest #dietingsucks #chillidogs #starving #ilovefood #youdontwinfriendswithsalad</t>
  </si>
  <si>
    <t>Laura Lacey</t>
  </si>
  <si>
    <t>sandwich,meal,french fries,fried food,fast food,junk food,food</t>
  </si>
  <si>
    <t>23.06.2019 05:44</t>
  </si>
  <si>
    <t>Please RT Pinned Tweet</t>
  </si>
  <si>
    <t>Malawi</t>
  </si>
  <si>
    <t>Мзимба</t>
  </si>
  <si>
    <t>Mthatha</t>
  </si>
  <si>
    <t>MinisterWithoutPortfolio</t>
  </si>
  <si>
    <t>Ganyesa</t>
  </si>
  <si>
    <t>#ContestAlert! 
Who do you think can be the most consistent batsman of our 24Seven Greatest 11 products and why? Let us know in the comments. Put your thinking caps on and choose the most consistent batsman right away !
The 24Seven Greatest 11 products are: Red Bull, Ice cubes, Lays, Sparkup bottle, 24Seven Glasses, Hot Dog, Sandwich, Acqua 24seven Water Bottle, Doritos, Veg burger and Coke bottle.
#24seven #24Sevenstore #alwaysopen #chillzone</t>
  </si>
  <si>
    <t>24Seven</t>
  </si>
  <si>
    <t>CocaCola,Lays,Doritos</t>
  </si>
  <si>
    <t>food,fast food,junk food</t>
  </si>
  <si>
    <t>23.06.2019 05:41</t>
  </si>
  <si>
    <t>も</t>
  </si>
  <si>
    <t>05:39</t>
  </si>
  <si>
    <t>Bao sware poo weja di doritos geba fetxa baho mone le menwana</t>
  </si>
  <si>
    <t>Hit Killer Jokes</t>
  </si>
  <si>
    <t>05:34</t>
  </si>
  <si>
    <t>#ContestAlert! 
Who do you think can be the most consistent batsman of our 24Seven Greatest 11 products and why? Let us know in the comments. Put your thinking caps on and choose the most consistent batsman right away !
The 24Seven Greatest 11 products are: Red Bull, Ice cubes, Lays, Sparkup bottle, 24Seven Glasses, Hot Dog, Sandwich, Acqua 24seven Water Bottle, Doritos, Veg burger and Coke bottle.
#24seven #24Sevenstore #alwaysopen #chillzone
https://www.facebook.com/24SevenIN/photos/a.704799846197962/2591905117487416/?type=3</t>
  </si>
  <si>
    <t>23.06.2019 05:39</t>
  </si>
  <si>
    <t>Phuluso</t>
  </si>
  <si>
    <t>23.06.2019 05:38</t>
  </si>
  <si>
    <t>@gav_dhaliwal @TalkingWolves Doritos</t>
  </si>
  <si>
    <t>Shinjikagawa</t>
  </si>
  <si>
    <t>23.06.2019 05:36</t>
  </si>
  <si>
    <t>i put my dick in a bag of doritos and made this nigga bitch suck the dust off the tip</t>
  </si>
  <si>
    <t>ASvP Knuckles</t>
  </si>
  <si>
    <t>Somerset &amp; Berks</t>
  </si>
  <si>
    <t>23.06.2019 05:35</t>
  </si>
  <si>
    <t>@Doritos What powers you ask? I dunno how 'bout the power of flight? 
That do anything for ya? That's levitation, holmes.
 #IncognitoDoritos #Entry</t>
  </si>
  <si>
    <t>Carlos Gonzalez</t>
  </si>
  <si>
    <t>Pomona</t>
  </si>
  <si>
    <t>road trip essentials 
-
follow me (@champagnegloss_ ) for more
#nichememes #nichestarterpack #niche #memesdaily #aesthetic #aestheticpic #followme #pastel</t>
  </si>
  <si>
    <t>23.06.2019 05:33</t>
  </si>
  <si>
    <t>Pool Boy</t>
  </si>
  <si>
    <t>23.06.2019 05:43</t>
  </si>
  <si>
    <t>wow my fatass is eating Doritos in my bed at 2 am</t>
  </si>
  <si>
    <t>abbe</t>
  </si>
  <si>
    <t>23.06.2019 05:31</t>
  </si>
  <si>
    <t>toe</t>
  </si>
  <si>
    <t>bruh!
@Sthem056 Will talk about the doritos later Bro .... 
Tell me Xvideos and studying lol the combination brooo</t>
  </si>
  <si>
    <t>Th€_Ish•</t>
  </si>
  <si>
    <t>05:26</t>
  </si>
  <si>
    <t>23.06.2019 05:34</t>
  </si>
  <si>
    <t>Cookbook: Food writer Mimi Aye talks Burmese cuisine</t>
  </si>
  <si>
    <t>name, and chemicals scare people," muses Aye. "But if I say, 'I put some sodium chloride in my meal', there's no difference."
While she notes that if you don't want to use MSG, that's fine, she does add reasonably: "I'm talking about a quarter teaspoon, it's just that little bit of extra enhancement." Plus "it's what makes Pringles and Doritos taste good!"
And if you think it's what makes you thirsty if you've eaten a takeaway? "That's the salt, I think you'll find," says Aye, who quotes Anthony Bourdain: "You know what causes Chinese</t>
  </si>
  <si>
    <t>EIN News</t>
  </si>
  <si>
    <t>einnews.com</t>
  </si>
  <si>
    <t>grass,beauty</t>
  </si>
  <si>
    <t>05:25</t>
  </si>
  <si>
    <t>23.06.2019 05:27</t>
  </si>
  <si>
    <t>✖️Tags (Ignore)✖️
#gaming #community #feed #mlg #callofduty  #xbox  #playstation #activision #treyarch  #sony #microsoft #gamergirl #gamer #gamersunite #gfuel #energy #battlefield #gta #rocketleague
#overwatch #esports #infinityward #killchain #followme #doritos #mountaindew #explorepage</t>
  </si>
  <si>
    <t>‍‍</t>
  </si>
  <si>
    <t>05:24</t>
  </si>
  <si>
    <t>23.06.2019 05:24</t>
  </si>
  <si>
    <t>@stu00763 @TalkingWolves The baggies fans used to say Doritos stood for division one rubbish in tatty orange strips .  I wonder what they think now</t>
  </si>
  <si>
    <t>Darren Prosser</t>
  </si>
  <si>
    <t>Kingswinford</t>
  </si>
  <si>
    <t>so I am  watching a vid and they were eating Doritos and I am eating some now XD
https://www.youtube.com/watch?v=6NAIBETEgC8</t>
  </si>
  <si>
    <t>Elizabeth</t>
  </si>
  <si>
    <t>$1.50 EPS Expected for PepsiCo, Inc. (PEP); Moneta Group Investment Advisors Has Raised Ameren (AEE) Position By $449,388</t>
  </si>
  <si>
    <t>; 26/04/2018 – PEPSICO SEES 2018 CORE SHR $5.70
PepsiCo, Inc. operates as a food and beverage firm worldwide. The company has market cap of $187.79 billion. The Company’s Frito-Lay North America segment offers Lay??s and Ruffles potato chips; Doritos, Tostitos, and Santitas tortilla chips; and Cheetos cheese-flavored snacks, branded dips, and Fritos corn chips. It has a 15.12 P/E ratio. The company??s Quaker Foods North America segment provides Quaker oatmeal, grits, rice cakes, granola, and oat squares; and Aunt Jemima mixes and syrups, Quaker</t>
  </si>
  <si>
    <t>Travis Mills</t>
  </si>
  <si>
    <t>23.06.2019 05:19</t>
  </si>
  <si>
    <t>Heisenberg‍</t>
  </si>
  <si>
    <t>@SmutLisa 2 questions and a statement. 
1. What flavor Doritos?
2. What type of cheese?
Statement:</t>
  </si>
  <si>
    <t>Dylan</t>
  </si>
  <si>
    <t>transport,lane,asphalt,road</t>
  </si>
  <si>
    <t>Crossword</t>
  </si>
  <si>
    <t>(barista's creation)
12 Campfire treat
13 "Settle down now"
22 Subj. with conversation practice
24 Interstellar cloud
27 Bender of light
28 Loads and loads
30 Like paradise
33 Soaring business?
35 Doritos flavor in a blue bag
36 ___ bitten, twice shy
37 Chinese Zodiac rodents
41 Secrets to cracking some codes
44 Skin cream target
46 Common biofuel
49 Reformer Dorothea
51 Prepares to swing
52 Sotomayor of the Court
53 Recovers
56 Barely
57 Teeny
58 ___+Z (undo, on a PC)
60 Z is a valuable one in Scrabble
64 Rabbit's foot</t>
  </si>
  <si>
    <t>Thanksgiving Staples, Atticus Finch</t>
  </si>
  <si>
    <t>globaltimes.cn</t>
  </si>
  <si>
    <t>wall,window</t>
  </si>
  <si>
    <t>just a bit :)))))
×
×
×
#carshitpost #ironicmemes #distortedmemes #stance #memes #deepfriedmemes #deepfriedcarmemes #miata #shitpost #riseupcars #shitboxposting #maluch #cursedimage #carmemes #offensivememes #cars #familymanmeme #pakistancomedy #epic #comedyuzbekistan #fiatspost
@1991_suzooki_jomni</t>
  </si>
  <si>
    <t>ironic meme car</t>
  </si>
  <si>
    <t>PepsiCo, Inc. (NASDAQ:PEP) Shares Sold by Colonial Trust Advisors</t>
  </si>
  <si>
    <t>investment analyst has rated the stock with a sell rating, ten have given a hold rating, twelve have issued a buy rating and one has issued a strong buy rating to the company’s stock. PepsiCo presently has an average rating of “Buy” and an average price target of $124.65.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</si>
  <si>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23.06.2019 05:16</t>
  </si>
  <si>
    <t>JORDANI WEAK</t>
  </si>
  <si>
    <t>23.06.2019 05:37</t>
  </si>
  <si>
    <t>Doritooooooh  #salsaclass #doritos #misunderstanding #whoops #bestkindofsalsaclass</t>
  </si>
  <si>
    <t>Jen Hickson</t>
  </si>
  <si>
    <t>23.06.2019 05:11</t>
  </si>
  <si>
    <t>Ellie Rose</t>
  </si>
  <si>
    <t>23.06.2019 05:10</t>
  </si>
  <si>
    <t>And now my watch has ended</t>
  </si>
  <si>
    <t>23.06.2019 05:17</t>
  </si>
  <si>
    <t>WIP Finished Doritos bag, almost finished baseball. Good night. #art#acrylicpainting#painting#losangeles</t>
  </si>
  <si>
    <t>Art Carrillo</t>
  </si>
  <si>
    <t>soft drink,glass bottle,bottle,drink</t>
  </si>
  <si>
    <t>23.06.2019 05:13</t>
  </si>
  <si>
    <t>STIMPY MI PŘIJMUL DUEL?! + ZIBLACKING 1V1 and more</t>
  </si>
  <si>
    <t>if only i had doritos in that time dude...</t>
  </si>
  <si>
    <t>Dareos</t>
  </si>
  <si>
    <t>23.06.2019 05:09</t>
  </si>
  <si>
    <t>23.06.2019 05:08</t>
  </si>
  <si>
    <t>I’d probably have a bangin ass body if I didn’t stay up till 4 am eating a whole bag of Doritos</t>
  </si>
  <si>
    <t>Jenikka</t>
  </si>
  <si>
    <t>23.06.2019 05:06</t>
  </si>
  <si>
    <t>@Doritos Can we have the power to stop animal abuse and abuse towards females?
I feel like our planet definitely needs help with that.
#IncognitoDoritos #SpiderMan</t>
  </si>
  <si>
    <t>taku. 愛 ♋</t>
  </si>
  <si>
    <t>Zulu</t>
  </si>
  <si>
    <t>05:02</t>
  </si>
  <si>
    <t>with tomato granules - they call it chip powder!"), and that largely it's down to what we call it. "It has a chemical name, and chemicals scare people," muses Aye. "But if I say, 'I put some sodium chloride in my meal', there's no difference."
While she notes that if you don't want to use MSG, that's fine, she does add reasonably: "I'm talking about a quarter teaspoon, it's just that little bit of extra enhancement." Plus "it's what makes Pringles and Doritos taste good!"
And if you think it's what makes you thirsty if you've eaten a takeaway</t>
  </si>
  <si>
    <t>heraldscotland.com</t>
  </si>
  <si>
    <t>23.06.2019 14:05</t>
  </si>
  <si>
    <t>Are you excited to try pickle-flavored Doritos?
https://k102.iheart.com/content/2019-06-17-pickle-flavored-doritos-are-here-everything-you-need-to-know/?pname=local_social&amp;sc=editorial&amp;keyid=KEEY
Pickle-Flavored Doritos Are Here: Everything You Need To Know | K102
According to Doritos, the Intense Pickle Doritos have an "extreme crunch and explode-in-the-mouth flavor."</t>
  </si>
  <si>
    <t>K102</t>
  </si>
  <si>
    <t>snack,french fries,fried food,fast food,food,junk food</t>
  </si>
  <si>
    <t>Alia Gecko</t>
  </si>
  <si>
    <t>#gulag_memes</t>
  </si>
  <si>
    <t>Александр Кропальский</t>
  </si>
  <si>
    <t>Исторический ГУЛАГ</t>
  </si>
  <si>
    <t>Кривой Рог</t>
  </si>
  <si>
    <t>23.06.2019 05:00</t>
  </si>
  <si>
    <t>A Date in Time ♥️ @timemachine_india .
.
What's in post..?
1. Overloaded Non-Veg  Pizza 
2. Overloaded Nacho's ( Chicken)
.
.
The place is really nice. Staff is polite &amp; cooperative. ☺️
The ambiance is Amazing ♥️
The Food was served hot. Pizza was crusty and full of flavours.
The Nachos were flaky, cheesy and with the cold sour cream &amp; tomato dip.
It was an amazing experience.♥️
.
.
.
.
.
.
.
.
.
.
.
.
.
.
.
.
.
.
.
.
.
.
.
.
.
.
.
.
.
.
.
.
.
.
.
.
.
.
.
.
.
#food #foodporn #foodphotographer #foodphoto #foodbloggers #foodblog #foodphotograph #wallpaper #myfood #familyfood #italianfood #nachos #pizza #tomato #italian #myfooddiary #cheese #cheesy #creamcheese #doritos #photo #instafoodgram #instafoodporn #instagoodmyphoto #instalikes #photooftheday #two_foodiediaries_ #like4likes #follow</t>
  </si>
  <si>
    <t>Two_FoodieDiaries_</t>
  </si>
  <si>
    <t>cookware and bakeware,vegetable,appetizer,pizza,meal,food</t>
  </si>
  <si>
    <t>04:54</t>
  </si>
  <si>
    <t>23.06.2019 04:54</t>
  </si>
  <si>
    <t>thato</t>
  </si>
  <si>
    <t>Северная Ютландия</t>
  </si>
  <si>
    <t>Hou</t>
  </si>
  <si>
    <t>23.06.2019 04:53</t>
  </si>
  <si>
    <t>Mi cita del viernes es con mi cama, Netflix y Doritos.</t>
  </si>
  <si>
    <t>Brams</t>
  </si>
  <si>
    <t>23.06.2019 04:52</t>
  </si>
  <si>
    <t>23.06.2019 04:51</t>
  </si>
  <si>
    <t>Niccoló Mazibuko</t>
  </si>
  <si>
    <t>all madden pack</t>
  </si>
  <si>
    <t>madden packs now available tweet a pic .
madden mobile pack opening fan favorite all pro team packs .
doritos mut pack madden nfl 19 ps4 other gameflip .
rent to own madden nfl 17 15 all pro pack bundle xbox one digital .
of all the players i could get from the toty player pack .
thetexasboy91yt variety packs twitch .
madden 16 ultimate team most elites this year all madden bundle .
10 discount on madden nfl 17 15 all pro pack bundle xbox one buy .
all madden pack in gmc 1 badge pack maddenultimateteam .
madden nfl 19 beginner s guide to ultimate</t>
  </si>
  <si>
    <t>04:49</t>
  </si>
  <si>
    <t>23.06.2019 04:57</t>
  </si>
  <si>
    <t>Xvideos and studying, a concept
The only bag of Doritos that matter</t>
  </si>
  <si>
    <t>Popeye ️‍</t>
  </si>
  <si>
    <t>I'm sorry for this one but it is soooo funny! *found this on google*
#arrow #teamarrow #doritos #memes</t>
  </si>
  <si>
    <t>Flarrow_legirl</t>
  </si>
  <si>
    <t>what people think anorexia is like: never eats, only eats celery and green tea 
what anorexia is actually like:
gonna eat the rest of my calories for the day in doritos</t>
  </si>
  <si>
    <t>Samotny Kundel ||-//  JW</t>
  </si>
  <si>
    <t>Пермский край</t>
  </si>
  <si>
    <t>Липовая I</t>
  </si>
  <si>
    <t>blaze wild rice</t>
  </si>
  <si>
    <t>the mountain lake lure .
scallion wild rice crepes with mushroom filling and red pepper sauce .
blaze glaze with balsamic vinegar of mod walmart com .
rice hat vintage ebay .
blaze and the monster machines has a funny popcorn adventure youtube .
faisal industries pvt ltd product categories grains rice .
instant pot sticky rice recipe pressure cook recipes .
blaze pizza turns up the heat on dairy free pizza .
shop n save free doritos blaze chips free wild harvest organic .
rice safely conserved in philippines gene bank bbc news .
blaze and the</t>
  </si>
  <si>
    <t>04:42</t>
  </si>
  <si>
    <t>MLG Peppa Pig</t>
  </si>
  <si>
    <t>MLG Peppa Pig
yeetus thy feetus</t>
  </si>
  <si>
    <t>VeloOCE</t>
  </si>
  <si>
    <t>23.06.2019 04:42</t>
  </si>
  <si>
    <t>I’ve done this far too many times than I care to admit. Tostitos lime chips too.
doritos smack hard when you’re high i ate the whole family sized bag lmaooo</t>
  </si>
  <si>
    <t>Mantik</t>
  </si>
  <si>
    <t>04:40</t>
  </si>
  <si>
    <t>23.06.2019 04:56</t>
  </si>
  <si>
    <t>"No quiero estudiar, sólo quiero comer Doritos y ver Anime" ~Someone Wise 3 years ago</t>
  </si>
  <si>
    <t>Maik</t>
  </si>
  <si>
    <t>Бремерфёрде</t>
  </si>
  <si>
    <t>04:39</t>
  </si>
  <si>
    <t>23.06.2019 04:39</t>
  </si>
  <si>
    <t>@kaoru_kishida apparently it was limited time. they still have the same brand (el tora) selling regular corn chips similar to doritos. but no tortilla ones  those were perfect in every way</t>
  </si>
  <si>
    <t>️‍✨ gigi vic ✨️‍</t>
  </si>
  <si>
    <t>24.06.2019 06:38</t>
  </si>
  <si>
    <t>pizza hut taco bell</t>
  </si>
  <si>
    <t>personal pan .
yum brands wikipedia .
taco bell pizza hut closing down in manoa marketplace the honolulu .
horvath tremblay sells taco bell pizza hut in west springfield ma .
we re at the combination pizza hut and taco bell youtube .
taco bell pizza hut are open sunday thursday 10am 1am and .
taco bell pizza hut sign taco bell 4615 pizza hut 1 974 flickr .
this is the pizza hut x doritos locos tacos mashup you ve been .
taco bell pizza hut southgate mi .
request a redesign for the pizza hut kfc taco bell empire .
pizza hut taco bell in northlake il</t>
  </si>
  <si>
    <t>taco bell saskatoon</t>
  </si>
  <si>
    <t>police investigate stabbing after victim walks into taco .
taco bell in saskatoon sk picture of taco bell saskatoon .
canada s first beer serving taco bell is now open and more are on .
taco bell canada opens new location in saskatoon .
taco bell announces saskatoon location on social media 650 ckom .
tortilla lovers saved by the taco bell as 1st sask store opens in .
taco bell 2830 millar ave in saskatoon restaurant menu and reviews .
kfc taco bell launch delivery via grubhub eater .
taco bell canada doritos locos tacos foodology .
taco bell in</t>
  </si>
  <si>
    <t>04:35</t>
  </si>
  <si>
    <t>Books, Doritos and pornhub
Quite a combo you've got there. Doritos and Xvideos  Do you bro</t>
  </si>
  <si>
    <t>Bhut' Malume</t>
  </si>
  <si>
    <t>23.06.2019 04:38</t>
  </si>
  <si>
    <t>Ehe bafana ba http://www.xvideos.com
The only bag of Doritos that matter</t>
  </si>
  <si>
    <t>Tshiamo❤</t>
  </si>
  <si>
    <t>23.06.2019 04:48</t>
  </si>
  <si>
    <t>Me vs my Bro doritos hot</t>
  </si>
  <si>
    <t>Me vs my Bro doritos hot 
YouTube.com</t>
  </si>
  <si>
    <t>Master Masterpro</t>
  </si>
  <si>
    <t>23.06.2019 04:45</t>
  </si>
  <si>
    <t>Found a sushi place downtown the other day. It was one of those $15 all you can eat sushi plate deals. Only complaint was the wasabi. It was weak. Tonight, had a plate of spicy doritos, about the same spice level, and that was satisfying. I must evaluate these on a case by case.</t>
  </si>
  <si>
    <t>Evelyn Hadassah Samuels</t>
  </si>
  <si>
    <t>@sayali_kulkarni_photography 
#maternity #maternityphotoshoot #maternityfashion #maternityphotography #maternityshoot #maternitydresses #cravings #momslove #momtobe #mommytobe #photographersatpune #photoghraphoftheday #photographers #photoghrapher #shootmode #shoots #shooting #shootlife #photographersofindia #photoshoot</t>
  </si>
  <si>
    <t>Sayali Kulkarni Photography</t>
  </si>
  <si>
    <t>23.06.2019 04:33</t>
  </si>
  <si>
    <t>Don know no English</t>
  </si>
  <si>
    <t>23.06.2019 04:32</t>
  </si>
  <si>
    <t>Jellybean</t>
  </si>
  <si>
    <t>Loup et doritos au piment</t>
  </si>
  <si>
    <t>kookie master 2</t>
  </si>
  <si>
    <t>Today I had a grilled cheese with Doritos and jalapeños in it. 
I don’t regret the 1.5 hours it took me to get it from the food truck. 
I’m gonna rip that shit off and make them at home but so much faster.</t>
  </si>
  <si>
    <t>SmutLisa ️‍</t>
  </si>
  <si>
    <t>23.06.2019 04:25</t>
  </si>
  <si>
    <t>Oat and wheat bran mug cake flavoured with almond and served with chopped flat peaches and Alpro  with coconut yoghurt. Half hexB plus 0.5 syns for the yoghurt. I used @natvialiving sweetener for a hint of sweetness.
I’m so happy that a sneaky home weigh shows a 2lb loss overnight. I did a lot of walking yesterday including going over 18 stiles and a few hills and meals were on plan but a Doritos and then sourdough and butter in the evening most definitely were not and gave me awful bloat. I’m not sure why I give in to these temptations when</t>
  </si>
  <si>
    <t>Naomi Guess</t>
  </si>
  <si>
    <t>strawberry,fruit,whipped cream,ice cream,frozen dessert,dessert,food</t>
  </si>
  <si>
    <t>04:22</t>
  </si>
  <si>
    <t>23.06.2019 04:27</t>
  </si>
  <si>
    <t>I swear to god if my phone doesn’t stop autocorrecting “Dororo” to “Doritos” I’m gonna lose it</t>
  </si>
  <si>
    <t>skibbity boobop</t>
  </si>
  <si>
    <t>23.06.2019 04:21</t>
  </si>
  <si>
    <t>Jo Haigh</t>
  </si>
  <si>
    <t>Пензанс</t>
  </si>
  <si>
    <t>@NisaLocally Sensations 
Doritos, Max Strong or Sensations? RT + Reply with your favourite summer snack for the chance to #WIN an Amazon Echo or a case of crisps!  
Closes 25th June, T&amp;Cs: https://bit.ly/2ImAjqN</t>
  </si>
  <si>
    <t>Cuzzies just rocked up with 10 bags of Doritos, Grain Waves and Potatoe Chips and a whole tub of salsa. YUP it’s #StateofOrigin night #UpTheBlues</t>
  </si>
  <si>
    <t>Pē</t>
  </si>
  <si>
    <t>Ньюкасл</t>
  </si>
  <si>
    <t>I got these Spidey Doritos which...weren’t great, crushed them and used them to coat some chicken and deep fried them. The result was chicken that also tasted like Doritos. Not a combination, but like, two separate flavours. #doritos #chicken #deepfriedchicken</t>
  </si>
  <si>
    <t>Mitchell Holmes</t>
  </si>
  <si>
    <t>fried food,food,meat</t>
  </si>
  <si>
    <t>23.06.2019 04:19</t>
  </si>
  <si>
    <t>Is that a little spark of excitement I’m feeling? Just booked this half marathon, was absolutely my favourite race last year, not much to do with the running, more because of the snack tables!!! Omg, everything you could ever want right in front of you every 4K or so. For someone so fastidious about what they eat pre run (I get terrible stitches) I would never have foreseen myself running up hills with handfuls of doritos and pringles and a mouth stuffed with mars bars but I did and my inner fatty rejoiced and this was proclaimed my favourite of all time! Excited to go back! #runnersofinstagram #runnersofinsta #runningmum #farnhampilgrimhalfmarathon #runrunrun #thismumruns #instarunner #thisgirlcan #thisgirlcanrun #runnersworld #runningcommunity</t>
  </si>
  <si>
    <t>RunningMandy</t>
  </si>
  <si>
    <t>23.06.2019 04:16</t>
  </si>
  <si>
    <t>IM SORRY IM SO LATE BUT DORITOS &amp; EYELASHES PLS THANK U SM❤️
hi @AllyBrooke .... see you Saturday.  We are going to CVS today, you need anything?</t>
  </si>
  <si>
    <t>MR SUPERPIDGE</t>
  </si>
  <si>
    <t>Дерби</t>
  </si>
  <si>
    <t>23.06.2019 04:18</t>
  </si>
  <si>
    <t>eating one of the hottest Doritos in the world!!!</t>
  </si>
  <si>
    <t>eating one of the hottest Doritos in the world!!!
Skkwksksk</t>
  </si>
  <si>
    <t>Mr legend playz</t>
  </si>
  <si>
    <t>04:09</t>
  </si>
  <si>
    <t>23.06.2019 04:09</t>
  </si>
  <si>
    <t>Midnight craves #spicy #cheesy #nachos #doritos #jelapeno #extracheese #cheesesauce #yesplace #foodie #foodvlog #foodporn #foodiesa #cravings #instalike #instafood #fooddiary #browngirleats #fortheloveoffood #foodphotography #fortheloveoffood</t>
  </si>
  <si>
    <t>fatima hassan shaik</t>
  </si>
  <si>
    <t>meal,french fries,fast food,fried food,junk food,food</t>
  </si>
  <si>
    <t>Our @mazdausa Rx-8 out to stretch it's legs on a Sunday morning.
#indigarage #holyshift #doritos
#nowedontjustbuildscramblers 
#scrambler #bobber #mazdarx8 #royalenfield #builtnotbought #starwars #offroad #enfield #instamoto #custom #rotary #monstertrucks #custommotorcycle #ratrod #mazda #jdmlifestyle #garage #mechanic #powerdrift #pdarmy
@mazdausa @powerdrift @mazda_uae @theautoninja</t>
  </si>
  <si>
    <t>Holy Shift Garage</t>
  </si>
  <si>
    <t>building,vehicle,car</t>
  </si>
  <si>
    <t>residential area,transport,cloud,road,sky</t>
  </si>
  <si>
    <t>matthew angelides</t>
  </si>
  <si>
    <t>04:07</t>
  </si>
  <si>
    <t>23.06.2019 04:07</t>
  </si>
  <si>
    <t>ok but i might have 2 go get myself some doritos tomorrow because my stomach is begging for some rn</t>
  </si>
  <si>
    <t>julian ♡’s blake &amp; nochu</t>
  </si>
  <si>
    <t>Cult</t>
  </si>
  <si>
    <t>#IncognitoDoritos #Entry and @Doritos gives me the power to make the children happier in my neighborhood...also the power of the six infinity stones</t>
  </si>
  <si>
    <t>Diego Haro</t>
  </si>
  <si>
    <t>Mac and cheese with Doritos...
Tag a friend who would like it❤️
Follow: @worldwide_food_recipes 
#macncheese#doritos#eggs#milk#kuzhina#kuzhinatradicionale#kuzhinashqiptare#gatime#gatimetradicionale#gatimeshqiptare#ushqim#receta#recetagatimi#foodlover#foodporn#delicious#foodrecipes#tasty#yummy</t>
  </si>
  <si>
    <t>Worldwide_food_recipes</t>
  </si>
  <si>
    <t>23.06.2019 12:26</t>
  </si>
  <si>
    <t>Forever young and beautiful #fff #lfl</t>
  </si>
  <si>
    <t>UNICORN</t>
  </si>
  <si>
    <t>frozen food,natural foods,food,convenience food</t>
  </si>
  <si>
    <t>04:05</t>
  </si>
  <si>
    <t>#sunday #logo #icon #brand @doritos #ad</t>
  </si>
  <si>
    <t>Lawrence L. Cunningham II</t>
  </si>
  <si>
    <t>sports,grass</t>
  </si>
  <si>
    <t>23.06.2019 04:17</t>
  </si>
  <si>
    <t>iSadist eliDepraved ♠♣</t>
  </si>
  <si>
    <t>Pantry is stocked!
It is time to relax.
.
.
#lagos #daytona247 #nigerianbusiness #lekki #lekkihomes #nigeria #supermarket #grocerystore</t>
  </si>
  <si>
    <t>Daytona 24/7 Supermarket</t>
  </si>
  <si>
    <t>23.06.2019 04:05</t>
  </si>
  <si>
    <t>1980's Doritos Bag 
#food#nostalgia#80s#trending#instagram
@doritos</t>
  </si>
  <si>
    <t>80s Vibes Only</t>
  </si>
  <si>
    <t>23.06.2019 04:11</t>
  </si>
  <si>
    <t>My lady said “ Doritos is the white man’s chip “</t>
  </si>
  <si>
    <t>GucciGlitz ℌ</t>
  </si>
  <si>
    <t>Sargé-lès-le-Mans</t>
  </si>
  <si>
    <t>23.06.2019 04:10</t>
  </si>
  <si>
    <t>#IncognitoDoritos #Entry and @Doritos gives me the power of six infinity stones!!!!</t>
  </si>
  <si>
    <t>23.06.2019 04:03</t>
  </si>
  <si>
    <t>Shadow of dark episode 2</t>
  </si>
  <si>
    <t>Pin me or Danny devito will take ur Doritos</t>
  </si>
  <si>
    <t>TheGoldenNugget ye</t>
  </si>
  <si>
    <t>the funtime cat 567</t>
  </si>
  <si>
    <t>23.06.2019 04:06</t>
  </si>
  <si>
    <t>doritos smack hard when you’re high i ate the whole family sized bag lmaooo</t>
  </si>
  <si>
    <t>•bo•</t>
  </si>
  <si>
    <t>23.06.2019 04:00</t>
  </si>
  <si>
    <t>@oldbagsofmetal @markangelbrandt @AngryMetalGuy I think *Bag of Doritos* are a Japanese band</t>
  </si>
  <si>
    <t>Bootsy</t>
  </si>
  <si>
    <t>Matabeleland South</t>
  </si>
  <si>
    <t>Tegwani Training Institute</t>
  </si>
  <si>
    <t>23.06.2019 03:59</t>
  </si>
  <si>
    <t>Chinese food and a sandwich with Doritos on it be hitting too
Unpopular opinion: watermelon be smacking right out the pool</t>
  </si>
  <si>
    <t>Ausar ⚡️</t>
  </si>
  <si>
    <t>23.06.2019 03:56</t>
  </si>
  <si>
    <t>23.06.2019 03:58</t>
  </si>
  <si>
    <t>The Doritos tie it all together
#tomholland #spiderman #farfromhome #ironman #tonystark #markruffalo #hulk #captainmarvel #captainamerica #thor #blackwidow #doctorstrange #hawkeye #thanos #avengerassemble #thanossnap #endgame #infinitywar #avengers #memes #tomhollandmemes
@tomholland2013</t>
  </si>
  <si>
    <t>"dude your nuts bro!"</t>
  </si>
  <si>
    <t>03:53</t>
  </si>
  <si>
    <t>23.06.2019 03:55</t>
  </si>
  <si>
    <t>DΟCTΞR STRΔNGΞ</t>
  </si>
  <si>
    <t>Bleecker</t>
  </si>
  <si>
    <t>23.06.2019 03:47</t>
  </si>
  <si>
    <t>katyhacket</t>
  </si>
  <si>
    <t>@SteveNashPhotos @nottingham_dogs @StarSports_Bet I am sorry for DORITOS  WILDCAT @kevhuttonracing  there  was clearly a problem,  I think there will be no more racing for  him.
#lots of love and cuddles  fur ever❤❤</t>
  </si>
  <si>
    <t>Trap 3 Tina</t>
  </si>
  <si>
    <t>23.06.2019 03:45</t>
  </si>
  <si>
    <t>katie robertson</t>
  </si>
  <si>
    <t>23.06.2019 03:46</t>
  </si>
  <si>
    <t>Boeing 747 landing</t>
  </si>
  <si>
    <t>10/10 "BETTER THAN DORITOS" -IGN</t>
  </si>
  <si>
    <t>Omr.wolfguy O</t>
  </si>
  <si>
    <t>Teenage Pilot 117</t>
  </si>
  <si>
    <t>Doritos
+/- 250gr
18.000
. . . 
Happy Cemal-Cemil
Info price list dan order:
081333458884 -(Wa only)
COD H+1 order
FREE ONGKIR AREA PAKIS DAN SAWOJAJAR
. . . 
Markas Jajan
Jl.  Raya Bunut Wetan No 441, Pakis
Happy Cemal - Cemil
.
.
.
#jajanan #jajananmalang #snack #snackori #snackmalang #cemilan #cemilanmalang #mahasiswamalang #cemilanmahasiswa #markasjajan</t>
  </si>
  <si>
    <t>Markas Jajan</t>
  </si>
  <si>
    <t>snack,fast food,junk food,food</t>
  </si>
  <si>
    <t>taco bell cake</t>
  </si>
  <si>
    <t>french .
taco bell cake cakes design .
taco bell sells a cheetos quesadilla in the philippines .
my wife made me a taco bell birthday cake tacobell .
food cakes fratelli s .
taco bell is at it again new test items expand fast food chain s .
saginaw taco bell receives number one ranking in the country .
taco bell has a crayfish taco in the works here s what we know .
taco bell doritos tacos locos holster adage .
taco bell in herndon parent reviews on winnie .
nwi business ins and outs food network featured cupcake shop taco .
taco bell fire sauce</t>
  </si>
  <si>
    <t>03:33</t>
  </si>
  <si>
    <t>23.06.2019 03:36</t>
  </si>
  <si>
    <t>The Bite ft.Jsab Oc and Barracuda</t>
  </si>
  <si>
    <t>•&lt;• Doritos XD 
Amazing job as always! ^u^</t>
  </si>
  <si>
    <t>Killerfoxy Foxy</t>
  </si>
  <si>
    <t>Ivee's Animations</t>
  </si>
  <si>
    <t>23.06.2019 03:48</t>
  </si>
  <si>
    <t>@Doritos 
U know that those Doritos giving me the superpower to spit flame just like ma boy peter dinklidge, or should I say peter doritlidge... no, no I shouldn’t actually #IncognitoDoritos #Entry</t>
  </si>
  <si>
    <t>Mc Spidey</t>
  </si>
  <si>
    <t>23.06.2019 03:33</t>
  </si>
  <si>
    <t>DORITOS
U know that those Doritos giving me the superpower to spit flame just like ma boy peter dinklidge, or should I say peter doritlidge... no, no I shouldn’t actually #IncognitoDoritos #Entry</t>
  </si>
  <si>
    <t>Alucard</t>
  </si>
  <si>
    <t>Киото</t>
  </si>
  <si>
    <t>leon, cooking up a bag of doritos: wow....im such a catch...</t>
  </si>
  <si>
    <t>innocent uke</t>
  </si>
  <si>
    <t>23.06.2019 03:30</t>
  </si>
  <si>
    <t>Brandon James Yost</t>
  </si>
  <si>
    <t>Лаббок</t>
  </si>
  <si>
    <t>@Doritos A Spider-Man comic was one of the first books I ever read, and now I use my powers teaching children to read abroad. They'd love a visit from Spidey next Halloween! #IncognitoDoritos #Entry</t>
  </si>
  <si>
    <t>A New Challenger</t>
  </si>
  <si>
    <t>아하미이</t>
  </si>
  <si>
    <t>03:29</t>
  </si>
  <si>
    <t>23.06.2019 03:31</t>
  </si>
  <si>
    <t>Project nigga still eat Doritos with noodles</t>
  </si>
  <si>
    <t>Careless.</t>
  </si>
  <si>
    <t>@Doritos #IncognitoDoritos #Entry the power of super eating because i could easily eat 2 family sized bags!!!</t>
  </si>
  <si>
    <t>zara</t>
  </si>
  <si>
    <t>03:23</t>
  </si>
  <si>
    <t>23.06.2019 03:28</t>
  </si>
  <si>
    <t>Jackal</t>
  </si>
  <si>
    <t>dat shit gave me cancer
Taco Bell giving away free Doritos Locos Tacos to everybody in the U.S. today https://on.wkyc.com/2XRE1xY</t>
  </si>
  <si>
    <t>lilangelo</t>
  </si>
  <si>
    <t>23.06.2019 03:24</t>
  </si>
  <si>
    <t>Khumoetsile.</t>
  </si>
  <si>
    <t>23.06.2019 03:22</t>
  </si>
  <si>
    <t>I’m eating Doritos and thinking a nice cold coke would be great with this, while I drink my water angrily.</t>
  </si>
  <si>
    <t>stupid cursed baby</t>
  </si>
  <si>
    <t>23.06.2019 03:21</t>
  </si>
  <si>
    <t>03:16</t>
  </si>
  <si>
    <t>23.06.2019 03:20</t>
  </si>
  <si>
    <t>frances</t>
  </si>
  <si>
    <t>It’s like 2:30a, I should put the Doritos down and go to sleep.
...but I won’t.</t>
  </si>
  <si>
    <t>bitch i might be</t>
  </si>
  <si>
    <t>LIVE . LOVE . EAT .
.
.
.
. #couplesofintsagram #thequintessentials #coupleblog #couplebloggers #coupleinfluencer #couples #couplegoals #groceryshopping #pinterest #tumblr #coupleshoot #couplegram #delhibloggers #spreadlove #pictureoftheday #sundayfunday #bae #weekend #shoppingwithbae #instagood
@doritos @pringlesus @__thequintessentials__ @doritosindia @plixxo @couple @__couplegram__ @love.extract @thebnbmag @whisttler @pringlesindia @kurkure_india @inyookindia</t>
  </si>
  <si>
    <t>Abhishek &amp; Shubhneeta</t>
  </si>
  <si>
    <t>city,market,marketplace,bazaar,supermarket</t>
  </si>
  <si>
    <t>23.06.2019 03:17</t>
  </si>
  <si>
    <t>@sinirleniorm MİS GİBİ DORİTOS KOKTU YA</t>
  </si>
  <si>
    <t>Mehmet Ali Küsbeci</t>
  </si>
  <si>
    <t>Paul C</t>
  </si>
  <si>
    <t>24.06.2019 06:43</t>
  </si>
  <si>
    <t>Most unacceptable thing to happen to you at your job? | Page 3</t>
  </si>
  <si>
    <t>Annicus said: Also stupid people stocking the shelves, I mean someone but a box of weights on a 6 ft shelf on the same aisle was a box of bags of Doritos on the bottom shelf. Click to expand... I feel like stickers do that shit cause they’re in the back so they’re not to worried
Sent from my iPhone using Grasscity Forum</t>
  </si>
  <si>
    <t>sirdanielfortesque6</t>
  </si>
  <si>
    <t>forum.grasscity.com</t>
  </si>
  <si>
    <t>Real Life Stories | Grasscity Forums - The #1 Marijuana Community Online</t>
  </si>
  <si>
    <t>23.06.2019 03:13</t>
  </si>
  <si>
    <t>Nigga what 
Who's tryna suck my dick? I'll put my shit in a bag of doritos so you can get that cheese dust flavor.</t>
  </si>
  <si>
    <t>Reeeeva</t>
  </si>
  <si>
    <t>23.06.2019 03:14</t>
  </si>
  <si>
    <t>Fam........
@acct_stan This the same night somebody said she could put a whole bag of Doritos in her mouth</t>
  </si>
  <si>
    <t>⚜️أمجد⚜️</t>
  </si>
  <si>
    <t>24.06.2019 06:34</t>
  </si>
  <si>
    <t>pickle the pig</t>
  </si>
  <si>
    <t>eli warren .
meet pickle the mini pig man s best friend spread more smiles .
pickle the mini pig eats a strawberry youtube .
pickle the pig eyebleach .
pickle the mini pig loves ice cream rtm rightthisminute .
pickle the pig ii photograph by eli warren .
pickle the mini pig eating birthday cake youtube .
watch what happens when pickle the pig hears belly rubs .
meet greenville s insta famous animals greenville journal .
pickle the mini pig eats doritos youtube .
pickle the pig me with my goody woody rolling pin thank facebook .
via pickles the</t>
  </si>
  <si>
    <t>23.06.2019 03:16</t>
  </si>
  <si>
    <t>Masego Leoto</t>
  </si>
  <si>
    <t>03:02</t>
  </si>
  <si>
    <t>23.06.2019 03:05</t>
  </si>
  <si>
    <t>@undefayeted Doritos pgd nu?</t>
  </si>
  <si>
    <t>Nel Pueblo</t>
  </si>
  <si>
    <t>Región Autónoma de la Costa Caribe Norte</t>
  </si>
  <si>
    <t>Living Creek</t>
  </si>
  <si>
    <t>23.06.2019 03:03</t>
  </si>
  <si>
    <t>Huey Freeman</t>
  </si>
  <si>
    <t>23.06.2019 02:58</t>
  </si>
  <si>
    <t>@acct_stan This the same night somebody said she could put a whole bag of Doritos in her mouth</t>
  </si>
  <si>
    <t>Монтерей</t>
  </si>
  <si>
    <t>I’ve been craving Doritos t</t>
  </si>
  <si>
    <t>Idalis</t>
  </si>
  <si>
    <t>02:55</t>
  </si>
  <si>
    <t>23.06.2019 03:04</t>
  </si>
  <si>
    <t>this was always me because i’d be sneaking doritos and cheetos out of my bag while everyone was cheering
me: *not paying attention*
teammate: “hey you’re on deck”
me:</t>
  </si>
  <si>
    <t>Markyia McCormick</t>
  </si>
  <si>
    <t>23.06.2019 02:53</t>
  </si>
  <si>
    <t>I put my dick in a bag of Doritos &amp; made the nigga bitch suck the dust off the tip is the funniest bar I’ve ever heard</t>
  </si>
  <si>
    <t>M.Phanor</t>
  </si>
  <si>
    <t>New Life, New Day (Conquerors Blade) Ep 1</t>
  </si>
  <si>
    <t>New Life, New Day (Conquerors Blade) Ep 1
Hello, fellow Doritos! Today, I played Conquerors Blade. Its free on steam, so if you wanna play it yourself, you can get it! This is a fun medieval game, and I recommend it!</t>
  </si>
  <si>
    <t>23.06.2019 02:55</t>
  </si>
  <si>
    <t>Thanks @hotimportnights Seattle! Some hardware to match my interior. Another great weekend with the @f7lthy family. @trickfactorycustoms @doczilla12 @phantasykolors @cavwhat03 @queen_val_s 
And, an additional shoutout to everyone else who took the time to acknowledge me and/or the car. Appreciate all of you.
#DORI7OS #Doritos #PoweredbyDoritos #Mazda #RX7 #FDRX7 #FD3S #FD3SNation #Efini #13B #13BREW #rotary #rotaryengine #rotarypower #wankel #turbo #twinturbo #RHD #RightHandDrive #JDM #F7LTHY #CandSPerformance #hinseattle #carshow
@mazdausa @hotimportnights @phantasykolors @cavwhat03 @queen_val_s @trickfactorycustoms @doczilla12 @doritos @f7lthy</t>
  </si>
  <si>
    <t>milk duds head</t>
  </si>
  <si>
    <t>milk duds youtube .
no one talks to you on the bus when you re shaking a box of milk .
dear madeleine naomi loves .
olive head gif on imgur .
milk dud cake mix bars kleinworth co .
i would do hoodrat things for doritos and ptetty sure for milk .
best and worst halloween candy countdown no 15 food blog .
first time 8 american sweets jay mclaughlin photographer .
huge deal on milk duds chocolate caramel candy 10 oz .
the best halloween candy to give to your worst enemy sass balderdash .
milk spots what are milk spots and how do you treat and</t>
  </si>
  <si>
    <t>02:45</t>
  </si>
  <si>
    <t>23.06.2019 02:45</t>
  </si>
  <si>
    <t>@CaptainChris94 Don’t forget the Doritos for a little added spice</t>
  </si>
  <si>
    <t>Thomas Johnston</t>
  </si>
  <si>
    <t>23.06.2019 02:49</t>
  </si>
  <si>
    <t>"The only thing that can heal my shattered heart over the loss of Mr. Stark is the cheesy spicy crunch of Doritos! Yum!"</t>
  </si>
  <si>
    <t>Liberal do patinete, conservador no livre mercado.</t>
  </si>
  <si>
    <t>São Bernardo do Campo</t>
  </si>
  <si>
    <t>23.06.2019 02:46</t>
  </si>
  <si>
    <t>kyle</t>
  </si>
  <si>
    <t>@Ezesaposnik1 Doritos?</t>
  </si>
  <si>
    <t>23.06.2019 02:44</t>
  </si>
  <si>
    <t>❀kels❀</t>
  </si>
  <si>
    <t>#selfie #doritos #papitas</t>
  </si>
  <si>
    <t>Sofi Suarez</t>
  </si>
  <si>
    <t>23.06.2019 10:48</t>
  </si>
  <si>
    <t>Prank Creative_blocks For GFX For Deadly Dark Dominus</t>
  </si>
  <si>
    <t>Prank Creative_blocks For GFX For Deadly Dark Dominus
Actually if you want more Pranks Make sure subscribe And Like this Video. If you Want to Support me Chat with me in Discord Name: Zynxre#5971</t>
  </si>
  <si>
    <t>Mr.Zynxre Dx</t>
  </si>
  <si>
    <t>Manjil ek, log hazaaron!
..
follow (@jee.memes) for more such cool stuffs!
..
#iit #jee #aspirants #memes #aim #thousands</t>
  </si>
  <si>
    <t>JEE Memes</t>
  </si>
  <si>
    <t>23.06.2019 10:33</t>
  </si>
  <si>
    <t>#fashion #comfy #style #trendy #shareme #cream #jeans #holes #vans #sliponshoes #checked #blackandwhite #amazing #beautifulgirls #sexyanysize #yourstlye #oversizedhoodie #gorgeous #toomanyhashtags #pleasefollow #whatdoyouthink #ops #outfits #insporation #amazing</t>
  </si>
  <si>
    <t>Only You Can Choose Your Style</t>
  </si>
  <si>
    <t>soft drink,drink</t>
  </si>
  <si>
    <t>Unskippable ads in a 60$ game, fuck you 2k NBA2k</t>
  </si>
  <si>
    <t>i brought this up a couple weeks ago. they played a full length doritos locos commercial.</t>
  </si>
  <si>
    <t>chrisgcc</t>
  </si>
  <si>
    <t>When Assholes Design Things</t>
  </si>
  <si>
    <t>23.06.2019 02:40</t>
  </si>
  <si>
    <t>@emmie3423 @CassieRandolph 3D jalapeño Doritos! Bring them back @Doritos, you cowards!</t>
  </si>
  <si>
    <t>Stephen Cox</t>
  </si>
  <si>
    <t>23.06.2019 02:39</t>
  </si>
  <si>
    <t>favorite foods? — i crave doritos right now https://curiouscat.me/rocketandonuts/post/909939473?t=1561271732</t>
  </si>
  <si>
    <t>Rocket</t>
  </si>
  <si>
    <t>23.06.2019 02:33</t>
  </si>
  <si>
    <t>The Daniel Bell©</t>
  </si>
  <si>
    <t>23.06.2019 02:36</t>
  </si>
  <si>
    <t>@713jjulian those were the days bruh lets go back. pocky sticks, jojo on the projector, omar sippin on bottles full of milk, doritos, sprite and cookies....</t>
  </si>
  <si>
    <t>Nτokozo Zungu</t>
  </si>
  <si>
    <t>24.06.2019 06:48</t>
  </si>
  <si>
    <t>MF DOOM - Mm.. Food</t>
  </si>
  <si>
    <t>BigBadBitcoiner</t>
  </si>
  <si>
    <t>When Your Told To Bring Chips and Salsa But Your Extra
#grazingtable #doritos #guacisextrasoami</t>
  </si>
  <si>
    <t>Alysha Baty</t>
  </si>
  <si>
    <t>junk food,garnish,fast food,salad,appetizer,vegetable,meal,food</t>
  </si>
  <si>
    <t>02:26</t>
  </si>
  <si>
    <t>23.06.2019 02:29</t>
  </si>
  <si>
    <t>A</t>
  </si>
  <si>
    <t>*replace Dare with Timmie's or Monster if your from Canada. .
.
.
.
#electricianproblems #electricianlife  #electrician #apprentice #journeyman #master #construction #trades #fail #safetysecond #hackjob #money #tools #skilledtrades</t>
  </si>
  <si>
    <t>World Electricians™</t>
  </si>
  <si>
    <t>23.06.2019 02:25</t>
  </si>
  <si>
    <t>Is bunny hopping around
₍₎..⃗.MeowYin
₍₎..⃗.Deviantart
══════ ∘◦❁◦∘ ═══════
『』￤Like/Comment/Share
『』￤Follow the @xbunnyhopx For more
══════ ∘◦❁◦∘ ═══════
[Tags] #dva #overwatch #Cute #Gamer #Love #Fanart #Overwatchdva #dvacosplay #Bunnies #Dvafanart #Doritos #Pcgamer #Progamer #Starcraft #Positive #Heroes
Thank you for visitingପ( •̤ᴗ•̤ )੭⁾⁾.｡.:✽・ﾟ＋</t>
  </si>
  <si>
    <t>I don't think I want someone fucking my bag of doritos.
tch, seriously? c'mon man, lighten up.</t>
  </si>
  <si>
    <t>♧┇ GABRIEL.</t>
  </si>
  <si>
    <t>ဒုံဟီး</t>
  </si>
  <si>
    <t>23.06.2019 02:26</t>
  </si>
  <si>
    <t>I’m eating spicy sweet chili Doritos in bed rn, livin the dream</t>
  </si>
  <si>
    <t>kirstie</t>
  </si>
  <si>
    <t>Las Cruces</t>
  </si>
  <si>
    <t>02:19</t>
  </si>
  <si>
    <t>23.06.2019 02:19</t>
  </si>
  <si>
    <t>Vicki Nullis</t>
  </si>
  <si>
    <t>23.06.2019 02:18</t>
  </si>
  <si>
    <t>T Simms</t>
  </si>
  <si>
    <t>23.06.2019 02:21</t>
  </si>
  <si>
    <t>dai ‎⎊</t>
  </si>
  <si>
    <t>23.06.2019 02:24</t>
  </si>
  <si>
    <t>Definitely had better weeks.
.
Lack of motivation and energy, missed sessions because of bad weather and mechanical issues.
.
First week back is always the hardest. Tomorrow we try again.
.
.
#workhardwineasy
@zoggsaustralia_newzealand @doritos</t>
  </si>
  <si>
    <t>Eddie Vining</t>
  </si>
  <si>
    <t>boat,sunglasses</t>
  </si>
  <si>
    <t>cloud,summer,swimming pool,ocean,sky,tourism,leisure,water,vacation</t>
  </si>
  <si>
    <t>23.06.2019 02:15</t>
  </si>
  <si>
    <t>@Doritos The power to help others in their time of need, like my role model
#IncognitoDoritos #Entry</t>
  </si>
  <si>
    <t>Rico Martin</t>
  </si>
  <si>
    <t>@Doritos #IncognitoDoritos #Entry Doritos give me the superpower to be bold</t>
  </si>
  <si>
    <t>Marshmalloon</t>
  </si>
  <si>
    <t>23.06.2019 02:17</t>
  </si>
  <si>
    <t>feeling like a real moron walking around this shopping centre tryina put back these doritos my mum didn't want to buy</t>
  </si>
  <si>
    <t>23.06.2019 02:11</t>
  </si>
  <si>
    <t>Game on!! Video credit @highdefperth
• • • • • •
 @highdefperth
@autotrizaustralia
@timdavieslandscaping
@mazdaaus
@mazda_fan_club
@brandtmotorsport
#highdefperth #racecar #australia #westernaustralia #instajdm #fastcar #caraofinstagram #fd3snation #dreamcar #japcar #jdmporn #jdmlove #tarmac #rally #mazda #import #drifting #cars #carsofinstagram #doritos #car #turbo #targawest
#Autotriz #WorldClass #thetrizeffect</t>
  </si>
  <si>
    <t>Autotriz Australia</t>
  </si>
  <si>
    <t>motorsport</t>
  </si>
  <si>
    <t>Buy 1, get 6 free 
#spiderman #farfromhome #doritos</t>
  </si>
  <si>
    <t>KAI.L</t>
  </si>
  <si>
    <t>#spiderman 
#spidermanfarfromhome 
#doritos 
#taiwanlife</t>
  </si>
  <si>
    <t>Jowett Jansen</t>
  </si>
  <si>
    <t>Тайчжун</t>
  </si>
  <si>
    <t>上雅里</t>
  </si>
  <si>
    <t>23.06.2019 02:08</t>
  </si>
  <si>
    <t>my form of post work therapy is launching youtube in bed to watch the women of bon appetit recreate gourmet starbursts and doritos all night</t>
  </si>
  <si>
    <t>catie</t>
  </si>
  <si>
    <t>Auburn</t>
  </si>
  <si>
    <t>Gecesi</t>
  </si>
  <si>
    <t>BossOnLine</t>
  </si>
  <si>
    <t>alcohol,bottle,drink</t>
  </si>
  <si>
    <t>24.06.2019 06:32</t>
  </si>
  <si>
    <t>KFC Cheetos Sandwich</t>
  </si>
  <si>
    <t>KFC Cheetos Sandwich Likes Received: 875 Coming out for a limited time on July 1. I've been seeing nothing but rave reviews on this one. Also coming: Mac &amp; Cheetos, Loaded Cheeto Fries and Cheeto-fied KFC Hot Wings. Thoughts? Sign me up. Just take off the mayo. I put Cheetos or Doritos in my ham sandwich every now and then. Its good. i can fap to this Invisible Fan Insider Newsletter™ 2X Diamond Member Joined: I was expecting cheeto batter. I'm waiting on Balke's review before I take the plunge. I was expecting cheeto batter. Click to expand</t>
  </si>
  <si>
    <t>Roscoe Arbuckle (invalid@example.com)</t>
  </si>
  <si>
    <t>bbs.clutchfans.net</t>
  </si>
  <si>
    <t>23.06.2019 02:04</t>
  </si>
  <si>
    <t>帝国軍に入りたかった男</t>
  </si>
  <si>
    <t>Хэнань</t>
  </si>
  <si>
    <t>内乡县</t>
  </si>
  <si>
    <t>23.06.2019 02:00</t>
  </si>
  <si>
    <t>zeynep *saw ENDGAME and very sad*</t>
  </si>
  <si>
    <t>23.06.2019 01:55</t>
  </si>
  <si>
    <t>*:･ﾟ✧*:･ﾟ✧
libra. boy kisser. belongs to no one. loves being the center of attention almost all the time. can fit his whole fist in his mouth when he tries. loves nacho cheese doritos. billie eilish stan. riverdale and shameless stan. in love with the idea of being an actor. loves candy and sweet stuff. did drugs once and will most likely tell you about it. loves himself waaay too much. acts like a dick but is a huge softie. will most likely copy what you say. likes double texting. will most likely send you song lyrics. lets be friends bc i have NONE.
        ⚡️</t>
  </si>
  <si>
    <t>23.06.2019 01:53</t>
  </si>
  <si>
    <t>I had a dream last night that a lady held the whole mall hostage in the parking garage and I was the one to get shot in the foot, and then I ended up on a freeway with a flat tire. 
Moral of the story: I was right, eating nacho Doritos before bed brings some trippy ass dreams.</t>
  </si>
  <si>
    <t>bmertz</t>
  </si>
  <si>
    <t>Бояка</t>
  </si>
  <si>
    <t>area urbana</t>
  </si>
  <si>
    <t>23.06.2019 01:54</t>
  </si>
  <si>
    <t>✿ lizzzz</t>
  </si>
  <si>
    <t>Corazon de Naupas</t>
  </si>
  <si>
    <t>WOLF</t>
  </si>
  <si>
    <t>23.06.2019 10:02</t>
  </si>
  <si>
    <t>•which ones your favourite   #lipgloss #selfcare #selfcarelove #lipinjections #lippy #beauty #dt #explorepage #explore #diy #yum #badandboujee #boujee #followforfollowback #clearskin #skincare #chips #crisps #snack #snacks #eat #explore #dt #explorepage #followforfollowback #followme #thanks</t>
  </si>
  <si>
    <t>MY LIPS IS POPPIN BIH</t>
  </si>
  <si>
    <t>23.06.2019 01:49</t>
  </si>
  <si>
    <t>Hey @Doritos ya’lls chips have the power to bring my family together when we couldn’t stand to be in the same room. We would spend hours playing xbox while eating Doritos, and it was some of the best times of my life. #IncognitoDoritos #Entry</t>
  </si>
  <si>
    <t>Xeltyr_Rex</t>
  </si>
  <si>
    <t>23.06.2019 01:50</t>
  </si>
  <si>
    <t>Quiero doritos con coca cola</t>
  </si>
  <si>
    <t>July</t>
  </si>
  <si>
    <t>Lerako | Marogoa</t>
  </si>
  <si>
    <t>Longaneng</t>
  </si>
  <si>
    <t>23.06.2019 03:09</t>
  </si>
  <si>
    <t>Gamer goo is mountain dew blended with nacho Doritos</t>
  </si>
  <si>
    <t>Augustus</t>
  </si>
  <si>
    <t>★~Lasagna but fur instead of Besciamella~★</t>
  </si>
  <si>
    <t>Cryin For My Girl D.Va</t>
  </si>
  <si>
    <t>Of course I did, but all you did was drink mountain dew and eat Doritos.</t>
  </si>
  <si>
    <t>Dad</t>
  </si>
  <si>
    <t>Latest General Discussion topics - Overwatch Forums</t>
  </si>
  <si>
    <t>01:45</t>
  </si>
  <si>
    <t>23.06.2019 02:02</t>
  </si>
  <si>
    <t>I didn’t know I needed this in my life until now. @joejonas @doritos #jonasbrothers #joejonas #doritos #sophieturner #jophie
@joejonas @sophiet @jonasbrothers @doritos</t>
  </si>
  <si>
    <t>Jonas Brothers Fanpage</t>
  </si>
  <si>
    <t>23.06.2019 01:58</t>
  </si>
  <si>
    <t>Alaysia• WHY DONT WE | WDW IN 59 MRS.SEAVEY</t>
  </si>
  <si>
    <t>Jonah</t>
  </si>
  <si>
    <t>If Kawhi signs a five year contract with the Raptors, would it make the Kawhi-Derozan trade one of the best trades in NBA history?</t>
  </si>
  <si>
    <t>Definition of addition by subtraction. (The picks were nice too though, thx dolan. I would have settled for a bag of Doritos.)</t>
  </si>
  <si>
    <t>B MSHAKALAKA</t>
  </si>
  <si>
    <t>Toronto Raptors: #WeTheNorth</t>
  </si>
  <si>
    <t>23.06.2019 01:44</t>
  </si>
  <si>
    <t>@jeffrussitano7 Okay boom. Roast beef, honey ham, cheddar cheese, that sauce and to top it off...... cool ranch Doritos. Apologize to that sauce right now for the disrespect</t>
  </si>
  <si>
    <t>Trini Doll ✨</t>
  </si>
  <si>
    <t>Уилмингтон</t>
  </si>
  <si>
    <t>23.06.2019 03:11</t>
  </si>
  <si>
    <t>Los nuevos doritos de spiderman lejos de casa y el guante de thanos</t>
  </si>
  <si>
    <t>Jajaja que buen video amigo</t>
  </si>
  <si>
    <t>CRIS DL</t>
  </si>
  <si>
    <t>Jose el pro cool 111</t>
  </si>
  <si>
    <t>Afghanistan</t>
  </si>
  <si>
    <t>23.06.2019 01:47</t>
  </si>
  <si>
    <t>enya</t>
  </si>
  <si>
    <t>23.06.2019 10:04</t>
  </si>
  <si>
    <t>Gratitude Post: Birthday Mail- Food
.
@seoulmask and I talk daily and have a lot in common which includes our love for Spicy food, kdramas and Exo. She knows how much I love Ramen especially after seeing it countless times in Kdrama and being the amazzzzing soul she is. She sent me Korean Ramen to try along with some amazing candies.
.
The pack of Dorito's and half the candies are already gone. I'm saving the Ramen for a special day and going to hoard it until then
.
I love you Keetz even more now since you sent me Spicy Korean Ramen
.
#birthdaygiftset #friendmailfun #abcommunity #birthdaygifts #abcommunityindia #ramen #chocolatelovers #spicyfood #chocolate #friendmailisthebestmail #friendmail #skincareswap #birthdaygift #birthdaygifts #friendmails #friendmailgoodies #birthdaymail #friendmailswap #anikeexo #anispeak #shoppingalot2
@seoulmask</t>
  </si>
  <si>
    <t>Anispeak~~ On going Giveaway</t>
  </si>
  <si>
    <t>Аджмер</t>
  </si>
  <si>
    <t>fast food,confectionery,convenience food,junk food,food,snack</t>
  </si>
  <si>
    <t>23.06.2019 01:42</t>
  </si>
  <si>
    <t>Should’ve bought doritos.</t>
  </si>
  <si>
    <t>23.06.2019 01:41</t>
  </si>
  <si>
    <t>AMIGOS OLVIDEN EVANGELION MEJOR LLÉVENME A COMER PALOMITAS DORITOS NACHO</t>
  </si>
  <si>
    <t>Driss</t>
  </si>
  <si>
    <t>vegans be like 
breakfast: berry smoothie 
lunch: veggie wrap with hummus and fresh pressed juice 
dinner: beyond burger, fries, an entire package of oreos, three taco bell bean burritos, spicy sweet chili doritos, sour patch kids, and a pint on nondairy ben &amp; jerrys ice cream</t>
  </si>
  <si>
    <t>Alicia Lux</t>
  </si>
  <si>
    <t>23.06.2019 01:51</t>
  </si>
  <si>
    <t>@MSNBC Lock him up, lock him up, lock him up, lock him up, lock him up, then paint him purple, so he looks like an eggplant, instead of Doritos nacho cheese, Doritos nacho cheese, &amp; so fourth.</t>
  </si>
  <si>
    <t>tallwhitedude</t>
  </si>
  <si>
    <t>mariana ortega estra</t>
  </si>
  <si>
    <t>23.06.2019 01:45</t>
  </si>
  <si>
    <t>@MSNBC Lock him up, lock him up, lock him up, lock him up, lock him up, then pain him purple so he looks like an eggplant instead of Doritos nacho cheese, Doritos nacho cheese, &amp; so fourth.</t>
  </si>
  <si>
    <t>Pete is sad because he ate the last @doritos and licked the bag. #helovesdoritos #notpaleo #favfood #snackysnack #doritos #bulldog #bulliesarebest #mymommaisslightlyobsessed #stinkypete #adoptdontshop #napanights</t>
  </si>
  <si>
    <t>Liz Burris</t>
  </si>
  <si>
    <t>Napa</t>
  </si>
  <si>
    <t>01:35</t>
  </si>
  <si>
    <t>23.06.2019 01:39</t>
  </si>
  <si>
    <t>Rafael Capistrán</t>
  </si>
  <si>
    <t>23.06.2019 01:35</t>
  </si>
  <si>
    <t>I stuck my dick in a bag of Doritos and made a nigga’s bitch suck the dust off the tip. Ok goodnight ✌</t>
  </si>
  <si>
    <t>Serendipityistoo.funny</t>
  </si>
  <si>
    <t>23.06.2019 01:33</t>
  </si>
  <si>
    <t>Bad Bunny // Doritos .
.
.
.
.
.
.
#badbunny #badbunnybaby #badbunnypr #conejomalo #doritos  #badbunnyfrases #badbunnyfans</t>
  </si>
  <si>
    <t>Trip Random  ✨</t>
  </si>
  <si>
    <t>snack,food,fast food,junk food</t>
  </si>
  <si>
    <t>23.06.2019 01:32</t>
  </si>
  <si>
    <t>Doritos is showing no mercy.
We did it again, fam!  Doritos has once again scored the Coolest Snack Brand award at last night’s Generation Next Awards. #ForTheBold
We’re Number 1! We really could not done this without you, fam!</t>
  </si>
  <si>
    <t>The Last Wu-Tang Clan Member.</t>
  </si>
  <si>
    <t>This is something we can all agree on (OC)
.
.
.
.
.
#keanureeves #tyler #doritos #drake #facts 
#memes #anime #hentai #echhi #weeb #idubbbz #filthyfrank #bigbootydoggo #otaku #vaporwave #ecchihentai #loli #milf #normies #roblox #Minecraft #H  #amv #lol #oof #t #art #manga</t>
  </si>
  <si>
    <t>~BigBootyDoggo~</t>
  </si>
  <si>
    <t>23.06.2019 01:28</t>
  </si>
  <si>
    <t>You kidding right?
There’s a special place in hell for people who eat the plain nacho cheese Doritos</t>
  </si>
  <si>
    <t>Gizzle</t>
  </si>
  <si>
    <t>23.06.2019 01:30</t>
  </si>
  <si>
    <t>mariana</t>
  </si>
  <si>
    <t>23.06.2019 01:27</t>
  </si>
  <si>
    <t>Chidisimo</t>
  </si>
  <si>
    <t>23.06.2019 01:26</t>
  </si>
  <si>
    <t>God used some Doritos lmao but nah fr
How If It Wasn’t For Doritos Ja Morant’s Might Have Never Been The #2 in NBA Draft (Video) http://bit.ly/2Y99bRI</t>
  </si>
  <si>
    <t>Nik the Bomb.</t>
  </si>
  <si>
    <t>23.06.2019 01:29</t>
  </si>
  <si>
    <t>@Doritos A super power to help fight obesity. #IncognitoDoritos #Entry</t>
  </si>
  <si>
    <t>⎊ KIRK ⍟</t>
  </si>
  <si>
    <t>#ContestAlert! 
Who do you think can bowl a googly out of our 24Seven Greatest 11 products and why? Let us know in the comments. Stay tuned to us for 1 more question and stand a chance to win an exciting gift hamper!
The 24Seven Greatest 11 products are: Red Bull, Ice cubes, Lays, Sparkup bottle, 24Seven Glasses, Hot Dog, Sandwich, Acqua 24seven Water Bottle, Doritos, Veg burger and Coke bottle.
#24seven #24Sevenstore #alwaysopen #chillzone</t>
  </si>
  <si>
    <t>23.06.2019 01:23</t>
  </si>
  <si>
    <t>@MystGalaxyBooks #GiveABookASnack 
The Curious Incident of the Hot Dog in the Night-time
Devil Dog in a Blue Dress
Down to a Sunkist Sea
The Critque of Pure Raisins
The Doritos into Summer
Animal Cracker Farm
Hershey's Kiss the Girls
Skittle Women
Wheat Thinner
Goodbye Mr. Chips Ahoy</t>
  </si>
  <si>
    <t>James H. Hay</t>
  </si>
  <si>
    <t>23.06.2019 13:13</t>
  </si>
  <si>
    <t>#ContestAlert! 
Who do you think can bowl a googly out of our 24Seven Greatest 11 products and why? Let us know in the comments. Stay tuned to us for 1 more question and stand a chance to win an exciting gift hamper!
The 24Seven Greatest 11 products are: Red Bull, Ice cubes, Lays, Sparkup bottle, 24Seven Glasses, Hot Dog, Sandwich, Acqua 24seven Water Bottle, Doritos, Veg burger and Coke bottle.
#24seven #24Sevenstore #alwaysopen #chillzone
https://www.facebook.com/24SevenIN/photos/a.704799846197962/2591622930848968/?type=3</t>
  </si>
  <si>
    <t>23.06.2019 01:22</t>
  </si>
  <si>
    <t>@MystGalaxyBooks The Curious Incident of the Hot Dog in the Night-time
Devil Dog in a Blue Dress
Down to a Sunkist Sea
The Critque of Pure Raisins
The Doritos into Summer
Animal Cracker Farm
Hershey's Kiss the Girls
Skittle Women
Wheat Thinner
Goodbye Mr. Chips Ahoy
The Milano the Floss</t>
  </si>
  <si>
    <t>@RegiBrittain I’ve never been asked this but shit I’ll sell it for some damn Doritos and a few rounds of whiskey.</t>
  </si>
  <si>
    <t>Chris Calogero</t>
  </si>
  <si>
    <t>23.06.2019 01:21</t>
  </si>
  <si>
    <t>bullbrand</t>
  </si>
  <si>
    <t>23.06.2019 01:20</t>
  </si>
  <si>
    <t>Emma Oakley</t>
  </si>
  <si>
    <t>Xeno World</t>
  </si>
  <si>
    <t>23.06.2019 01:36</t>
  </si>
  <si>
    <t>Doritos ruleta parte 2</t>
  </si>
  <si>
    <t>AlarconBeyblader</t>
  </si>
  <si>
    <t>Doritos and chocolate chip cookies
what’s y’all favorite weird food combinations? pmo</t>
  </si>
  <si>
    <t>M A R I</t>
  </si>
  <si>
    <t>01:11</t>
  </si>
  <si>
    <t>23.06.2019 01:12</t>
  </si>
  <si>
    <t>How If It Wasn’t For Doritos Ja Morant’s Might Have Never Been The #2 in NBA Draft (Video) http://bit.ly/2IBmgOn</t>
  </si>
  <si>
    <t>BILL SOURCE</t>
  </si>
  <si>
    <t>23.06.2019 01:15</t>
  </si>
  <si>
    <t>2.3k</t>
  </si>
  <si>
    <t>Many know the newly second overall pick in the NBA draft, Ja Morant, as the most exciting player in college not named Zion. However, if it had not been for then Murray State assistant coach James Kane (now Iowa State head coach) getting hungry, Morant might not have been drafted.
In an ESPN E60 profile, Morant explains how he was added to the two day camp late and how his name wasn’t called so he had to shoot around in a separate gym. Kane, who was scouting another player, ended up getting hungry and was directed to the concession stand where he ordered Doritos and a soda.</t>
  </si>
  <si>
    <t>BlackSportsOnline</t>
  </si>
  <si>
    <t>blacksportsonline.com</t>
  </si>
  <si>
    <t>basketball</t>
  </si>
  <si>
    <t>i wonder if i'll find my self esteem in the bottom of this third bag of doritos...</t>
  </si>
  <si>
    <t>Don Haworth</t>
  </si>
  <si>
    <t>23.06.2019 01:11</t>
  </si>
  <si>
    <t>June 28</t>
  </si>
  <si>
    <t>23.06.2019 01:10</t>
  </si>
  <si>
    <t>Taco Bell, Calimesa Blvd, Calimesa, California, USA</t>
  </si>
  <si>
    <t>Taco Bell, Calimesa Blvd, Calimesa, California, USA Calimesa Boulevard, Calimesa, 92320 California, United States 1 1 “Ordered Doritos Taco , Chalupa , Cinnamon Twist. Immediately nauseous after coming home., Just nauseous now. No other symptoms. Upset stomach and headache.”</t>
  </si>
  <si>
    <t>01:05</t>
  </si>
  <si>
    <t>I usually just keep it simple since I don't have time to cook for myself..
-Nick
https://www.facebook.com/photo.php?fbid=847326702318380&amp;set=p.847326702318380&amp;type=3
Chris
We all know that we spend our entire day sometimes creating amazing food for other people to enjoy, while we eat like complete trash or don't even eat at all. I've been struggling to put on weight due to my shit tier eating habits, so I've been bombing on sandwiches every chance I get(meals, snacks, desserts; you name it). I was wondering if anybody else out there actually enjoys making/eating amazingly shitty, yet phenomenally delicious sandwiches? This is whole wheat, Chipotle mayo, mustard, turkey, bacon, habanero jack, and jalapeno Doritos. Fucking delicious.</t>
  </si>
  <si>
    <t>The Asshole Line Cook</t>
  </si>
  <si>
    <t>baked goods,fast food,fried food,junk food,food</t>
  </si>
  <si>
    <t>23.06.2019 01:09</t>
  </si>
  <si>
    <t>@Brew_Boo No she just gained weight. I watch her early videos and she was very very skinny, now you can tell she just be enjoying her tacos and Doritos. Her lips are definitely filled but not her face.</t>
  </si>
  <si>
    <t>Tara N. Noe</t>
  </si>
  <si>
    <t>Racine</t>
  </si>
  <si>
    <t>01:03</t>
  </si>
  <si>
    <t>23.06.2019 01:06</t>
  </si>
  <si>
    <t>Alguien me trae Doritos ?</t>
  </si>
  <si>
    <t>Cคяoℓɨи∆</t>
  </si>
  <si>
    <t>Villa Constitución</t>
  </si>
  <si>
    <t>23.06.2019 01:05</t>
  </si>
  <si>
    <t>@Javs_5 Las palomitas Doritos nacho 10/10 &gt; Palomitas Takis</t>
  </si>
  <si>
    <t>RekiAz (Iker)</t>
  </si>
  <si>
    <t>23.06.2019 01:19</t>
  </si>
  <si>
    <t>#oldschoolfood #doritos #doritostacoflavor #doritostortillachips #tacoflavor #snackfood #chips #fritolays</t>
  </si>
  <si>
    <t>Mike Stewart</t>
  </si>
  <si>
    <t>23.06.2019 01:13</t>
  </si>
  <si>
    <t>@Doritos Doritos give me the power to turn anything I touch orange (you know, from the dust) #Entry #IncognitoDoritos</t>
  </si>
  <si>
    <t>Kristen Sadlocha</t>
  </si>
  <si>
    <t>23.06.2019 01:01</t>
  </si>
  <si>
    <t>@SpiderManMovie @Doritos PLEASE IF YOU ARE READING THIS:: GET MCDONALDS, PANDA EXPRESS, CHIPOTLE, (Just to name a couple of restaurants) NEAR YOU DELIVERED TO YOUR DOOR when you create a "Door Dash" account: https://drd.sh/QF6gsV/
You can thank me later</t>
  </si>
  <si>
    <t>Rayne ivy</t>
  </si>
  <si>
    <t>23.06.2019 01:02</t>
  </si>
  <si>
    <t>There was no way I wasn’t going to have the Nacho Cheeza when @lovepizza_yeg said it was coming back! Loads of nacho cheese sauce, cheddar, spicy taco beef, lettuce, Pico de Gallo, Creme Fraiche &amp; Doritos! This is an instant classic and I always make my way down to have one! Go eat one if you haven’t already!
@yeggers_ @blindmanbrewery @lovepizza_yeg</t>
  </si>
  <si>
    <t>Matt Timms</t>
  </si>
  <si>
    <t>Эдмонтон</t>
  </si>
  <si>
    <t>baked goods,fried food,appetizer,junk food,pizza,meal,food</t>
  </si>
  <si>
    <t>@Doritos PLEASE IF YOU ARE READING THIS:: GET MCDONALDS, PANDA EXPRESS, CHIPOTLE, (Just to name a couple of restaurants) NEAR YOU DELIVERED TO YOUR DOOR when you create a "Door Dash" account: https://drd.sh/QF6gsV/
You can thank me later</t>
  </si>
  <si>
    <t>Diminie</t>
  </si>
  <si>
    <t>frito lay chip flavor</t>
  </si>
  <si>
    <t>s is giving us 8 new flavors but which .
canadian cuisine lay s potato chip flavor frito lay lays png .
cappuccino one of 4 finalists in lay s potato chip flavor contest .
lay s launches 8 new potato chip flavors inspired by u s regions .
frito lay s new cheetos doritos flavor shots feature returning .
do us a flavor engaging the layperson in choosing lay s chips .
new lay s potato chip flavors announced as part of flavor contest .
lay s classic potato chips .
new chip flavours from frito lay include cappuccino wasabi ginger .
frito lay chips</t>
  </si>
  <si>
    <t>Flamingo hot Doritos</t>
  </si>
  <si>
    <t>ItsEthan</t>
  </si>
  <si>
    <t>00:57</t>
  </si>
  <si>
    <t>Drake puts Doritos on his sandwiches and calls them “drake sandwiches” He act like no else has ever done that</t>
  </si>
  <si>
    <t>professor finesser</t>
  </si>
  <si>
    <t>San Marcos</t>
  </si>
  <si>
    <t>@Faze_Gandalf Doritos</t>
  </si>
  <si>
    <t>ii_Jackwashere</t>
  </si>
  <si>
    <t>00:56</t>
  </si>
  <si>
    <t>23.06.2019 00:58</t>
  </si>
  <si>
    <t>I miss 3D Doritos.</t>
  </si>
  <si>
    <t>Giulia Sambuca</t>
  </si>
  <si>
    <t>Funko de Spider-Man lejos de casa Doritos semana 4 | C-de Colecciones</t>
  </si>
  <si>
    <t>Dámelo no tengo ninguno</t>
  </si>
  <si>
    <t>TheSolherProject</t>
  </si>
  <si>
    <t>C-de colecciones</t>
  </si>
  <si>
    <t>23.06.2019 01:08</t>
  </si>
  <si>
    <t>I wasn’t doin nuffin, I was making sure no one else was taking the chippies, I promise *wink wink* #party #doritos #cheeky #goldenretriever #puppy</t>
  </si>
  <si>
    <t>Duke</t>
  </si>
  <si>
    <t>Doritos ruleta parte 1</t>
  </si>
  <si>
    <t>23.06.2019 00:57</t>
  </si>
  <si>
    <t>@Doritos Doritos give me the power to fix munchies #IncognitoDoritos #Entry</t>
  </si>
  <si>
    <t>Høtflÿ</t>
  </si>
  <si>
    <t>We all know that we spend our entire day sometimes creating amazing food for other people to enjoy, while we eat like complete trash or don't even eat at all. I've been struggling to put on weight due to my shit tier eating habits, so I've been bombing on sandwiches every chance I get(meals, snacks, desserts; you name it). I was wondering if anybody else out there actually enjoys making/eating amazingly shitty, yet phenomenally delicious sandwiches? This is whole wheat, Chipotle mayo, mustard, turkey, bacon, habanero jack, and jalapeno Doritos. Fucking delicious.
https://www.facebook.com/photo.php?fbid=847326702318380&amp;set=p.847326702318380&amp;type=3</t>
  </si>
  <si>
    <t>23.06.2019 00:53</t>
  </si>
  <si>
    <t>#incognitoDoritos doritos they give confidence and the ability to Shoot ION beams from my hands #Entry</t>
  </si>
  <si>
    <t>RJ Otadoy</t>
  </si>
  <si>
    <t>Surrey</t>
  </si>
  <si>
    <t>23.06.2019 00:56</t>
  </si>
  <si>
    <t>Doritos Locos® Naked Potato Cheesarito Tostada
42 calories
$8.88</t>
  </si>
  <si>
    <t>I'm gonna go to one of the Doritos Dynamite Raids in Pokemon SW/SH and
geralt of rivia is gonna pop out and be like "I fuckin hate portals" and that Witcher 3 song where the Polish ladies are absolutely wailing is gonna play</t>
  </si>
  <si>
    <t>✹i z z y✹Excalibur</t>
  </si>
  <si>
    <t>23.06.2019 00:48</t>
  </si>
  <si>
    <t>h howd you know i had doritos...
are you spying on me -.-
man ew it smells like doritos</t>
  </si>
  <si>
    <t>‘</t>
  </si>
  <si>
    <t>23.06.2019 00:45</t>
  </si>
  <si>
    <t>@ElizabethEThorp I can’t believe people enjoy this shit- well, not everyone.  I didn’t realize that I licked my Doritos before I chew them, my first roommate threatened to throw my ass out when she sat down to watch a movie with me,while sharing chips.</t>
  </si>
  <si>
    <t>InMinivanHell</t>
  </si>
  <si>
    <t>00:38</t>
  </si>
  <si>
    <t>23.06.2019 00:38</t>
  </si>
  <si>
    <t>@Doritos Doritos give me the power toplay amazing in video games 
#IncognitoDoritos #Entry</t>
  </si>
  <si>
    <t>Octavio</t>
  </si>
  <si>
    <t>23.06.2019 00:41</t>
  </si>
  <si>
    <t>Thai Pepper Chicken Flavor @doritos (Product Of Taiwan)  #Exotic #CT #Connecticut #Snacks #RareSnacks #Chips #Doritos #ThaiPepperChicken #Taiwan #Japan #Munchies #CTExotics #ExoticSodas #ExoticSnacks #ImportedSnacks</t>
  </si>
  <si>
    <t>CT_Exotics</t>
  </si>
  <si>
    <t>fast food,convenience food,food,junk food,snack</t>
  </si>
  <si>
    <t>23.06.2019 00:36</t>
  </si>
  <si>
    <t>Some shots from @aaron_dabee go check out his page . #fathersday event held by @jamaicaclassiccarclub .
.
.
.
.
#followformore #staytuned 
#rx7 #mazda #modzcity #built #cars #instacars #restoration #rotory #jdm #doritos #instagram #classiccars #rx7fd #bestcars #machine #builtnotbought #jamaica #photooftheday #tagsomeone #gauges #carshow #lovecars</t>
  </si>
  <si>
    <t>For The Love Of Cars</t>
  </si>
  <si>
    <t>00:34</t>
  </si>
  <si>
    <t>Northside Moonwalker</t>
  </si>
  <si>
    <t>North Cowichan</t>
  </si>
  <si>
    <t>23.06.2019 00:35</t>
  </si>
  <si>
    <t>Alright here’s an update on my love life:
So the girl who says she doesn’t wanna date me wanted to hang out today and I was like “nah ma I’m busy” when i was just laying down eating Doritos. But then my petty ass made plans with my friends and I went to a party with this nice dress and I posted Gucci ass photos and she liked every single one but hasn’t talked to me at all. We love being petty. Also my friend is having a pool party soon and she’s already invited so y’all best believe ima look like a whole snacc and show her what she’s missing</t>
  </si>
  <si>
    <t>Athena</t>
  </si>
  <si>
    <t>23.06.2019 00:47</t>
  </si>
  <si>
    <t>1. Olive Garden Bread Sticks. 2. Doritos Cool Ranch and Mountain Dew. 3. Lavander Flower and</t>
  </si>
  <si>
    <t>1001% Asshole Monty ∴</t>
  </si>
  <si>
    <t>You ever have an idea so good you had to share it with the world?
#tacobell #tacobellnachofries #doritoslocostacos #doritos #sorrynotsorry</t>
  </si>
  <si>
    <t>Pandora Danger</t>
  </si>
  <si>
    <t>23.06.2019 00:30</t>
  </si>
  <si>
    <t>アメコミ好き/h +JP</t>
  </si>
  <si>
    <t>23.06.2019 00:33</t>
  </si>
  <si>
    <t>Bird in an airport</t>
  </si>
  <si>
    <t>23.06.2019 00:31</t>
  </si>
  <si>
    <t>Binyomin Scheiman</t>
  </si>
  <si>
    <t>Des Plaines</t>
  </si>
  <si>
    <t>Cool Ranch @Doritos ended my strike</t>
  </si>
  <si>
    <t>Zach</t>
  </si>
  <si>
    <t>Констанца</t>
  </si>
  <si>
    <t>Vulturu</t>
  </si>
  <si>
    <t>23.06.2019 00:28</t>
  </si>
  <si>
    <t>@spencerdjblake Sunchips are Doritos for soccer moms.</t>
  </si>
  <si>
    <t>Dingbat</t>
  </si>
  <si>
    <t>@kameroncarter nacho doritos and cream cheese</t>
  </si>
  <si>
    <t>ab</t>
  </si>
  <si>
    <t>23.06.2019 00:29</t>
  </si>
  <si>
    <t>dat boi Smurfie</t>
  </si>
  <si>
    <t>23.06.2019 00:42</t>
  </si>
  <si>
    <t>Its “Back to School Season” and that means that we all need a snack to bring with us! Get your craving satisfied with these snacks from @laysphilippines plus you could get a FREE snack at @krispykremeph, @yellowcabpizza or @maxschicken when you exchange 2 stickered bag of chips! (swipe left)
-
Make sure to go to Lays Philippines FB page for the full mechanics and list of branches. #LaysSnackOverload
@krispykremeph @doritos @lays @viagonzales_ @fritolay @maxschicken @cheetos @sparkitph @laysphilippines @yellowcab.ph</t>
  </si>
  <si>
    <t>yt: itsmehanah | GIVEAWAY‼️</t>
  </si>
  <si>
    <t>Spicy Nacho Flavor @doritos (Product Of Taiwan)  #Exotic #CT #Connecticut #Snacks #RareSnacks #Chips #Doritos #SpicyNacho #Taiwan #Japan #Munchies #CTExotics #ExoticSodas #ExoticSnacks</t>
  </si>
  <si>
    <t>@ArreysYT I had an aneurism from eating 27 cool ranch Doritos chips laced with pickle juice aged for 80 years</t>
  </si>
  <si>
    <t>Melk</t>
  </si>
  <si>
    <t>Мельк</t>
  </si>
  <si>
    <t>23.06.2019 00:26</t>
  </si>
  <si>
    <t>@illustratumable So when the US is totally ruined, a clone of some place like Somalia or the Congo where people eat each other as casually as Doritos where you going to run to then, where do you run when there are no more 'country of white people' left to suck the life from?
 F*cking parasite</t>
  </si>
  <si>
    <t>Lee Wardle</t>
  </si>
  <si>
    <t>00:22</t>
  </si>
  <si>
    <t>23.06.2019 00:24</t>
  </si>
  <si>
    <t>@NiallSnipars Cheetos Doritos and Fritos?</t>
  </si>
  <si>
    <t>Rip and tear guy</t>
  </si>
  <si>
    <t>23.06.2019 03:06</t>
  </si>
  <si>
    <t>One-Rotor Speedster FIRST START - CAN IT SOUND ANY BETTER!?</t>
  </si>
  <si>
    <t>Toasty doritos!</t>
  </si>
  <si>
    <t>GoneGinish</t>
  </si>
  <si>
    <t>Team Boosted</t>
  </si>
  <si>
    <t>23.06.2019 00:20</t>
  </si>
  <si>
    <t>More room for activities and to stretch me legs 
. .
#argh #talklikeapirateday #meekodorito #doritos #hamster #cuddle #adorbs #hamsterlove #hamsterdaily #love #cute #pacificnorthwest #hamstersofinstagram #fluffy #petsofinstagram #instapet #instagood #instagold #hammylove #furbaby #animalover #animalsofinsta #instadaily #potd #instapets #furry #kuji #kujicam #instalove #memes
@doritos</t>
  </si>
  <si>
    <t>Cora pls.</t>
  </si>
  <si>
    <t>gamertrack YT y ostrack YT</t>
  </si>
  <si>
    <t>23.06.2019 00:12</t>
  </si>
  <si>
    <t>When you fuckin’ LOVE CCs. How good’s a giant packet of Tasty Cheese flavour?
.
.
.
#crackermilk #behindthemilk #ccs #cornchips #doritos #meme #memes #giant #vagueimages #props #propstylist #propideas #prop #setdesign #propdesign #filmmaking #noveltysize #novelty #xxl #xl #large #extralarge #funny #comedy #sketchcomedy #newvideo #comingsoon
@joshtate_</t>
  </si>
  <si>
    <t>23.06.2019 00:15</t>
  </si>
  <si>
    <t>Lady Hamster Debra ✨</t>
  </si>
  <si>
    <t>23.06.2019 00:14</t>
  </si>
  <si>
    <t>Sam</t>
  </si>
  <si>
    <t>Ubatuba</t>
  </si>
  <si>
    <t>23.06.2019 00:13</t>
  </si>
  <si>
    <t>Darth Continent</t>
  </si>
  <si>
    <t>Cook these: Three Burmese dishes by MiMi Aye</t>
  </si>
  <si>
    <t>call it chip powder!"), and that largely it's down to what we call it. "It has a chemical name, and chemicals scare people," muses Aye. "But if I say, 'I put some sodium chloride in my meal', there's no difference."
While she notes that if you don't want to use MSG, that's fine, she does add reasonably: "I'm talking about a quarter teaspoon, it's just that little bit of extra enhancement." Plus "it's what makes Pringles and Doritos taste good!"
And if you think it's what makes you thirsty if you've eaten a takeaway? "That's the salt, I think you</t>
  </si>
  <si>
    <t>bournemouthecho.co.uk</t>
  </si>
  <si>
    <t>23.06.2019 00:10</t>
  </si>
  <si>
    <t>Getting some rotary support out in  germany.Military love serving our country @nopistonfd94 appreciate the love brother♥️ #mazda#rx7#fd
#rotary#doritos#wankel#13b#support#friends#thankyou#fd#brap#mazdarx7#vr#germany#military#respect#airforce#trl_therotarylife#stopmotionlighting</t>
  </si>
  <si>
    <t>24.06.2019 06:30</t>
  </si>
  <si>
    <t>Low cal alternative Tortilla chip?</t>
  </si>
  <si>
    <t>Quest makes some tortilla chips, but they're more like Doritos, not plain chips.
You could also get some tortillas and bake them yourself so you control how much oil is used. June 22, 2019 11:07PM</t>
  </si>
  <si>
    <t>apullum</t>
  </si>
  <si>
    <t>community.myfitnesspal.com</t>
  </si>
  <si>
    <t>Food and Nutrition — MyFitnessPal.com</t>
  </si>
  <si>
    <t>00:05</t>
  </si>
  <si>
    <t>23.06.2019 00:09</t>
  </si>
  <si>
    <t>USAMICHELE45</t>
  </si>
  <si>
    <t>23.06.2019 00:05</t>
  </si>
  <si>
    <t>Lmaooooo!! You’re wild
Who's tryna suck my dick? I'll put my shit in a bag of doritos so you can get that cheese dust flavor.</t>
  </si>
  <si>
    <t>hey maid</t>
  </si>
  <si>
    <t>I want a family size bag of Doritos right now</t>
  </si>
  <si>
    <t>ms.smart</t>
  </si>
  <si>
    <t>Many</t>
  </si>
  <si>
    <t>23.06.2019 09:18</t>
  </si>
  <si>
    <t>Happy Place~ #netflix #moviesnacks  a gloomy-rainy day☔⛅</t>
  </si>
  <si>
    <t>Sarina Bernadette</t>
  </si>
  <si>
    <t>00:01</t>
  </si>
  <si>
    <t>23.06.2019 00:02</t>
  </si>
  <si>
    <t>Today was my son’s 3rd Birthday.  I actually was running around a lot and didn’t eat until the party started.  I could call that intermittent fasting right?! Haha well anyways, I think I did ok.  I don’t think I forgot to track anything.  Entering the wine was scary but I only had one glass so, it turned out ok.  Had pizza and cake and Doritos and s’mores and actually managed to get a blue dot ! Also threw in last nights dinner because I forgot to post it.  Wegmans sub.
@ww #wellnessworks #weightwatchers #weightlossjourney #wwfoodlog #wwmafia #wwfamily #wwIGfamily #wwsisterhood #smartpoints #wwfreestyle #wwsisterhood #ww #diet #weightwatcherssmartpoints #becauseitworks</t>
  </si>
  <si>
    <t>Kate</t>
  </si>
  <si>
    <t>water,cloud,sky,ocean</t>
  </si>
  <si>
    <t>22.06.2019</t>
  </si>
  <si>
    <t>23.06.2019 00:00</t>
  </si>
  <si>
    <t>EK NACHOS❗ TILL 2AM PICK UP AND DELIVERY. ‍‍THE COOKING CONTINUES #THE1‍EK #MAMAPREP_EK #EKNACHOS #PULLEDPORKNACHOS #TASTY #LOADEDNACHOS #NACHOCHEESE #DELICIA #DELICIOSO #VIEWGASM #FOODGASM #FOODBEAST #FOODVIDS #FOODVIDEOS #THRILLIST #WEUP #INVESTINYOU #FLAVORKINGS #THECOOKINGCONTINUES #THEMARATHONCONTINUES #ENTREPRENEURS #YOUNGVISIONARIES #EKGOTTHESAUCE
@thrillist @iamdanileigh @millyz @doritos @iamcardib @dtheflyestbtl</t>
  </si>
  <si>
    <t>snack,baked goods,frozen dessert,dessert,food</t>
  </si>
  <si>
    <t>23.06.2019 08:52</t>
  </si>
  <si>
    <t>•
•
•
•
•
•
•
# #like4like #toptags #liker #likes #l4l #likes4likes #photooftheday #spamforspam #likeforlike #likesforlikes #100likes #liketeam #likebackteam #spam4spam #likeall #likealways #liking #doubletap #instalike #recentforrecent #recent4recent #tags4likes #likelove #tagsforlikes #20likes #50likes #likeme #likesback</t>
  </si>
  <si>
    <t>Aηαвєℓ  Ƈяιѕтιηα</t>
  </si>
  <si>
    <t>San Agustín de las Juntas</t>
  </si>
  <si>
    <t>Jasmine: so what’s the tea?
Me: I put my dick in a bag of Doritos</t>
  </si>
  <si>
    <t>KingFaze</t>
  </si>
  <si>
    <t>23:58</t>
  </si>
  <si>
    <t>23.06.2019 00:01</t>
  </si>
  <si>
    <t>Alvaro mejia.®</t>
  </si>
  <si>
    <t>22.06.2019 23:58</t>
  </si>
  <si>
    <t>Tengo un re antojo de doritos</t>
  </si>
  <si>
    <t>Juan</t>
  </si>
  <si>
    <t>Кацина</t>
  </si>
  <si>
    <t>Furia</t>
  </si>
  <si>
    <t>22.06.2019 23:56</t>
  </si>
  <si>
    <t>Juiceman83</t>
  </si>
  <si>
    <t>23.06.2019 00:11</t>
  </si>
  <si>
    <t>Swimming the Spring, Cruising, Doritos &amp; Fireworks  
#HomosassaSprings #Florida #Fireworks #Florida #LoveFL
@lashaybaylis</t>
  </si>
  <si>
    <t>Kevin Scott</t>
  </si>
  <si>
    <t>vehicle,boat</t>
  </si>
  <si>
    <t>summer,water,leisure,vacation</t>
  </si>
  <si>
    <t>22.06.2019 23:57</t>
  </si>
  <si>
    <t>Don't touch my mama 
Don't touch my doritos 
#fitmom #bodypositivity</t>
  </si>
  <si>
    <t>Kenyatta Hayes</t>
  </si>
  <si>
    <t>leisure,vacation</t>
  </si>
  <si>
    <t>Bad Ass!
It’s a @Doritos bag that turns into a Spider-Man suit? We’re truly living in the future. http://www.IncognitoDoritos.com</t>
  </si>
  <si>
    <t>Andy X</t>
  </si>
  <si>
    <t>C perdon por yegar tarde</t>
  </si>
  <si>
    <t>Bogard miguel Franco</t>
  </si>
  <si>
    <t>marak007</t>
  </si>
  <si>
    <t>23.06.2019 09:05</t>
  </si>
  <si>
    <t># #repost #gratitude @escultoresupremo</t>
  </si>
  <si>
    <t>a creative native son ☀️</t>
  </si>
  <si>
    <t>Lasts...
1. Doritos
2. Crispy pata
3. Babs
4. "lutaw na syado sa lagutom" 
5. Babs
6. Cant remember
7. Gutom
8. Babs
9. gAmeR boi
10. On going
Note: If someone likes your tweet, pass this message onto that person.</t>
  </si>
  <si>
    <t>louie</t>
  </si>
  <si>
    <t>22.06.2019 23:55</t>
  </si>
  <si>
    <t>1) Not gonna happen
2) Shut tf up you hypocritical, constitution breaking, unlawful bag of stale Doritos dust</t>
  </si>
  <si>
    <t>Matthew Browe</t>
  </si>
  <si>
    <t>Macomb</t>
  </si>
  <si>
    <t>Que ganas de unos Doritos y coca de vidrio</t>
  </si>
  <si>
    <t>22.06.2019 23:54</t>
  </si>
  <si>
    <t>walmart</t>
  </si>
  <si>
    <t>22.06.2019 23:53</t>
  </si>
  <si>
    <t>Gustavo Garcia</t>
  </si>
  <si>
    <t>22.06.2019 23:51</t>
  </si>
  <si>
    <t>@Doritos #IncognitoDoritos #Entry It gives me the super power to no longer be hungry!</t>
  </si>
  <si>
    <t>Stephanie Liske</t>
  </si>
  <si>
    <t>23:50</t>
  </si>
  <si>
    <t>IM DA MF G.O.A.T DROP GOAT IN DA COMMENTS!!! And whoever I pick in da comments wit da rawest goat name gets free snacks from me and shout out on youtube! #explorepage #nayahvroomchallenge #nayahslobchallenge #views #dance #nayahxtweaking #nayahdreamchallenge #viral #lit #repost #share #laiixfy #laiixessbeat #laiinocap #dimexlaii #laiixtrapxswag #laiiandnayah#nayahxsdchall #nayahxnunu150kchallenge</t>
  </si>
  <si>
    <t>Lil Mia!</t>
  </si>
  <si>
    <t>convenience food,junk food,confectionery,food,snack</t>
  </si>
  <si>
    <t>I know Leo’s are known for being dramatic but I kid you not I feel like I’m going to pass out and die Bc I’m in a sauna
Sitting in my apartment completely naked, eating Doritos, doing homework with a broken ac... it’s 88 degrees in here someone bring me another fan before I have a heat stroke</t>
  </si>
  <si>
    <t>Alaynayyy</t>
  </si>
  <si>
    <t>Denno</t>
  </si>
  <si>
    <t>Finishing in last place in my fantasy league didn’t manage to dent my confidence. Let’s see if any of you nerds can.</t>
  </si>
  <si>
    <t>Ew. Those must be some awful Doritos.</t>
  </si>
  <si>
    <t>ReddHarring</t>
  </si>
  <si>
    <t>the thicker the skin, the better the roast</t>
  </si>
  <si>
    <t>Friend for election, sister for coincidence .
#afternoon #sisters #doritos #movies</t>
  </si>
  <si>
    <t>Annie</t>
  </si>
  <si>
    <t>Welp: That Right Hand Had Buddy Walking Off And Reflecting Life!</t>
  </si>
  <si>
    <t>I agree. It must be the doritos.</t>
  </si>
  <si>
    <t>TheFutureIsFemale</t>
  </si>
  <si>
    <t>22.06.2019 23:47</t>
  </si>
  <si>
    <t>Doritos and chocolate chip cookies are the best snacks before bed</t>
  </si>
  <si>
    <t>♥️Lil Lady♥️</t>
  </si>
  <si>
    <t>Country Life Acres</t>
  </si>
  <si>
    <t>22.06.2019 23:46</t>
  </si>
  <si>
    <t>HAMIZAN</t>
  </si>
  <si>
    <t>#taco #tacos #doritos #doritostaco</t>
  </si>
  <si>
    <t>freshwonn</t>
  </si>
  <si>
    <t>movie night platters !!  #nightin #family #yummy #food</t>
  </si>
  <si>
    <t>food photography ✌</t>
  </si>
  <si>
    <t>Nightly Discussion #1838</t>
  </si>
  <si>
    <t>Needs more Doritos and Mountain Dew.</t>
  </si>
  <si>
    <t>DawnInPonyville</t>
  </si>
  <si>
    <t>equestriadaily.com</t>
  </si>
  <si>
    <t>Equestria Daily</t>
  </si>
  <si>
    <t>24.06.2019 06:28</t>
  </si>
  <si>
    <t>dews and doritos</t>
  </si>
  <si>
    <t>the mountain dews and doritos home facebook .
pokémon mtn dew doritos diabetes my pokemon card .
the mountain dews and doritos home facebook .
nba 2k19 my team free packs locker codes on doritos mountain dews .
ytp the mine song but stingy ate and drank 60 doritos and 90 mtn .
xbox game pass limited edition gamer doritos resetera .
doritos mountain dew know your meme .
pepsi co to stack doritos and mountain dews on tesla semi short hauls .
angry dews miiverse city wiki fandom powered by wikia .
hald includes bonus flood flavor super 3 pound</t>
  </si>
  <si>
    <t>♥love ♥ #godzilla #oitnb #aladdin #willsmith #robertpattinson #robertdowneyjr #marvel #comic #justinbieber #jonasbrothers #avengersendgame #avengers #musical #mib #dance #pewdiepie #maleficent2 #kpop #moda #motorcycles #sebastianyatra #car #videogames #pokemon #filmes  #jonsnow #kitharington #deathsthanding #music #disney ♥
@karolsevillaofc</t>
  </si>
  <si>
    <t>ManuelMendozaGarcía</t>
  </si>
  <si>
    <t>22.06.2019 23:41</t>
  </si>
  <si>
    <t>I’d rather have the bag of Doritos
#Blackhawks hats waiting patiently to  go to their new homes and fuel for Rounds 2-7.
#NHLDraft</t>
  </si>
  <si>
    <t>Patrick Stankus</t>
  </si>
  <si>
    <t>My fat ass... Lol #doritos #nachos</t>
  </si>
  <si>
    <t>Richard Berry II</t>
  </si>
  <si>
    <t>this girl at work is complaining to me while i’m on my lunch break but little does she know i can’t hear a damn word she’s saying over the crunchy sound of my doritos</t>
  </si>
  <si>
    <t>random white girl</t>
  </si>
  <si>
    <t>Amo Doritos=Lali</t>
  </si>
  <si>
    <t>allgabriell</t>
  </si>
  <si>
    <t>22.06.2019 23:44</t>
  </si>
  <si>
    <t>in january I bought these Doritos that change from sweet bbq to spicy and I haven’t been able to find them anywhere I’m heartbroken</t>
  </si>
  <si>
    <t>cristina</t>
  </si>
  <si>
    <t>22.06.2019 23:43</t>
  </si>
  <si>
    <t>@TheJewishDream @thetomzone Just leave a cold one and some Doritos out for it and it’ll leave you alone</t>
  </si>
  <si>
    <t>Alex Dropkin</t>
  </si>
  <si>
    <t>@Doritos My super power would be the power of being the cringiest person in my house #IncognitoDoritos #Entry #SpiderManFarFromHome</t>
  </si>
  <si>
    <t>Saoirse</t>
  </si>
  <si>
    <t>22.06.2019 23:37</t>
  </si>
  <si>
    <t>@Doritos It give me to power to consume all the cheesy dust off my fingers in one lick, as well as use the sharp edges to scare my enemies #IncognitoDoritos</t>
  </si>
  <si>
    <t>pixiie</t>
  </si>
  <si>
    <t>22.06.2019 23:34</t>
  </si>
  <si>
    <t>Engine bay Saturday! Such a cool shot by @throdle and @iwozzy 
.
.
#engine #rotary #arc #rx7 #blitz #mazda #fd3s #twinturbo #bnrsupercars #redandgold #doritos #voodoo #blackmagic #sparklyd
@mazdausa @daily_rotary @mazdafitment @rotarywerks @rotaryaddiction @rotary_fanatics @rotaryrevs @mazdamotorsports @rotary_bum @mazdaloyalty @mazdastatus @mazdacartel @rotarychannel @rotary_sickness @rotaryshenanigans @rotaryreunion @blitz.co.ltd @mazdaclassic @rotaryboyz.jp @rotary_insta</t>
  </si>
  <si>
    <t>RX7 FD ♦️♠️ - James</t>
  </si>
  <si>
    <t>| ＰＥＲＳＯＮＡ</t>
  </si>
  <si>
    <t>22.06.2019 23:32</t>
  </si>
  <si>
    <t>And I... am... iron man *SNAPPED*</t>
  </si>
  <si>
    <t>22.06.2019 23:35</t>
  </si>
  <si>
    <t>Las palomitas de @Doritos_Mx de @Cinepolis están buenísimas, 10/10. ❤️</t>
  </si>
  <si>
    <t>ღ</t>
  </si>
  <si>
    <t>:v</t>
  </si>
  <si>
    <t>Jose Cerda</t>
  </si>
  <si>
    <t>Salúdame</t>
  </si>
  <si>
    <t>22.06.2019 23:36</t>
  </si>
  <si>
    <t>@heypixiie
Want to score this Limited-Edition Doritos Spidey Suit? Tell us what super power Doritos gives you using #IncognitoDoritos #Entry for the chance to win! Rules @ https://bit.ly/2MXEpdc Be sure to check out #SpiderManFarFromHome, in theaters July 2!</t>
  </si>
  <si>
    <t>Itz Ya Boi Scrubby</t>
  </si>
  <si>
    <t>hi i’m too lazy to write a caption:) -
-
#nichecommunity #nichememes #nicheaccount #nichememe #nicheideas #niche #nichememesacc #nichememers #nichememeideas #nichememeaccount #nichememepage #nichememer #nichestarterpack #nicheaccount #niches #nichememehelp</t>
  </si>
  <si>
    <t>ᴊᴀᴢ☺︎☾</t>
  </si>
  <si>
    <t>#AddMilkAndCookies
Santa use to like Milk &amp; Cookies and he wants Doritos &amp; Beer.</t>
  </si>
  <si>
    <t>Diane's Casper</t>
  </si>
  <si>
    <t>Saint-Just</t>
  </si>
  <si>
    <t>couldn’t find my wax pen... it was in a Doritos bag bitch</t>
  </si>
  <si>
    <t>Mel</t>
  </si>
  <si>
    <t>22.06.2019 23:31</t>
  </si>
  <si>
    <t>Y’all SEEING THIS BEAUTY OMF-
i put my dick in a bag of doritos</t>
  </si>
  <si>
    <t>mingyus short gremlin</t>
  </si>
  <si>
    <t>Мазовецкое воеводство</t>
  </si>
  <si>
    <t>Варшава</t>
  </si>
  <si>
    <t>@dykecheol Me ! I’m the bag of Doritos ❣️</t>
  </si>
  <si>
    <t>22.06.2019 23:30</t>
  </si>
  <si>
    <t>Alberto KMBUZ Ortiz</t>
  </si>
  <si>
    <t>Халиско</t>
  </si>
  <si>
    <t>Гвадалахара</t>
  </si>
  <si>
    <t>23.06.2019 08:56</t>
  </si>
  <si>
    <t>Confession #6 : I’m ah crybaby .</t>
  </si>
  <si>
    <t>WoOdO wOoDo</t>
  </si>
  <si>
    <t>22.06.2019 23:29</t>
  </si>
  <si>
    <t>Lis‍♂️</t>
  </si>
  <si>
    <t>I needa post more on here‍♂️.
-
-
-
-
-
-
-
-(tags) #explore #viral #trending #spampage #follow #views #like #discover #gain #reach #onegottago #likesfortags</t>
  </si>
  <si>
    <t>confectionery,food</t>
  </si>
  <si>
    <t>@zking10 and I came to target to get a board game but instead left with a rolling stone’s vinyl, frozen pizza, tennis balls and a bag of Doritos ..</t>
  </si>
  <si>
    <t>Zakkry King</t>
  </si>
  <si>
    <t>Mars-la-Tour</t>
  </si>
  <si>
    <t>Cheesy Chicken Drumstick Poppers : GifRecipes</t>
  </si>
  <si>
    <t>Fuck that shit. Bread it in doritos to enhance the cheeseyness</t>
  </si>
  <si>
    <t>Murdermuffinn</t>
  </si>
  <si>
    <t>Gif Recipes</t>
  </si>
  <si>
    <t>Evolution of CodyKH</t>
  </si>
  <si>
    <t>I be eating Doritos irl while u be doing Doritos in fortnite</t>
  </si>
  <si>
    <t>Lit JuanC</t>
  </si>
  <si>
    <t>CodyKH</t>
  </si>
  <si>
    <t>UnderSugois</t>
  </si>
  <si>
    <t>Doritos con cocacola en mi pieza oscura</t>
  </si>
  <si>
    <t>SlavBull</t>
  </si>
  <si>
    <t>undersugoisv2.tumblr.com</t>
  </si>
  <si>
    <t>undersugois</t>
  </si>
  <si>
    <t>23:24</t>
  </si>
  <si>
    <t>22.06.2019 23:25</t>
  </si>
  <si>
    <t>@highdefperth
@autotrizaustralia
@timdavieslandscaping
@mazdaaus
@mazda_fan_club
@brandtmotorsport
#highdefperth #racecar #australia #westernaustralia #instajdm #fastcar #caraofinstagram #fd3snation #dreamcar #japcar #jdmporn #jdmlove #tarmac #rally #mazda #import #drifting #cars #carsofinstagram #doritos #car #turbo #targawest</t>
  </si>
  <si>
    <t>High Definition Detailing</t>
  </si>
  <si>
    <t>@Doritos Doritos give me the power to game on #IncognitoDoritos #Entry</t>
  </si>
  <si>
    <t>ShadeX</t>
  </si>
  <si>
    <t>22.06.2019 23:26</t>
  </si>
  <si>
    <t>My room smellsnlike doritos but I don't even eat doritos ???</t>
  </si>
  <si>
    <t>channy</t>
  </si>
  <si>
    <t>22.06.2019 23:23</t>
  </si>
  <si>
    <t>@Dpzzle I once got two bottles of wine, a family bag of Doritos and a pack of doughnuts in. Best movie ever.</t>
  </si>
  <si>
    <t>AJ Oldershaw</t>
  </si>
  <si>
    <t>22.06.2019 23:19</t>
  </si>
  <si>
    <t>@sonnystrait My wife doesn’t like it but my weird movie combo is cool ranch Doritos and classic m&amp;m’s. It’s so damn good</t>
  </si>
  <si>
    <t>Tristan Stone</t>
  </si>
  <si>
    <t>22.06.2019 23:18</t>
  </si>
  <si>
    <t>best Doritos flavor — nacho cheese fight me https://curiouscat.me/woahitshercules/post/909831744?t=1561259709</t>
  </si>
  <si>
    <t>22.06.2019 23:16</t>
  </si>
  <si>
    <t>@Doritos What say you about some BBQ Doritos? You could make a whole BBQ line: Sweet Heat, Backyard BBQ, etc.
P.S-If this becomes a thing, can I be in the commercial? Thanks.
P.S.S I have more great ideas and a solid resume.</t>
  </si>
  <si>
    <t>Jess Avila</t>
  </si>
  <si>
    <t>23:11</t>
  </si>
  <si>
    <t>22.06.2019 23:15</t>
  </si>
  <si>
    <t>Bayside Family Day Makes Huge Splash</t>
  </si>
  <si>
    <t>., say they picked the right weekend to visit Ocean City with Bayside Family Day.
“We went on Miss Ocean City,” Carolynn Beauchamp said of a mini-boat ride.
R.J. proudly displayed a bottle that contained a technicolor hue of sand art he created. He had also tried his hand at crabbing during a demonstration earlier in the morning.
But the 6-year-old boy didn’t say too much. He was too busy enjoying his “walking taco,” a taco made of beef, cheese, lettuce and stuffed in a bag of Doritos. That was in addition to his soda and a hot dog with ketchup.
TJ</t>
  </si>
  <si>
    <t>Maddy Vitale</t>
  </si>
  <si>
    <t>ocnjdaily.com</t>
  </si>
  <si>
    <t>travel,leisure,tourism,summer,vacation</t>
  </si>
  <si>
    <t>#dianapatricia #miseñorita #grandota #bella</t>
  </si>
  <si>
    <t>Heli Saul Martinez</t>
  </si>
  <si>
    <t>mlg picture maker</t>
  </si>
  <si>
    <t>gfycat gifs .
mlg photo maker dank memes on windows pc download free 1 05 com .
honey g mlg imgflip .
meme maker generator dank mlg by efoxs entertainment category .
mlg montage maker premium 1 apk download android entertainment apps .
doritos ositos mlg yoshi mlg meme on me me .
mlg on twitter live now starcraft wcs america challenger league .
im a boos but im a mlg pro roblox the maker meme generator .
montage parodies know your meme .
mlg glasses pixel art maker .
emoji maker mlg 1 tynker .
access youtube .
sunglass png images transparent free download mlg glasses png .
meme maker zeke dont give me those doritos again cole but i need . Related post for Mlg Picture Maker Recent Posts</t>
  </si>
  <si>
    <t>22.06.2019 23:12</t>
  </si>
  <si>
    <t>My favorite flavor of Doritos!</t>
  </si>
  <si>
    <t>Donald Trump 2020</t>
  </si>
  <si>
    <t>ella♡️‍|24 days</t>
  </si>
  <si>
    <t>22.06.2019 23:07</t>
  </si>
  <si>
    <t>When you want doritos but cant have them you opt for the next best thing. These are my favorite *chips* when I get the craving
#rny #gastricbypass  #mywlsjourney #wlscommunity #wlstransformation #rnygastricbypasssurgery #rnygastricbypass  #goals #healthyhabits #cardio  #2019ismybitch #noregrets  #ifitwaseasyitwouldntbeworthit #workhardgetresults #itsjustatool #nottheeasywayout #healthyeating</t>
  </si>
  <si>
    <t>the saddest part of my night was having to explain to a tourist that we dont have ketchup doritos in america</t>
  </si>
  <si>
    <t>blu</t>
  </si>
  <si>
    <t>22.06.2019 23:05</t>
  </si>
  <si>
    <t>trashPanda</t>
  </si>
  <si>
    <t>22.06.2019 23:09</t>
  </si>
  <si>
    <t>@Doritos Doritos give me the power to detect illusions  #IncognitoDoritos #Entry</t>
  </si>
  <si>
    <t>‎⍟ CBMHype ‎⍟</t>
  </si>
  <si>
    <t>23:04</t>
  </si>
  <si>
    <t>22.06.2019 23:20</t>
  </si>
  <si>
    <t>Twizzlers, Doritos, Tequila and the Big Bang Theory,
WOW.  
I do feel better.</t>
  </si>
  <si>
    <t>Jas</t>
  </si>
  <si>
    <t>22.06.2019 23:03</t>
  </si>
  <si>
    <t>You say stuck i would be theilled to get payed by a network to write about hockey.... has for food add doritos to you PB sandwich, delicious
I'm stuck writing about hockey on a Saturday night in late June, so what's your most controversial food opinion? Travis Yost need not reply.</t>
  </si>
  <si>
    <t>John Easthope</t>
  </si>
  <si>
    <t>Raymond</t>
  </si>
  <si>
    <t>La abuela de doña pelos!!!!
https://www.facebook.com/ELPATRONNY/videos/421889138399893/
Patron NY
Jajaja
Mi abuela 3 Doritos Despues..</t>
  </si>
  <si>
    <t>Pedro Ivan</t>
  </si>
  <si>
    <t>22.06.2019 23:04</t>
  </si>
  <si>
    <t>@ESPNCaddie @MCFanSided @kfc If that were true, it would be nacho cheese Doritos</t>
  </si>
  <si>
    <t>Mike Renno</t>
  </si>
  <si>
    <t>Lee's Summit</t>
  </si>
  <si>
    <t>22.06.2019 23:02</t>
  </si>
  <si>
    <t>Jeanine P</t>
  </si>
  <si>
    <t>mixed with tomato granules - they call it chip powder!"), and that largely it's down to what we call it. "It has a chemical name, and chemicals scare people," muses Aye. "But if I say, 'I put some sodium chloride in my meal', there's no difference."
While she notes that if you don't want to use MSG, that's fine, she does add reasonably: "I'm talking about a quarter teaspoon, it's just that little bit of extra enhancement." Plus "it's what makes Pringles and Doritos taste good!"
And if you think it's what makes you thirsty if you've eaten a</t>
  </si>
  <si>
    <t>23.06.2019 03:15</t>
  </si>
  <si>
    <t>Super Mario bros 3 ep.12</t>
  </si>
  <si>
    <t>Super Mario bros 3 ep.12
Always throw them Doritos at that like button for ya boy</t>
  </si>
  <si>
    <t>TYLER THE GANGSTA</t>
  </si>
  <si>
    <t>22.06.2019 23:01</t>
  </si>
  <si>
    <t>@JSchimenti1982 @TalkinJake He could go to Guam on a permanent exchange program for like a bag of Doritos.</t>
  </si>
  <si>
    <t>BRED New York</t>
  </si>
  <si>
    <t>Vinito y doritos ❤️</t>
  </si>
  <si>
    <t>Calila</t>
  </si>
  <si>
    <t>Араукания</t>
  </si>
  <si>
    <t>Темуко</t>
  </si>
  <si>
    <t>Had a Doritos Locos taco leftover from Taco Bell with Diablo sauce and cheese to dip it in! It was yummy!</t>
  </si>
  <si>
    <t>DJ GL1M GLAM (Betty)</t>
  </si>
  <si>
    <t>22.06.2019 23:06</t>
  </si>
  <si>
    <t>@Doritos Doritos gives me the super power to beat the snack attack monster! #IncognitoDoritos #Entry</t>
  </si>
  <si>
    <t>Donna Pierson Wilson</t>
  </si>
  <si>
    <t>@150PercentExtra Hey come over my mom got cool ranch doritos from the international isle at the store</t>
  </si>
  <si>
    <t>Kageyama Shigeo</t>
  </si>
  <si>
    <t>22.06.2019 22:59</t>
  </si>
  <si>
    <t>$15 for whoever goes to the store right now and gets me the Doritos, onion rings and ice cream cones im INTENSELY CRAVING..I'm serious, the store is &lt;&lt;literally&gt;&gt; just two houses down and around the corner..SOMEONE..ANYONE..PLS..</t>
  </si>
  <si>
    <t>Space Salami Mami Mom</t>
  </si>
  <si>
    <t>Ugny-le-Gay</t>
  </si>
  <si>
    <t>22.06.2019 23:17</t>
  </si>
  <si>
    <t>After my gym session, went to Walmart to pick up some snacks. Love Doritos! Specially, when they’re on sale. But on my way to the cashier I passed by the veggie section and had to make the right choice . I left the chips, walked away without looking back  LOL #thestruggleisreal 
#byedoritos #eatinghealthy #fitness #gayfitness #lgbt #snack #healthysnacks #bringingsexyback #spiderman #gayvancouver #surrey #surreybc</t>
  </si>
  <si>
    <t>Kurt</t>
  </si>
  <si>
    <t>22.06.2019 22:58</t>
  </si>
  <si>
    <t>@Doritos Bitten by a radioactive Nacho cheese flavor Dorito I have become Dorito man! I use my cheesy powers to fight crime and to save the world. I am able to shoot nacho cheese flavor doritos chips out of my hands and give the bad guys a cheesy day.#IncognitoDoritos #Entry</t>
  </si>
  <si>
    <t>Brandon Vincent</t>
  </si>
  <si>
    <t>Heck of a good day in Pennsylvania. Breakfast at Sheetz, Claw game wins, roller derby, Chick-Fil-A, $5 Machetes, and Whoa, they still make Jolt Cola?
#rollerderby #qcrg #joltcola #doritos #mysterio #machete #stephenuniverse #clawgame #pennsylvania #chickfila #sharemysheetz</t>
  </si>
  <si>
    <t>Matt D.</t>
  </si>
  <si>
    <t>machine</t>
  </si>
  <si>
    <t>⚠️ Ignore the tags ⚠️ ————————————————————— #Memes #nicememes #datboi #ohshitwhaddup #pepe #fuckingsavage #damnboi #freshmemes #hotmemes #pancake #edgy #mlg  #trumpdid711 #ebgames #tumblr #furry #vaporwave #feminism #sensitivecontent —————————————————————</t>
  </si>
  <si>
    <t>_Edgy._memez_</t>
  </si>
  <si>
    <t>Фримонт</t>
  </si>
  <si>
    <t>bottle,drink,soft drink,tin can</t>
  </si>
  <si>
    <t>Rata</t>
  </si>
  <si>
    <t>joczan Diaz</t>
  </si>
  <si>
    <t>22.06.2019 22:54</t>
  </si>
  <si>
    <t>@Lyssarie i miss cheese burger doritos</t>
  </si>
  <si>
    <t>Mr Toon</t>
  </si>
  <si>
    <t>22.06.2019 22:51</t>
  </si>
  <si>
    <t>After I consume @doritos with @MountainDew I transform into an epic gamer and close myself off from the world until someone notices I’m missing #IncognitoDoritos #entry</t>
  </si>
  <si>
    <t>¥ungin J€ff</t>
  </si>
  <si>
    <t>22.06.2019 22:50</t>
  </si>
  <si>
    <t>@AmazonHelp Both bengals; Jack Daniels &amp; Guinness! Likes: Doritos, playing fetch, cotton balls, bird videos on YouTube &amp; boxes! Dislikes: seafood, Jazz music, drinking water from their own dish</t>
  </si>
  <si>
    <t>lizablabbit</t>
  </si>
  <si>
    <t>22.06.2019 22:53</t>
  </si>
  <si>
    <t>RosaBlaine</t>
  </si>
  <si>
    <t>Virginia Water</t>
  </si>
  <si>
    <t>@gthacid i- i put my dick in a bag of doritos</t>
  </si>
  <si>
    <t>*+:｡.｡ thea ｡.｡:+*</t>
  </si>
  <si>
    <t>22.06.2019 22:49</t>
  </si>
  <si>
    <t>@SaucyCavazos legitimately just talking to my brother about how these are the superior doritos flavor</t>
  </si>
  <si>
    <t>chip</t>
  </si>
  <si>
    <t>22.06.2019 22:48</t>
  </si>
  <si>
    <t>brendapower88</t>
  </si>
  <si>
    <t>22:46</t>
  </si>
  <si>
    <t>ABRIENDO DORITOS / TAZOS - DRAGÓN BALL SUPER</t>
  </si>
  <si>
    <t>ABRIENDO DORITOS / TAZOS - DRAGÓN BALL SUPER
ABRIENDO EMPAQUES de DORITOS CON LOS NUEVOS TAZOS DE DRAGÓN BALL SÚPER. 
NO OLVIDEN DARLE LIKE SI LES GUSTO EL VIDEO
SUSCRIBIRSE Y DEJAR SUS COMENTARIOS.
BUSCANOS EN NUESTRAS REDES SOCIALES.
INSTAGRAM
bbsote_coleccionables 
FACEBOOK 
Frikibbsote</t>
  </si>
  <si>
    <t>BB'sote Coleccionables</t>
  </si>
  <si>
    <t>22:44</t>
  </si>
  <si>
    <t>Que debo a ser para ganar un funko</t>
  </si>
  <si>
    <t>lodin gachi</t>
  </si>
  <si>
    <t>Do elephant trunk zoomies count? Meet Mee Boon, a blind elephant saved from forced labor two weeks ago Zoomies</t>
  </si>
  <si>
    <t>Less red bull and doritos, more exercise and socializing. You can do it!!</t>
  </si>
  <si>
    <t>Captmudskipper</t>
  </si>
  <si>
    <t>Vegan</t>
  </si>
  <si>
    <t>22.06.2019 22:43</t>
  </si>
  <si>
    <t>selling the contents of my draft folder, valued at over 20 favs, for a bag of Hint of Lime Doritos</t>
  </si>
  <si>
    <t>peachy</t>
  </si>
  <si>
    <t>23.06.2019 08:10</t>
  </si>
  <si>
    <t>Recarregando as energias ✨ •
•
•
•
•
•
•
• • • • • • • • • • • • • • • • • • • • • • • • • • • • • • • • • • • • 
#churras 
#galera 
#sabadou 
#boaenergia 
#goodvibes 
#2006 
#bff
@albertoavz @tavinho.sonego @nayaracuani @bruno.ferrez @dessaresta</t>
  </si>
  <si>
    <t>Lari</t>
  </si>
  <si>
    <t>event,friendship</t>
  </si>
  <si>
    <t>F for respet</t>
  </si>
  <si>
    <t>Carlos armando Mendoza Quiroz</t>
  </si>
  <si>
    <t>HOW TO GET LIT ON A SATURDAY NIGHT FAM</t>
  </si>
  <si>
    <t>HOW TO GET LIT ON A SATURDAY NIGHT FAM
Sponsor me Doritos
I do not condemn or condone the act of smoking taquitos, Doritos, or any of the like.</t>
  </si>
  <si>
    <t>M Finch</t>
  </si>
  <si>
    <t>22.06.2019 22:44</t>
  </si>
  <si>
    <t>I wanna Doritos loco taco</t>
  </si>
  <si>
    <t>22.06.2019 22:39</t>
  </si>
  <si>
    <t>when i get up from watching vlives for a doritos and mt dew break</t>
  </si>
  <si>
    <t>alicia</t>
  </si>
  <si>
    <t>Slime DIY Easy (Summer FUN DIY 2019) No Borax Slime Recipe</t>
  </si>
  <si>
    <t>Slime DIY Easy (Summer FUN DIY 2019) No Borax Slime Recipe
Slime DIY Easy No Borax Slime Recipe. This is the perfect video to learn how to make slime without borax. Now that kids are out of school for the summer, it's time to do some DIY projects. Creating easy to follow slime video tutorial is the perfect tool. This video has the option to add Cheetos and Doritos in the slime. If you would like to make this slime without the snack food, please don't add it to the slime.</t>
  </si>
  <si>
    <t>havefundiy</t>
  </si>
  <si>
    <t>We living in the future and I'm so ALIVE
Want to score this Limited-Edition Doritos Spidey Suit? Tell us what super power Doritos gives you using #IncognitoDoritos #Entry for the chance to win! Rules @ https://bit.ly/2MXEpdc Be sure to check out #SpiderManFarFromHome, in theaters July 2!</t>
  </si>
  <si>
    <t>keanuaissance️</t>
  </si>
  <si>
    <t>@Doritos DORITOS GIVES ME THE POWER OF TURNING EVERYTHING I TOUCH THE COLOR ORANGE AND ITS BEAUTIFUL ❤️</t>
  </si>
  <si>
    <t>22.06.2019 22:37</t>
  </si>
  <si>
    <t>At least @LAYS understood that everyone wanted 3D @Doritos to come back and picked up where @Doritos failed the world. Thanks for the poppables!</t>
  </si>
  <si>
    <t>Nick Cusano</t>
  </si>
  <si>
    <t>MY SECOND FAVOURITE SHIPPPPPPPPPPP!!!
•
•
•
Cc:
@prisniss
Repost with:
@get_repost
•
•
•
#stevenuniverse#rosequartz#pinkdiamond#pearl#amethyst#garnet#peridot#lapislazuli#bismuth#yellowdiamond#bluediamond#yellowpearl#bluepearl#whitediamond#whitepearl#pinkpearl#cartoonnetwork#stevenuniversethemovie#sapphire#ruby#topaz#aquamarine#doritos#smolperi#clod</t>
  </si>
  <si>
    <t>22.06.2019 22:57</t>
  </si>
  <si>
    <t>“Time spent at the BEACH is never wasted”....Had an awesome time at the beach with these awesome people.Love you all! #beach #beachbabes #funinthesun #2ndfamily #curlyhairdontcare #doritos
@young_tillah @stacyloveone @spade_of_shade @tykiin2</t>
  </si>
  <si>
    <t>jazz</t>
  </si>
  <si>
    <t>grass,vacation</t>
  </si>
  <si>
    <t>22.06.2019 22:42</t>
  </si>
  <si>
    <t>Don’t get me wrong, I love my dog. But I wish he would just go to sleep so I can pack for vacation tomorrow instead of me stuck here contemplating whether or not I want Doritos or not.</t>
  </si>
  <si>
    <t>Sarah Hann</t>
  </si>
  <si>
    <t>"The 1%"</t>
  </si>
  <si>
    <t>Probably gonna be true though cause Danny Doritos is gonna kick his ass</t>
  </si>
  <si>
    <t>spider-bro48</t>
  </si>
  <si>
    <t>Not like the other girls</t>
  </si>
  <si>
    <t>22:35</t>
  </si>
  <si>
    <t>22.06.2019 22:45</t>
  </si>
  <si>
    <t>@OhHowGodWorks Ah, yet another #RussianRoachbot troll. “Linda” is actually 23 y/o Sergei who downs American Mountain Dew &amp; Cool Ranch Doritos while getting paid 30 rubles a wk to troll from his parents’ 2-bedrm, Soviet-block, cement housing apt. #Dosvedanya</t>
  </si>
  <si>
    <t>Lula L Puch</t>
  </si>
  <si>
    <t>Tuviste razón, toma un corazón ;)</t>
  </si>
  <si>
    <t>Hola</t>
  </si>
  <si>
    <t>Elias Hdz</t>
  </si>
  <si>
    <t>Alocate con los doritos del vaquero 
Bro Mary Janes Posting
https://www.facebook.com/VaqueroOreilley/photos/a.219348265378637/375692006410928/?type=3</t>
  </si>
  <si>
    <t>ShitPost del Vaquero O’Reilly</t>
  </si>
  <si>
    <t>unlock xbox 360</t>
  </si>
  <si>
    <t>unlock multiplayer six maps xbox 360 fear .
how to unlock everything in wwe 2k17 on last gen xbox 360 ps3 .
tiao xbox 360 dvd adapter v4 usb and molex dual power integrated .
doritos wants your xbox 360 game ideas wired .
using ubisoft club on last gen consoles ubisoft support .
microsoft to unlock old gears of war games via new remake pcworld .
nba 2k14 locker code unlock random shoe ps3 xbox 360 nba2k org .
x tool 8 in 1 steel case unlock opening disassemble tool kit for .
how to get minecraft xbox 360 version free youtube .
unlock case l key</t>
  </si>
  <si>
    <t>No Name Tour: Day 38 – Cold and Dizzy</t>
  </si>
  <si>
    <t>40s.
Inside the store I drank a Gatorade and ate some Doritos next to a fireplace that was burning logs to bear the heat. Ahhh.
All good things must end. I pulled on my jacket and long fingered gloves and began again. Up. Got miles and miles. I was spinning away in my easiest three gears, lucky to break 7 mph.
I stopped only to snack. A pear that was hard two days ago was now juicy and ripe. Gone. Chewy granola bars were my next victims.
I kept grinding away thinking that the 10,300 foot summit was many miles away. I got off my bike and looked</t>
  </si>
  <si>
    <t>rootchopper</t>
  </si>
  <si>
    <t>rootchopper.com</t>
  </si>
  <si>
    <t>22.06.2019 22:35</t>
  </si>
  <si>
    <t>@kajaecho I wanna BE you! I just took a CBD gummy cause my knees hurt... but I think my vape is charged, there are Doritos and I’m binge watching Netflix so... maybe I can get close to your level of chill.</t>
  </si>
  <si>
    <t>E.L.Byrne</t>
  </si>
  <si>
    <t>Sorry no posts been super busy Snapchat fam will know aha 
Snap:funnyaussie.b
#aussie #aussiememes #australia #australian #australianmemes #straya #comedy #food #birthdays</t>
  </si>
  <si>
    <t>A Girl That Dosent Like Memes</t>
  </si>
  <si>
    <t>22.06.2019 22:29</t>
  </si>
  <si>
    <t>@Doritos I need a super neat #IncognitoDoritos suit because i love spiderman and your chip dust has messed up many of my shirts so you kind of owe me to make up for the trauma of a dusty shirt. #SpiderManFarFromHome</t>
  </si>
  <si>
    <t>Miren mi video!!! ‍♂️</t>
  </si>
  <si>
    <t>JJ 93-98</t>
  </si>
  <si>
    <t>22.06.2019 22:31</t>
  </si>
  <si>
    <t>God, you fking Nissan drivers. When you close your door or trunk lid, it's not supposed like hitting a bag of Doritos with a metal bat. Maybe apologize first. I dunno.</t>
  </si>
  <si>
    <t>Punk Cat</t>
  </si>
  <si>
    <t>Sooooooooooooooo</t>
  </si>
  <si>
    <t>Ramiro Santillan</t>
  </si>
  <si>
    <t>@anyonebutash @a_venezuelan19 Stop trying to ruin my side hustle, just sold some nudes for Doritos</t>
  </si>
  <si>
    <t>Pizza Tom</t>
  </si>
  <si>
    <t>Oh goodness.
i need the big bag.
#doritos #salsaverde #doritossalsaverde #munchies #yes #please @doritos
@doritos</t>
  </si>
  <si>
    <t>TheAlterEgo.</t>
  </si>
  <si>
    <t>Yo quiero ese Funko pop</t>
  </si>
  <si>
    <t>SERGIO SPIDER KAIJU</t>
  </si>
  <si>
    <t>Ya me suscribo</t>
  </si>
  <si>
    <t>xavirongas 41</t>
  </si>
  <si>
    <t>22.06.2019 22:24</t>
  </si>
  <si>
    <t>@ZBegone @swayzenxtdoor @jagskojadebara @DonAllawii @bechibandito @Eaagglee @FarzinAbbas1 @chrismalkii @GggUnitLen @haiderriico @ghibelflos @NBAUgglan @Fendiboy69 @Axzan14 @JoneeCS Ey de står Dominos på din panna sån pizzaslice due jävla doritos looking mf</t>
  </si>
  <si>
    <t>skoj men ändå</t>
  </si>
  <si>
    <t>Hola chido vides nuevo sub</t>
  </si>
  <si>
    <t>Al fin llefo</t>
  </si>
  <si>
    <t>Eduardo Juarez</t>
  </si>
  <si>
    <t>22.06.2019 22:36</t>
  </si>
  <si>
    <t>I'm guessing that Cheetos wants the same kind of popularity Doritos got with Taco Bell, and is bound and determined to keep trying.</t>
  </si>
  <si>
    <t>Wing</t>
  </si>
  <si>
    <t>24.06.2019 06:52</t>
  </si>
  <si>
    <t>D.Va by Maria Fernanda</t>
  </si>
  <si>
    <t>Que desperdicio de Doritos :(</t>
  </si>
  <si>
    <t>SepiaQuotient</t>
  </si>
  <si>
    <t>Cosplay Girls</t>
  </si>
  <si>
    <t>22.06.2019 22:26</t>
  </si>
  <si>
    <t>@Doritos @Doritos #IncognitoDoritos #Entry Doritos give me the super power to keep up with my two year old all day while moms away.</t>
  </si>
  <si>
    <t>Chase Johnson</t>
  </si>
  <si>
    <t>Gracias</t>
  </si>
  <si>
    <t>fernando re</t>
  </si>
  <si>
    <t>22.06.2019 22:23</t>
  </si>
  <si>
    <t>The correct answer is winning
important poll: best doritos flavour?</t>
  </si>
  <si>
    <t>CYBERPUNK IS DEAD, LONG LIVE CYBERPUNK</t>
  </si>
  <si>
    <t>muy buen vídeo</t>
  </si>
  <si>
    <t>Andrea Centeno Flores</t>
  </si>
  <si>
    <t>Buen video saludame en tu próximo video</t>
  </si>
  <si>
    <t>Roberto Jiménez</t>
  </si>
  <si>
    <t>22.06.2019 22:27</t>
  </si>
  <si>
    <t>Tim is pouring because no one will share their #doritos with him. He DOES NOT care when I explain that chips will hurt his tummy. #pouty #timandgiles #nochipsforTim #smoldoggo #dogsofinstagram #doggo #maltese #smolpupper #smalldogsofinstagram #poutingandpretty #glamourdog #melissasummers #entrepreneurlife #saturdaynight</t>
  </si>
  <si>
    <t>Melissa Summers</t>
  </si>
  <si>
    <t>22.06.2019 22:21</t>
  </si>
  <si>
    <t>Cynthia VanderKodde</t>
  </si>
  <si>
    <t>Гранд-Рапидс</t>
  </si>
  <si>
    <t>22.06.2019 22:20</t>
  </si>
  <si>
    <t>I despise nibba who don’t like purple Doritos -
-
-
-
-
-
-
-
-
-
-
-
-
-
-
-
-
-
-
-
-
-
-
#dankmemez #memes #dank #edgy #comedy #funnymemes #edgymemes #funny #fortnite #fortnitememes #meme #triggered #dailymemes #420 #dankmemes #anime #nochill #memepage #memesdaily #humor #spicymemes #lol #follow4follow #funnyvideos #trending #wavecheck #ps4 #hypebeast #fortnitememes #like4like</t>
  </si>
  <si>
    <t>LMAO</t>
  </si>
  <si>
    <t>22.06.2019 22:19</t>
  </si>
  <si>
    <t>DIRECTO ESPECIAL 24 DORITOS</t>
  </si>
  <si>
    <t>DIRECTO ESPECIAL 24 DORITOS
 Muchas gracias Crack por todo el apoyo que me brindan día a día. Se los quiere joder!!! 
 StreamCraft: https://www.streamcraft.com/user/RF06700
️‍♀️ Diseñador Oficial: ÐS • Kevyn16
 Canal Team DeathSquad: https://www.youtube.com/channel/UCV7mFYMhWg5jpCXgNWiK4oQ
*********************************************************************
 SORTEO ESPECIAL 1K SUSCRIPTORES(Family)
✔ Sorteo : https://www.youtube.com/watch?v=TXKM--B48E0</t>
  </si>
  <si>
    <t>GrimmjowG Games</t>
  </si>
  <si>
    <t>@Doritos Doritos gives me the power of fullness and cheese fingers #entry #IncognitoDoritos</t>
  </si>
  <si>
    <t>darth dave navarro ️‍</t>
  </si>
  <si>
    <t>@doodlechics No plz I have no Doritos!!!!!</t>
  </si>
  <si>
    <t>bp</t>
  </si>
  <si>
    <t>Хайбер-Пахтунхва</t>
  </si>
  <si>
    <t>Govt. High School</t>
  </si>
  <si>
    <t>samuel</t>
  </si>
  <si>
    <t>I put my dick in a bag of doritos.</t>
  </si>
  <si>
    <t>David Bejerano</t>
  </si>
  <si>
    <t>bien echo</t>
  </si>
  <si>
    <t>Agapito Duarte</t>
  </si>
  <si>
    <t>BUEN VIDEO BROO.</t>
  </si>
  <si>
    <t>Guadalupe 54 ramirez.</t>
  </si>
  <si>
    <t>Si bro</t>
  </si>
  <si>
    <t>Sr Mexicano</t>
  </si>
  <si>
    <t>Soy tu fan</t>
  </si>
  <si>
    <t>manimanito 890</t>
  </si>
  <si>
    <t>Un saludo para mi</t>
  </si>
  <si>
    <t>el astronauta perdido FR</t>
  </si>
  <si>
    <t>I don't eat doritos but same
♡YareYare
https://www.facebook.com/Yuriposting/photos/a.163591047615409/388038868503958/?type=3</t>
  </si>
  <si>
    <t>Yuriposting  ナイフーワイフ</t>
  </si>
  <si>
    <t>22.06.2019 22:14</t>
  </si>
  <si>
    <t>.@Doritos gives me the power to to bring all the boys to the yard...cause that suit will definitely make my  look great! #SpiderManFarFromHome #spidermansuitmakesmyasslookgreat #IncognitoDoritos #Entry</t>
  </si>
  <si>
    <t>Luis Mendoza</t>
  </si>
  <si>
    <t>22.06.2019 22:12</t>
  </si>
  <si>
    <t>Ya know what I learned today at breakfast on the farm? ALL of the @Doritos nacho cheese dust is made in Litchfield, MN!  #Minnesota #TheMoreYouKnow #Local #FCS</t>
  </si>
  <si>
    <t>Krysten Dane</t>
  </si>
  <si>
    <t>grass,livestock</t>
  </si>
  <si>
    <t>Ya llegó el Funko pop de spiderman</t>
  </si>
  <si>
    <t>Erick Gamez</t>
  </si>
  <si>
    <t>Coworker on the phone while I’m on my way 2 work:ALLIE THIS IS A SERIOUS SITUATION YOU NEED TO LISTEN.  
My heart:*drops into my butt hole*
Coworker:WE HAVE AN EMERGENCY. I NEED YOU TO STOP AND GET US SOME DORITOS BECAUSE I AM AT WORK WITH NO SNACKS RIGHT NOW AND THIS CAN-NOT-BE.</t>
  </si>
  <si>
    <t>✨AL✨</t>
  </si>
  <si>
    <t>Пенсакола</t>
  </si>
  <si>
    <t>Comentario 22</t>
  </si>
  <si>
    <t>Diego Alatorre reyes</t>
  </si>
  <si>
    <t>Granola Bars from @paleorunningmomma. They are so simple to put together, easy to customize (no raisins, sub dried cherries) and travel well! Oh, and they taste delicious!!  Have you had a similar experience with your children? And how do you handle the peer pressure of guzzling gatorades and pounding Doritos?? #littleathletes #buildingstrongbodies  #foodasfuel #lacrossenutrition #strongkids #healthychoices #youngathletes #gametime #paleokids #foodfuel #grainfree #grainfreeliving</t>
  </si>
  <si>
    <t>Maria</t>
  </si>
  <si>
    <t>cookies and crackers,snack,food</t>
  </si>
  <si>
    <t>22:08</t>
  </si>
  <si>
    <t>#food #foodporn #yum #instafood #yummy #amazing #instagood #photooftheday #sweet #dinner #lunch #breakfast #fresh #tasty #food #delish #delicious #eating #foodpic #foodpics #eat #hungry #foodgasm #hot #foods</t>
  </si>
  <si>
    <t>Loco Cooking</t>
  </si>
  <si>
    <t>22.06.2019 22:08</t>
  </si>
  <si>
    <t>Whoooaaaa
It’s a @Doritos bag that turns into a Spider-Man suit? We’re truly living in the future. http://www.IncognitoDoritos.com</t>
  </si>
  <si>
    <t>韦维克</t>
  </si>
  <si>
    <t>22.06.2019 22:10</t>
  </si>
  <si>
    <t>Food: Doritos locos tacos w/ cheese 
LOOKS YUMMY
make sure you LIKE+COMMENT+FOLLOW 
@foody.asmr_ 
To see more‼️‼️ •
•
•
•
•
•
•#asmr #asmreating #asmrsound #eating #spicy  #yummy #food #foodsound #foody #aprilasmr #delicious #amazing #good #new #hungry #Stretchy #like #comment #share #eatingasmr #eatingvideo #mukbang #asmrfood #eatingshow #tacobell  #cheese #tacos #crunch
@asmrphan</t>
  </si>
  <si>
    <t>ASMR</t>
  </si>
  <si>
    <t>1 saludame en tu proximo.video porfavor</t>
  </si>
  <si>
    <t>bautista fuentes</t>
  </si>
  <si>
    <t>Si te suscribes me suscribo
Lo cumplo</t>
  </si>
  <si>
    <t>Lionel Massi El Pro</t>
  </si>
  <si>
    <t>Dame los a mi por favor</t>
  </si>
  <si>
    <t>pikachu 2547</t>
  </si>
  <si>
    <t>22.06.2019 22:09</t>
  </si>
  <si>
    <t>party time ft severed penis and blended doritos with mountain dew</t>
  </si>
  <si>
    <t>vie “” bee @ KHONYC</t>
  </si>
  <si>
    <t>22.06.2019 22:07</t>
  </si>
  <si>
    <t>I want some rotel &amp; Doritos</t>
  </si>
  <si>
    <t>Kiri</t>
  </si>
  <si>
    <t>Crucigrama</t>
  </si>
  <si>
    <t>FÚTBOL,BLOGS Y MAS</t>
  </si>
  <si>
    <t>Elias Hdz Hola</t>
  </si>
  <si>
    <t>Saludame fui el 11 en yegar</t>
  </si>
  <si>
    <t>Angelito Hernandez</t>
  </si>
  <si>
    <t>Saludame eres un crack lije si nunca te saluda</t>
  </si>
  <si>
    <t>Llegué temprano dame mi cocoro</t>
  </si>
  <si>
    <t>superDBzKai FAN</t>
  </si>
  <si>
    <t>Saludame</t>
  </si>
  <si>
    <t>Isaac Cruz</t>
  </si>
  <si>
    <t>Like si quieres tazos de toy story 4</t>
  </si>
  <si>
    <t>chrisaac 07</t>
  </si>
  <si>
    <t>Saludame porfabor crack</t>
  </si>
  <si>
    <t>Tercer comentario salúdame</t>
  </si>
  <si>
    <t>Mannytoo Mammut</t>
  </si>
  <si>
    <t>22.06.2019 22:03</t>
  </si>
  <si>
    <t>Our biggest fans this week: jin_doritos. Thank you! via https://sumall.com/thankyou?utm_source=twitter&amp;utm_medium=publishing&amp;utm_campaign=thank_you_tweet&amp;utm_content=text_and_media&amp;utm_term=28eff700376b5bce7d24df97</t>
  </si>
  <si>
    <t>cis</t>
  </si>
  <si>
    <t>22.06.2019 22:01</t>
  </si>
  <si>
    <t>Ryan McQuinn is an award winning composer (Global Music Awards and Prestige Music Awards) who has brought his love of music to projects such as Lotia (Crayon Ponyfish), Dungeons &amp; Doritos (Nerdy Show Productions), Call of Cthulu Mystery Program (Nerdy Show Productions), Liberty: Vigilance, and Dark Dice. He is currently working working on Interstellar Space: Genesis with Grant Kirkhope and creating chiptune sfx for Axe Cop.
Ryan’s music has been performed live by Orlando Contemporary Chamber Orchestra and Alterity Chamber Orchestra.
#composer #music #musician #producer #singer #artist #songwriter #piano #guitar #guitarist #musicians #musicproducer #art #love #song #pianist #arranger #newmusic #soundtrack #pop #classicalmusic #concert #filmmusic #drummer #entrepreneur #hiphop #rock #beats #studio</t>
  </si>
  <si>
    <t>Vox Odyssey</t>
  </si>
  <si>
    <t>You should get a Beefy XXL Grilled Stuft Burrito, a Double Loaded Black Bean Doritos® Locos Taco, and a Lava Taco Salad.
i’m so high rn and i got put in a pta mom group chat and i cant stop fucking w the one mom laura</t>
  </si>
  <si>
    <t>nik</t>
  </si>
  <si>
    <t>22.06.2019 22:02</t>
  </si>
  <si>
    <t>@SpiderManMovie @Doritos</t>
  </si>
  <si>
    <t>Kermitdrinkstea2</t>
  </si>
  <si>
    <t>22.06.2019 21:59</t>
  </si>
  <si>
    <t>minecraft mlg</t>
  </si>
  <si>
    <t>up and running mlg minecraft land generator .
mlg bath time doritos mountain dew know your meme .
the mlg mod minecraft mods mapping and modding java edition .
mlg skins new skin for minecraft pe pc edition apprecs .
mlg nova skin .
mlg skins new skin for minecraft pe pc edition .
natural mlg rush yourmcshop .
best mlg minecraft skins page 2 planet minecraft .
mlg pro art y0 draw my thing minecraft mini game kids youtube .
pokémon misha mlg minecraft song my pokemon card .
cat day mlg pic by pnkung wallpapers and art mine imator forums</t>
  </si>
  <si>
    <t>21:58</t>
  </si>
  <si>
    <t>24.06.2019 06:26</t>
  </si>
  <si>
    <t>mountain d</t>
  </si>
  <si>
    <t>polecat ski trail .
mont d or jura mountains wikipedia .
mountain dew stock photos mountain dew stock images alamy .
this adorable d va nendoroid comes with mountain dew and doritos .
initial d real life driving up haruna akina mountain youtube .
d team racing detroit mountain .
mountain pass road english .
the 2019 giro d italia mountains preview podium cafe .
the daily grind doing the wow dew .
coach d mountain bike efficiency training systems home facebook .
alpe d huez mountain stats onthesnow .
nh 48 4000 footers wildcat mountain d via</t>
  </si>
  <si>
    <t>22.06.2019 22:00</t>
  </si>
  <si>
    <t>Ver pelis y comer mil doritos ...</t>
  </si>
  <si>
    <t>PR‍☠️</t>
  </si>
  <si>
    <t>22.06.2019 21:56</t>
  </si>
  <si>
    <t>Anne-Lise</t>
  </si>
  <si>
    <t>22.06.2019 21:55</t>
  </si>
  <si>
    <t>325x5 PR today getting stronger and moving forward. •
•
•
#legs #quads #legday #datfacetho #military #militarymuscle #letsgetbigger #lightweightbaby #gym #doritos #hamstrings #army #armystrong
@ow_93kg</t>
  </si>
  <si>
    <t>Xavier</t>
  </si>
  <si>
    <t>Cherryvale</t>
  </si>
  <si>
    <t>sitting here eating stale doritos, sipping vino, watching @thebig3, and can’t help but notice that 100 year-old cuttino mobley is a walking bucket.</t>
  </si>
  <si>
    <t>john bray</t>
  </si>
  <si>
    <t>Fernway</t>
  </si>
  <si>
    <t>fredo</t>
  </si>
  <si>
    <t>22.06.2019 22:13</t>
  </si>
  <si>
    <t>Doritos Thai Pepper Chicken Chips Review</t>
  </si>
  <si>
    <t>Kimberly Nguyen</t>
  </si>
  <si>
    <t>22.06.2019 21:53</t>
  </si>
  <si>
    <t>Debora Baranowski</t>
  </si>
  <si>
    <t>Coral Springs</t>
  </si>
  <si>
    <t>22.06.2019 21:52</t>
  </si>
  <si>
    <t>I keep remembering little dan and Phil facts like the time they wanted a snack with their movie and argued for 2 hours about if they should have popcorn or Doritos and it still makes me laugh</t>
  </si>
  <si>
    <t>taco bell san luis obispo</t>
  </si>
  <si>
    <t>Taco Bell San Luis Obispo
taco bell 36 reviews fast food 3810 broad street suite 1 san .
taco bell in san luis obispo california 397 santa rosa taco bell .
creedence clearwater revival eating at a taco bell in 1968 in slo .
i ate tacos at an old taco bell in san luis obispo where creedence .
taco bell 36 reviews fast food 3810 broad street suite 1 san .
taco bell in san luis obispo california 397 santa rosa taco bell .
taco bell giving away free doritos locos tacos until 6 p m .
taco bell 36 reviews fast food 3810 broad street suite 1 san</t>
  </si>
  <si>
    <t>22.06.2019 21:51</t>
  </si>
  <si>
    <t>Yesterday, I was FaceTiming @maleah_99, and she said that she was going vegan. Today we FaceTimed, and she’s chowing down on a whole bag of nacho cheese Doritos</t>
  </si>
  <si>
    <t>Hannah Claire</t>
  </si>
  <si>
    <t>22.06.2019 21:50</t>
  </si>
  <si>
    <t>@BeautHB @StLouisBlues 
At least they got a Doritos bag for coming in 2nd place.</t>
  </si>
  <si>
    <t>Apostle Brian Pruitt</t>
  </si>
  <si>
    <t>Max Kline</t>
  </si>
  <si>
    <t>@Doritos #IncognitoDoritos #Entry 
I would have the power to swim underwater without holding my breath</t>
  </si>
  <si>
    <t>Joni Metcalf</t>
  </si>
  <si>
    <t>Pawleys Island</t>
  </si>
  <si>
    <t>22.06.2019 21:47</t>
  </si>
  <si>
    <t>It’s okay to be an emotional eater!
After all, we were born that way (think about newborn babies. If they are hungry, they cry). Instead of beating yourself up over the fact that you ate attempting to find bliss in a bag of Doritos, instead start asking yourself this one BIG question: 
What are you really hungry for? 
And sure, sometimes the answer IS that ice cream sundae or some chips . But if you ALLOW YOURSELF to dig a little deeper, you will often find that it is emotional sustenance you have really been craving ✔️ ➡️ Understand what</t>
  </si>
  <si>
    <t>Banana Bee Diet Clinic ♡</t>
  </si>
  <si>
    <t>Target Deals 6/23 – 6/29</t>
  </si>
  <si>
    <t>.1 - 9 oz, or Wheat Thins, 5.5 - 9.1 oz - B3G1 $0.75/2 Nabisco Cookie or Cracker Products, exp. 6/29/19 (SS 05/19/19) [3.5-oz.+]$0.75/2 Nabisco Cookie or Cracker Products, exp. 8/3/19 (SS 06/23/19 R) [3.5-oz.+,]$1/3 Nabisco Cookie or Cracker Products, exp. 6/29/19 (SS 05/19/19 R) [3.5-oz.+] Country Time Lemonade Mix, 18 - 19 oz - $2.00 Dasani Water, 24 pk - $3.99 Doritos, 9.25 - 11.25 oz - $2.50 Dunkin Donuts Coffee, 11 - 12 oz - $5.99 $2/2 Dunkin' Donuts Coffee Products, exp. 7/30/19 (RMN 05/19/19) [Excludes dunkin' donuts cold brew] Final</t>
  </si>
  <si>
    <t>Jessie @MoolaSavingMom</t>
  </si>
  <si>
    <t>moolasavingmom.com</t>
  </si>
  <si>
    <t>doritos are the best chips hands down</t>
  </si>
  <si>
    <t>jenna</t>
  </si>
  <si>
    <t>22.06.2019 21:46</t>
  </si>
  <si>
    <t>Spidey Spice flavoured @doritos? Yes, please!
-
#Doritos #SpiderMan #SpiderManFarFromHome #FarFromHome #SpideySpice #cornchips #PeterParker #Spidey #Underoos #Mysterio #TomHolland #JakeGyllenhaal  #marketing #Marvel #MarvelStudios #MCU #MarvelCinematicUniverse #food #tiein #movie #film</t>
  </si>
  <si>
    <t>Amazing Fantasies</t>
  </si>
  <si>
    <t>23.06.2019 07:36</t>
  </si>
  <si>
    <t>drink,junk food,food,snack</t>
  </si>
  <si>
    <t>Pack all ready to go. Don’t forget the chips!!! @wilderbound #chips #backpacking #essentialgear
@wilderbound</t>
  </si>
  <si>
    <t>Nathan Rieck</t>
  </si>
  <si>
    <t>Big Bear Lake</t>
  </si>
  <si>
    <t>CVS Deals 6/23 – 6/29</t>
  </si>
  <si>
    <t>Ice Canyon Spring Water, 15 pk - $2.77 Just the Basics Purified Water, 24 pk - $2.77 Lipton Tea - B1G1 50% OFF Perrier, 10 pk - $4.99 Red Bull, 8.4 oz, or Core Water, 30.4 oz - 2/$4 or $2.29 each San Pellagrino, 6 or 8 pk - $4.99 Snapple, 16 oz, or Just Water Spring Water, 16.9 oz - 2/$2 or $1.49 each Taster's Choice Instant Coffee, 7 oz - $6.99 Vitaminwater, 15.2 - 20 oz, Powerade, 32 oz, or Gold Peak Iced Tea, 18.5 oz - 2/$2.50 or $1.67 each Altoids Smalls, 50 ct, or Wrigley's Gum Singles - 2/$2.22 or $1.25 each Doritos, 9.75 - 11.5 oz, Lay</t>
  </si>
  <si>
    <t>Perfect night for a campfire  #summernights #campfire #wine #doritos #goodcompany @canadiandirewolf @ammee79</t>
  </si>
  <si>
    <t>RMB_1116</t>
  </si>
  <si>
    <t>space,sky,heat</t>
  </si>
  <si>
    <t>22.06.2019 21:42</t>
  </si>
  <si>
    <t>EdgarR</t>
  </si>
  <si>
    <t>Turlock</t>
  </si>
  <si>
    <t>ima put my dick in a bag of doritos then dip my balls in some 1000 island dressing</t>
  </si>
  <si>
    <t>✨Maria Cruz ✨</t>
  </si>
  <si>
    <t>22.06.2019 21:45</t>
  </si>
  <si>
    <t>Necesito doritos</t>
  </si>
  <si>
    <t>Flopyja</t>
  </si>
  <si>
    <t>Damn those segulls PublicFreakout</t>
  </si>
  <si>
    <t>Give them some Doritos.</t>
  </si>
  <si>
    <t>orincoro</t>
  </si>
  <si>
    <t>22.06.2019 21:39</t>
  </si>
  <si>
    <t>Experimenting with trying some new recipes over the past couple of weeks. Focusing on portion sizes and still eating pizza and Doritos time to time ‍♀️ baby steps</t>
  </si>
  <si>
    <t>Kelly_78</t>
  </si>
  <si>
    <t>Уэст-Бенд</t>
  </si>
  <si>
    <t>22.06.2019 21:37</t>
  </si>
  <si>
    <t>If Doritos has million numbers of fan i am one of them . if Doritos has ten fans i am one of them. if Doritos have only one fan and that is me . if Doritos has no fans, that means i am no more on the earth . if world against the Doritos, i am against the world.
I love you doritos</t>
  </si>
  <si>
    <t>greatspy</t>
  </si>
  <si>
    <t>23.06.2019 07:39</t>
  </si>
  <si>
    <t>Mysterio #Spiderman #spidermanfarfromhome #mysterio #cosplay #cosplayer
@spidermanmovie</t>
  </si>
  <si>
    <t>CosplayAvery</t>
  </si>
  <si>
    <t>:
:
:
:
:
:
:
:
:
:
:
:
#gayhomo #gay #sexoffender #uah #nudes #myboyfriend #mcdonalds #memes #dankmemes #weirdmemes #gaymemes #fuck12</t>
  </si>
  <si>
    <t>22.06.2019 21:34</t>
  </si>
  <si>
    <t>LMAO WHAT
Want to score this Limited-Edition Doritos Spidey Suit? Tell us what super power Doritos gives you using #IncognitoDoritos #Entry for the chance to win! Rules @ https://bit.ly/2MXEpdc Be sure to check out #SpiderManFarFromHome, in theaters July 2!</t>
  </si>
  <si>
    <t>@PeytonMForehead 1) Doritos Cool Ranch
...
...
...
2) Salt and vinegar
3) Sour cream and onion</t>
  </si>
  <si>
    <t>®</t>
  </si>
  <si>
    <t>Yall</t>
  </si>
  <si>
    <t>READER SPECIAL***
GET ALL 3 BOOKS FOR $20 WHEN YOU ORDER FROM JANAEMARIEBOOKS.COM. FREE SHIPPING INCLUDED. CHECKOUT WITH PAYPAL. 
Get Caught up in ALL THE DRAMA with a book from Author Janae Marie. Flirting with Temptations, Daddy's Home and Double Take. Just $2.99!!! Available at Amazon.com, janaemariebooks.com. #betrayal #bribery #bookstagram #amazon #adultery #abandoned #authorsofinstagram #authorjanaemarie #aids #arson #cheating #blackgirlmagic #blackbooks #blackwriters #betrayedbythedevil #blackgirlsrock #blackqueens #crimedrama #drama #deceit #disease #Detroit #flirtingwithtemptations #daddyshome #doubletake #fire #igbooks</t>
  </si>
  <si>
    <t>Author Janae Marie</t>
  </si>
  <si>
    <t>@Doritos #IncognitoDoritos #Entry @Doritos gives me the power to operate in that little grey area between doing and not doing what Iron Man would do #SpiderManFarFromHome</t>
  </si>
  <si>
    <t>Megan Grace</t>
  </si>
  <si>
    <t>is there room in the trad life for doritos</t>
  </si>
  <si>
    <t>sovetski</t>
  </si>
  <si>
    <t>Dalvey Square</t>
  </si>
  <si>
    <t>22.06.2019 21:33</t>
  </si>
  <si>
    <t>I just ate a whole family sized bag of doritos by myself</t>
  </si>
  <si>
    <t>소피¹²⁷️‍NUNUDAY #Clé2_YellowWood #DNYL</t>
  </si>
  <si>
    <t>22.06.2019 21:31</t>
  </si>
  <si>
    <t>I'll share a bag with you
if you'll share a bag with me
there's more than enough for two
and there's nothing I'd rather do
than share some @Doritos with you</t>
  </si>
  <si>
    <t>Jean Regan-Colfax VI</t>
  </si>
  <si>
    <t>22.06.2019 21:30</t>
  </si>
  <si>
    <t>ginny learning from her brother and eating doritos</t>
  </si>
  <si>
    <t>maddie</t>
  </si>
  <si>
    <t>22.06.2019 21:29</t>
  </si>
  <si>
    <t>Grab a quick snack and what do you find? A 71 Datsun 510! Don't see what all the hype is about though. Still a cool and good find regardless .
 #Hotwheels #hotwheelscollector #hotwheelspics #hotwheelscollection #hotwheelscustoms #hotwheelsusa #hotwheelsaddict #hotwheelsdaily #hotwheelsofficial #hotwheelsgram #hotwheelsjunkie #vintage #datsunbluebird510 #datsun #510 #nissan #doritos #gatorade #japan #diecastaddict #diecastfinds #hwc #diecastcustom #diecast_USA  #Diecasthotwheels #diecasttoys #hotwheelsphotography #hotwheelscollectors #hotwheelscars</t>
  </si>
  <si>
    <t>Diecast_USA</t>
  </si>
  <si>
    <t>22.06.2019 21:27</t>
  </si>
  <si>
    <t>Watching one punch man and eating @Doritos with Cassie. #greatweekend</t>
  </si>
  <si>
    <t>Tony Truong ⚡️</t>
  </si>
  <si>
    <t>Being Spider-man can be exhausting at times with such a hectic schedule, so I usually eat healthy to keep energy levels high, but if I do have the occasional cheat day then a bit of Spidey Spice Doritos hits the spot! Haha
#spiderman #spidermanps4 #cosplay #arachnidstudios #zentaizone #costume #spideyflow #spideyfit #superhero #marvel #sony
#playstation #brandongilbert #peterparker #arachnid #cheatmeal #junkfood #doritos #spideyspice</t>
  </si>
  <si>
    <t>Estas ganas de comer doritos que no se me quitan</t>
  </si>
  <si>
    <t>Fᴇғᴇ †³³⚡</t>
  </si>
  <si>
    <t>One of my favorite memories with my brother is sitting in the garage smoking hookah and watching adventure time on his iPad while eating doritos and drinking sweet tea every night.
Imma miss that bitch.</t>
  </si>
  <si>
    <t>B  Global Dance</t>
  </si>
  <si>
    <t>Колорадо-Спрингс</t>
  </si>
  <si>
    <t>23.06.2019 07:30</t>
  </si>
  <si>
    <t>*replace Dare with Timmie's or Monster if your from Canada. .
.
.
.
Don't forget to follow:➡ @Deborah.G.Cooper 
✅  *
✅ *
 Tag &amp; Share with your Friends⤵
#electricianporn #electriciansknow #electricianmemes #electrician #electricianspecialists #electricianswag #electricianintraining #electricianshirt #electriciansmate #electrician_gram #electricianperth #electricianhumor</t>
  </si>
  <si>
    <t>Deborah.G.Cooper</t>
  </si>
  <si>
    <t>22.06.2019 21:26</t>
  </si>
  <si>
    <t>Julie Converses</t>
  </si>
  <si>
    <t>22.06.2019 21:22</t>
  </si>
  <si>
    <t>yall are offsprings of Satan.
Finally someone else that does this! Except I use Doritos</t>
  </si>
  <si>
    <t>⚡️</t>
  </si>
  <si>
    <t>22.06.2019 21:23</t>
  </si>
  <si>
    <t>@Andrea_Khanjin So this is what you bought that bag of doritos and package of bread for?</t>
  </si>
  <si>
    <t>ST</t>
  </si>
  <si>
    <t>22.06.2019 21:20</t>
  </si>
  <si>
    <t>@Ruin2day That’d be allll snacks for me. Pop tarts and Doritos</t>
  </si>
  <si>
    <t>Lehigh</t>
  </si>
  <si>
    <t>22.06.2019 21:19</t>
  </si>
  <si>
    <t>my only meal for the day has been some Doritos and a bottle of water</t>
  </si>
  <si>
    <t>uhh.. khakis</t>
  </si>
  <si>
    <t>This is my Friday night. Doritos, some Coke Zero, and Netflix. What an exciting life!
#Saturday #saturdayNight</t>
  </si>
  <si>
    <t>Антиокия</t>
  </si>
  <si>
    <t>Медельин</t>
  </si>
  <si>
    <t>@Doritos #IncognitoDoritos #Entry My super power is the ability to share the joy of eating Doritos.</t>
  </si>
  <si>
    <t>KimberlyM.</t>
  </si>
  <si>
    <t>22.06.2019 21:21</t>
  </si>
  <si>
    <t>THATS WORSE 
Finally someone else that does this! Except I use Doritos</t>
  </si>
  <si>
    <t>Rich Saibot⚫️</t>
  </si>
  <si>
    <t>22.06.2019 21:17</t>
  </si>
  <si>
    <t>Finally someone else that does this! Except I use Doritos 
It’s lit. Chips in the sandwich is undefeated</t>
  </si>
  <si>
    <t>Brittany.</t>
  </si>
  <si>
    <t>This was only supposed to be on YouTube but... ‍♂️ click the link in my bio to watch the whole thing #sebikes #sebike #wheelie #combo
@_chanel_08 @ccs.henrry @onepercentgarments @ccs.631.trystan @ccs_tyyy @rhiannon_oboyle @sarah.strickk @ashl3y_13 @bikelife__david @ccs_pass @dom13hky @bikelife.aidann @ccs.jakee @bikelife_digg @ccs_stephen @owu.doritos @sean_murphy32</t>
  </si>
  <si>
    <t>Tyler Hirsch</t>
  </si>
  <si>
    <t>moutain dew pics</t>
  </si>
  <si>
    <t>.
mountain dew taco bell fountain drinks .
amazon com mountain dew 16 ounce cans 12 count grocery .
mountain dew philippines food beverage company taguig 1 822 .
home mtn dew .
11 energizing facts about mountain dew mental floss .
mountain dew frucorsuntory .
doritos mountain dew know your meme .
mountain dew 20 oz plastic bottle soft drinks meijer grocery .
mountain dew voltage soda 2l bottle target .
mountain dew spill causes huge foaming event at soda plant .
10 things you didn t know about mountain dew .
4 pack diet mountain dew 16 9 fl oz</t>
  </si>
  <si>
    <t>Flat Earth Truther #2018#FMFP</t>
  </si>
  <si>
    <t>Сентрал-Сити</t>
  </si>
  <si>
    <t>When you open a bag of Doritos in class</t>
  </si>
  <si>
    <t>When you open a bag of Doritos in class
brysavege</t>
  </si>
  <si>
    <t>bts fan223</t>
  </si>
  <si>
    <t>22.06.2019 21:18</t>
  </si>
  <si>
    <t>Niggas out here really buying Spicy Sweet Chili Doritos smh tragic</t>
  </si>
  <si>
    <t>Carlos</t>
  </si>
  <si>
    <t>Love when I’m forced to eat Doritos.  #lokitheacd #australiancattledog #blueheeler #insta_heelers #blueheelersofinstagram #heelerclub  #heelergram #heelercrew #picoftheday #weeklyfluff #ruffpost # #mansbestfriend #itsadogslife #cattledogsdaily #cattledogsrule #huntingtonbeach #furbrother #doritos #bestfriends #growinguptogether</t>
  </si>
  <si>
    <t>Loki</t>
  </si>
  <si>
    <t>22.06.2019 21:13</t>
  </si>
  <si>
    <t>Mountain Dew, Doritos
 Spring colors dance through my mind
 I fukked ur mum near Tesco's</t>
  </si>
  <si>
    <t>22.06.2019 21:14</t>
  </si>
  <si>
    <t>nc.conserv⭐️⭐️⭐️</t>
  </si>
  <si>
    <t>21:12</t>
  </si>
  <si>
    <t>EmbajadorAristemo ️‍</t>
  </si>
  <si>
    <t>How many can relate?  Make sure to support the cause! 
@doritos -
-
-
#doritos #mtndew #pride #tasty #thick #juicy #gaming #drip</t>
  </si>
  <si>
    <t>drinkware,cocktail,glass,drink</t>
  </si>
  <si>
    <t>21:11</t>
  </si>
  <si>
    <t>22.06.2019 21:12</t>
  </si>
  <si>
    <t>@Scoofboy Imagine getting mad over an ad for Doritos commercial for Spider-Man</t>
  </si>
  <si>
    <t>Cesar</t>
  </si>
  <si>
    <t>Алжир</t>
  </si>
  <si>
    <t>22.06.2019 21:41</t>
  </si>
  <si>
    <t>Attack of....Doritos #dankmemes #dankmeme</t>
  </si>
  <si>
    <t>Danny hernandez</t>
  </si>
  <si>
    <t>I can taste the Doritos</t>
  </si>
  <si>
    <t>KhanOfChagatai</t>
  </si>
  <si>
    <t>Arthur</t>
  </si>
  <si>
    <t>Presidente Hayes</t>
  </si>
  <si>
    <t>Hamburg</t>
  </si>
  <si>
    <t>#rocky #gonnaflynow #lays #doritos #cheetos #hotfries #fritolay #lays #bbq #family #marron #suarez</t>
  </si>
  <si>
    <t>CesarMarronSuareZendejasLupian</t>
  </si>
  <si>
    <t>22.06.2019 21:10</t>
  </si>
  <si>
    <t>Alfredo G</t>
  </si>
  <si>
    <t>22.06.2019 21:11</t>
  </si>
  <si>
    <t>The 8 Accessories Every eBiker Needs</t>
  </si>
  <si>
    <t>quite as healthy Doritos.Protect Your TubesI’m sure I’m deserving of an award for this one, but I have managed to get a flat tire in every ebike I’ve put any sort of serious mileage on in just the first couple of days. I know, I’m a slow learner, but when the inevitable flat tire comes, the first thing I do is to order some tube protection.
That starts with tire liners that put up a protective barrier between the outer tire and the inner tube to shield it from any thorns, staples, nails, and the like. Mr Tuffy’s makes a lineup of go-to products</t>
  </si>
  <si>
    <t>Kyle Field</t>
  </si>
  <si>
    <t>cleantechnica.com</t>
  </si>
  <si>
    <t>car,bicycle,vehicle</t>
  </si>
  <si>
    <t>22.06.2019 21:07</t>
  </si>
  <si>
    <t>@Doritos Doritos gives me a flying super power  #IncognitoDoritos</t>
  </si>
  <si>
    <t>Demetrio Jesus Reyes JR</t>
  </si>
  <si>
    <t>moooyy boenoo
Lali Esposito as doritos; a thread</t>
  </si>
  <si>
    <t>micasita</t>
  </si>
  <si>
    <t>doritos ad</t>
  </si>
  <si>
    <t>doritos ad
Created with Wondershare Filmora</t>
  </si>
  <si>
    <t>TrayBlockStudios</t>
  </si>
  <si>
    <t>Salsa dip &amp; cool original doritos &amp;  a wkd  iron brew why not I  don't have a drink very often</t>
  </si>
  <si>
    <t>Kerry Dickerson</t>
  </si>
  <si>
    <t>22.06.2019 21:05</t>
  </si>
  <si>
    <t>"jeff- football player, reece- frat boy" "my first impression was: cool ranch doritos" LMAO i am dying at their thoughts on her new bf!!   #southerncharmnola #southerncharmneworleans</t>
  </si>
  <si>
    <t>bombasticl0ve</t>
  </si>
  <si>
    <t>Doritos sound better then they taste
@jay.scott02
——————————————————————————
#buggati #bentley #jaguar #ferrari #Lamborghini #mclaren #audi #bmw #mercedesbenz #jaguar #masarati #porsche #gtr #rollsroyce #217mph #cars #car #supercars #exotics #hypercars #exoticcars #carshow #motorsports #217mph #race #racing #dreamcar #benzliving #carporn #itswhitenoise #amazingcars #kingzwhips</t>
  </si>
  <si>
    <t>Instacars02</t>
  </si>
  <si>
    <t>highway,road surface,transport,street,lane,asphalt,road</t>
  </si>
  <si>
    <t>22.06.2019 21:08</t>
  </si>
  <si>
    <t>collab. I flew up this past 420 and hit their promo HQ. They've grown up a lot: branched out into gummies and distillates, and can I just tell you how dope distillates are (left side): Powders you sprinkle into coffee, soda, cocktails, food, whatever. It dissolves and BOOM: THC and CBD. 
I love that it's clean, consistent, and keeps me creative and clear instead of craving another binge of Robot Chicken and Doritos. 
Y'all it's 2019. Stop smoking weed like you're in college and step your game up. Cannabis has grown up and you should too. 
And</t>
  </si>
  <si>
    <t>John Gorman</t>
  </si>
  <si>
    <t>knitting,hat,clothing</t>
  </si>
  <si>
    <t>22.06.2019 23:50</t>
  </si>
  <si>
    <t>Chicken Dorito Casserole
Ingredients:
3-4 BSCB (Boneless, Skinless, Chicken Breasts) baked
1 regular sized bag of original Doritos
1 can Cream of Mushroom
Full Recipe: http://tenrecipes.com/chicken-dorito-casserole/
https://www.facebook.com/wwrecipems/photos/a.526984847480885/1204388006407229/?type=3</t>
  </si>
  <si>
    <t>Weight Watcherz Recipes</t>
  </si>
  <si>
    <t>22.06.2019 21:01</t>
  </si>
  <si>
    <t>@Doritos trying become @SpiderMan as I use my powers from eating a bag by transforming into a jacked up superhero ready to take on the world...or work... #IncognitoDoritos #entry</t>
  </si>
  <si>
    <t>ReyesFamily4</t>
  </si>
  <si>
    <t>greg</t>
  </si>
  <si>
    <t>new doritos flavor: the water that comes out when you first pour the ketchup</t>
  </si>
  <si>
    <t>Frank Chips</t>
  </si>
  <si>
    <t>Live Oak</t>
  </si>
  <si>
    <t>22.06.2019 21:03</t>
  </si>
  <si>
    <t>Doritos sponsored Spider Man Far From Home! Absolutely awesome! go buy them at your local grocery store!. -
-
-
-
-
-
-
-
-
-
-
-
-
-
-
-
-
-
-
-
-
-
-
-
-  #spidermanfarfromhome #spiderman #peterparker #doritos #doritoupdate #tomholland #thomasfreakingholland #thomasstanleyholland #tomholland2013✌ #tomholland2013 #penisparker #tomholland2013❤️ #tomhollandupdate #tomholland2013♥️ #tomholland2013___ #tomhollandmemess #tomhollandmeme #tomhollandmemes #tomholland2013fanart #tomholland2013 #tomholland2013❤️❤️❣️ #marvel #avengers #tomholland2013❤
@tomholland2013 @doritos</t>
  </si>
  <si>
    <t>Jazmine</t>
  </si>
  <si>
    <t>My Saturday night in one picture.....#mnms #doritos #nintendods #beatsbydre #gotham</t>
  </si>
  <si>
    <t>Daniel Read</t>
  </si>
  <si>
    <t>Suffield</t>
  </si>
  <si>
    <t>23.06.2019 05:03</t>
  </si>
  <si>
    <t>Will you try them?!
https://www.delish.com/food-news/a22593429/pickle-flavored-doritos/?fbclid=IwAR24RYnOPBIpSKW4imwg3hq8ew0qtd2kLop9Y24szvemvd_-bFUhMDvrb9Q
Pickle Fans: Here’s Where You Can Get Pickle-Flavored Doritos
Apparently they're "the cadillac of dill pickle flavored salty-snacks."</t>
  </si>
  <si>
    <t>UrbanMommies</t>
  </si>
  <si>
    <t>22.06.2019 21:04</t>
  </si>
  <si>
    <t>?????
There’s a special place in hell for people who eat the plain nacho cheese Doritos</t>
  </si>
  <si>
    <t>Chris Wick</t>
  </si>
  <si>
    <t>Oh, Fudge! It's Back! - Milky Way Fudge</t>
  </si>
  <si>
    <t>-quality chocolate, you've come to the wrong place. This is delicious, fluffy, garbage candy and I absolutely love it. Sadly, these are only available for a limited time through the end of 2019 . I'll be grabbing a few more to my candy hoard, but hopefully this limited run isn't the last time we'll see this fudgy candy bar. I think it's the perfect post-meltdown treat and I'll be sad when it's gone. It not quite as good as Midnight, but I'd say it's tied with the original for my number-2 spot. P.S. My old go-to stressed-out-melt-down junk food was the Doritos Collision in Pizza and Cool Ranch. They've since been discontinued (I miss them SO much). In their absence, crunchy Cheetos and Fritos Flavor Twists have become my back-up. What's your favorite stress-food? Keep Up with My Adventures on Social Media!</t>
  </si>
  <si>
    <t>Sometimes Foodie (noreply@blogger.com)</t>
  </si>
  <si>
    <t>sometimesfoodie.com</t>
  </si>
  <si>
    <t>22.06.2019 20:59</t>
  </si>
  <si>
    <t>Taking a break! Love my g-shock and my Doritos  #gshock #mudmaster #gshockmudmaster #watch #gshockwatch #gshockcollector #watches #toyotalandcruiser #worldtime #watchesofinstagram #watchfam #watchcollector #watchaddict #watchoftheday #watchgeek #watchfreak #wristshot #wristcandy #wristporn #vancouver #yvr #weekend</t>
  </si>
  <si>
    <t>Watch Collector</t>
  </si>
  <si>
    <t>hardware,clock,analog watch,fashion accessory,watch,electronics</t>
  </si>
  <si>
    <t>@doritos #loveislove #pride</t>
  </si>
  <si>
    <t>Javier Trevizo</t>
  </si>
  <si>
    <t>22.06.2019 20:57</t>
  </si>
  <si>
    <t>kim monte ️‍</t>
  </si>
  <si>
    <t>chip doritos</t>
  </si>
  <si>
    <t>doritos nacho cheese flavored tortilla chips .
doritos cool original tortilla chips 40g from ocado .
amazon com doritos tortilla chips nacho cheese 9 75 ounce .
doritos spicy sweet chili chips 9 5oz target .
doritos nacho cheese flavored tortilla chips .
amazon com doritos nacho cheese flavored tortilla chips party size .
doritos cool ranch chips 10 5oz target .
3d model doritos chips low poly cgtrader .
doritos nacho cheese flavored tortilla chips 3 125 oz bag .
doritos nacho cheese flavored tortilla chips .
doritos cheese supreme corn chips</t>
  </si>
  <si>
    <t>22.06.2019 20:56</t>
  </si>
  <si>
    <t>22.06.2019 20:55</t>
  </si>
  <si>
    <t>@tacobell when u gonna put more shit in a @Doritos shell? I'd surf to porto rico on a on a dead mexican for a cool ranch chalupa! 
#TacoTuesday #TacoNation</t>
  </si>
  <si>
    <t>Lewd Boggs</t>
  </si>
  <si>
    <t>@Doritos #IncognitoDoritos #Entry invisibility  power</t>
  </si>
  <si>
    <t>Zamran J</t>
  </si>
  <si>
    <t>Overland Park</t>
  </si>
  <si>
    <t>20:54</t>
  </si>
  <si>
    <t>Took me 45 minutes to find out that “blahcheedah” translates to blue Cheetos which means my 3 year old nephew wants Cool Ranch Doritos. 
I’m pretty sure I’ve earned this adult beverage.   Cheers!</t>
  </si>
  <si>
    <t>Italian Girl DJ</t>
  </si>
  <si>
    <t>Grooming A Bichon Frise For Dog Shows</t>
  </si>
  <si>
    <t>exercise videos and gave up ice cream and https://gaubongonline.vn/blog-gau-bong/qua-tang-sinh-nhat.html chocolate, those sinful foods women aren't supposed to eat. Previously high school cafeteria, I ate dry turkey subs (the cafeteria didn't offer low-fat mayo packets), skim milk, and cups of pineapples. My taller and thinner girlfriend enjoyed chocolate milk, fries, and Doritos. She also went to bed at night with her makeup on and never saw a pimple in her lifetime. Talk about justness.</t>
  </si>
  <si>
    <t>Chanel Waring</t>
  </si>
  <si>
    <t>nucc.news</t>
  </si>
  <si>
    <t>24.06.2019 06:16</t>
  </si>
  <si>
    <t>In a world of over eight billion people, there is bound to be at least one person who enjoys mixing chocolate milk into their spaghetti Showerthoughts</t>
  </si>
  <si>
    <t>Spaghetti with ranch and Doritos here</t>
  </si>
  <si>
    <t>kyjinn</t>
  </si>
  <si>
    <t>22.06.2019 20:53</t>
  </si>
  <si>
    <t>R. delRio</t>
  </si>
  <si>
    <t>Ôқɑʍí Rɑѵҽղ</t>
  </si>
  <si>
    <t>@JudgeDillard That's kinda like my Doritos, cheesies and ice cream salad. If it's salad, it must be healthy</t>
  </si>
  <si>
    <t>Lipstick, Sawdust and Flour ️‍</t>
  </si>
  <si>
    <t>Регенсбург</t>
  </si>
  <si>
    <t>A new 13B-MSP for the FE that is down for the count.... New events on the horizon....
#bulverdespeedstars #rotary #unreliable #premix #doritos
@syn.div @mototonnurofficial</t>
  </si>
  <si>
    <t>Steve Harris</t>
  </si>
  <si>
    <t>hardware,vehicle,car</t>
  </si>
  <si>
    <t>20:48</t>
  </si>
  <si>
    <t>Hey Doritos, gimme one of these #IncognitoDoritos suits, your chips give me the power to stain white shirts or whatever, gimme gimme #Entry
Want to score this Limited-Edition Doritos Spidey Suit? Tell us what super power Doritos gives you using #IncognitoDoritos #Entry for the chance to win! Rules @ https://bit.ly/2MXEpdc Be sure to check out #SpiderManFarFromHome, in theaters July 2!</t>
  </si>
  <si>
    <t>Sean Aitchison</t>
  </si>
  <si>
    <t>22.06.2019 20:54</t>
  </si>
  <si>
    <t>@Doritos @Doritos Gives me the super power of mind-control b/c people turn all ‍♂️ ‍♀️ like when I open Doritos and they start walking all crazy like towards me. They must think they are going to get some but I’m not going to share.  #IncognitoDoritos #Entry</t>
  </si>
  <si>
    <t>Robert Crist</t>
  </si>
  <si>
    <t>22.06.2019 20:51</t>
  </si>
  <si>
    <t>they make organic doritos what the fuck</t>
  </si>
  <si>
    <t>Anna</t>
  </si>
  <si>
    <t>22.06.2019 20:46</t>
  </si>
  <si>
    <t>Me: *minding my business, eating some doritos*
My ed: um :/ do u even know how many calories ur ingesting right now? .....
wish my ed could juST FUCK OFF IM JUST TRYING TO EAT SOME DORITOS MAN.</t>
  </si>
  <si>
    <t>لالی</t>
  </si>
  <si>
    <t>https://www.facebook.com/g4yass/photos/a.304081763822294/319218808975256/?type=3
I love woman more than i love doritos
Pink in the night
Credits: eunnieboo</t>
  </si>
  <si>
    <t>Cute and Positive Things 愛</t>
  </si>
  <si>
    <t>22.06.2019 20:50</t>
  </si>
  <si>
    <t>OSAMA BIN RAMEN</t>
  </si>
  <si>
    <t>PepsiCo, Inc. (NASDAQ:PEP) Position Boosted by Macguire Cheswick &amp; Tuttle Investment Counsel LLC</t>
  </si>
  <si>
    <t>.85%. PepsiCo’s dividend payout ratio (DPR) is currently 67.49%.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</si>
  <si>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PepsiCo, Inc. (NASDAQ:PEP) Shares Sold by Ropes Wealth Advisors LLC</t>
  </si>
  <si>
    <t>rating, twelve have issued a buy rating and one has given a strong buy rating to the stock. The stock presently has a consensus rating of “Buy” and a consensus target price of $124.65.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</si>
  <si>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Highstreet Asset Management Inc. Boosts Stake in PepsiCo, Inc. (NASDAQ:PEP)</t>
  </si>
  <si>
    <t>of $124.65.
PepsiCo Company Profile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</si>
  <si>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PepsiCo, Inc. (NASDAQ:PEP) Shares Sold by Linscomb &amp; Williams Inc.</t>
  </si>
  <si>
    <t>is currently 67.49%.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
See Also: Resistance Level Receive News &amp; Ratings for PepsiCo Daily - Enter your email address below to receive a concise daily summary of the latest news and analysts' ratings for PepsiCo and related companies with MarketBeat.com's FREE daily email newsletter .</t>
  </si>
  <si>
    <t>PepsiCo, Inc. (NASDAQ:PEP) Shares Sold by Foyston Gordon &amp; Payne Inc</t>
  </si>
  <si>
    <t>and one has assigned a strong buy rating to the company. PepsiCo presently has an average rating of “Buy” and a consensus price target of $124.65.
About PepsiCo
PepsiCo, Inc operates as a food and beverage company worldwide. The company's Frito-Lay North America segment offers branded dips; Cheetos cheese-flavored snacks; and Doritos tortilla, Fritos corn, Lay's potato, Ruffles potato, and Tostitos tortilla chips. Its Quaker Foods North America segment provides cereals, rice, pasta, mixes and syrups, granola bars, grits, oat squares, oatmeal, rice cakes, simply granola, and side dishes under the Aunt Jemima, Cap'n crunch, Life, Quaker Chewy, Quaker, and Rice-A-Roni brands.</t>
  </si>
  <si>
    <t>22.06.2019 20:44</t>
  </si>
  <si>
    <t>Him</t>
  </si>
  <si>
    <t>@Faze_Gandalf DORITOS!!!!~♡</t>
  </si>
  <si>
    <t>CocoBeary</t>
  </si>
  <si>
    <t>22.06.2019 20:39</t>
  </si>
  <si>
    <t>@Doritos y’all wrong for this. I open the bag and this is what I got?! Is this the struggle size? You should be ashamed.</t>
  </si>
  <si>
    <t>Milk&amp;Cookies_4F</t>
  </si>
  <si>
    <t>22.06.2019 20:40</t>
  </si>
  <si>
    <t>QUERO!!! #SpiderMan #SpiderManFarFromHome
It’s a @Doritos bag that turns into a Spider-Man suit? We’re truly living in the future. http://www.IncognitoDoritos.com</t>
  </si>
  <si>
    <t>Gabriel (Biel) Lex</t>
  </si>
  <si>
    <t>If @Doritos made a bag of cool ranch powder and sold it I'd buy a lot of it. Only issue is I'm not going to pay 75¢ for a bag of air and hope there's a miligram of powder in there.</t>
  </si>
  <si>
    <t>First Last</t>
  </si>
  <si>
    <t>22.06.2019 20:38</t>
  </si>
  <si>
    <t>I'm sorry, I couldnt hear you over the doritos in your mouth.
@HaraldMagnusson I’d rather be an engaged mother than some sad incel who has to pretend to Twitter that he has a family and is successful. Don’t you know how sad and pathetic you look right now?</t>
  </si>
  <si>
    <t>Harald Magnusson</t>
  </si>
  <si>
    <t>mista fuckers be like he's disgusting and smells like doritos and shame *licks his armpit and dick sweat*</t>
  </si>
  <si>
    <t>binch @ zimzalabim</t>
  </si>
  <si>
    <t>22.06.2019 20:37</t>
  </si>
  <si>
    <t>Bring back baked Doritos @LAYS</t>
  </si>
  <si>
    <t>Bob-o</t>
  </si>
  <si>
    <t>Cambio Doritos por nudes</t>
  </si>
  <si>
    <t>Skizoidberg</t>
  </si>
  <si>
    <t>22.06.2019 20:36</t>
  </si>
  <si>
    <t>@JGunlock @AllisonDevitre Doritos are food, dammit.</t>
  </si>
  <si>
    <t>Libertarian Norm</t>
  </si>
  <si>
    <t>22.06.2019 20:33</t>
  </si>
  <si>
    <t>Kids will never know how fire it was to put hot sauce in your Doritos</t>
  </si>
  <si>
    <t>STAR</t>
  </si>
  <si>
    <t>This hotel has a secret treat yourself room. Too bad I can’t eat any of it. #keto #freejunkfood #awesomeformunchies #donthavemunchies #professionalupinhere
@naomimatlow</t>
  </si>
  <si>
    <t>Teresa Lotz</t>
  </si>
  <si>
    <t>furniture,shelving</t>
  </si>
  <si>
    <t>home,living room,room,interior design</t>
  </si>
  <si>
    <t>Walking taco. 
#walkingtaco #doritos #coolranch #queso #groundturkey #groundbeef #dicedtomatoes #shreddedlettuce</t>
  </si>
  <si>
    <t>Lou Eats Food</t>
  </si>
  <si>
    <t>Hartford</t>
  </si>
  <si>
    <t>This is for them.. 
#mazda
#rx7
#fd3s
#rx7fd3s
#13b
#singleturbo 
#international 
#rotary 
#rotaryengine 
#efini
#doritos 
#triangles 
#triangles 
#triangles 
#bountyhunter 
#revanant
#japan
#jdm
#jdmcars
#jdmlegends 
#jdmlifestyle 
#darling</t>
  </si>
  <si>
    <t>Austin S</t>
  </si>
  <si>
    <t>windshield</t>
  </si>
  <si>
    <t>22.06.2019 20:29</t>
  </si>
  <si>
    <t>Bryce Friedman</t>
  </si>
  <si>
    <t>There’s a special place in hell for people who eat the plain nacho cheese Doritos</t>
  </si>
  <si>
    <t>sQUAD♦️♦️</t>
  </si>
  <si>
    <t>20:28</t>
  </si>
  <si>
    <t>Being the best me on a Saturday? But really doh, it’s that time of the month and I feel like shit so I’m going to potato  BUT LOOK AT MY PINK BUNNY COLLECTION
#dva #dvacosplay #dvaoverwatch #hanasong #blizzard #uniqlo #cooky</t>
  </si>
  <si>
    <t>Amy Deng</t>
  </si>
  <si>
    <t>‘ 
this is so me tbh
-
-
-
-
{}date-6/22/19
{}time-8:26
{}follower count-782
{}ily all
-
-
-
-
tags  
#nichememes #nichememeaccounts #nichememefonts #nichememeaccount</t>
  </si>
  <si>
    <t>20:27</t>
  </si>
  <si>
    <t>22.06.2019 20:27</t>
  </si>
  <si>
    <t>Lmfaoooo this man Ant said why they smell like fish and Doritos</t>
  </si>
  <si>
    <t>Que ☁️</t>
  </si>
  <si>
    <t>Гринсборо</t>
  </si>
  <si>
    <t>22.06.2019 20:32</t>
  </si>
  <si>
    <t>English and Spanish
Instagram:@the_doritos_of_the_bts ☀
Twitter:@the_doritos_bts☀
#bts # k-pop #yoongi</t>
  </si>
  <si>
    <t>Пало-Альто</t>
  </si>
  <si>
    <t>22.06.2019 20:28</t>
  </si>
  <si>
    <t>@Wario_Ware_gold @princessikawaii Do you one better...
WHERE DID YOU PUT MY MOUNTAIN DEW AND DORITOS</t>
  </si>
  <si>
    <t>James rosenthal</t>
  </si>
  <si>
    <t>Who else had a super busy day?
Outside of meals, I'm only just getting to sit down today now. It feels good to be busy though. Lots of garden work, walks and household chores were tackled today.
We did our weekly grocery run. Though we didn't need much, a few things were out of stock. It means a bit of shuffling around with our meal plan but that's okay. All of this cost us $45.81 which is well within our $100 weekly budget.
#groceryhaul #groceries #food #budget #weekendplans #weekend #life #Saturday #northernontario</t>
  </si>
  <si>
    <t>How am I preparing for my upcoming fight with a psychopathic 150kg monster</t>
  </si>
  <si>
    <t>Re: How am I preparing for my upcoming fight with a psychopathic 150kg monster Okay FatboyHere the plan Put ghost pepper sauce in the dorito bag and grip your zipper. when the 150kg monnser approaches6, whip out yer dick. While he lookin at that tiny thing in amazement, thro the doritos (followed by Coke)his eye, and chunk him over the head with the controller.Full of WIN!!! Dude when u take the time outfrom being a massive cokskrget a life</t>
  </si>
  <si>
    <t>godlikeproductions.com</t>
  </si>
  <si>
    <t>Godlike Productions - General Discussion</t>
  </si>
  <si>
    <t>cheez it crusted chicken</t>
  </si>
  <si>
    <t>it chicken recipe .
cheez it macaroni and cheese .
dorito chicken tenders spend with pennies .
cheez it crusted bacon stuffed jalapeno poppers no spoon necessary .
oven fried chicken with a corn flake crust recipe epicurious com .
doritos air fryer chicken tenders kitchen fun with my 3 sons .
parmesan crusted chicken what s in the pan .
cheesy ranch chicken drumsticks yellow bliss road .
baked parmesan crusted chicken kitchme .
cheez it fiesta baked chicken who needs a cape .
cheez doodle wise snacks .
1 minute cheez its crusted chicken youtube</t>
  </si>
  <si>
    <t>22.06.2019 20:23</t>
  </si>
  <si>
    <t>Easier to snag a dorito from across the room. #IncognitoDoritos #Entry
Want to score this Limited-Edition Doritos Spidey Suit? Tell us what super power Doritos gives you using #IncognitoDoritos #Entry for the chance to win! Rules @ https://bit.ly/2MXEpdc Be sure to check out #SpiderManFarFromHome, in theaters July 2!</t>
  </si>
  <si>
    <t>Thomas L</t>
  </si>
  <si>
    <t>Doritos and david dobrik vlogs best fuckin thing ever</t>
  </si>
  <si>
    <t>BlLûshï</t>
  </si>
  <si>
    <t>Madre me trajo doritos. ❤</t>
  </si>
  <si>
    <t>Paula</t>
  </si>
  <si>
    <t>Laguna Larga</t>
  </si>
  <si>
    <t>22.06.2019 20:21</t>
  </si>
  <si>
    <t>I wish I had taken my career focus towards scouting or FO in NFL. I feel I’m rather good at it, and usually right!  I just bragged!!!!!   
Im just gonna eat Doritos now</t>
  </si>
  <si>
    <t>Tuggernut</t>
  </si>
  <si>
    <t>22.06.2019 20:24</t>
  </si>
  <si>
    <t>Bradley M Thomas</t>
  </si>
  <si>
    <t>Lebanon</t>
  </si>
  <si>
    <t>22.06.2019 20:20</t>
  </si>
  <si>
    <t>my nephew survives purely off pizza and cool ranch doritos
he has the diet of a college student</t>
  </si>
  <si>
    <t>allie ☕♡</t>
  </si>
  <si>
    <t>22.06.2019 20:22</t>
  </si>
  <si>
    <t>aco</t>
  </si>
  <si>
    <t>@Doritos Doritos gives me the power to understand  Doritos are a National Treasure. #Entry #IncognitoDoritos</t>
  </si>
  <si>
    <t>Gabriel Correa</t>
  </si>
  <si>
    <t>MC BRASS - Mountain Dew and Doritos</t>
  </si>
  <si>
    <t>MC BRASS - Mountain Dew and Doritos
Recorded on June 2019
Album - "Just a Shitty Mixtape</t>
  </si>
  <si>
    <t>MC BRASS</t>
  </si>
  <si>
    <t>22.06.2019 20:19</t>
  </si>
  <si>
    <t>This is for them..
#mazda
#rx7fd3s 
#rx7
#international 
#jdm
#bountyhunter 
#efini
#RE
#doritos 
#triangles 
#rotary
#rotaryengine 
#japan
#darling 
#initiald 
#kyoko 
#jdmcars
#jdmlegends 
#jdmlifestyle</t>
  </si>
  <si>
    <t>I asked my sister what food is gonna be at my nephew's birthday party and she just said "uhh... cool ranch doritos" ASKCIFJFNF</t>
  </si>
  <si>
    <t>22.06.2019 20:18</t>
  </si>
  <si>
    <t>My super power from Doritos is the power to run for miles after eating them. #IncognitoDoritos #Entry
Want to score this Limited-Edition Doritos Spidey Suit? Tell us what super power Doritos gives you using #IncognitoDoritos #Entry for the chance to win! Rules @ https://bit.ly/2MXEpdc Be sure to check out #SpiderManFarFromHome, in theaters July 2!</t>
  </si>
  <si>
    <t>Andrea Chandler</t>
  </si>
  <si>
    <t>Lutz</t>
  </si>
  <si>
    <t>Also grapes and Doritos. Gotta get em all their food groups after all.</t>
  </si>
  <si>
    <t>Ryan Davidson</t>
  </si>
  <si>
    <t>22.06.2019 20:26</t>
  </si>
  <si>
    <t>I ❤️grilling season! I had a brat for 9sp, cool ranch Doritos for 5sp, a brat bun for 5sp, and a corn tomato and avocado salad for 3sp. Thank goodness for weeklies!
#pointslife #wwwifey #wwmama #wwmidwest #wwcommunity #wwmichigan #wwsisterhood #wwfreestyle #wellnessthatworks #smartpoints #ww</t>
  </si>
  <si>
    <t>S A R A H</t>
  </si>
  <si>
    <t>sandwich,meal,junk food,fast food,food</t>
  </si>
  <si>
    <t>20:11</t>
  </si>
  <si>
    <t>23.06.2019 06:48</t>
  </si>
  <si>
    <t>This is why m4a1 is better than ak47</t>
  </si>
  <si>
    <t>This is why m4a1 is better than ak47
Pro gamer :3
#forwardassault #fps #criticalops #mlg #cs #standoff #standoff2 #mobile</t>
  </si>
  <si>
    <t>MlgGod 420</t>
  </si>
  <si>
    <t>jt</t>
  </si>
  <si>
    <t>22.06.2019 20:16</t>
  </si>
  <si>
    <t>@chaengsz comer doritos e bater punhetKKJKKJJ so vc msm</t>
  </si>
  <si>
    <t>Israeru^€hanm</t>
  </si>
  <si>
    <t>22.06.2019 20:10</t>
  </si>
  <si>
    <t>#Doritos gives me the power to eat more Doritos! One bag just ain’t enough! #IncognitoDoritos #Entry
Want to score this Limited-Edition Doritos Spidey Suit? Tell us what super power Doritos gives you using #IncognitoDoritos #Entry for the chance to win! Rules @ https://bit.ly/2MXEpdc Be sure to check out #SpiderManFarFromHome, in theaters July 2!</t>
  </si>
  <si>
    <t>Nicollect ⚖️</t>
  </si>
  <si>
    <t>Канзас-Сити</t>
  </si>
  <si>
    <t>22.06.2019 20:09</t>
  </si>
  <si>
    <t>Doritos give me the power to shoot cheese webs and cure world hunger #incognitodoritos #entry</t>
  </si>
  <si>
    <t>Alex Roy</t>
  </si>
  <si>
    <t>22.06.2019 20:07</t>
  </si>
  <si>
    <t>we live in a world where 4lokos and rockstar energy are still around but pink mountain dew and guacamole doritos aren't. wtf jesus i thought you loved me</t>
  </si>
  <si>
    <t>mr. big ⚪⚫</t>
  </si>
  <si>
    <t>Pell City</t>
  </si>
  <si>
    <t>amazing
@poptartsus @oreo @doritos @lays</t>
  </si>
  <si>
    <t>enjoy</t>
  </si>
  <si>
    <t>What a butt. Exposing my hat hair  #bohdragon #kidsofinstagram #singlemomlife</t>
  </si>
  <si>
    <t>Monique Renaud</t>
  </si>
  <si>
    <t>Lindsay</t>
  </si>
  <si>
    <t>tree,plant</t>
  </si>
  <si>
    <t>Playing Halo for the first time and I feel like I should have mountain dew and doritos</t>
  </si>
  <si>
    <t>Frying Pansexual</t>
  </si>
  <si>
    <t>Остров Херд и острова Макдональд</t>
  </si>
  <si>
    <t>@Doritos I become either The Devourer, Expanding Man, or both. #IncognitoDoritos #Entry</t>
  </si>
  <si>
    <t>Chaz</t>
  </si>
  <si>
    <t>22.06.2019 20:04</t>
  </si>
  <si>
    <t>Yes, too bad...Doctor Jones...you could warn them if only you didn’t buy those Doritos</t>
  </si>
  <si>
    <t>Boss Nass X</t>
  </si>
  <si>
    <t>Doritos
Burritos</t>
  </si>
  <si>
    <t>x x</t>
  </si>
  <si>
    <t>table,furniture</t>
  </si>
  <si>
    <t>22.06.2019 20:13</t>
  </si>
  <si>
    <t>@NerannG @0_Doflamingo_0 @vicllrd @alass93 @imane_gueth Oue t’as rien raté en vrai on a mangé des Doritos</t>
  </si>
  <si>
    <t>Nouvel Homme</t>
  </si>
  <si>
    <t>Saint-Denis</t>
  </si>
  <si>
    <t>22.06.2019 20:02</t>
  </si>
  <si>
    <t>Tim: Finally, a peaceful song that won't cause controversy. Wayne: Did someone say controversy?! *Punches Tim*</t>
  </si>
  <si>
    <t>the dark*
Deer: *Runs into the road*
Pony: *Brakes, but hits the deer*
---
Tim: *With Captain Jefferson in his office* We can't just ignore this. Something has to be done.
---
Stallion 55: *Standing by his '67 El Camino* I'm giving away doritos for $6 a bag, mountain dew for $5 a bottle, and the Smoke Weed Everyday album for free!
Tim: Is he serious?
Julia: I sure hope not.
---
Julia: *Chasing a pony driving a black Jaguar in the night*
Intro
Song: link
Julia: *Driving her police car on the round freeway*
Tim: *Sitting next to her*
Gran Turismo</t>
  </si>
  <si>
    <t>Fanpop</t>
  </si>
  <si>
    <t>fanpop.com</t>
  </si>
  <si>
    <t>22.06.2019 20:08</t>
  </si>
  <si>
    <t>Queen OfPop AndDance</t>
  </si>
  <si>
    <t>Frito-Lay Cheesy Mix Variety Pack, 40 Count - Your Daily Giveaway - 24 Hour Giveaway Each Day</t>
  </si>
  <si>
    <t>Prev Article
Enter to win today’s 24-hour giveaway.
When you win this giveaway you will get 40 individual bags of this extra cheesy variety mix. The flavors you will get are: (8) Doritos Nacho Cheese Flavored Tortilla Chips, (8) Cheetos Crunchy, (8) Cheetos Puffs, (6) SunChips Harvest Cheddar, (6) Lays Cheddar &amp; Sour Cream, and (4) Munchies Snack Mix Cheese Fix
The winner will be drawn at the end of the giveaway and posted to the Winners Page OTHER GIVEAWAYS STILL OPEN!</t>
  </si>
  <si>
    <t>yourdailygiveaway.com</t>
  </si>
  <si>
    <t>Escolha sabores de sorvete bizarros e vamos adivinhar seu status de relacionamento</t>
  </si>
  <si>
    <t>:
Sorvete de canja de galinha Correct Incorrect Sorvete de canja de galinha
Sorvete de sushi Correct Incorrect Sorvete de sushi
Escolha um sabor de sorvete estranho:
Sorvete de pipoca Correct Incorrect Sorvete de pipoca
Sorvete de Doritos Correct Incorrect Sorvete de Doritos
Escolha um sabor de sorvete estranho:
Sorvete de abacate Correct Incorrect Sorvete de abacate
Sorvete de milho doce Correct Incorrect Sorvete de milho doce
Sabia que você pode se inscrever para ter uma conta no BuzzFeed Community e criar seus próprios posts no BuzzFeed? Aqui</t>
  </si>
  <si>
    <t>sports.yahoo.com</t>
  </si>
  <si>
    <t>buzzfeed.com</t>
  </si>
  <si>
    <t>24.06.2019 04:56</t>
  </si>
  <si>
    <t>Target Deals &amp; Coupon Matchups 06/23-06/29</t>
  </si>
  <si>
    <t>Lemonade Mix, 18 - 19 oz - $2.00 Dasani Water, 24 pk - $3.99 Doritos, 9.25 - 11.25 oz - $2.50 Dunkin Donuts Coffee, 11 - 12 oz - $5.99 $2/2 Dunkin' Donuts Coffee Products, exp. 7/30/19 (RMN 05/19/19) [Excludes dunkin' donuts cold brew]
Final Price: $4.99 each wyb 2 Frito-Lay Party Size Chips, Popcorn, or Salsa - $4.50 Gatorade, 12 pk - $6.29 General Mills Cereal, 10.7 - 12 oz - $1.99 Save $1.00 when you buy THREE BOXES any flavor General Mills cereal listed: Cheerios™ ? Cinnamon Toast Crunch™...
$1/2 General Mills Cereals Chex, Fiber One, Multi</t>
  </si>
  <si>
    <t>Elizabeth Ciesla</t>
  </si>
  <si>
    <t>22.06.2019 20:01</t>
  </si>
  <si>
    <t>@Doritos give me the power to keep on using Twitter even though I don’t use it that often #IncognitoDoritos #Entry</t>
  </si>
  <si>
    <t>Martin Vargas</t>
  </si>
  <si>
    <t>22.06.2019 20:00</t>
  </si>
  <si>
    <t>22.06.2019 19:59</t>
  </si>
  <si>
    <t>Doritos radioactivos Spiderman</t>
  </si>
  <si>
    <t>Gab</t>
  </si>
  <si>
    <t>22.06.2019 19:58</t>
  </si>
  <si>
    <t>VeroGzz</t>
  </si>
  <si>
    <t>23.06.2019 06:46</t>
  </si>
  <si>
    <t>Visit K's Lemonade stand! For food &amp; drinks on a hot summer day! Between the hours of 2-5pm!  S-S #lemonade #drinks #chips #cookies #kids #fun</t>
  </si>
  <si>
    <t>Doritos cake! #thecupcakegal #doritos #wiltonfondant #edibleimage #cakesofinstagram</t>
  </si>
  <si>
    <t>Lauren Gallagher</t>
  </si>
  <si>
    <t>22.06.2019 19:57</t>
  </si>
  <si>
    <t>Watermelon and a sandwich with Doritos in it &gt;&gt;&gt;&gt;
Unpopular opinion: watermelon be smacking right out the pool</t>
  </si>
  <si>
    <t>✨</t>
  </si>
  <si>
    <t>Inglewood</t>
  </si>
  <si>
    <t>Unas ganas de q venga a dormir y comprar doritos papitas y coca</t>
  </si>
  <si>
    <t>Thom</t>
  </si>
  <si>
    <t>Firmat</t>
  </si>
  <si>
    <t>Stranger Things - This Is Halloween</t>
  </si>
  <si>
    <t>Stranger Things - This Is Halloween
Yes, i too, like a big fat hippo, am hungrily awaiting season 3 of Stranger Things, but i guess this will have to make do for now. Oh JeEz WeRE DiD I lEaVE mY DoriTOS!?!?</t>
  </si>
  <si>
    <t>HOSBOND.</t>
  </si>
  <si>
    <t>22.06.2019 19:54</t>
  </si>
  <si>
    <t>まさおくん</t>
  </si>
  <si>
    <t>22.06.2019 19:56</t>
  </si>
  <si>
    <t>@Quasarheard I like how the genes are green (Mountain Dew) and orange (Doritos). Very subtle</t>
  </si>
  <si>
    <t>KebabBub</t>
  </si>
  <si>
    <t>Some one pay me for this shit. @doritos #ineedmoney #caliconachos #foodporn #chefboiRgee #nofilter</t>
  </si>
  <si>
    <t>Derek Gee</t>
  </si>
  <si>
    <t>salad,pizza,vegetable,cookware and bakeware,food</t>
  </si>
  <si>
    <t>Taco Supreme - Doritos Archaeologist [Episode 8]</t>
  </si>
  <si>
    <t>Taco Supreme - Doritos Archaeologist [Episode 8]
Episode 8 of the Doritos Archaeologist
I had to reupload this Episode due to some really bad editing errors.
Original Upload date : June 20, 2019
Sorry for the lack of information in this video I couldn't find a lot of info on this Doritos Flavor.
____________________________________________________________
The Internet Guide (C) 2019
Doritos Archaeologist (C) 2019
Season 1
Episode 8</t>
  </si>
  <si>
    <t>The Internet Guide</t>
  </si>
  <si>
    <t>22.06.2019 19:53</t>
  </si>
  <si>
    <t>I want it lol
#Doritos gives me the power to eat more Doritos! One bag just ain’t enough! #IncognitoDoritos #Entry</t>
  </si>
  <si>
    <t>Destry Lee Arender</t>
  </si>
  <si>
    <t>Saturn</t>
  </si>
  <si>
    <t>22.06.2019 19:50</t>
  </si>
  <si>
    <t>ComicsAreMyDrug-Eddie T.</t>
  </si>
  <si>
    <t>Gladstone</t>
  </si>
  <si>
    <t>22.06.2019 19:47</t>
  </si>
  <si>
    <t>@_ssailorlua @softkardia se for doritos sweet chili to colando</t>
  </si>
  <si>
    <t>guilherme</t>
  </si>
  <si>
    <t>Emily Schutrop</t>
  </si>
  <si>
    <t>22.06.2019 19:48</t>
  </si>
  <si>
    <t>I see Spider-Man on the Doritos packaging and now I want to eat them. I am a fucking idiot.</t>
  </si>
  <si>
    <t>22.06.2019 19:51</t>
  </si>
  <si>
    <t>Breecher</t>
  </si>
  <si>
    <t>Big Stick No. 141</t>
  </si>
  <si>
    <t>22.06.2019 19:46</t>
  </si>
  <si>
    <t>Helps make a long shift at work pass quickly! #IncognitoDoritos
Want to score this Limited-Edition Doritos Spidey Suit? Tell us what super power Doritos gives you using #IncognitoDoritos #Entry for the chance to win! Rules @ https://bit.ly/2MXEpdc Be sure to check out #SpiderManFarFromHome, in theaters July 2!</t>
  </si>
  <si>
    <t>jase is currently Far From Home</t>
  </si>
  <si>
    <t>•Butter Snap Pretzels w/ Cream Cheese
•Lays Barbecue w/ Lays Ranch Dip
•Spicy Nacho Doritos w/ Chocoalte Pudding 
•white Cheddar Popcorn w/ Hot fries</t>
  </si>
  <si>
    <t>s.♡</t>
  </si>
  <si>
    <t>Pokemon Emerald Randomizer Nuzlocke, Episode 37: Mechadoll Madness</t>
  </si>
  <si>
    <t>to shake things up a bit, I edited my team slightly. TOE DIP now has a healing move, and MYRACLES now has a few moves for type coverage and weakness counters. I evolved VEEBELL and replaced it with DUM LO the Lotad (My now resident Surfer.) I replaced VICTORIA with NATALIE, and she will be serving as my Fire type (experimental). I attempted to bring DORITOS the Nidoran (M) with me, but a unfortunate encounter with a MAGMA Grunt's Fearow using Pursuit when I tried to switch it out, took it down. So DORITOS time in the team was shortlived, and was</t>
  </si>
  <si>
    <t>Her Valiant Angel</t>
  </si>
  <si>
    <t>LankeyMemes</t>
  </si>
  <si>
    <t>22.06.2019 19:49</t>
  </si>
  <si>
    <t>@Doritos @Doritos give me the power to workhard and playhard #IncognitoDoritos</t>
  </si>
  <si>
    <t>Speedway</t>
  </si>
  <si>
    <t>@Doritos wya</t>
  </si>
  <si>
    <t>Connor Noto</t>
  </si>
  <si>
    <t>22.06.2019 19:45</t>
  </si>
  <si>
    <t>LAST TO LEAVE THE GAME ROOM WINS $10,000 CHALLENGE!</t>
  </si>
  <si>
    <t>Next time get noodles and get a lot of backup food  like tons of Doritos and Cheetos and buy chipotle before the challenge as well</t>
  </si>
  <si>
    <t>theflemmings girl</t>
  </si>
  <si>
    <t>its._.ilh</t>
  </si>
  <si>
    <t>22.06.2019 19:43</t>
  </si>
  <si>
    <t>How does Doritos Ranch tastes like?
They don't sell them here and I'm curious xd.</t>
  </si>
  <si>
    <t>Morwald Dediguana FOREVER</t>
  </si>
  <si>
    <t>#Doritos
Ok... And I Thought I Was A Fan Boy</t>
  </si>
  <si>
    <t>Tomato Head</t>
  </si>
  <si>
    <t>Paul start getting pasta and heat it up then get some doritos</t>
  </si>
  <si>
    <t>AlmightyGreenJay Y</t>
  </si>
  <si>
    <t>¿Atrevida como un dorito? ✨⠀
@valerymissteen
@daesphotographer ⠀
.⠀⠀
.⠀⠀
.⠀⠀
.⠀⠀
.⠀⠀
.⠀⠀
.⠀⠀
#fotoretrato #fotografiaretrato #retratofemenino #fotografiaderetrato #portrait #piano #lecheria #puertolacruz
@doritos @doritosvzla @daesphotographer @valerymissteen</t>
  </si>
  <si>
    <t>Daniel Sánchez</t>
  </si>
  <si>
    <t>Lechería</t>
  </si>
  <si>
    <t>22.06.2019 19:41</t>
  </si>
  <si>
    <t>@Doritos I’m nothing without the suit #IncognitoDoritos #Entry</t>
  </si>
  <si>
    <t>22.06.2019 19:40</t>
  </si>
  <si>
    <t>Tbh .. Queso dip made with shrimp too ain’t really worth all the hype and not even with the Doritos ‍♀️</t>
  </si>
  <si>
    <t>Bel</t>
  </si>
  <si>
    <t>Que ganas de comer doritos</t>
  </si>
  <si>
    <t>Biichu✌</t>
  </si>
  <si>
    <t>22.06.2019 19:36</t>
  </si>
  <si>
    <t>@Roclogic @JocyTysmom My Dalmatian did that. And then cried cause he could not get it off. He loved Doritos.</t>
  </si>
  <si>
    <t>ThePhoenixSystem</t>
  </si>
  <si>
    <t>Милуоки</t>
  </si>
  <si>
    <t>22.06.2019 19:37</t>
  </si>
  <si>
    <t>@JamieAkins5 @JocyTysmom No worries I get Doritos crumbs in my eyebrows when I flip the bag over my head</t>
  </si>
  <si>
    <t>Roc</t>
  </si>
  <si>
    <t>22.06.2019 19:38</t>
  </si>
  <si>
    <t>I want ice-cream, cake, oreos, ribs, doritos and cold mango juice.</t>
  </si>
  <si>
    <t>BrokeXpensiveTaste</t>
  </si>
  <si>
    <t>22.06.2019 19:34</t>
  </si>
  <si>
    <t>Jade Phoenix</t>
  </si>
  <si>
    <t>22.06.2019 19:35</t>
  </si>
  <si>
    <t>I’ve decided that my only hobby will be watching YouTube videos and eating Doritos
-
-
-
-
-
-
-
-
-
-
-
-
-
-
-
#explore #explorepage #discover #fun #funnymemes #iconic #lmfao #bored #art #spam #spampage #hashtag #follow4follow #like4like #likeforlike #hmu</t>
  </si>
  <si>
    <t>We All Clowns Bitch</t>
  </si>
  <si>
    <t>TomHolland_España</t>
  </si>
  <si>
    <t>Also, not slacking on the weekend. Oscar the $400 RX8's cool ranch doritos became extra spicy last weekend. Pretty sure one of the side seals decided it didn't want to live anymore. Now to bring it up to the rotary expert @wankelworks for some brappy love! 
#becauseracecar #raceallthethings #ladydriven #mazda #rx8 #rotary #braps #wankelworks</t>
  </si>
  <si>
    <t>Amy Dilks</t>
  </si>
  <si>
    <t>transport</t>
  </si>
  <si>
    <t>@Doritos Doritos give me the power of determination.. to buy more Doritos #IncognitoDoritos #Entry</t>
  </si>
  <si>
    <t>22.06.2019 19:39</t>
  </si>
  <si>
    <t>DON’T DO IT BRO!  @deedotwill @ghinihefner 
#doritos #nachos #overdose</t>
  </si>
  <si>
    <t>Doridotwill</t>
  </si>
  <si>
    <t>Broken Arrow</t>
  </si>
  <si>
    <t>Nicki Minaj Is Legally Married To Boyfriend Kenneth Petty! - by Tiffany Brockworth</t>
  </si>
  <si>
    <t>Onika needs a thug in her life, to bust that fat bitch in the mouth when she gets out of line. That's the kind of home she was raised in. Safaree was much too pussy for that bitch, but she kept him around because the big ass dick was convenient and he probably cooked that whore a load of greasy oxtails and peas and rice, now that the bitch has money she can hire an immigrant to cook that shit for her, and these immigrant whores will cook that shit for her because ice can't get past that bitches security, that hoe can hide in one of Onika's LV Trunk Luggage if they get past the front door. But this hoe needs a thug in her life FA SHO!!! The Dirty Hood Bitch is good with some Hood Dick and a Large back of Original Doritos.</t>
  </si>
  <si>
    <t>TheReal_2BYTCHY</t>
  </si>
  <si>
    <t>22.06.2019 19:32</t>
  </si>
  <si>
    <t>@FFabioFries Doritos I put mine in hot Cheetos</t>
  </si>
  <si>
    <t>Prda</t>
  </si>
  <si>
    <t>22.06.2019 19:30</t>
  </si>
  <si>
    <t>@sofi_maure_ Doritos pride ahre</t>
  </si>
  <si>
    <t>╔[YoHai]╗</t>
  </si>
  <si>
    <t>22.06.2019 19:27</t>
  </si>
  <si>
    <t>Claudine Bayma</t>
  </si>
  <si>
    <t>Tyiesha Miller ❤♈</t>
  </si>
  <si>
    <t>からめる</t>
  </si>
  <si>
    <t>nigga smell like a mexican bitch breath
Bruh I smell like spicy sweet chilli Doritos</t>
  </si>
  <si>
    <t>aaron  marxs</t>
  </si>
  <si>
    <t>22.06.2019 19:29</t>
  </si>
  <si>
    <t>@PinkCBJ playing doritos crash course on the 360</t>
  </si>
  <si>
    <t>BliXXifyFN</t>
  </si>
  <si>
    <t>Москва</t>
  </si>
  <si>
    <t>район Филёвский Парк</t>
  </si>
  <si>
    <t>Que cosa adictiva los doritos</t>
  </si>
  <si>
    <t>Yasmin</t>
  </si>
  <si>
    <t>22.06.2019 19:26</t>
  </si>
  <si>
    <t>My mind likes to randomly flashback to the time I was shopping for prom dresses and the lady was like “haha too many doritos” when a dress didn’t zip up all the way</t>
  </si>
  <si>
    <t>natalie</t>
  </si>
  <si>
    <t>Модесто</t>
  </si>
  <si>
    <t>As with the @warvan20b #20b manifold I have also been working with @mannzrotary on a sister #13b #semipp manifold upper and lower to #3dprint and #investmentcast. 
Development work is ongoing and are hoping to have a final cast #prototype in the coming months.
#13b #mazda #rx7 #rx8 #turbo #doritos</t>
  </si>
  <si>
    <t>Volumetric Design NZ</t>
  </si>
  <si>
    <t>Waikato</t>
  </si>
  <si>
    <t>Гамильтон</t>
  </si>
  <si>
    <t>22.06.2019 19:25</t>
  </si>
  <si>
    <t>Cinépolis: paquete grande de nuevas Palomitas Doritos Nachos por $29 con tarjeta Club Cinépolis
http://bit.ly/2XnLibW</t>
  </si>
  <si>
    <t>miaucito... prrr</t>
  </si>
  <si>
    <t>Justine.</t>
  </si>
  <si>
    <t>inês</t>
  </si>
  <si>
    <t>22.06.2019 19:23</t>
  </si>
  <si>
    <t>PostiND</t>
  </si>
  <si>
    <t>XI Айсен-дель-Хенераль-Карлос-Ибаньес-дель-Кампо</t>
  </si>
  <si>
    <t>Chile Chico</t>
  </si>
  <si>
    <t>22.06.2019 19:24</t>
  </si>
  <si>
    <t>Chasing sunsets again in a beautiful park here in Jundiaì after a picnic, where there was wild monkeys  that we fed ‍♀️ who knew they would like Doritos too lol  a very happy Japanese garden and just a stunning orange glaze across the sky...it really is the simple things in life that can make you happy ☺️ #crisps #orangefanta #allthewondering #feedingmonkeys #naughty #peaceful #tranquila #sunsets #orangesky #nature #happymoments #allthesmiles #happinessinthesimplethings #priceless</t>
  </si>
  <si>
    <t>Kathy Maynard</t>
  </si>
  <si>
    <t>Жундиаи</t>
  </si>
  <si>
    <t>sun</t>
  </si>
  <si>
    <t>ecoregion,landscape,grassland,lake,nature,ocean,river,dusk,field,afterglow,reflection,cloud,dawn,water,sunrise,sunset,horizon,sky,beach</t>
  </si>
  <si>
    <t>22.06.2019 19:21</t>
  </si>
  <si>
    <t>@LisaJoyPeterson @Doritos @rachelseneff Free @Doritos for life.</t>
  </si>
  <si>
    <t>Page Mackenzie</t>
  </si>
  <si>
    <t>Чарльстон</t>
  </si>
  <si>
    <t>22.06.2019 19:20</t>
  </si>
  <si>
    <t>an actual iCarly account in 2018</t>
  </si>
  <si>
    <t>22.06.2019 19:22</t>
  </si>
  <si>
    <t>Alex Gonzalez</t>
  </si>
  <si>
    <t>MMmmm
https://www.whiskeyriff.com/2018/07/25/i-see-your-fried-pickle-lays-i-raise-you-intense-pickle-doritos/
I See Your Fried Pickle Lays &amp; I Raise You Intense Pickle Doritos
The most entertaining country site ever.</t>
  </si>
  <si>
    <t>Heck Yeah I'm A Country Girl</t>
  </si>
  <si>
    <t>Legal weed is a growing danger to dogs</t>
  </si>
  <si>
    <t>, joked about what he used to tell pet owners: “We’re gonna take your dog in, we’re gonna put him in a quiet room. We’re gonna play some Led Zeppelin for him and give him some Doritos, and you can pick him up in the morning.”
How Much Does Treating Your Dog Cost?
While my own vet bill put us out $300, veterinarian John de Jong, president of the American Veterinary Medical Association, said interventions like bloodwork and IV fluids could cost up to $1,000.
What About Cats?
It seems to be rarer for cats to ingest marijuana. Black said she has seen</t>
  </si>
  <si>
    <t>salon.com</t>
  </si>
  <si>
    <t>23.06.2019 02:31</t>
  </si>
  <si>
    <t>These will change your life.
https://www.whiskeyriff.com/2018/07/25/i-see-your-fried-pickle-lays-i-raise-you-intense-pickle-doritos/
I See Your Fried Pickle Lays &amp; I Raise You Intense Pickle Doritos
The most entertaining country site ever.</t>
  </si>
  <si>
    <t>Whiskey Riff</t>
  </si>
  <si>
    <t>polla sabor doritos tex-mex</t>
  </si>
  <si>
    <t>genitalesabores_bot</t>
  </si>
  <si>
    <t>Buddy 
One is the official comic while the other is a fucking promotional Doritos commercial
Idiot.
Imagine telling someone in the 90s that within 30 yrs Spider-Man is going to go from
doing stuff like                       to doing           
            this:                                  this:</t>
  </si>
  <si>
    <t>Mo Alshaif</t>
  </si>
  <si>
    <t>Wanna</t>
  </si>
  <si>
    <t>It’s Monkey’s - time! 
#monkeys #fastfood #hotspot #halal #cokezero #bismillah #foodspot #hamburger #patatoes #mamoet #sauce #doritos #lettuce #visitantwerp #visitbelgium
@antwerp @cocacolabelgium @foodantwerp @monkeys_antwerpen @we.need.potatoes @visit_antwerp @foodiefeelingz @halalspots.nl</t>
  </si>
  <si>
    <t>Life By San</t>
  </si>
  <si>
    <t>Deurne</t>
  </si>
  <si>
    <t>meal,vegetable,appetizer,fast food,fried food,junk food,food</t>
  </si>
  <si>
    <t>22.06.2019 19:18</t>
  </si>
  <si>
    <t>Why are Doritos so bad for me? They’re CORN!!</t>
  </si>
  <si>
    <t>campfireburning</t>
  </si>
  <si>
    <t>22.06.2019 19:15</t>
  </si>
  <si>
    <t>I ordered @tacobell for pick up and this is what I got!! Not only did they forget my Cinnabon 4 pack and Doritos tacos, the tacos I got were missing the toppings! So annoyed I didn’t realize until I got home</t>
  </si>
  <si>
    <t>22.06.2019 19:16</t>
  </si>
  <si>
    <t>@Doritos I have been losing weight this month by only eating 2 shakes a day a no other bad food for dinner. When I win this suit, I will send a video of me putting it on my body while eating my first Dorito! Even on my diet!</t>
  </si>
  <si>
    <t>Ronald Bryan Rooney</t>
  </si>
  <si>
    <t>108. i put my dick in a bag of doritos</t>
  </si>
  <si>
    <t>niamh</t>
  </si>
  <si>
    <t>Academy</t>
  </si>
  <si>
    <t>22.06.2019 19:17</t>
  </si>
  <si>
    <t>@Doritos every time I eat Doritos, it gives me the power to be better at gaming #IncognitoDoritos #Entry</t>
  </si>
  <si>
    <t>Big Ounce</t>
  </si>
  <si>
    <t>he is a man made exclusively out of triangles. triangle head triangle body. he is a doritos brand tortilla chip.
“HE BROAD” -@littolyoongslix , 2019</t>
  </si>
  <si>
    <t>haley ️ preorders OPEN worldwide!</t>
  </si>
  <si>
    <t>visual arts,painting,portrait,artwork,art</t>
  </si>
  <si>
    <t>22.06.2019 19:14</t>
  </si>
  <si>
    <t>Man Sony marketing is something else
Want to score this Limited-Edition Doritos Spidey Suit? Tell us what super power Doritos gives you using #IncognitoDoritos #Entry for the chance to win! Rules @ https://bit.ly/2MXEpdc Be sure to check out #SpiderManFarFromHome, in theaters July 2!</t>
  </si>
  <si>
    <t>boricuamarzo</t>
  </si>
  <si>
    <t>22.06.2019 19:12</t>
  </si>
  <si>
    <t>@Shaylashanaee37 Soooooooo the cashier ain't gone say shit. Just gone act like mfs ain't fucking near the doritos..... smh</t>
  </si>
  <si>
    <t>Bigboi803</t>
  </si>
  <si>
    <t>Chester</t>
  </si>
  <si>
    <t>How many times will you procrastinate about getting in shape , living a healthy lifestyle ⁉️The time is now My Friend .Join me and I can get you feeling good . Life feels great when you exercise and I want to share that with you too . If not then stay home eating Doritos  #INSPIRE #MOTIVATE #LOVEYOURSELF ❤️</t>
  </si>
  <si>
    <t>Alex Enriquez</t>
  </si>
  <si>
    <t>22.06.2019 19:10</t>
  </si>
  <si>
    <t>Miss Vyron ️‍</t>
  </si>
  <si>
    <t>22.06.2019 19:09</t>
  </si>
  <si>
    <t>Me: Leaves a sealed pack of Doritos in the car
Christopher : Lemme look to open this boy</t>
  </si>
  <si>
    <t>N3V3Rm1Nd</t>
  </si>
  <si>
    <t>Trinidad and Tobago</t>
  </si>
  <si>
    <t>22.06.2019 22:06</t>
  </si>
  <si>
    <t>Do you dip your Doritos?
https://www.facebook.com/wouldyoutryit/videos/1349816571765523/
Would You Try It?
Would YOU Try It?? Do you dip Doritos?
Follow us here for more: Would You Try It?</t>
  </si>
  <si>
    <t>Butter with a Side of Bread</t>
  </si>
  <si>
    <t>whipped cream,comfort food,frozen dessert,ice cream,food</t>
  </si>
  <si>
    <t>19:05</t>
  </si>
  <si>
    <t>22.06.2019 19:11</t>
  </si>
  <si>
    <t>We had a fun picnic of pb&amp;js and doritos today.  #picnic #pbj #familytime</t>
  </si>
  <si>
    <t>Shelby Chane</t>
  </si>
  <si>
    <t>Айдахо</t>
  </si>
  <si>
    <t>Idaho Falls</t>
  </si>
  <si>
    <t>table,food,meal</t>
  </si>
  <si>
    <t>Jason Momoa Aquaman Diet and Workout Plan</t>
  </si>
  <si>
    <t>. First and foremost, he cut all the processed carbs and junk foods out of his diet. You should likewise be prepared to say goodbye to Doritos, donuts, and anything else of that variety. In its place, you should be doing what he did by loading up on veggies and proteins.
At the end of the day, the Jason Momoa Aquaman diet plan boils down to the three things that his personal trainer, Stuart Walton, values the most: nutrition, balance, and enjoyment. To that end, Walton didn’t force a new diet upon the actor as much as he did concentrate on the</t>
  </si>
  <si>
    <t>Jacob Osborn</t>
  </si>
  <si>
    <t>manofmany.com</t>
  </si>
  <si>
    <t>water,vacation,ocean</t>
  </si>
  <si>
    <t>22.06.2019 19:06</t>
  </si>
  <si>
    <t>Once lived a mischievious vampire, who would sneak into unsuspecting homes and eat all of their donuts. But the vampire grew tired of just donuts, and one day decided to try something else. #shinobu looked around and seen a bag of #doritos and decided to try them. They were so...</t>
  </si>
  <si>
    <t>RemiliaScrlt</t>
  </si>
  <si>
    <t>Rightttt .. That’s what I said‼️
My unpopular opinion is that I don’t think shrimp belongs in queso dip, and I definitely don’t want to eat it with Doritos</t>
  </si>
  <si>
    <t>dabuttagawdess ✨</t>
  </si>
  <si>
    <t>22.06.2019 19:04</t>
  </si>
  <si>
    <t>This picture smells like Mountain Dew and Doritos
fuck your feelings. @realDonaldTrump</t>
  </si>
  <si>
    <t>brisia</t>
  </si>
  <si>
    <t>23.06.2019 06:02</t>
  </si>
  <si>
    <t>Everyone has their weaknesses. I'm a sucker for a bag of crisps. I'm not that fussy which! But I love love love crisps and dips, and would happily sit and eat the lot!
However,  tonight I haven't. For some reason this week, I've only eaten what I've wanted, stopped when I don't want any more or feel full! That's huge for me...I usually just eat most things in excess!
#offplan ------------------------------------------------------------------------ #beaccountable #slimmingworld #slimmingworlduk #SW  #healthyeating #weightloss #target #targetmember #goodfood #lifestylenotadiet #foodoptimising #foodblogger
#swfriends #swfamily #swfollowers #slimmingworldfriends #slimmingworldmeals #slimmingworldsupport #slimmingworldfood #slimmingworldfooddiary #slimmingworldjourney #swinsta #swinstauk</t>
  </si>
  <si>
    <t>Andrea</t>
  </si>
  <si>
    <t>22.06.2019 19:03</t>
  </si>
  <si>
    <t>I’m trying to enjoy these Doritos and little Doug has matched me chip for chip smh I’m used to eating whole bags around here</t>
  </si>
  <si>
    <t>Doug Campbell</t>
  </si>
  <si>
    <t>Salisbury</t>
  </si>
  <si>
    <t>Lasts...
1. hot dog
2. doritos
3. my friend
4. “œh”
5. editing acc on ig
6. yesterday
7. sadness
8. my dear friend
9. jojo siwa
10. didnt have one
Reply ‘’ and I'll send u the questions. 
TWEET YOUR ANSWERS.</t>
  </si>
  <si>
    <t>Dragonball Z AND Doritos? Now that's my kind of fart noise
Also the sheet is coming off the bed. Get your fuckin life together.</t>
  </si>
  <si>
    <t>BeeztheBoss</t>
  </si>
  <si>
    <t>@NisaLocally Doritos definitely!</t>
  </si>
  <si>
    <t>@MLBONFOX @Ken_Rosenthal FUCK mad bum..ill trade that mother fucker for a bag of doritos. He isnt worth shit! GTFOH</t>
  </si>
  <si>
    <t>Chris Edge Sports @TheSportsKeg</t>
  </si>
  <si>
    <t>Pollito fizgon</t>
  </si>
  <si>
    <t>22.06.2019 19:02</t>
  </si>
  <si>
    <t>#AdultingIn5WordsOrLess
Remembering Taco Doritos...
(*cough, cough @Fritolay !)</t>
  </si>
  <si>
    <t>Chincha</t>
  </si>
  <si>
    <t>22.06.2019 19:07</t>
  </si>
  <si>
    <t>DORITOS !!!!! #doritos#offthetop#Freestyle#rap#rhyming</t>
  </si>
  <si>
    <t>Self Taught</t>
  </si>
  <si>
    <t>Olly Alexander berates big brands for exploiting rainbow flag during Pride Month</t>
  </si>
  <si>
    <t>store shelves this month, including Listerine mouthwash, Doritos crisps and Marks &amp; Spencer’s ‘LGBT’ sandwich, bizarrely named for its Lettuce, Guacamole, Bacon and Tomato ingredients.
Alexander’s message has gained over 27,000 likes, with fellow music stars Sam Smith and Christine and the Queens replying “Amen”, and Ru Paul’s Drag Race season seven winner Violet Chachki responding with: “SCALDING HOT TEA”.
The sentiment around the rainbow flag being hijacked by big business isn’t new, with many in the LGBT+ community feeling sceptical of brands</t>
  </si>
  <si>
    <t>I Am Birmingham</t>
  </si>
  <si>
    <t>iambirmingham.co.uk</t>
  </si>
  <si>
    <t>audio equipment,microphone</t>
  </si>
  <si>
    <t>speech,rock concert,performance art,concert,stage,event,music,performance</t>
  </si>
  <si>
    <t>23.06.2019 02:52</t>
  </si>
  <si>
    <t>1,698 prizes up for grabs!!
https://juliesfreebies.com/sweepstake/doritos-spider-man-far-from-home-activate-your-spidey-senses-instant-win-game/
DORITOS Spider Man: Far From Home “Activate Your Spidey Senses” Instant Win Game
3 winners get a trip and 1,695 others will INSTANTLY win a prize! Enter DAILY through July 14th, 2019!</t>
  </si>
  <si>
    <t>The Freebie Guy</t>
  </si>
  <si>
    <t>22.06.2019 19:01</t>
  </si>
  <si>
    <t>Tengo antojo de Doritos con chocolate</t>
  </si>
  <si>
    <t>KleberlyM</t>
  </si>
  <si>
    <t>22.06.2019 18:58</t>
  </si>
  <si>
    <t>Here's  a picture of my daughters dinner tonight, mmmm doritos.....</t>
  </si>
  <si>
    <t>Frustrated Husband</t>
  </si>
  <si>
    <t>Snacks with the hubz #wolfpack #wolfknuck #bottleopener #multitool #edc #miller #jackdaniels #doritos #kootsroots #kootenaylife #lovethatman #carrytheskull #plantsnotpills #breaktime #snacks</t>
  </si>
  <si>
    <t>Meegan Roxx</t>
  </si>
  <si>
    <t>snack,fast food,food,junk food,drink,soft drink</t>
  </si>
  <si>
    <t>This is what our world is turning into. Every straw, every Doritos snack, toothbrush, every bottle of water you buy and throw into your kitchen garbage comes here. When it rains it goes into the ocean. Clean up our act! #savetheearth</t>
  </si>
  <si>
    <t>Emilia</t>
  </si>
  <si>
    <t>tourism,city,sky</t>
  </si>
  <si>
    <t>One shotgun one kill</t>
  </si>
  <si>
    <t>One shotgun one kill
The chip with the crunch and the taste-Doritos</t>
  </si>
  <si>
    <t>Y Gaming</t>
  </si>
  <si>
    <t>Becoming A Champion</t>
  </si>
  <si>
    <t>Becoming A Champion
#roblox
#cheetos
#doritos
Hey guys welcome to are first vid, Subscribe smash that like button and hit the bell so you never miss a vid. Aldo but don’t hit a ligit real bell. Just ours. Hope you enjoy:)</t>
  </si>
  <si>
    <t>Julian Hirsch</t>
  </si>
  <si>
    <t>22.06.2019 18:55</t>
  </si>
  <si>
    <t>ΔShittyBoyΔ</t>
  </si>
  <si>
    <t>22.06.2019 18:57</t>
  </si>
  <si>
    <t>-Ahaha TT Version-
----------------------------------------------------------------------------
- Follow (@rktkz) for more-
----------------------------------------------------------------------------
-OWNER:@rktkz -
-Comment below-
----------------------------------------------------------------------------
#explorepage #viral #love #muscle#comedy #funny #memes #meme #lol #funnymemes #dankmemes #memesdaily #humor #follow #love #fun #lmao #like #followforfolliw #model #fashion #photography #memestagram #memepage #relatable
@kkdizzy_ @pedrodjdaddy @nia.nia_xo @ch6ppa @ft_corn_flakes @lil._.doritoz @humble_baby23 @codiact @__jakil__ @38.siah @t.i.aaaa</t>
  </si>
  <si>
    <t>Horse racing-Trainer Hollendorfer banned from Santa Anita</t>
  </si>
  <si>
    <t>the violation was severe enough that officials pursued criminal charges, rather than the usual fine or suspension.
The horse that won by losing: Zippy Chippy, racing’s famous also-ran, celebrated by Canadian author
Emily Schoeneman could see what her husband couldn’t. What she saw in Zippy Chippy, an ornery racehorse with donkey-like ears, a taste for Coors Light, pizza and Doritos, and with zero wins in 20 career races, was a colossal error in male judgment. Felix Monserrate, Schoeneman’s spouse, saw otherwise. He was a Puerto Rican immigrant, an incurable dreamer and a horse trainer who typically lost more than he won at the Finger Lakes Racetrack in upstate New York. But his affections for Zippy Chippy were partly justifiable.</t>
  </si>
  <si>
    <t>Bullfax.com</t>
  </si>
  <si>
    <t>bullfax.com</t>
  </si>
  <si>
    <t>map</t>
  </si>
  <si>
    <t>23.06.2019 05:52</t>
  </si>
  <si>
    <t>•
•
•
•
Ignore tags 
#thursday#selfcare#movie#advice#recommended#love#happy#positivevibes#films#england#popcorn</t>
  </si>
  <si>
    <t>ｐｅａｃｈｅｓ</t>
  </si>
  <si>
    <t>Nick edgars779
Harga ? Tawarkan
Data ? Polos
Minat ? Dm
#belirobuxmurah #belirobux #robloxindonesia #robloxrobux #robloxmemes #jualrobux #jualrobuxindo #jualrobuxroblox #jualrobuxmurah #jualrobuxindomurah #robloxindonesia #indonesiaroblox #promorobux #beaconcream #labqigaming #zenmatho 
#robuxindonesiadijualmurah #itemku 
#robloxindonesia
#jualrobux#robloxindonesia#robloxshop#unitedrobloxofindonesia
#robux#tokorobuxindonesia#gamerindonesia#lumbertycoon2#jailbreak#murahbanget
#beaconcream #robloxindonesia #jualakunroblox</t>
  </si>
  <si>
    <t>JUAL AKUN ROBLOX / ROBUX</t>
  </si>
  <si>
    <t>Go ahead, make my day doritos❤
Doritos ft.movie night
.
Aur bhyi kabir Singh kis kisne dkh le?? I can't wait to watch shahid kapoor's movie and I ended up watching it today although I desired to watch it in the cinema but no worries I also have a cinema at home only. .
Comment who's your all time favorite actor ?? Like the post if shahid kapoor is the one❤
(1000s of likes for him from me❤)
.
PS: Must watch movie. @shahidkapoor you nailed it bruh❤
Addition in fav actress list: @kiaraaliaadvani ❤
.
.
.
.
.
.
.
.
.
.
.
.
.
.
.
.
.
.
.
.
.
.
.
.
.
.
.
.
.
.
.
.
.
.
.
.
#shahidkapoor #kabirsingh #shahidkapooor #kabirsinghtrailer #kiaraaliaadvani #bollywood #bollywoodlovers #bollywoodmemes #bollywoodmovies #bollywooddance #mirakapoor #instagramers #movies #reviewtime</t>
  </si>
  <si>
    <t>Areesha Arshad Khan</t>
  </si>
  <si>
    <t>18:51</t>
  </si>
  <si>
    <t>" ʙᴜᴛ ᴛʜᴇ ᴿᴇᴀʟ Qᴜᴇsᴛɪᴏɴ ɪs, ᴅɪᴅ ʏᴏᴜ ᴿᴇᴄᴏᴿᴅ ɪᴛ ?? "
“Being weird is cool, I think I’m pretty weird.
I don’t really know anybody else that would spend a whole day figuring out a way to eat Doritos off of their wall like in Willy Wonka.”</t>
  </si>
  <si>
    <t>*• Gᴀʀʀᴇᴛᴛ ~*</t>
  </si>
  <si>
    <t>Big River</t>
  </si>
  <si>
    <t>22.06.2019 18:50</t>
  </si>
  <si>
    <t>Primo</t>
  </si>
  <si>
    <t>Хук-ван-Холланд</t>
  </si>
  <si>
    <t>User:AlbertoFreytag0</t>
  </si>
  <si>
    <t>little girl. Perhaps not to the extreme of bare foot parents but I came from a poor background non the less. When I say "hives" they more like small tiny bumps. It the exact same rash that I get when I wear nickel. I had a bag of Doritos last week from the same bag (12pk of small Doritos bags) and nothing happened. Tankini SwimwearTankini Swimwear It was financed by Muslim countries and controlled by Muslim diplomats at the United Nations at the time a fairly noncontroversial proposition. Like his son, he joined interfaith groups, invited by Mr</t>
  </si>
  <si>
    <t>AlbertoFreytag0</t>
  </si>
  <si>
    <t>22.06.2019 18:48</t>
  </si>
  <si>
    <t>Enflasyon yok doritos hep 5 tl ydi zaten aq</t>
  </si>
  <si>
    <t>Andrea I. Kacie</t>
  </si>
  <si>
    <t>22.06.2019 18:54</t>
  </si>
  <si>
    <t>@rhd_fd 
Booking info in bio
.
.
.
.
#mazda #rx7 #jdm #rx #doritos #japan #carmeet #red #tuner @tunerevo #dom #fd3s #momo #mods #veilside #stance #stancenation #cambergang #hks #fd #tires #carporn #instagood #voltex #sunset #voltexracing #advan #beyondlimits #speedhunters #rmagic
@team.elevate_ @northeastautoimports @rhd_fd</t>
  </si>
  <si>
    <t>McAvoy Media</t>
  </si>
  <si>
    <t>My oversized girlfriend eat too much snack. Should I marry her?</t>
  </si>
  <si>
    <t>My oversized girlfriend eat too much snack. Should I marry her? Besides 3~4 meals per day. This is average her snacking...- one 16oz red bull.- one bag of doritos and sun chip - pint of ice cream.Some candies Some times fastfood. I think she spends roughly $20 per day for snacking.One day I wish to become a homeowner. I make above average... but in this ages $20 dollars a per day is a lot of money in a long term view. When I dated a slender one, this wasn't a issue. She drank water all day. I didn't know this would become an issue in a</t>
  </si>
  <si>
    <t>@BryanFuller @ahooel Dir, wrote, prod, monkey'd around
DORITOS
https://youtu.be/JiAinlYHMZ0
not that warm as ya might think in the suit.</t>
  </si>
  <si>
    <t>Jeffrey Cain</t>
  </si>
  <si>
    <t>@_ChrissyZA Doritos</t>
  </si>
  <si>
    <t>Senthaolele</t>
  </si>
  <si>
    <t>22.06.2019 18:47</t>
  </si>
  <si>
    <t>And that’s that.
Cool Ranch Doritos are the best flavor. That concludes this Ted talk today.</t>
  </si>
  <si>
    <t>Bunifa Latifah Halifah Sharifa Jackson</t>
  </si>
  <si>
    <t>Neuville-sur-Ain</t>
  </si>
  <si>
    <t>audience,performance,event</t>
  </si>
  <si>
    <t>22.06.2019 18:46</t>
  </si>
  <si>
    <t>I saw that barnacles had begun to reclaim the Hornby Visitor Centre. I took note of my remaining mushy peas and continued my search for a packet of 3D Doritos.</t>
  </si>
  <si>
    <t>ThanetGuide</t>
  </si>
  <si>
    <t>22.06.2019 18:45</t>
  </si>
  <si>
    <t>@Nanc___ @aelfred_D Wait, no, you do this with Doritos, not Fritos. Fritos are for chili. My god, have some culture  Aelf. You’re supposed to be a king.</t>
  </si>
  <si>
    <t>Matt A</t>
  </si>
  <si>
    <t>Spring Hill</t>
  </si>
  <si>
    <t>Was quite fun playing trio customs last night w/ @bobbijack06 @vqderz ... managed to come 2nd using Doritos all game
#fortnite #fortnitebr #fortnitetwitch #twitchclips #twitchwins #fortnitepro #controllergang</t>
  </si>
  <si>
    <t>Snacky Hour - Doritos Roulette, Drake Cakes, Combos, and White Claw</t>
  </si>
  <si>
    <t>Food Scientists</t>
  </si>
  <si>
    <t>fast food,junk food,food,drink,soft drink</t>
  </si>
  <si>
    <t>菊飛</t>
  </si>
  <si>
    <t>Хоккайдо</t>
  </si>
  <si>
    <t>22.06.2019 18:41</t>
  </si>
  <si>
    <t>Allan</t>
  </si>
  <si>
    <t>18:39</t>
  </si>
  <si>
    <t>23.06.2019 05:50</t>
  </si>
  <si>
    <t>Tag 2 friends you eating this with ⬇️ #likeforlike #follow4follow  #instalike #likeforfollow #follow #l4l #photooftheday #instadaily #like4follow #lndn1year  #beyonce  #beauty #jayz #couplesgoals #cuties #comment4comment #lgbtq #explorepage #editz #goals #blueivy #rumi #sir #savetheearth #socialenvy #art #asmr</t>
  </si>
  <si>
    <t>confectionery,junk food,convenience food,snack,food</t>
  </si>
  <si>
    <t>Gym bro vs treadmill : IdiotsFightingThings</t>
  </si>
  <si>
    <t>::double fists Dew and Doritos::</t>
  </si>
  <si>
    <t>BeldarofRemulak</t>
  </si>
  <si>
    <t>Idiots Fighting Things</t>
  </si>
  <si>
    <t>22.06.2019 18:44</t>
  </si>
  <si>
    <t>@freddywavila A ver el Doritos.</t>
  </si>
  <si>
    <t>J. Plaza ️‍</t>
  </si>
  <si>
    <t>22.06.2019 18:43</t>
  </si>
  <si>
    <t>-Watch Whole Thing-
----------------------------------------------------------------------------
- Follow (@rktkz) for more-
----------------------------------------------------------------------------
-OWNER:@rktkz -
-Comment below-
----------------------------------------------------------------------------
#explorepage #viral #explore #hahaha #comedy #funny #memes #meme #lol #funnymemes #dankmemes #memesdaily #humor #follow #memesensation #hilarious #lmao #like #followforfolliw #rktkz #memeedits #dancing #memestagram #memepage #relatable
@stark_entertainment @nia.nia_xo @ft_corn_flakes @lil._.doritoz @_._._.danah._._._ @humble_baby23 @moodyputaz @__jakil__ @caribbean_moods @norton_fish_28 @stacyxoxo7 @yolemmefuck @g_memes_yeet @bills.arii</t>
  </si>
  <si>
    <t>soil</t>
  </si>
  <si>
    <t>sand,asphalt</t>
  </si>
  <si>
    <t>22.06.2019 18:40</t>
  </si>
  <si>
    <t>Nacho Cheese Doritos are the greatest invention in human history.</t>
  </si>
  <si>
    <t>Jake</t>
  </si>
  <si>
    <t>22.06.2019 18:39</t>
  </si>
  <si>
    <t>check out this funny story we did for Doritos pitching commercial 
#doritos #doritoscommercial #commercial #commercialshooting  #commercialfilm</t>
  </si>
  <si>
    <t>Jamly_Yang</t>
  </si>
  <si>
    <t>22.06.2019 18:38</t>
  </si>
  <si>
    <t>Adam DelBene</t>
  </si>
  <si>
    <t>TMI AF // i ate a whole bag of flaming hot nacho doritos in a fit of depression and now im pooping out all those empty carbs and my ass is on fucking fIRE holy shit my body processed nONE of that flavor dust</t>
  </si>
  <si>
    <t>the eternal⚡️ugh (tm)</t>
  </si>
  <si>
    <t>Ohio</t>
  </si>
  <si>
    <t>geraz garcia</t>
  </si>
  <si>
    <t>alguien me regala doritos¿</t>
  </si>
  <si>
    <t>zoe</t>
  </si>
  <si>
    <t>BOY DIRECTIONER  :-) &amp; TEEN WOLF</t>
  </si>
  <si>
    <t>doritos de machos</t>
  </si>
  <si>
    <t>arisbella</t>
  </si>
  <si>
    <t>Хямеэнлинна</t>
  </si>
  <si>
    <t>@friedkennedy i dont even eat doritos  unlike u... u probably eat doritos and mountain dew lke the teenage boy u are</t>
  </si>
  <si>
    <t>feelings: hurt.</t>
  </si>
  <si>
    <t>르체 파커</t>
  </si>
  <si>
    <t>Super Easy Doritos Nachos 
http://www.couponingfor4.net/super-easy-doritos-nachos/
https://www.facebook.com/DanceTTR/photos/a.384660696130/10157015009906131/?type=3</t>
  </si>
  <si>
    <t>Couponing For 4</t>
  </si>
  <si>
    <t>fast food,meal,garnish,appetizer,fried food,vegetable,salad,food</t>
  </si>
  <si>
    <t>22.06.2019 18:35</t>
  </si>
  <si>
    <t>Holy spider this is really nice. If only the contest was open to Canadians
Want to score this Limited-Edition Doritos Spidey Suit? Tell us what super power Doritos gives you using #IncognitoDoritos #Entry for the chance to win! Rules @ https://bit.ly/2MXEpdc Be sure to check out #SpiderManFarFromHome, in theaters July 2!</t>
  </si>
  <si>
    <t>Ryan Cortero</t>
  </si>
  <si>
    <t>22.06.2019 18:37</t>
  </si>
  <si>
    <t>i put my dick in a bag of doritos — kinky i like it, Be Who You Are ❤️ https://curiouscat.me/SEXTAPESKI/post/909613384?t=1561242886</t>
  </si>
  <si>
    <t>gay vodka</t>
  </si>
  <si>
    <t>Морона-Сантьяго</t>
  </si>
  <si>
    <t>Indanza</t>
  </si>
  <si>
    <t>22.06.2019 18:34</t>
  </si>
  <si>
    <t>Sue Bennett</t>
  </si>
  <si>
    <t>22.06.2019 18:33</t>
  </si>
  <si>
    <t>Last night at 2am my drunk ass friends wanted Taco Bell and they sat in the drive thru for like 10 minutes arguing about what to get. I dont even like Taco Bell so my ass was just sitting there gone as hell lmao. In short, I love my friends and I finally tried a Doritos loco taco</t>
  </si>
  <si>
    <t>@Doritos Gives me the super power of being full of course! #IncognitoDoritos #Entry</t>
  </si>
  <si>
    <t>Lena</t>
  </si>
  <si>
    <t>22.06.2019 18:31</t>
  </si>
  <si>
    <t>Me: *is hungry*
Also me: *settles for a big bag of Doritos*</t>
  </si>
  <si>
    <t>cha</t>
  </si>
  <si>
    <t>Acabo de ver toy story 4 - AMA</t>
  </si>
  <si>
    <t>Palomitas de Doritos.</t>
  </si>
  <si>
    <t>DonDinoD</t>
  </si>
  <si>
    <t>Mujico Mágico. Somos indios, pero de los finos.</t>
  </si>
  <si>
    <t>Celebrate Summer with a 30 pk of Busch or Busch Light for ONLY $11.99!!
Plus get a 9-10 oz bag of Doritos for 1¢ with each 30 pack you purchase 
To view more great beer, wine &amp;amp; liquor deals, visit our website by clicking here- https://www.berkotfoods.com/WeeklyAd/Index
https://www.facebook.com/Berkots/photos/a.245358022193941/2471275569602164/?type=3</t>
  </si>
  <si>
    <t>Berkot's Super Foods</t>
  </si>
  <si>
    <t>doritos locos hands down</t>
  </si>
  <si>
    <t>Based</t>
  </si>
  <si>
    <t>Superior Andrew</t>
  </si>
  <si>
    <t>Chainlink Community</t>
  </si>
  <si>
    <t>Roberto</t>
  </si>
  <si>
    <t>Prom snack .
.
.
.
.
.
.
#prom #streetwear #streetstyle #streetfashion #snack #groceryshopping #prom2019 #prom2k19 #streetwearfashion
@purplepesto</t>
  </si>
  <si>
    <t>Billie</t>
  </si>
  <si>
    <t>snack,drink,food,soft drink,convenience food</t>
  </si>
  <si>
    <t>boutique,market,bazaar,marketplace,supermarket</t>
  </si>
  <si>
    <t>22.06.2019 18:29</t>
  </si>
  <si>
    <t>Be still my heart... ketchup Doritos are back on the menu!!! # #Liam #ketchupismyfavorite #ketchupdoritos #ohcanada #canadiansrule</t>
  </si>
  <si>
    <t>stephvisme</t>
  </si>
  <si>
    <t>shorts,clothing</t>
  </si>
  <si>
    <t>ASMR Doritos edition</t>
  </si>
  <si>
    <t>Isabel Vega</t>
  </si>
  <si>
    <t>Vale Zamudio</t>
  </si>
  <si>
    <t>22.06.2019 18:32</t>
  </si>
  <si>
    <t>Crinkly text 
#thegarbagepoems #garbage #chips #chipbag #emptyinside #doritos #artwork #nlarts #artequalswork #painting #drawing #watercolour</t>
  </si>
  <si>
    <t>April Mary Lynn White</t>
  </si>
  <si>
    <t>22.06.2019 18:26</t>
  </si>
  <si>
    <t>H A R P E R</t>
  </si>
  <si>
    <t>Центральная Ява</t>
  </si>
  <si>
    <t>Pekalongan</t>
  </si>
  <si>
    <t>18:22</t>
  </si>
  <si>
    <t>23.06.2019 05:29</t>
  </si>
  <si>
    <t>I got the snacks for camp! about 20% or less of this I'm actually going to eat. The rest of it is probably going to my friends. Who else is going. Also @dariennewton your going to be stacking those Oreos again. #camp #snacks #musthavesnacks #oreos #giantoreos</t>
  </si>
  <si>
    <t>Jared Giganti</t>
  </si>
  <si>
    <t>@Doritos It will give me the power to be greater, to be a hero even without the suit.  #IncognitoDoritos #Entry</t>
  </si>
  <si>
    <t>22.06.2019 18:25</t>
  </si>
  <si>
    <t>O un pebete con Doritos neaaa</t>
  </si>
  <si>
    <t>Titi</t>
  </si>
  <si>
    <t>Mercedes</t>
  </si>
  <si>
    <t>Gonna make loaded nachos but with the purple Doritos</t>
  </si>
  <si>
    <t>John ClancyⓋ</t>
  </si>
  <si>
    <t>22.06.2019 18:24</t>
  </si>
  <si>
    <t>ZIMZALABIM • #ATEEZ1STWIN // #ATSD</t>
  </si>
  <si>
    <t>22.06.2019 18:23</t>
  </si>
  <si>
    <t>Just get your deodorant and Doritos and go
Wal Mart is a display of late stage capitalism.</t>
  </si>
  <si>
    <t>Philly Philly!</t>
  </si>
  <si>
    <t>Qué ganas de unos Doritos o un pebete</t>
  </si>
  <si>
    <t>Popeyes would never : BlackPeopleTwitter</t>
  </si>
  <si>
    <t>What is it with white people putting nacho cheese doritos in every sandwich</t>
  </si>
  <si>
    <t>somekid66</t>
  </si>
  <si>
    <t>My Brother, My Brother and Me: The Subreddit</t>
  </si>
  <si>
    <t>Year Four, Day 156: The Cupcake and I</t>
  </si>
  <si>
    <t>I ate a cupcake last night. I am not proud of it.
But I got right back on my intermittent fasting/keto diet. And I only gained one pound. Speaking of which, I purchased keto strips to test to see if I am in ketosis. I was yesterday! Too bad I had to ruin my progress with a cupcake!
It was almost worth it. That was one fine cupcake!
And I was under much stress and anxiety! O.K. I also had a bowl of Doritos and half a cup of beer.
I was stressed! I know, no excuse. Sigh.
I was forced to attend a wedding. Mind you, it was a beautiful wedding. And</t>
  </si>
  <si>
    <t>Teacher Zita (noreply@blogger.com)</t>
  </si>
  <si>
    <t>22.06.2019 18:20</t>
  </si>
  <si>
    <t>Dave E</t>
  </si>
  <si>
    <t>Swadlincote</t>
  </si>
  <si>
    <t>Anyone got $700 I could have?
It’s a @Doritos bag that turns into a Spider-Man suit? We’re truly living in the future. http://www.IncognitoDoritos.com</t>
  </si>
  <si>
    <t>Cheese</t>
  </si>
  <si>
    <t>22.06.2019 18:30</t>
  </si>
  <si>
    <t>Doritos commercial prioriety</t>
  </si>
  <si>
    <t>Doritos commercial prioriety
Watch this video with some #doritos</t>
  </si>
  <si>
    <t>Team Criscione</t>
  </si>
  <si>
    <t>22.06.2019 18:22</t>
  </si>
  <si>
    <t>ShunsukeKimura</t>
  </si>
  <si>
    <t>Хиноде</t>
  </si>
  <si>
    <t>23.06.2019 01:37</t>
  </si>
  <si>
    <t>Chicken Dorito Casserole
Ingredients:
3-4 BSCB (Boneless, Skinless, Chicken Breasts) baked
1 regular sized bag of original Doritos
1 can Cream of Mushroom
Full Recipe: http://tenrecipes.com/chicken-dorito-casserole/
https://www.facebook.com/tastyrecipesme/photos/a.899187660187777/1946751252098074/?type=3</t>
  </si>
  <si>
    <t>Tasty Recipes</t>
  </si>
  <si>
    <t>22.06.2019 18:16</t>
  </si>
  <si>
    <t>palomitas jumbo: mitad DORITOS nacho, mitad HERSHEYS</t>
  </si>
  <si>
    <t>charls</t>
  </si>
  <si>
    <t>I love you 3000 @northchickenyeg ...
.
.
.
#saieii #northernchicken #northern #chicken #macandcheese #doritos #friedchicken #coleslaw #yeg #yegfood #yegeats #yegfoodie #yegdate #yegdatenight #yegweekend #yegevent #yegdowntown #yegdt #yegliving #yeglocal #gastropost #tasteab #tasteyeg #yegger #edmontoneats #edmontonliving #edmontonfood #exploreedmonton #explorealberta #explorecanada
@yelp @avenuemagazine @saieii @shop124street @zomato @vueweekly @samsungcanada @samsungmobile @doritos @avenue_edmonton @zomatoca @thevfp @yelpedmonton @northchickenyeg</t>
  </si>
  <si>
    <t>Anthony T. #YEGBlogger</t>
  </si>
  <si>
    <t>fast food,junk food,fried food,meal,food</t>
  </si>
  <si>
    <t>22.06.2019 18:18</t>
  </si>
  <si>
    <t>In case you thought I have a remotely healthy lifestyle... I just ordered McDonald's for dinner while snacking on Doritos and drinking wine.</t>
  </si>
  <si>
    <t>Wednesday Noir ️‍</t>
  </si>
  <si>
    <t>The best flavor mix I've ever seen! @fritolay with the game changer  #nomnom #fritolay #notabadbaginthebunch</t>
  </si>
  <si>
    <t>Monika L</t>
  </si>
  <si>
    <t>sweetness,confectionery,convenience food,junk food,food,snack</t>
  </si>
  <si>
    <t>Tonight on dysart and western 7pm 
#Menu StreetTacos 
$2
#Asada / steak 
#AlPastor / Marinated pork $2
Specialty tacos 
#Camaron / sautéed Shrimp 
#ElOriginal / steak ,cheese and hatch Chile’s Quesadillas  $12
#Asada/AlPastor - Steak/Pork $13
#Camaron / Shrimp $8
#queso /Cheese $2
#MiniCheeseQuesadilla
#MiniAguachilesQuesadilla Cevicheritos  $15 full order 
Available  Nacho Cheese Doritos and tapatío Doritos 
#Mixta /mixed ceviche 
#Pescado/ fish ceviche 
#CamaronYJaiva/ shrimp and crab Trays
Full takeout tray feeds 2-3</t>
  </si>
  <si>
    <t>Algo Para La Cruda</t>
  </si>
  <si>
    <t>Avondale</t>
  </si>
  <si>
    <t>garnish,salad,food,vegetable</t>
  </si>
  <si>
    <t>22.06.2019 18:14</t>
  </si>
  <si>
    <t>STEAK NACHOS AVAILABLE TODAY 8:30PM TO 2AM PICK UP AND DELIVERY
‍‍THE COOKING CONTINUES  #THE1‍EK #MAMAPREP_EK #EKNACHOS #STEAKNACHOS #NACHOCHEESE #NACHOS #DORITONACHOS  #BACONNACHOS #BACON #STEAK #DORITOS #VIEWGASM #FOODGASM #FOODBEAST #FOODPORN #TASTY #FLAVORKINGS #FOODGRAM #THRILLIST #GREATEATS #THEBESTOUT #WEUP #ENTREPRENEURS #YOUNGVISIONARIES #LEGACY #LOVEMYSUPPORTERS #INVESTINYOU #EKGOTTHESAUCE
@thrillist @foodnetwork @doritos @buzzfeedtasty</t>
  </si>
  <si>
    <t>fried food,frozen dessert,junk food,dessert,meal,food</t>
  </si>
  <si>
    <t>22.06.2019 18:13</t>
  </si>
  <si>
    <t>Doritos habanero flavor shots taste test!! Spicy!!!</t>
  </si>
  <si>
    <t>Solid Fang</t>
  </si>
  <si>
    <t>Well be on dysart and western by 7:00pm tonight  with the full menu 
Tonight on dysart and western 
#Menu StreetTacos 
$2
#Asada / steak 
#AlPastor / Marinated pork $2
Specialty tacos 
#Camaron / sautéed Shrimp 
#ElOriginal / steak ,cheese and hatch Chile’s Quesadillas  $12
#Asada/AlPastor - Steak/Pork $13
#Camaron / Shrimp $8
#queso /Cheese $2
#MiniCheeseQuesadilla
#MiniAguachilesQuesadilla Cevicheritos  $15 full order 
Available  Nacho Cheese Doritos and tapatío Doritos 
#Mixta /mixed ceviche 
#Pescado/ fish</t>
  </si>
  <si>
    <t>23.06.2019 05:25</t>
  </si>
  <si>
    <t>#Not me</t>
  </si>
  <si>
    <t>SWEET SQUISH</t>
  </si>
  <si>
    <t>22.06.2019 18:12</t>
  </si>
  <si>
    <t>Godzilla KOTM Titans portrayed by Doritos. Edit done by me. #Godzilla #GodzillaMovie @GodzillaMovie @Mike_Dougherty @OMEGAGORMARU @resurrectiongoj</t>
  </si>
  <si>
    <t>GojirafanNeptunia</t>
  </si>
  <si>
    <t>23.06.2019 05:26</t>
  </si>
  <si>
    <t>ℊ...
♡━━━━━━━━━━━━━━━♡
#nichememe #niche #nichememes #meme #nichememepage #page #explore #explorepage #nichememesacc #nichememeaccounts #nichememeaccount #memesss #niches #girls #nicheee #nichememer #nichememers #basic #basicniche #basicnichememe #nicheyboba #dailynichememes #nichememesdaily #dailycontent #nichecommunit
@madison_yeh</t>
  </si>
  <si>
    <t>~</t>
  </si>
  <si>
    <t>Waking up and seeing this as the first story on my FB Damn, what a wonderful start to Summer</t>
  </si>
  <si>
    <t>Doritos Delicioso</t>
  </si>
  <si>
    <t>CovfefeAndDoughnuts</t>
  </si>
  <si>
    <t>The Donald - America First!</t>
  </si>
  <si>
    <t>Jackie Aina stan account</t>
  </si>
  <si>
    <t>Fanny Bo Banny</t>
  </si>
  <si>
    <t>Bangladesh</t>
  </si>
  <si>
    <t>রাজশাহী বিভাগ</t>
  </si>
  <si>
    <t>Narnia</t>
  </si>
  <si>
    <t>Frank's Ocean-Mabena.</t>
  </si>
  <si>
    <t>Фрибур</t>
  </si>
  <si>
    <t>Riaz</t>
  </si>
  <si>
    <t>22.06.2019 18:10</t>
  </si>
  <si>
    <t>The purple bag of Doritos so good.</t>
  </si>
  <si>
    <t>RipBstacks❤️</t>
  </si>
  <si>
    <t>18:08</t>
  </si>
  <si>
    <t>I love a good ass sandwhich man with Doritos lol</t>
  </si>
  <si>
    <t>Pretty</t>
  </si>
  <si>
    <t>22.06.2019 18:05</t>
  </si>
  <si>
    <t>@archillect This is a dream furniture I can grab some Doritos and soda and stay in there forever</t>
  </si>
  <si>
    <t>¯\_(ツ)_/¯</t>
  </si>
  <si>
    <t>Оита</t>
  </si>
  <si>
    <t>Беппу</t>
  </si>
  <si>
    <t>22.06.2019 18:04</t>
  </si>
  <si>
    <t>Alejandro Caballero</t>
  </si>
  <si>
    <t>22.06.2019 18:07</t>
  </si>
  <si>
    <t>@mazz706
The only bag of Doritos that matter</t>
  </si>
  <si>
    <t>22.06.2019 18:06</t>
  </si>
  <si>
    <t>Doritos? — these taste like shit https://curiouscat.me/shindafuyunosemi/post/906012491?t=1561241011</t>
  </si>
  <si>
    <t>mirror-yum</t>
  </si>
  <si>
    <t>Christian Mendoza</t>
  </si>
  <si>
    <t>Loveland</t>
  </si>
  <si>
    <t>Mamá se fue a comprar al COTO sin mí... Que maldattt! Sí sabe que me encanta ir al súper! Grrrrr... 
Ojalá me traiga Doritos!</t>
  </si>
  <si>
    <t>MARISOL</t>
  </si>
  <si>
    <t>Doritos with lime and Valentina is just so</t>
  </si>
  <si>
    <t>Albert Yoshimoto</t>
  </si>
  <si>
    <t>@lauren_ash @Mark_DMcKinney @Terminix There's limited edition ketchup doritos, this year, at least here in NS. They're not bad!</t>
  </si>
  <si>
    <t>Scott Snailham</t>
  </si>
  <si>
    <t>22.06.2019 18:01</t>
  </si>
  <si>
    <t>jungkook: ill send u doritos
taehyung: i dont want doritos i want u
jungkook: what if i came with doritos
taehyung: even better
jungkook: but what if i came doritos
taehyung: bye</t>
  </si>
  <si>
    <t>BTS_21</t>
  </si>
  <si>
    <t>22.06.2019 18:02</t>
  </si>
  <si>
    <t>Do you know who owns this car?.. 
.
.
TAG THE OWNER! 
.
.
#rotary #rx7 #mazda #doritos #fd #fd3 #fd3s #reamemiya #japan #jdm #turbo #boost #modified #fastcar #tuned #tuning #japanese #japcar #japfest #tagtheowner
@rx7_lovers @rotor_mazda_rx7</t>
  </si>
  <si>
    <t>RaceyGirlsXXX</t>
  </si>
  <si>
    <t>Wellingborough</t>
  </si>
  <si>
    <t>22.06.2019 18:00</t>
  </si>
  <si>
    <t>TOO WEIRD! - Frozen Weirdness 3 (Ft SuperPoopBros) Reaction!</t>
  </si>
  <si>
    <t>Charmx may not want all these Doritos up his Beanie but I feel it is the right thing to do.</t>
  </si>
  <si>
    <t>BenjiXAddictX4Ever</t>
  </si>
  <si>
    <t>Charmx3</t>
  </si>
  <si>
    <t>Stacey Mc</t>
  </si>
  <si>
    <t>Shannon</t>
  </si>
  <si>
    <t>ardy22</t>
  </si>
  <si>
    <t>@DannDank Nahh lol I just smoked and and some Doritos?</t>
  </si>
  <si>
    <t>a large taro</t>
  </si>
  <si>
    <t>Sangria + Doritos 
#35mm</t>
  </si>
  <si>
    <t>Pasha</t>
  </si>
  <si>
    <t>plant,tree,palm tree</t>
  </si>
  <si>
    <t>17:54</t>
  </si>
  <si>
    <t>It's snack time  #flaminghot #doritos #doritosnachos #snacks #junkfood #chips #spicysnack #foodie</t>
  </si>
  <si>
    <t>wptummytour</t>
  </si>
  <si>
    <t>22.06.2019 17:56</t>
  </si>
  <si>
    <t>These flaming hot Doritos are BASURA</t>
  </si>
  <si>
    <t>maddie the hippie</t>
  </si>
  <si>
    <t>‼️VEN BUSCANOS EN BAZAR DEL BOSQUE‼️
#ALABUERGER 
SÁBADOS A PARTIR DE LAS 6:30PM
A LA BURGER'S 
✅CARNE BONA EXCELENTE CALIDAD 
✅HECHAS AL CARBON
PIDE TU HAMBURGUESA 
SENCILLA 5️⃣5️⃣
 DOBLE 8️⃣5️⃣
TRIPLE 1️⃣2️⃣0️⃣
Y si gustas acompañado de DORITOS 10.00 mas
EL SABADO TODO SE VALE 
https://www.facebook.com/bazar.bosquemxli/videos/1705631096411316/</t>
  </si>
  <si>
    <t>Bazar del bosque Mexicali</t>
  </si>
  <si>
    <t>22.06.2019 17:53</t>
  </si>
  <si>
    <t>@KyleBCoD @Fai7hy you got the picture of him in a red hat eating doritos on IW the absolute twig?</t>
  </si>
  <si>
    <t>George</t>
  </si>
  <si>
    <t>Брентвуд</t>
  </si>
  <si>
    <t>Just heard about the kkk, that shit aint cool man  ❗️IGNORE TAGS ❗️#memes #offensivememes #funny #followforfollowback #jah #dankmemes #mlg #Doritos #instagram #TBT #gamer #fortnite #hot #gekyume</t>
  </si>
  <si>
    <t>Best part of my day was watching this kid roll. He didn’t win a single match. He was disappointed his friends from the gym weren’t there. And didn’t want to roll against new kids. But he got Doritos and silver medals. All is right with him. @kettlebellkimfox @aforcebjj #bjjlifestyle #aforcebjj #gordinho #bjjkids</t>
  </si>
  <si>
    <t>Fox Fitness</t>
  </si>
  <si>
    <t>Уичито</t>
  </si>
  <si>
    <t>The USS Zumwalt megalophobia</t>
  </si>
  <si>
    <t>Battle doritos.</t>
  </si>
  <si>
    <t>ShellShock220</t>
  </si>
  <si>
    <t>Lads that you’re in awe at the size of.</t>
  </si>
  <si>
    <t>Denise Wilden</t>
  </si>
  <si>
    <t>Llanelli</t>
  </si>
  <si>
    <t>Misbehaving Kid Does Hard Time In Bedroom Full of Endless Entertainment</t>
  </si>
  <si>
    <t>electronics, Tristan would have to face the consequences of his misbehavior by reading one of the dozens of comic books he has or by playing with some of his action figures, housed in three large boxes in his closet.
Conceived as a tough-love punishment, Tristan could be in this blissfully peaceful wonderland for hours. Should he come perilously close to missing a meal, he would be forced to survive on an impressive stash of leftover Easter candy and multiple open bags of Doritos.
One hour into the sentence, his dad Bryan took a break from the chores</t>
  </si>
  <si>
    <t>Cheers! The “Wassup” Commercial Just Turned 20</t>
  </si>
  <si>
    <t>survive on an impressive stash of leftover Easter candy and multiple open bags of Doritos.
One hour into the sentence, his dad Bryan took a break from the chores the rest of the family was engaged in and stood outside Tristan’s room for a heart-to-heart.
“I know I’m raising a son who is better behaved than that,” Bryan started. “Now that you’ve had some time to think, do you have something you’d like to say?”
Tristan didn’t respond because his earbuds preventing him from hearing a single word his father said. He eventually left his room hours</t>
  </si>
  <si>
    <t>22.06.2019 17:49</t>
  </si>
  <si>
    <t>As if I Needed another reason to love #canada but ketchup flavored @doritos !? #amazing #americalite #likeamericaonlynicer #ohcanada #ketchupchips #ketchuppotatochips  #sarniaontario #sarnia @pringlesca</t>
  </si>
  <si>
    <t>Carl Oxley III</t>
  </si>
  <si>
    <t>confectionery,fast food,convenience food,snack,junk food,food</t>
  </si>
  <si>
    <t>⚓ ohhhh 2009....on set in malibu. To have millions and rent out your home to a doritos commercial crew. #payfirst #sailors #malibu #singlelife</t>
  </si>
  <si>
    <t>Jessie Hall ✂</t>
  </si>
  <si>
    <t>22.06.2019 19:44</t>
  </si>
  <si>
    <t>The Ultimate Summer Taco Salad!!! 
Full of beans, beef and cheese, and Doritos!!! 
Get the Recipe now:
https://www.anaffairfromtheheart.com/2015/07/aunt-sues-taco-salad/
https://www.facebook.com/WeLoveRecipesFromHeaven/photos/a.364596347006187/1783275118471629/?type=3</t>
  </si>
  <si>
    <t>Recipes From Heaven</t>
  </si>
  <si>
    <t>17:47</t>
  </si>
  <si>
    <t>taco bell pick up lines</t>
  </si>
  <si>
    <t>customize your favorites order now .
taco bell refunds customer after app billing disaster causes 210 of .
tacobell site .
taco bell to install self order kiosks in all stores in 2019 under .
how to order taco bell online with pictures wikihow .
tweets of pickup lines show how low our standards are .
taco bell s new website allows users to order food from home fortune .
taco bell phone wallpapers .
the forever 21 x taco bell collection .
free doritos locos taco from taco bell .
taco bell customize your favorites order now .
speed is the secret</t>
  </si>
  <si>
    <t>Eating Doritos, Studying AND watching xvideos well damn.
The only bag of Doritos that matter</t>
  </si>
  <si>
    <t>♪♫♬</t>
  </si>
  <si>
    <t>South-East District</t>
  </si>
  <si>
    <t>Габороне</t>
  </si>
  <si>
    <t>@Zamalisa Oh my! I HATE that ad. Have you seen the original cut where he rips a white guy's pants off and licks the doritos dust??</t>
  </si>
  <si>
    <t>Moonchild ॐ</t>
  </si>
  <si>
    <t>River Forest</t>
  </si>
  <si>
    <t>patobush</t>
  </si>
  <si>
    <t>23.06.2019 05:07</t>
  </si>
  <si>
    <t>Combos Papa tudo
.
.
.
.
.
. .
..
.
.
.
.
.
.
.
.
.
.
.
.
.
.#breakfast
#delicious
#food
#foodporn
#healthyrecipes
#hungry
#instafood
#recipes
#sweet
#yummy
#comida
#gourmet
#comidasaudável
#café
#fitnessfood
#greentea
#sucoverde
#tea
#blumenau
#sc
#blumenausc
#santacatarina
#brazil
#ifoodblumenau</t>
  </si>
  <si>
    <t>Big dog Brasil</t>
  </si>
  <si>
    <t>22.06.2019 17:54</t>
  </si>
  <si>
    <t>cool original doritos are underrated as fuck</t>
  </si>
  <si>
    <t>Olivia Crentsil</t>
  </si>
  <si>
    <t>22.06.2019 17:58</t>
  </si>
  <si>
    <t>Spotted Ratings, Friday 6/21/19 - Next-level TV ratings and scheduling analysis at SpottedRatings.com</t>
  </si>
  <si>
    <t>What is it with fast food chains trying to incorporate Cheetos and Doritos into gimmick foods?</t>
  </si>
  <si>
    <t>Matt C</t>
  </si>
  <si>
    <t>spottedratings.com</t>
  </si>
  <si>
    <t>SpottedRatings.com</t>
  </si>
  <si>
    <t>22.06.2019 17:47</t>
  </si>
  <si>
    <t>@ThatKevinSmith @marcbernardin @Ghostbusters @KSWISS @SpiderManMovie @Doritos @SVCantina Just finished listening to #FatManBeyond. Regarding the question: What universe would be great to see come to the big/small screen? Surprised nobody said the LSD infused universe of Syd &amp; Marty Krofft! Anyone that connects those universes wins a "no prize".</t>
  </si>
  <si>
    <t>Augie Pagan</t>
  </si>
  <si>
    <t>✨
.
.
.
.
.
.
.
.
.
.
.
.
.
.
.
.
#featureme #i4i #polishgirl #xd #leszno #summer #girl #illustration #poland #znak
@kisiolek_xx @z_obrazka_ @lil.wika @kingaadudzik @wiktoriabienczak @_patryk312_ @sandzia.official @h.waszak @doritos_scooter</t>
  </si>
  <si>
    <t>julka.Rosikk</t>
  </si>
  <si>
    <t>Великопольское воеводство</t>
  </si>
  <si>
    <t>Лешно</t>
  </si>
  <si>
    <t>22.06.2019 17:46</t>
  </si>
  <si>
    <t>We need to speak about that Doritos add where some quirky white guy licks the dust off a Black guy’s ginger. I want to fight EVERYONE involved.</t>
  </si>
  <si>
    <t>LEAVE MY FAT ASS ALONE!</t>
  </si>
  <si>
    <t>22.06.2019 17:43</t>
  </si>
  <si>
    <t>2kchatniglet</t>
  </si>
  <si>
    <t>22.06.2019 17:37</t>
  </si>
  <si>
    <t>It’s a bag of Doritos with a spider man suit inside.
-
-
-
#spiderman #spidey #marvelcomics #marvel #comics #comic #samraimispiderman #samraimi #spidermanhomecoming #spectacularspiderman #spidermanps4 #mcu #ultimatespiderman #peterparker #avengers #ironman #avengersinfinitywar #intothespiderverse #venom #wearevenom #ironman #thanos #xmen #logan #wolverine #milesmorales #milesmoralesspiderman</t>
  </si>
  <si>
    <t>Excelsior Always And Forever</t>
  </si>
  <si>
    <t>22.06.2019 17:38</t>
  </si>
  <si>
    <t>Paz y amor~~~&gt; Tres doritos despúes.</t>
  </si>
  <si>
    <t>Fernanda</t>
  </si>
  <si>
    <t>Ancy-le-Libre</t>
  </si>
  <si>
    <t>22.06.2019 17:42</t>
  </si>
  <si>
    <t>Basically!
The only bag of Doritos that matter</t>
  </si>
  <si>
    <t>22.06.2019 17:39</t>
  </si>
  <si>
    <t>Vučko Doritos
Kiki Banana?</t>
  </si>
  <si>
    <t>Nobles</t>
  </si>
  <si>
    <t>22.06.2019 17:35</t>
  </si>
  <si>
    <t>the only bad thing that happens to me on my period is I suddenly have a craving for Doritos/takis and I fucking hate them</t>
  </si>
  <si>
    <t>DEƵI ✩</t>
  </si>
  <si>
    <t>22.06.2019 17:34</t>
  </si>
  <si>
    <t>@Doritos It gives me the power to enjoy my life to the fullest and helps me remember all the good moments I had</t>
  </si>
  <si>
    <t>Abdulahi</t>
  </si>
  <si>
    <t>@Marcusinkk @AuctorLector you could used crushed Doritos to make a cheesecake style base for a quiche</t>
  </si>
  <si>
    <t>Йорк</t>
  </si>
  <si>
    <t>22.06.2019 17:30</t>
  </si>
  <si>
    <t>they tryna
-
-
-
-
-
-
-
-
-
-
~tags~
#memes #dank #dankmemes #oof #filthyfrank #cringe #memepage #succ #noot #starbucks #poot #doggo #spicymemes #stolen #stolenmemes #doritos #triggered #shook #edgy #cringy #meme #dankmemes #edgymemes #dolandark #ebic #loss #lilpump #howardthealien #fortnite #tiktok #tiktokmemes</t>
  </si>
  <si>
    <t>cнιldιѕн ѕαdвιɴo</t>
  </si>
  <si>
    <t>Me after eating doritos &amp; my left over chocolate chip cookie dough ice cream that i’ve had for over two weeks in the freezer:</t>
  </si>
  <si>
    <t>22.06.2019 17:36</t>
  </si>
  <si>
    <t>@PublicChaffinch @demarionunn I’m with you homie. Unless and until they invent prawn cocktail or roast chicken Doritos. I’d consider pickled onion too as a sort of cultural fusion monster munch hybrid.</t>
  </si>
  <si>
    <t>Louise</t>
  </si>
  <si>
    <t>Crystal Beach</t>
  </si>
  <si>
    <t>22.06.2019 17:25</t>
  </si>
  <si>
    <t>GTA V Online: DESAFIO NA MEGA RAMPA DE DORITOS!!</t>
  </si>
  <si>
    <t>Auguxto vc tem como jogar no Xbox one?</t>
  </si>
  <si>
    <t>Jose Gustavo</t>
  </si>
  <si>
    <t>AuguxtoGamer</t>
  </si>
  <si>
    <t>Salvee</t>
  </si>
  <si>
    <t>Play Games</t>
  </si>
  <si>
    <t>22.06.2019 17:23</t>
  </si>
  <si>
    <t>Добрый день! Это не совсем про веганство, скорее про этичность, но очень часто в комментариях к постам вижу, как люди</t>
  </si>
  <si>
    <t>forests, sourcing huge amounts of dirty palm oil from producers that destroy rainforests.
The makers of products like Kit Kat, Colgate toothpaste, Dove, Doritos, Kellogg's Pop Tarts and Head &amp; Shoulders are some of Wilmar's biggest customers.
Tell them to drop dirty palm oil. Tell them to drop Wilmar: https://act.gp/2D9USpZ #DropDirtyPalmOil
Greenpeace / www.greenpeace.org</t>
  </si>
  <si>
    <t>Кристина Алдошина</t>
  </si>
  <si>
    <t>VEGAN</t>
  </si>
  <si>
    <t>fur,plant</t>
  </si>
  <si>
    <t>grass,jungle,wildlife</t>
  </si>
  <si>
    <t>22.06.2019 17:22</t>
  </si>
  <si>
    <t>@RevThaMartian @bisforbeloved Nacho Cheese Doritos on a PB and J are fire.</t>
  </si>
  <si>
    <t>Caleb Montgomery</t>
  </si>
  <si>
    <t>38 a dar like</t>
  </si>
  <si>
    <t>Marinalva Oliveira</t>
  </si>
  <si>
    <t>@lmlbutera_ Currently eating Doritos in bed watching Bretman rock, living life to the fullest</t>
  </si>
  <si>
    <t>22.06.2019 17:20</t>
  </si>
  <si>
    <t>@toxicityfem Doritos tho</t>
  </si>
  <si>
    <t>Catherine</t>
  </si>
  <si>
    <t>24.06.2019 06:08</t>
  </si>
  <si>
    <t>When were the "Dark Ages" and why was it called that?</t>
  </si>
  <si>
    <t>Arts &amp; Humanities | Yahoo Answers</t>
  </si>
  <si>
    <t>22.06.2019 17:19</t>
  </si>
  <si>
    <t>@Doritos Doritos make me feel like humans aren’t alone in this vast empty universe because they’re out of this world! #IncognitoDoritos #entry</t>
  </si>
  <si>
    <t>Anthony</t>
  </si>
  <si>
    <t>Álamo</t>
  </si>
  <si>
    <t>ESSA E TOP PAREÇE O SIMBOLO DE IR PARA FENTRE</t>
  </si>
  <si>
    <t>Miguel Ribeiro</t>
  </si>
  <si>
    <t>dude , i completely 100% agree with u , its the lowest of low efforts made by the “cosplayer” ! but if u speak the truth here ,ull get downvoted like crazy, like u already did ! she didn’t even bought that damn dva suit that everyone “cosplaying” dva has ... no she just went with the headset and doritos , minimum fuckin effort!</t>
  </si>
  <si>
    <t>UkyoTachibana</t>
  </si>
  <si>
    <t>4 salve goorrddoo</t>
  </si>
  <si>
    <t>WOTOURO REI DOS CLIPES</t>
  </si>
  <si>
    <t>22.06.2019 17:17</t>
  </si>
  <si>
    <t>Mohammed Amir</t>
  </si>
  <si>
    <t>22.06.2019 17:16</t>
  </si>
  <si>
    <t>@ThePhoenixG Doritos have loop that’s why duh</t>
  </si>
  <si>
    <t>phoenix graham</t>
  </si>
  <si>
    <t>Slv Augusto ✌️</t>
  </si>
  <si>
    <t>pipocando entreterimeto e diversao</t>
  </si>
  <si>
    <t>23.06.2019 04:15</t>
  </si>
  <si>
    <t>Tostitos -Locos 
Conchitas Encanto Preparadas
Doritos Locos Preparados 
Cheetos Queso  Jalapeños 
               El Kiosko 10 
https://www.facebook.com/1337670976318279/photos/a.1337673529651357/3160115610740464/?type=3</t>
  </si>
  <si>
    <t>Refresqueria el Kiosko # 10 Federa rd</t>
  </si>
  <si>
    <t>22.06.2019 17:18</t>
  </si>
  <si>
    <t>Jikook</t>
  </si>
  <si>
    <t>22.06.2019 17:11</t>
  </si>
  <si>
    <t>O lebile mogwanto jaanong
The only bag of Doritos that matter</t>
  </si>
  <si>
    <t>21st June</t>
  </si>
  <si>
    <t>Kgatleng District</t>
  </si>
  <si>
    <t>Мочуди</t>
  </si>
  <si>
    <t>24.06.2019 04:08</t>
  </si>
  <si>
    <t>Lançamento !!!
DORITOS 
MUSSARELA 
CREAM CHEESE
CHEDDAR 
BACON 
8 PEDAÇOS
https://www.facebook.com/1448665988744422/photos/a.1449344215343266/2366246093653069/?type=3</t>
  </si>
  <si>
    <t>Pizzaria Michelangelo</t>
  </si>
  <si>
    <t>22.06.2019 17:13</t>
  </si>
  <si>
    <t>@jessamber_ Best Doritos everrr @</t>
  </si>
  <si>
    <t>Joey D</t>
  </si>
  <si>
    <t>Hello #doritos</t>
  </si>
  <si>
    <t>Fenomen benim</t>
  </si>
  <si>
    <t>meal,french fries,fast food,junk food,fried food,food</t>
  </si>
  <si>
    <t>22.06.2019 17:07</t>
  </si>
  <si>
    <t>nahnah</t>
  </si>
  <si>
    <t>22.06.2019 17:05</t>
  </si>
  <si>
    <t>@feasibleweasel I’m a huge fan of anything that pairs sweet with salty. Doritos and chocolate are otherworldly together too.</t>
  </si>
  <si>
    <t>Grodus</t>
  </si>
  <si>
    <t>Gulf Shores</t>
  </si>
  <si>
    <t>Nothing says #healthy like #organic Doritos.</t>
  </si>
  <si>
    <t>Brad Fritz</t>
  </si>
  <si>
    <t>@Doritos are you interested in a brand deals
with me all you have to do is send 
i will review it on my youtube channel i have  17,493   Views &amp; 43 Subscribers 
i will do it for free https://www.youtube.com/channel/UCGTTVBltvPTlHugWYMVD10Q?view_as=subscriber</t>
  </si>
  <si>
    <t>Super Princess Rodri</t>
  </si>
  <si>
    <t>22.06.2019 17:06</t>
  </si>
  <si>
    <t>aye aye // what color bag of doritos is the best ?? // #explorepage #viral #dance #yeawtxc</t>
  </si>
  <si>
    <t>brianna</t>
  </si>
  <si>
    <t>24.06.2019 06:15</t>
  </si>
  <si>
    <t>doritos gamer pack</t>
  </si>
  <si>
    <t>limited edition halo 4 mountain dew please meet pre release halo 4 .
mountain dew and doritos relaunch double xp and game fuel popsop .
frito lay doritos cheetos 40 count variety pack boxed .
doritos teams with youtubers for xbox one x campaign mobile .
gamer snack pack sticker by daisy sock redbubble .
off the shelf doritos gamer packs function on multiple levels youtube .
doritos dinamita chile limón flavored rolled tortilla chips .
doritos flavored tortilla chips variety pack 40 count 17 99 .
doritos mountain dew know your meme .
amazon</t>
  </si>
  <si>
    <t>best doritos</t>
  </si>
  <si>
    <t>best doritos flavors every type of dorito tasted and ranked .
best doritos flavors every type of dorito tasted and ranked .
best doritos flavors every type of dorito tasted and ranked .
nacho cheese vs cool ranch which is the superior dorito .
best doritos flavors every type of dorito tasted and ranked .
the best doritos flavors 479k reviews influenster reviews 2019 .
best doritos flavors every type of dorito tasted and ranked .
nacho cheese vs cool ranch which is the superior dorito .
best doritos flavors every type of dorito tasted and</t>
  </si>
  <si>
    <t>23.06.2019 04:30</t>
  </si>
  <si>
    <t>Goodie box for the #bride and #groom.  Perfect for a #midnight #snack at the hotel on their #wedding #night  #carmellascuisine #wedding #catering #event #rivertoncityutah</t>
  </si>
  <si>
    <t>Carmella’s Cuisine</t>
  </si>
  <si>
    <t>Riverton</t>
  </si>
  <si>
    <t>meal,sandwich,food,junk food,fast food</t>
  </si>
  <si>
    <t>22.06.2019 17:01</t>
  </si>
  <si>
    <t>@Doritos are the champs of the crisp world</t>
  </si>
  <si>
    <t>Scott Brown</t>
  </si>
  <si>
    <t>Ellon</t>
  </si>
  <si>
    <t>¡Es real!  Palomitas sabor Doritos Nacho 
https://www.facebook.com/exafm102.1/photos/a.544009592460799/1050841991777554/?type=3</t>
  </si>
  <si>
    <t>Exa FM 102.1</t>
  </si>
  <si>
    <t>22.06.2019 17:15</t>
  </si>
  <si>
    <t>WHO ATE MY DORITOS</t>
  </si>
  <si>
    <t>Spider Man</t>
  </si>
  <si>
    <t>DESAFIO DO DORITOS GIGANTE COM JULIO COCIELO, ARTHUR e JUKANALHA</t>
  </si>
  <si>
    <t>DESAFIO DO DORITOS GIGANTE COM JULIO COCIELO, ARTHUR e JUKANALHA
Baixe Grátis o ONEFOOTBALL para ANDROID e IOS!!
Clique no Link: http://tinyurl.com/y3rq6wkv 
------------------------------------------------------------------
►  QUEM LEVOU O DORITOS GIGANTE??? Julio Cocielo, Arthur ou Jukanalha? COMENTA AI E DEIXA MUITO LIKE NESSE VIDEO! SE INSCREVA NO CANAL: https://www.youtube.com/gingastreet?sub_confirmation=1
GINGA STREET RUMO A 1 MILHÃO DE INSCRITOS!! 
Nosso Instagram: 
@DiegoFreestyle https://instagram.com/diegofreestyle
@Adonias https</t>
  </si>
  <si>
    <t>Ginga Street</t>
  </si>
  <si>
    <t>22.06.2019 17:28</t>
  </si>
  <si>
    <t>Doritosy o smaku : papryczek chilli i sera (nacho sera)
-----------------------------------------------------------
Doritos flavoured : chilli peppers and  cheese (nacho cheese)
#chipsy #doritos #doritosy #doritoschilli #doritosser #doritosnachoser #crisps #doritoscheese #doritosnachocheese #doritosofinstagram #crispsofinstagram #foodofinstagram</t>
  </si>
  <si>
    <t>Karol437</t>
  </si>
  <si>
    <t>22.06.2019 16:58</t>
  </si>
  <si>
    <t>Super Mario bros 3 ep.11</t>
  </si>
  <si>
    <t>Super Mario bros 3 ep.11
Always throw them Doritos at that like button for ya boy</t>
  </si>
  <si>
    <t>22.06.2019 17:02</t>
  </si>
  <si>
    <t>@SheiiRuiiz Sii, disfrute mi coquita con hielo y mis doritos</t>
  </si>
  <si>
    <t>Josefa♥</t>
  </si>
  <si>
    <t>People who live in US and praise Sovet Union disgust me</t>
  </si>
  <si>
    <t>countries they obsess over, and guarantee they'd be crying and wanting their old life back within a day.
The real assholes are the older ones, the ones who have actually endured what the Soviets have done, and still side with them. These are the real enemies, not some misinformed, call of duty playing, doritos-eating college twat with a Karl Marx poster</t>
  </si>
  <si>
    <t>harlet</t>
  </si>
  <si>
    <t>For Your Opinions That Are Unpopular</t>
  </si>
  <si>
    <t>ethan jacobson</t>
  </si>
  <si>
    <t>@Doritos #IncognitoDoritos #Entry  Psychic ability. Because I know when I eat Doritos people are wishing I would give them some</t>
  </si>
  <si>
    <t>TERI HILGER</t>
  </si>
  <si>
    <t>22.06.2019 16:59</t>
  </si>
  <si>
    <t>6 natural ways to help treat high blood pressure</t>
  </si>
  <si>
    <t>sodium) for the side effects.   Overall, there are studies on both sides of the sodium issue, but they all agree on one thing: Avoid processed foods. I know Pop Tarts and Doritos are delicious, but they aren't helping anyone avoid heart disease.   5. EAT (A LITTLE) CHOCOLATE   After going through that whole sugar vs. salt debate, telling you to eat chocolate seems pretty weird. But a study from 2010 found that dark chocolate helped reduce blood pressure for hypertensive people.   Though the study doesn't tell you how much dark chocolate to eat, it's</t>
  </si>
  <si>
    <t>wiscnews.com</t>
  </si>
  <si>
    <t>22.06.2019 17:00</t>
  </si>
  <si>
    <t>color fest
.
.
.
.
.
.
#colorfestival #colorfest #white #colorhair #color #festiwalkolorow #festiwalkolorow2019 #gdansk #hue #doritos #likeme#followme#spamme #friends #gang #hangout #crowd #people #me
@nike @hm @privv.martv</t>
  </si>
  <si>
    <t>Гданьск</t>
  </si>
  <si>
    <t>22.06.2019 16:52</t>
  </si>
  <si>
    <t>The world wasn’t ready for 3D Doritos</t>
  </si>
  <si>
    <t>Miami Gardens</t>
  </si>
  <si>
    <t>22.06.2019 16:53</t>
  </si>
  <si>
    <t>doritos and nutella 
19. what’s a weird food combination you love?</t>
  </si>
  <si>
    <t>michelle</t>
  </si>
  <si>
    <t>22.06.2019 16:56</t>
  </si>
  <si>
    <t>@Doritos A super power to help change the lives of special needs children #IncognitoDoritos #entry</t>
  </si>
  <si>
    <t>Kristina W.</t>
  </si>
  <si>
    <t>The 10 Best Comments of the Week 6/23</t>
  </si>
  <si>
    <t>videos. If he tires of electronics, Tristan would have to face the consequences of his misbehavior by reading one of the dozens of comic books he has or by playing with some of his action figures, housed in three large boxes in his closet.
Conceived as a tough-love punishment, Tristan could be in this blissfully peaceful wonderland for hours. Should he come perilously close to missing a meal, he would be forced to survive on an impressive stash of leftover Easter candy and multiple open bags of Doritos.
One hour into the sentence, his dad Bryan</t>
  </si>
  <si>
    <t>Jimmy Applegath</t>
  </si>
  <si>
    <t>22.06.2019 16:57</t>
  </si>
  <si>
    <t>Terri Schwenzer</t>
  </si>
  <si>
    <t>22.06.2019 16:48</t>
  </si>
  <si>
    <t>food, they blamed high sugar (not sodium) for the side effects.   Overall, there are studies on both sides of the sodium issue, but they all agree on one thing: Avoid processed foods. I know Pop Tarts and Doritos are delicious, but they aren't helping anyone avoid heart disease.   5. EAT (A LITTLE) CHOCOLATE   After going through that whole sugar vs. salt debate, telling you to eat chocolate seems pretty weird. But a study from 2010 found that dark chocolate helped reduce blood pressure for hypertensive people.   Though the study doesn't tell</t>
  </si>
  <si>
    <t>gazettetimes.com</t>
  </si>
  <si>
    <t>❤️ #boanoite #photooftheday #photoo #likeforlikes #l4like #sp #gaysp #gayhot #gaystagram #gayboy #instalike #cute #followme #selfie #igers #nofilter #photographyiphonexs #justnow #gay #gayman #gaybr #brazil #brasil #sp #like #role #boy</t>
  </si>
  <si>
    <t>Thiago Alves Ranieri</t>
  </si>
  <si>
    <t>street,city</t>
  </si>
  <si>
    <t>22.06.2019 16:51</t>
  </si>
  <si>
    <t>Soy FrankyAlvarez</t>
  </si>
  <si>
    <t>22.06.2019 16:50</t>
  </si>
  <si>
    <t>Jsjsjsjjssjjsjjs Veni a comer doritos conmigo❣</t>
  </si>
  <si>
    <t>Aguus Venaviides</t>
  </si>
  <si>
    <t>16:44</t>
  </si>
  <si>
    <t>to come.   To further the salt versus sugar debate, a paper published in the cardiology journal Open Heart found that added sugars elevated heart rate and blood pressure and caused a variety of metabolic and insulin problems in human and animal studies. Though they also advise eating less processed food, they blamed high sugar (not sodium) for the side effects.   Overall, there are studies on both sides of the sodium issue, but they all agree on one thing: Avoid processed foods. I know Pop Tarts and Doritos are delicious, but they aren't</t>
  </si>
  <si>
    <t>nwitimes.com</t>
  </si>
  <si>
    <t>bismarcktribune.com</t>
  </si>
  <si>
    <t>NOOOOO❗️ #ew #doritos #food #funny #chips #laughing</t>
  </si>
  <si>
    <t>{FAMilia}ForeverAbout✌❌FUG</t>
  </si>
  <si>
    <t>sky,leisure</t>
  </si>
  <si>
    <t>insulin problems in human and animal studies. Though they also advise eating less processed food, they blamed high sugar (not sodium) for the side effects.
Overall, there are studies on both sides of the sodium issue, but they all agree on one thing: Avoid processed foods. I know Pop Tarts and Doritos are delicious, but they aren't helping anyone avoid heart disease.
After going through that whole sugar vs. salt debate, telling you to eat chocolate seems pretty weird. But a study from 2010 found that dark chocolate helped reduce blood pressure for</t>
  </si>
  <si>
    <t>Lompoc Record</t>
  </si>
  <si>
    <t>lompocrecord.com</t>
  </si>
  <si>
    <t>22.06.2019 16:43</t>
  </si>
  <si>
    <t>Iris</t>
  </si>
  <si>
    <t>22.06.2019 19:19</t>
  </si>
  <si>
    <t>Ekşi Cips?! | Suyu İçen Kaybeder!! | Doritos risk 3.0</t>
  </si>
  <si>
    <t>SUDE ONAT</t>
  </si>
  <si>
    <t>22.06.2019 16:41</t>
  </si>
  <si>
    <t>For a bag of Doritos and he is all yours!
Liverpool are reportedly considering making a move to re-sign Philippe Coutinho. [echo]</t>
  </si>
  <si>
    <t>Stifler⚽️</t>
  </si>
  <si>
    <t>ball game,sports,championship</t>
  </si>
  <si>
    <t>Vlog#7: Andarias con un chico afeminado? Doritos Rainbow</t>
  </si>
  <si>
    <t>Vlog#7: Andarias con un chico afeminado? Doritos Rainbow
instagram: Cachivachevc
Snapchat: Lohan_vcc
https://www.facebook.com/Cachivachevc</t>
  </si>
  <si>
    <t>Cachivache vc</t>
  </si>
  <si>
    <t>22.06.2019 16:49</t>
  </si>
  <si>
    <t>@Jade_Fynn @yeah_buddy031 Nope. Doritos actually has flavor</t>
  </si>
  <si>
    <t>Hayden</t>
  </si>
  <si>
    <t>conversation,news,presentation,business,news conference,official,speech</t>
  </si>
  <si>
    <t>decades to come.   To further the salt versus sugar debate, a paper published in the cardiology journal Open Heart found that added sugars elevated heart rate and blood pressure and caused a variety of metabolic and insulin problems in human and animal studies. Though they also advise eating less processed food, they blamed high sugar (not sodium) for the side effects.   Overall, there are studies on both sides of the sodium issue, but they all agree on one thing: Avoid processed foods. I know Pop Tarts and Doritos are delicious, but they aren't</t>
  </si>
  <si>
    <t>cumberlink.com</t>
  </si>
  <si>
    <t>processed food, they blamed high sugar (not sodium) for the side effects.   Overall, there are studies on both sides of the sodium issue, but they all agree on one thing: Avoid processed foods. I know Pop Tarts and Doritos are delicious, but they aren't helping anyone avoid heart disease.   5. EAT (A LITTLE) CHOCOLATE   After going through that whole sugar vs. salt debate, telling you to eat chocolate seems pretty weird. But a study from 2010 found that dark chocolate helped reduce blood pressure for hypertensive people.   Though the study doesn't</t>
  </si>
  <si>
    <t>Daily Journal</t>
  </si>
  <si>
    <t>dailyjournalonline.com</t>
  </si>
  <si>
    <t>22.06.2019 16:40</t>
  </si>
  <si>
    <t>SuRaj</t>
  </si>
  <si>
    <t>Карнатака</t>
  </si>
  <si>
    <t>Бангалор</t>
  </si>
  <si>
    <t>22.06.2019 16:44</t>
  </si>
  <si>
    <t>when y’all is having a class party and u see some dumb nigga pull up to class with doritos</t>
  </si>
  <si>
    <t>lilgoofey</t>
  </si>
  <si>
    <t>UG| Jako Man @EVO2K19</t>
  </si>
  <si>
    <t>@theoriginalkay You're a doritos girl</t>
  </si>
  <si>
    <t>@Doritos @Doritos gives me the super power to bend my taste buds to my will! #IncognitoDoritos #Entry</t>
  </si>
  <si>
    <t>anthony_art_stuff</t>
  </si>
  <si>
    <t>22.06.2019 16:39</t>
  </si>
  <si>
    <t>me: i should eat healthier and do some exercise
also me: doesn't move all and day and shoves doritos and chocolate buttons in my face</t>
  </si>
  <si>
    <t>Chloe  NeoCity London</t>
  </si>
  <si>
    <t>Confira o novo álbum de Madonna: Madame X</t>
  </si>
  <si>
    <t>Mas valeu o doritos</t>
  </si>
  <si>
    <t>Léo</t>
  </si>
  <si>
    <t>orecreio.com.br</t>
  </si>
  <si>
    <t>Recreio</t>
  </si>
  <si>
    <t>animal studies. Though they also advise eating less processed food, they blamed high sugar (not sodium) for the side effects.   Overall, there are studies on both sides of the sodium issue, but they all agree on one thing: Avoid processed foods. I know Pop Tarts and Doritos are delicious, but they aren't helping anyone avoid heart disease.   5. EAT (A LITTLE) CHOCOLATE   After going through that whole sugar vs. salt debate, telling you to eat chocolate seems pretty weird. But a study from 2010 found that dark chocolate helped reduce blood pressure</t>
  </si>
  <si>
    <t>Rapid City Journal</t>
  </si>
  <si>
    <t>rapidcityjournal.com</t>
  </si>
  <si>
    <t>Journal Times</t>
  </si>
  <si>
    <t>journaltimes.com</t>
  </si>
  <si>
    <t>billingsgazette.com</t>
  </si>
  <si>
    <t>Post Star</t>
  </si>
  <si>
    <t>poststar.com</t>
  </si>
  <si>
    <t>22.06.2019 16:37</t>
  </si>
  <si>
    <t>[5x11//5x12] ༄
―
« i thought i wasnt gonna post
but then i remembered i made this »
―
: doritos or pringles
: shit idk probably doritos
―
: bestoscenes
―
 @dreamytvd []
     &lt;
―</t>
  </si>
  <si>
    <t>*:･ﾟ✧</t>
  </si>
  <si>
    <t>22.06.2019 16:34</t>
  </si>
  <si>
    <t>Godzilla KOTM titans portrayed by Doritos. @resurrection_goji @kaijufan1984 @methlokaiju @king.of.kings1954 @godzillamovie @_organization_monarch_ @mosura_lover @monarch_mothra #godzilla #godzilla2014 #godzillakingofthemonsters #gojira #godzilla2 #godzilla2019 #kaiju #monsterverse #kingofthemonsters #toho #kingghidorah #ghidorah #mothra #rodan #monarchsciences #legendary #godzillamovie #legendarygodzilla #warnerbrosstudios #kingghidorah2019 #rodan2019 #mothra2019 #kingofthemonsters</t>
  </si>
  <si>
    <t>Chris</t>
  </si>
  <si>
    <t>22.06.2019 16:33</t>
  </si>
  <si>
    <t>Gaby Evans</t>
  </si>
  <si>
    <t>to come.
To further the salt versus sugar debate, a paper published in the cardiology journal Open Heart found that added sugars elevated heart rate and blood pressure and caused a variety of metabolic and insulin problems in human and animal studies. Though they also advise eating less processed food, they blamed high sugar (not sodium) for the side effects.
Overall, there are studies on both sides of the sodium issue, but they all agree on one thing: Avoid processed foods. I know Pop Tarts and Doritos are delicious, but they aren't helping</t>
  </si>
  <si>
    <t>Amber Petty, greatist.com</t>
  </si>
  <si>
    <t>safeliving101.com</t>
  </si>
  <si>
    <t>22.06.2019 16:31</t>
  </si>
  <si>
    <t>Peace-out statistics! ✌Celebrating the end of stats by eating a whole bag of Doritos. Just kidding....maybe... #movingon #bsn #bsnbound #nursemom #nursemomlife #gettingitdone</t>
  </si>
  <si>
    <t>Rachael Butcher</t>
  </si>
  <si>
    <t>22.06.2019 16:38</t>
  </si>
  <si>
    <t>@KetoMojoGogo @LCHF_TOOLBOX @Nutradvance Inhaling Doritos, cereal bars, and soda.</t>
  </si>
  <si>
    <t>Bobbi Jo Woöds</t>
  </si>
  <si>
    <t>Сент-Пол</t>
  </si>
  <si>
    <t>*** FEEL YOUR FULLNESS*** this is a tough one, especially for me. After years of suffering from restrictive eating, I realized how much I truly loved food. And although it was exciting to eventually be able to taste and enjoy all the foods I wouldn't allow myself to eat without worrying for so many  years ( mac and cheese!, doritos! Cookies!)I would frequently eat far past being satiated and end up at Thanksgiving-food-coma-starting-to get nauseous full. The key here is not to beat yourself up and simply try to be more mindful when eating</t>
  </si>
  <si>
    <t>Jessica Palo, RD, CDN</t>
  </si>
  <si>
    <t>Bros are back looking for some Gatorade and Doritos.  Life of a skater. #skate #bros #fresh #stlouisparkskaters</t>
  </si>
  <si>
    <t>Krisraasch</t>
  </si>
  <si>
    <t>floor,chair,shoe,clothing</t>
  </si>
  <si>
    <t>22.06.2019 16:27</t>
  </si>
  <si>
    <t>Doris</t>
  </si>
  <si>
    <t>Gostei ,postei♥
.
.
.
.
#vermelho #amo  #digitalinfluencer #stylefashion ♥♥♥</t>
  </si>
  <si>
    <t>talisouza♥ ~ perfil oficial</t>
  </si>
  <si>
    <t>22.06.2019 16:30</t>
  </si>
  <si>
    <t>my costar was like “you wont fall apart today” ??? i know stupid im standing in my kitchen eating salsa verde doritos out the bag what is there to be upset over</t>
  </si>
  <si>
    <t>(k!mberly)</t>
  </si>
  <si>
    <t>Field</t>
  </si>
  <si>
    <t>pinkie aviso Se abre seccion de preguntas</t>
  </si>
  <si>
    <t>1-Conocen A Somari Channel?
2-Para Pikachu. Donde Estan Mis Doritos Y V888888888?
3-Jugaran O Probaran Sonic Adventure?</t>
  </si>
  <si>
    <t>MightyMania Sequel</t>
  </si>
  <si>
    <t>The New Crusaders Inc</t>
  </si>
  <si>
    <t>22.06.2019 16:28</t>
  </si>
  <si>
    <t>22.06.2019 16:24</t>
  </si>
  <si>
    <t>jacqueline warby</t>
  </si>
  <si>
    <t>@VortexOfDeath_ | *se come los doritos (?)*</t>
  </si>
  <si>
    <t>BOROS。</t>
  </si>
  <si>
    <t>Do your thing Wyatt. This is what skipping naptime looks like. 
#wysguy #beatytwin #boymom #myheart #mommasboy #mommysbigboy #doritos #coolranchdoritos #thomasthetrain #laidback #caprisun</t>
  </si>
  <si>
    <t>Brooke Null</t>
  </si>
  <si>
    <t>22.06.2019 16:23</t>
  </si>
  <si>
    <t>@Doritos My super power would be to stop overdoses and wipe out opiods , fentynal and heroin addiction #f*addiction . My second power would be a slime  slinging cancer destroyer. #f*cancer . #IncognitoDoritos #Entry</t>
  </si>
  <si>
    <t>John</t>
  </si>
  <si>
    <t>16:22</t>
  </si>
  <si>
    <t>silver</t>
  </si>
  <si>
    <t>22.06.2019 16:32</t>
  </si>
  <si>
    <t>2 stepbrothers 1 packet of Doritos</t>
  </si>
  <si>
    <t>Savage Vintage Gaming</t>
  </si>
  <si>
    <t>8pm: The ongoing occupation of TULSA HQ and why Irish people have to stop behaving like sheeple</t>
  </si>
  <si>
    <t>ALDI does sell GMO. Just not under their own label. Monsanto has products for sell at Aldi. Doritos, Coke cola, Johnson and Johnson, ect.</t>
  </si>
  <si>
    <t>L. R.</t>
  </si>
  <si>
    <t>Gemma O'Doherty</t>
  </si>
  <si>
    <t>22.06.2019 16:25</t>
  </si>
  <si>
    <t>O meu tipo de balada tem open de sorvete e Doritos.
.
.
.
#WareHouse #Ben&amp;Jerry's #IceCream #DoritosRainbow #LGBTQI+ #Pride #Party
@benandjerrys @benandjerrysbr</t>
  </si>
  <si>
    <t>MarinaCarlesso</t>
  </si>
  <si>
    <t>stage</t>
  </si>
  <si>
    <t>22.06.2019 16:20</t>
  </si>
  <si>
    <t>baharatli doritos nasil yapildigin hic umrumda degil cok guzelsin</t>
  </si>
  <si>
    <t>gülşah ile kalbim çıt pıt</t>
  </si>
  <si>
    <t>22.06.2019 16:17</t>
  </si>
  <si>
    <t>abbacchio if ur reading this fuck u</t>
  </si>
  <si>
    <t>22.06.2019 16:15</t>
  </si>
  <si>
    <t>@cajunsoulfire74 @seekerofvidya and like Doritos, we'll make more. especially now that @POTUS made Hemp Legal Again! hahahahahahahaha
in case you didn't know. and look at all the other cool sh*t you can do and make with it. NOW YOU KNOW why it was illegal for so long.</t>
  </si>
  <si>
    <t>Type of Way ⭐⭐⭐</t>
  </si>
  <si>
    <t>16:11</t>
  </si>
  <si>
    <t>Eating Doritos ketchup chips ASMR</t>
  </si>
  <si>
    <t>IM HAVING A SLEEPOVER SO FRICK YOU COWARD</t>
  </si>
  <si>
    <t>ava</t>
  </si>
  <si>
    <t>xXPOPZPOSTZXx xXPOPZPOSTZXx</t>
  </si>
  <si>
    <t>22.06.2019 16:16</t>
  </si>
  <si>
    <t>Ears like doritos cause Im a snack #corgi #corgisofinstagram #corgisofinstagram</t>
  </si>
  <si>
    <t>Havarti Jo</t>
  </si>
  <si>
    <t>22.06.2019 16:22</t>
  </si>
  <si>
    <t>@NisaLocally Definitely Doritos!</t>
  </si>
  <si>
    <t>Tash Roxanne</t>
  </si>
  <si>
    <t>@BlameItOnJoe Doritos EW</t>
  </si>
  <si>
    <t>St. Lalélegebete✨</t>
  </si>
  <si>
    <t>Среднезападный регион</t>
  </si>
  <si>
    <t>Room</t>
  </si>
  <si>
    <t>22.06.2019 16:18</t>
  </si>
  <si>
    <t>Much thanks
my lifestyle blog will include how to vacuum Doritos 
(u step on them 1st)</t>
  </si>
  <si>
    <t>Danna</t>
  </si>
  <si>
    <t>Simba. Easily. Lays Sour Cream &amp; Onion, Doritos Sweet Chilli and Pringle OG
One has to go: Chips Edition</t>
  </si>
  <si>
    <t>Purple Haze</t>
  </si>
  <si>
    <t>L'Hôme-Chamondot</t>
  </si>
  <si>
    <t>22.06.2019 16:10</t>
  </si>
  <si>
    <t>Ms. Schönheit♡'</t>
  </si>
  <si>
    <t>23.06.2019 03:34</t>
  </si>
  <si>
    <t>When Nurse Betty has to make a Saturday Night Snack run for the patient... He can be lucky he is so damn cute! 
#winternights #snacks #comfortfood #DietOnMondayAgain</t>
  </si>
  <si>
    <t>Corne Viviers</t>
  </si>
  <si>
    <t>22.06.2019 16:09</t>
  </si>
  <si>
    <t>@Hello86447071 @SpiderManMovie @Doritos</t>
  </si>
  <si>
    <t>Bombastic Bag Man</t>
  </si>
  <si>
    <t>2019 Run Ragged Last Person Standing</t>
  </si>
  <si>
    <t>the 10 minutes or so that I had between laps I spent my time taking selfies, refueling, and rehydrating. I ate a mix of real food (whatever was available at the aid station: Doritos, pizza, rice soup, peanut butter and jelly sandwiches, grilled cheeses, oranges, etc.) and Science In Sport isotonic gels . For hydration, I mainly drank the Skratch that was provided at the aid station, but I also brought some iced coffees and coconut water to treat myself to a little variety of refreshments.
One of the earlier starts when it was done to just</t>
  </si>
  <si>
    <t>Beast Coast Trail Running (noreply@blogger.com)</t>
  </si>
  <si>
    <t>beastcoasttrailrunning.com</t>
  </si>
  <si>
    <t>24.06.2019 06:14</t>
  </si>
  <si>
    <t>23.06.2019 03:32</t>
  </si>
  <si>
    <t>Happy birthday to me :D
.
.
.
.
.
#trending #picsart #pngs #moodboardpage #moodboard #moodboards #rainbow #rainbowaesthetic #aesthetics #aestheticallypleasing #redaesthetic #soft #softaesthetic #retroaesthetic #retro #vintage #vintageaesthetic #nameaesthetics #niche #nichememeaccount #aestheticsaccount #fff #lfl #names #yellowaesthetic #80saesthetic #70saesthetic #90saesthetic #aestheticnames</t>
  </si>
  <si>
    <t>Honey</t>
  </si>
  <si>
    <t>Манила</t>
  </si>
  <si>
    <t>22.06.2019 16:21</t>
  </si>
  <si>
    <t>The cuteness overload  little Mr listener. Smarty-pants will do anything for a Doritos chip. What should I teach him next?
#bordercollie #dogtricks</t>
  </si>
  <si>
    <t>cat</t>
  </si>
  <si>
    <t>22.06.2019 16:11</t>
  </si>
  <si>
    <t>Th⚽mas</t>
  </si>
  <si>
    <t>22.06.2019 16:05</t>
  </si>
  <si>
    <t>@Doritos #IncognitoDoritos #Entry the super power of creating a world of equality, love and respect, without violence.</t>
  </si>
  <si>
    <t>Danae Morales</t>
  </si>
  <si>
    <t>22.06.2019 16:07</t>
  </si>
  <si>
    <t>My friend had shoulder surgery yesterday and I thought he might need some help with snacks. Of course his friend being a personal trainer is probably a little bit disappointing that I didn’t bring over a bag of Doritos and some dip? Poor Mikey 
So I started early so I can enjoy this beautiful summer day in #longbeach! ☀️ #mealprep  #saturdaymorning #healthyliving #warriorupfitness #food #nutritionalbootcamp #eathealthyfood #vegetables #healthycarbs #sealbeach #itrainonline #fitnessmotivation
@thevoiceprogirl</t>
  </si>
  <si>
    <t>Julie Beck</t>
  </si>
  <si>
    <t>Seal Beach</t>
  </si>
  <si>
    <t>diet food,natural foods,vegetable,food</t>
  </si>
  <si>
    <t>22.06.2019 16:04</t>
  </si>
  <si>
    <t>Everytime I see a pic of this bitch I get a whiff of lemon water &amp; dirty Doritos</t>
  </si>
  <si>
    <t>RichieRitch</t>
  </si>
  <si>
    <t>Бистрица-Нэсэуд</t>
  </si>
  <si>
    <t>Vița</t>
  </si>
  <si>
    <t>ESQUITES CON MUCHOS DORITOS!
#DORITOS #ESQUITES #CONQUESITO #CONMAYONESA #DELICIASMEXICANAS
https://www.facebook.com/elotesyesquitesfunnylotes/photos/a.197863100950252/503523933717499/?type=3</t>
  </si>
  <si>
    <t>Funnylotes Elotes y Esquites</t>
  </si>
  <si>
    <t>cup,dessert,drink,food</t>
  </si>
  <si>
    <t>22.06.2019 16:02</t>
  </si>
  <si>
    <t>https://rover.ebay.com/rover/0/0/0?mpre=https%3A%2F%2Fwww.ebay.com%2Fulk%2Fitm%2F163748121013
#nfl #nflfootball #missyelliott #doritos #doritoscollisions #missyelliott #funkywhitesister #ebay #ebaylife #ebayshop#nflclothing</t>
  </si>
  <si>
    <t>Pandas Piggy Bank</t>
  </si>
  <si>
    <t>22.06.2019 16:03</t>
  </si>
  <si>
    <t>Michael Joseph</t>
  </si>
  <si>
    <t>22.06.2019 16:06</t>
  </si>
  <si>
    <t>Marie Cornwall</t>
  </si>
  <si>
    <t>@Doritos Gives me the power to create more doritos #IncognitoDoritos #Entry</t>
  </si>
  <si>
    <t>Will Smith -- comissions open!</t>
  </si>
  <si>
    <t>Belize</t>
  </si>
  <si>
    <t>Orange Walk</t>
  </si>
  <si>
    <t>Tower Hill</t>
  </si>
  <si>
    <t>22.06.2019 16:01</t>
  </si>
  <si>
    <t>Luis Eder Rivera M.</t>
  </si>
  <si>
    <t>23.06.2019 03:27</t>
  </si>
  <si>
    <t>follow (@qtadore) for more posts like this 
┈┈✧┈┈
please like, save n’ follow if you see this ʕ •ᴥ•ʔ
┈┈✧┈┈
「」qotd: do u own airpods? lol</t>
  </si>
  <si>
    <t>Instagram:@the_doritos_of_the_bts 
Twitter:@the_dotitos_bts
#twitter #bts#kpop</t>
  </si>
  <si>
    <t>#nintendoswitchnight #nintendoswitch #doritos #mumandson #saturdaynight</t>
  </si>
  <si>
    <t>jenbray88</t>
  </si>
  <si>
    <t>lighting,table</t>
  </si>
  <si>
    <t>Cinépolis: paquete grande de nuevas Palomitas Doritos Nachos por $29 con tarjeta Club Cinépolis
http://bit.ly/2XnLibW
https://www.facebook.com/promodescuentos/photos/a.239655136091242/2386378858085515/?type=3</t>
  </si>
  <si>
    <t>PromoDescuentos.com</t>
  </si>
  <si>
    <t>22.06.2019 15:59</t>
  </si>
  <si>
    <t>PromoDescuentos</t>
  </si>
  <si>
    <t>15:58</t>
  </si>
  <si>
    <t>Someone discovered @doritos 
#lucky #daughter #babygirl #sweet #doritos #orange #messy #shegetsit #likehermomma</t>
  </si>
  <si>
    <t>Katie Baker</t>
  </si>
  <si>
    <t>#cheetos #asteroidscheetos #asteroids #doritos with cheese are really</t>
  </si>
  <si>
    <t>Carniceria Hnos Garcia</t>
  </si>
  <si>
    <t>#fotostumblrbr #fotos #foto #estrellas #editore #editorlife #editordefoto #tumblrr #tumblers #tumblrs #strangerthings3 #like4likes #likelike #like4likes #likelike #doritos</t>
  </si>
  <si>
    <t>art,sky</t>
  </si>
  <si>
    <t>22.06.2019 16:00</t>
  </si>
  <si>
    <t>Eating spicy sweet chili doritos. My breath feels like this</t>
  </si>
  <si>
    <t>I sticker my own icons✋</t>
  </si>
  <si>
    <t>Уттаракханд</t>
  </si>
  <si>
    <t>Nail</t>
  </si>
  <si>
    <t>heat</t>
  </si>
  <si>
    <t>22.06.2019 15:58</t>
  </si>
  <si>
    <t>@Doritos 
Doritos give me the super power of nacho cheese fingers. They give me the ability to climb walls just like Spidey himself. Now i just need the suit and I'll be set
#IncognitoDoritos #entry</t>
  </si>
  <si>
    <t>Zach.leahy94@gmail.com</t>
  </si>
  <si>
    <t>15:53</t>
  </si>
  <si>
    <t>@Doritos #IncognitoDoritos #Entry Super muscle power ...</t>
  </si>
  <si>
    <t>Stacey</t>
  </si>
  <si>
    <t>Random Spider Dude</t>
  </si>
  <si>
    <t>22.06.2019 15:51</t>
  </si>
  <si>
    <t>Javier</t>
  </si>
  <si>
    <t>@moaneeek @tacobell Get me gordita crunch, 3 doritos locos tacos and a baja blast plz</t>
  </si>
  <si>
    <t>Gera Ramirez</t>
  </si>
  <si>
    <t>snack,appetizer,fast food,junk food,meal,food</t>
  </si>
  <si>
    <t>22.06.2019 15:49</t>
  </si>
  <si>
    <t>Sal Marra</t>
  </si>
  <si>
    <t>22.06.2019 15:57</t>
  </si>
  <si>
    <t>“In a bag of Doritos”
-
Follow me if from explore @yolo420m -
Song: I got depression by zack Fox -
-
-
-
-
-
-
-
-
Ignore tags please #edits #edit #editz #moodedits #mood #moodedit #moodeditz #meme #memeedits #lyrics #lyricedits #tiktokmemes #tiktok #dankmemes #explorepage #omgedit #omgedit</t>
  </si>
  <si>
    <t>Ily (no Homo)</t>
  </si>
  <si>
    <t>East Meadow</t>
  </si>
  <si>
    <t>neon,sky</t>
  </si>
  <si>
    <t>22.06.2019 15:56</t>
  </si>
  <si>
    <t>jade</t>
  </si>
  <si>
    <t>Valdelacalzada</t>
  </si>
  <si>
    <t>22.06.2019 15:55</t>
  </si>
  <si>
    <t>22.06.2019 15:54</t>
  </si>
  <si>
    <t>tatyanaB</t>
  </si>
  <si>
    <t>Pretty Prairie</t>
  </si>
  <si>
    <t>Saw some like 14 yr old get bopped at 7/11 last might for tryna steal a bag of Doritos</t>
  </si>
  <si>
    <t>WOMAN RESPECTER REPTAR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</si>
</sst>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5000"/>
  <sheetViews>
    <sheetView tabSelected="1" topLeftCell="A4987" workbookViewId="0">
      <selection activeCell="D4998" sqref="D4998"/>
    </sheetView>
  </sheetViews>
  <sheetFormatPr baseColWidth="10" defaultRowHeight="16"/>
  <sheetData>
    <row r="1" spans="1:40">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row>
    <row r="2" spans="1:40">
      <c r="A2" t="s">
        <v>40</v>
      </c>
      <c r="B2" t="s">
        <v>41</v>
      </c>
      <c r="C2" t="s">
        <v>42</v>
      </c>
      <c r="D2" t="s">
        <v>43</v>
      </c>
      <c r="E2" t="s">
        <v>44</v>
      </c>
      <c r="F2" t="s">
        <v>45</v>
      </c>
      <c r="G2" t="str">
        <f>HYPERLINK("https://techknowbits.com/2019/06/25/weiss-asset-management-lp-invests-213000-in-pepsico-inc-nasdaqpep.html")</f>
        <v>https://techknowbits.com/2019/06/25/weiss-asset-management-lp-invests-213000-in-pepsico-inc-nasdaqpep.html</v>
      </c>
      <c r="H2" t="s">
        <v>46</v>
      </c>
      <c r="I2" t="s">
        <v>47</v>
      </c>
      <c r="J2" t="str">
        <f>HYPERLINK("https://techknowbits.com/2019/06/25/weiss-asset-management-lp-invests-213000-in-pepsico-inc-nasdaqpep.html")</f>
        <v>https://techknowbits.com/2019/06/25/weiss-asset-management-lp-invests-213000-in-pepsico-inc-nasdaqpep.html</v>
      </c>
      <c r="L2" t="s">
        <v>48</v>
      </c>
      <c r="N2" t="s">
        <v>49</v>
      </c>
      <c r="R2" t="s">
        <v>50</v>
      </c>
      <c r="S2" t="s">
        <v>51</v>
      </c>
      <c r="AM2" t="s">
        <v>52</v>
      </c>
      <c r="AN2" t="s">
        <v>53</v>
      </c>
    </row>
    <row r="3" spans="1:40">
      <c r="A3" t="s">
        <v>40</v>
      </c>
      <c r="B3" t="s">
        <v>54</v>
      </c>
      <c r="C3" t="s">
        <v>55</v>
      </c>
      <c r="D3" t="s">
        <v>52</v>
      </c>
      <c r="E3" t="s">
        <v>56</v>
      </c>
      <c r="F3" t="s">
        <v>45</v>
      </c>
      <c r="G3" t="str">
        <f>HYPERLINK("https://www.instagram.com/p/BzI6dpnFh_w")</f>
        <v>https://www.instagram.com/p/BzI6dpnFh_w</v>
      </c>
      <c r="H3" t="s">
        <v>46</v>
      </c>
      <c r="I3" t="s">
        <v>57</v>
      </c>
      <c r="J3" t="str">
        <f>HYPERLINK("http://instagram.com/thesarahwalton")</f>
        <v>http://instagram.com/thesarahwalton</v>
      </c>
      <c r="K3">
        <v>1258</v>
      </c>
      <c r="L3" t="s">
        <v>58</v>
      </c>
      <c r="N3" t="s">
        <v>59</v>
      </c>
      <c r="O3" t="s">
        <v>57</v>
      </c>
      <c r="P3" t="str">
        <f>HYPERLINK("http://instagram.com/thesarahwalton")</f>
        <v>http://instagram.com/thesarahwalton</v>
      </c>
      <c r="Q3">
        <v>1258</v>
      </c>
      <c r="R3" t="s">
        <v>60</v>
      </c>
      <c r="W3">
        <v>2</v>
      </c>
      <c r="X3">
        <v>2</v>
      </c>
      <c r="AE3">
        <v>0</v>
      </c>
      <c r="AI3" t="s">
        <v>52</v>
      </c>
      <c r="AJ3" t="s">
        <v>52</v>
      </c>
      <c r="AK3" t="s">
        <v>52</v>
      </c>
      <c r="AL3" t="str">
        <f>HYPERLINK("https://www.instagram.com/p/BzI6dpnFh_w/media/?size=l")</f>
        <v>https://www.instagram.com/p/BzI6dpnFh_w/media/?size=l</v>
      </c>
      <c r="AM3" t="s">
        <v>52</v>
      </c>
      <c r="AN3" t="s">
        <v>53</v>
      </c>
    </row>
    <row r="4" spans="1:40">
      <c r="A4" t="s">
        <v>40</v>
      </c>
      <c r="B4" t="s">
        <v>61</v>
      </c>
      <c r="C4" t="s">
        <v>62</v>
      </c>
      <c r="D4" t="s">
        <v>52</v>
      </c>
      <c r="E4" t="s">
        <v>63</v>
      </c>
      <c r="F4" t="s">
        <v>45</v>
      </c>
      <c r="G4" t="str">
        <f>HYPERLINK("https://twitter.com/186488265/status/1143554465473208321")</f>
        <v>https://twitter.com/186488265/status/1143554465473208321</v>
      </c>
      <c r="H4" t="s">
        <v>46</v>
      </c>
      <c r="I4" t="s">
        <v>64</v>
      </c>
      <c r="J4" t="str">
        <f>HYPERLINK("http://twitter.com/kyliebeccaa")</f>
        <v>http://twitter.com/kyliebeccaa</v>
      </c>
      <c r="K4">
        <v>840</v>
      </c>
      <c r="N4" t="s">
        <v>65</v>
      </c>
      <c r="R4" t="s">
        <v>60</v>
      </c>
      <c r="S4" t="s">
        <v>51</v>
      </c>
      <c r="T4" t="s">
        <v>66</v>
      </c>
      <c r="U4" t="s">
        <v>67</v>
      </c>
      <c r="W4">
        <v>0</v>
      </c>
      <c r="X4">
        <v>0</v>
      </c>
      <c r="AE4">
        <v>0</v>
      </c>
      <c r="AF4">
        <v>0</v>
      </c>
      <c r="AM4" t="s">
        <v>52</v>
      </c>
      <c r="AN4" t="s">
        <v>53</v>
      </c>
    </row>
    <row r="5" spans="1:40">
      <c r="A5" t="s">
        <v>40</v>
      </c>
      <c r="B5" t="s">
        <v>68</v>
      </c>
      <c r="C5" t="s">
        <v>69</v>
      </c>
      <c r="D5" t="s">
        <v>52</v>
      </c>
      <c r="E5" t="s">
        <v>70</v>
      </c>
      <c r="F5" t="s">
        <v>71</v>
      </c>
      <c r="G5" t="str">
        <f>HYPERLINK("https://twitter.com/2772306016/status/1143554035615764482")</f>
        <v>https://twitter.com/2772306016/status/1143554035615764482</v>
      </c>
      <c r="H5" t="s">
        <v>46</v>
      </c>
      <c r="I5" t="s">
        <v>72</v>
      </c>
      <c r="J5" t="str">
        <f>HYPERLINK("http://twitter.com/settlemlCFB")</f>
        <v>http://twitter.com/settlemlCFB</v>
      </c>
      <c r="K5">
        <v>1451</v>
      </c>
      <c r="L5" t="s">
        <v>48</v>
      </c>
      <c r="N5" t="s">
        <v>65</v>
      </c>
      <c r="R5" t="s">
        <v>60</v>
      </c>
      <c r="S5" t="s">
        <v>51</v>
      </c>
      <c r="T5" t="s">
        <v>73</v>
      </c>
      <c r="U5" t="s">
        <v>74</v>
      </c>
      <c r="W5">
        <v>0</v>
      </c>
      <c r="X5">
        <v>0</v>
      </c>
      <c r="AE5">
        <v>0</v>
      </c>
      <c r="AF5">
        <v>0</v>
      </c>
      <c r="AM5" t="s">
        <v>52</v>
      </c>
      <c r="AN5" t="s">
        <v>53</v>
      </c>
    </row>
    <row r="6" spans="1:40">
      <c r="A6" t="s">
        <v>40</v>
      </c>
      <c r="B6" t="s">
        <v>75</v>
      </c>
      <c r="C6" t="s">
        <v>76</v>
      </c>
      <c r="D6" t="s">
        <v>52</v>
      </c>
      <c r="E6" t="s">
        <v>77</v>
      </c>
      <c r="F6" t="s">
        <v>45</v>
      </c>
      <c r="G6" t="str">
        <f>HYPERLINK("https://twitter.com/366164127/status/1143552763470630912")</f>
        <v>https://twitter.com/366164127/status/1143552763470630912</v>
      </c>
      <c r="H6" t="s">
        <v>46</v>
      </c>
      <c r="I6" t="s">
        <v>78</v>
      </c>
      <c r="J6" t="str">
        <f>HYPERLINK("http://twitter.com/DMFrank_")</f>
        <v>http://twitter.com/DMFrank_</v>
      </c>
      <c r="K6">
        <v>740</v>
      </c>
      <c r="L6" t="s">
        <v>48</v>
      </c>
      <c r="N6" t="s">
        <v>65</v>
      </c>
      <c r="R6" t="s">
        <v>60</v>
      </c>
      <c r="S6" t="s">
        <v>51</v>
      </c>
      <c r="T6" t="s">
        <v>79</v>
      </c>
      <c r="U6" t="s">
        <v>80</v>
      </c>
      <c r="W6">
        <v>0</v>
      </c>
      <c r="X6">
        <v>0</v>
      </c>
      <c r="AE6">
        <v>0</v>
      </c>
      <c r="AF6">
        <v>0</v>
      </c>
      <c r="AM6" t="s">
        <v>52</v>
      </c>
      <c r="AN6" t="s">
        <v>53</v>
      </c>
    </row>
    <row r="7" spans="1:40">
      <c r="A7" t="s">
        <v>40</v>
      </c>
      <c r="B7" t="s">
        <v>81</v>
      </c>
      <c r="C7" t="s">
        <v>69</v>
      </c>
      <c r="D7" t="s">
        <v>52</v>
      </c>
      <c r="E7" t="s">
        <v>82</v>
      </c>
      <c r="F7" t="s">
        <v>45</v>
      </c>
      <c r="G7" t="str">
        <f>HYPERLINK("https://www.instagram.com/p/BzI5XEhBL4p")</f>
        <v>https://www.instagram.com/p/BzI5XEhBL4p</v>
      </c>
      <c r="H7" t="s">
        <v>46</v>
      </c>
      <c r="I7" t="s">
        <v>83</v>
      </c>
      <c r="J7" t="str">
        <f>HYPERLINK("http://instagram.com/tmuellner")</f>
        <v>http://instagram.com/tmuellner</v>
      </c>
      <c r="K7">
        <v>294</v>
      </c>
      <c r="L7" t="s">
        <v>48</v>
      </c>
      <c r="N7" t="s">
        <v>59</v>
      </c>
      <c r="O7" t="s">
        <v>83</v>
      </c>
      <c r="P7" t="str">
        <f>HYPERLINK("http://instagram.com/tmuellner")</f>
        <v>http://instagram.com/tmuellner</v>
      </c>
      <c r="Q7">
        <v>294</v>
      </c>
      <c r="R7" t="s">
        <v>60</v>
      </c>
      <c r="S7" t="s">
        <v>51</v>
      </c>
      <c r="T7" t="s">
        <v>84</v>
      </c>
      <c r="U7" t="s">
        <v>85</v>
      </c>
      <c r="W7">
        <v>2</v>
      </c>
      <c r="X7">
        <v>2</v>
      </c>
      <c r="AE7">
        <v>0</v>
      </c>
      <c r="AI7" t="s">
        <v>52</v>
      </c>
      <c r="AJ7" t="s">
        <v>86</v>
      </c>
      <c r="AK7" t="s">
        <v>87</v>
      </c>
      <c r="AL7" t="str">
        <f>HYPERLINK("https://www.instagram.com/p/BzI5XEhBL4p/media/?size=l")</f>
        <v>https://www.instagram.com/p/BzI5XEhBL4p/media/?size=l</v>
      </c>
      <c r="AM7" t="s">
        <v>52</v>
      </c>
      <c r="AN7" t="s">
        <v>53</v>
      </c>
    </row>
    <row r="8" spans="1:40">
      <c r="A8" t="s">
        <v>40</v>
      </c>
      <c r="B8" t="s">
        <v>88</v>
      </c>
      <c r="C8" t="s">
        <v>89</v>
      </c>
      <c r="D8" t="s">
        <v>52</v>
      </c>
      <c r="E8" t="s">
        <v>90</v>
      </c>
      <c r="F8" t="s">
        <v>45</v>
      </c>
      <c r="G8" t="str">
        <f>HYPERLINK("https://twitter.com/368570472/status/1143552197688512514")</f>
        <v>https://twitter.com/368570472/status/1143552197688512514</v>
      </c>
      <c r="H8" t="s">
        <v>91</v>
      </c>
      <c r="I8" t="s">
        <v>92</v>
      </c>
      <c r="J8" t="str">
        <f>HYPERLINK("http://twitter.com/J_Hansenn")</f>
        <v>http://twitter.com/J_Hansenn</v>
      </c>
      <c r="K8">
        <v>647</v>
      </c>
      <c r="N8" t="s">
        <v>65</v>
      </c>
      <c r="R8" t="s">
        <v>60</v>
      </c>
      <c r="W8">
        <v>0</v>
      </c>
      <c r="X8">
        <v>0</v>
      </c>
      <c r="AE8">
        <v>0</v>
      </c>
      <c r="AF8">
        <v>0</v>
      </c>
      <c r="AM8" t="s">
        <v>52</v>
      </c>
      <c r="AN8" t="s">
        <v>53</v>
      </c>
    </row>
    <row r="9" spans="1:40">
      <c r="A9" t="s">
        <v>40</v>
      </c>
      <c r="B9" t="s">
        <v>88</v>
      </c>
      <c r="C9" t="s">
        <v>93</v>
      </c>
      <c r="D9" t="s">
        <v>52</v>
      </c>
      <c r="E9" t="s">
        <v>94</v>
      </c>
      <c r="F9" t="s">
        <v>95</v>
      </c>
      <c r="G9" t="str">
        <f>HYPERLINK("https://twitter.com/316113281/status/1143552186426843138")</f>
        <v>https://twitter.com/316113281/status/1143552186426843138</v>
      </c>
      <c r="H9" t="s">
        <v>46</v>
      </c>
      <c r="I9" t="s">
        <v>96</v>
      </c>
      <c r="J9" t="str">
        <f>HYPERLINK("http://twitter.com/CallOfMarty")</f>
        <v>http://twitter.com/CallOfMarty</v>
      </c>
      <c r="K9">
        <v>160</v>
      </c>
      <c r="N9" t="s">
        <v>65</v>
      </c>
      <c r="R9" t="s">
        <v>60</v>
      </c>
      <c r="S9" t="s">
        <v>97</v>
      </c>
      <c r="T9" t="s">
        <v>98</v>
      </c>
      <c r="U9" t="s">
        <v>99</v>
      </c>
      <c r="W9">
        <v>0</v>
      </c>
      <c r="X9">
        <v>0</v>
      </c>
      <c r="AE9">
        <v>0</v>
      </c>
      <c r="AF9">
        <v>0</v>
      </c>
      <c r="AM9" t="s">
        <v>52</v>
      </c>
      <c r="AN9" t="s">
        <v>53</v>
      </c>
    </row>
    <row r="10" spans="1:40">
      <c r="A10" t="s">
        <v>40</v>
      </c>
      <c r="B10" t="s">
        <v>100</v>
      </c>
      <c r="C10" t="s">
        <v>101</v>
      </c>
      <c r="D10" t="s">
        <v>52</v>
      </c>
      <c r="E10" t="s">
        <v>102</v>
      </c>
      <c r="F10" t="s">
        <v>45</v>
      </c>
      <c r="G10" t="str">
        <f>HYPERLINK("https://twitter.com/1138910311/status/1143552116876668929")</f>
        <v>https://twitter.com/1138910311/status/1143552116876668929</v>
      </c>
      <c r="H10" t="s">
        <v>46</v>
      </c>
      <c r="I10" t="s">
        <v>103</v>
      </c>
      <c r="J10" t="str">
        <f>HYPERLINK("http://twitter.com/Yosselinduran")</f>
        <v>http://twitter.com/Yosselinduran</v>
      </c>
      <c r="K10">
        <v>272</v>
      </c>
      <c r="N10" t="s">
        <v>65</v>
      </c>
      <c r="R10" t="s">
        <v>60</v>
      </c>
      <c r="W10">
        <v>0</v>
      </c>
      <c r="X10">
        <v>0</v>
      </c>
      <c r="AE10">
        <v>0</v>
      </c>
      <c r="AF10">
        <v>0</v>
      </c>
      <c r="AM10" t="s">
        <v>52</v>
      </c>
      <c r="AN10" t="s">
        <v>53</v>
      </c>
    </row>
    <row r="11" spans="1:40">
      <c r="A11" t="s">
        <v>40</v>
      </c>
      <c r="B11" t="s">
        <v>104</v>
      </c>
      <c r="C11" t="s">
        <v>105</v>
      </c>
      <c r="D11" t="s">
        <v>52</v>
      </c>
      <c r="E11" t="s">
        <v>106</v>
      </c>
      <c r="F11" t="s">
        <v>45</v>
      </c>
      <c r="G11" t="str">
        <f>HYPERLINK("https://www.instagram.com/p/BzI5DrRgA9W")</f>
        <v>https://www.instagram.com/p/BzI5DrRgA9W</v>
      </c>
      <c r="H11" t="s">
        <v>46</v>
      </c>
      <c r="I11" t="s">
        <v>107</v>
      </c>
      <c r="J11" t="str">
        <f>HYPERLINK("http://instagram.com/spidey_imagines")</f>
        <v>http://instagram.com/spidey_imagines</v>
      </c>
      <c r="K11">
        <v>2573</v>
      </c>
      <c r="N11" t="s">
        <v>59</v>
      </c>
      <c r="O11" t="s">
        <v>107</v>
      </c>
      <c r="P11" t="str">
        <f>HYPERLINK("http://instagram.com/spidey_imagines")</f>
        <v>http://instagram.com/spidey_imagines</v>
      </c>
      <c r="Q11">
        <v>2573</v>
      </c>
      <c r="R11" t="s">
        <v>60</v>
      </c>
      <c r="W11">
        <v>61</v>
      </c>
      <c r="X11">
        <v>61</v>
      </c>
      <c r="AE11">
        <v>0</v>
      </c>
      <c r="AI11" t="s">
        <v>108</v>
      </c>
      <c r="AJ11" t="s">
        <v>109</v>
      </c>
      <c r="AK11" t="s">
        <v>110</v>
      </c>
      <c r="AL11" t="str">
        <f>HYPERLINK("https://www.instagram.com/p/BzI5DrRgA9W/media/?size=l")</f>
        <v>https://www.instagram.com/p/BzI5DrRgA9W/media/?size=l</v>
      </c>
      <c r="AM11" t="s">
        <v>52</v>
      </c>
      <c r="AN11" t="s">
        <v>53</v>
      </c>
    </row>
    <row r="12" spans="1:40">
      <c r="A12" t="s">
        <v>40</v>
      </c>
      <c r="B12" t="s">
        <v>111</v>
      </c>
      <c r="C12" t="s">
        <v>112</v>
      </c>
      <c r="D12" t="s">
        <v>113</v>
      </c>
      <c r="E12" t="s">
        <v>114</v>
      </c>
      <c r="F12" t="s">
        <v>45</v>
      </c>
      <c r="G12" t="str">
        <f>HYPERLINK("https://www.youtube.com/watch?v=hE9fwO06l0o")</f>
        <v>https://www.youtube.com/watch?v=hE9fwO06l0o</v>
      </c>
      <c r="H12" t="s">
        <v>46</v>
      </c>
      <c r="I12" t="s">
        <v>115</v>
      </c>
      <c r="J12" t="str">
        <f>HYPERLINK("https://www.youtube.com/channel/UCr3O3GD4OTwSavxEBDWE8qA")</f>
        <v>https://www.youtube.com/channel/UCr3O3GD4OTwSavxEBDWE8qA</v>
      </c>
      <c r="K12">
        <v>68</v>
      </c>
      <c r="N12" t="s">
        <v>116</v>
      </c>
      <c r="O12" t="s">
        <v>115</v>
      </c>
      <c r="P12" t="str">
        <f>HYPERLINK("https://www.youtube.com/channel/UCr3O3GD4OTwSavxEBDWE8qA")</f>
        <v>https://www.youtube.com/channel/UCr3O3GD4OTwSavxEBDWE8qA</v>
      </c>
      <c r="Q12">
        <v>68</v>
      </c>
      <c r="R12" t="s">
        <v>60</v>
      </c>
      <c r="S12" t="s">
        <v>51</v>
      </c>
      <c r="W12">
        <v>0</v>
      </c>
      <c r="X12">
        <v>0</v>
      </c>
      <c r="AE12">
        <v>0</v>
      </c>
      <c r="AG12">
        <v>0</v>
      </c>
      <c r="AI12" t="s">
        <v>52</v>
      </c>
      <c r="AJ12" t="s">
        <v>52</v>
      </c>
      <c r="AK12" t="s">
        <v>52</v>
      </c>
      <c r="AL12" t="str">
        <f>HYPERLINK("https://i.ytimg.com/vi/hE9fwO06l0o/maxresdefault_live.jpg")</f>
        <v>https://i.ytimg.com/vi/hE9fwO06l0o/maxresdefault_live.jpg</v>
      </c>
      <c r="AM12" t="s">
        <v>52</v>
      </c>
      <c r="AN12" t="s">
        <v>53</v>
      </c>
    </row>
    <row r="13" spans="1:40">
      <c r="A13" t="s">
        <v>40</v>
      </c>
      <c r="B13" t="s">
        <v>117</v>
      </c>
      <c r="C13" t="s">
        <v>118</v>
      </c>
      <c r="D13" t="s">
        <v>52</v>
      </c>
      <c r="E13" t="s">
        <v>119</v>
      </c>
      <c r="F13" t="s">
        <v>45</v>
      </c>
      <c r="G13" t="str">
        <f>HYPERLINK("https://www.instagram.com/p/BzI41oSJad4")</f>
        <v>https://www.instagram.com/p/BzI41oSJad4</v>
      </c>
      <c r="H13" t="s">
        <v>46</v>
      </c>
      <c r="I13" t="s">
        <v>120</v>
      </c>
      <c r="J13" t="str">
        <f>HYPERLINK("http://instagram.com/carros_japoneses_")</f>
        <v>http://instagram.com/carros_japoneses_</v>
      </c>
      <c r="K13">
        <v>6</v>
      </c>
      <c r="N13" t="s">
        <v>59</v>
      </c>
      <c r="O13" t="s">
        <v>120</v>
      </c>
      <c r="P13" t="str">
        <f>HYPERLINK("http://instagram.com/carros_japoneses_")</f>
        <v>http://instagram.com/carros_japoneses_</v>
      </c>
      <c r="Q13">
        <v>6</v>
      </c>
      <c r="R13" t="s">
        <v>60</v>
      </c>
      <c r="W13">
        <v>0</v>
      </c>
      <c r="X13">
        <v>0</v>
      </c>
      <c r="AE13">
        <v>0</v>
      </c>
      <c r="AI13" t="s">
        <v>52</v>
      </c>
      <c r="AJ13" t="s">
        <v>121</v>
      </c>
      <c r="AK13" t="s">
        <v>52</v>
      </c>
      <c r="AL13" t="str">
        <f>HYPERLINK("https://www.instagram.com/p/BzI41oSJad4/media/?size=l")</f>
        <v>https://www.instagram.com/p/BzI41oSJad4/media/?size=l</v>
      </c>
      <c r="AM13" t="s">
        <v>52</v>
      </c>
      <c r="AN13" t="s">
        <v>53</v>
      </c>
    </row>
    <row r="14" spans="1:40">
      <c r="A14" t="s">
        <v>40</v>
      </c>
      <c r="B14" t="s">
        <v>117</v>
      </c>
      <c r="C14" t="s">
        <v>118</v>
      </c>
      <c r="D14" t="s">
        <v>52</v>
      </c>
      <c r="E14" t="s">
        <v>122</v>
      </c>
      <c r="F14" t="s">
        <v>45</v>
      </c>
      <c r="G14" t="str">
        <f>HYPERLINK("https://www.instagram.com/p/BzI4v2cnEQg")</f>
        <v>https://www.instagram.com/p/BzI4v2cnEQg</v>
      </c>
      <c r="H14" t="s">
        <v>46</v>
      </c>
      <c r="I14" t="s">
        <v>123</v>
      </c>
      <c r="J14" t="str">
        <f>HYPERLINK("http://instagram.com/spicy_batteryacid4115")</f>
        <v>http://instagram.com/spicy_batteryacid4115</v>
      </c>
      <c r="K14">
        <v>1668</v>
      </c>
      <c r="N14" t="s">
        <v>59</v>
      </c>
      <c r="O14" t="s">
        <v>123</v>
      </c>
      <c r="P14" t="str">
        <f>HYPERLINK("http://instagram.com/spicy_batteryacid4115")</f>
        <v>http://instagram.com/spicy_batteryacid4115</v>
      </c>
      <c r="Q14">
        <v>1668</v>
      </c>
      <c r="R14" t="s">
        <v>60</v>
      </c>
      <c r="W14">
        <v>2</v>
      </c>
      <c r="X14">
        <v>2</v>
      </c>
      <c r="AE14">
        <v>1</v>
      </c>
      <c r="AI14" t="s">
        <v>52</v>
      </c>
      <c r="AJ14" t="s">
        <v>124</v>
      </c>
      <c r="AK14" t="s">
        <v>52</v>
      </c>
      <c r="AL14" t="str">
        <f>HYPERLINK("https://www.instagram.com/p/BzI4v2cnEQg/media/?size=l")</f>
        <v>https://www.instagram.com/p/BzI4v2cnEQg/media/?size=l</v>
      </c>
      <c r="AM14" t="s">
        <v>52</v>
      </c>
      <c r="AN14" t="s">
        <v>53</v>
      </c>
    </row>
    <row r="15" spans="1:40">
      <c r="A15" t="s">
        <v>40</v>
      </c>
      <c r="B15" t="s">
        <v>125</v>
      </c>
      <c r="C15" t="s">
        <v>42</v>
      </c>
      <c r="D15" t="s">
        <v>52</v>
      </c>
      <c r="E15" t="s">
        <v>126</v>
      </c>
      <c r="F15" t="s">
        <v>45</v>
      </c>
      <c r="G15" t="str">
        <f>HYPERLINK("https://twitter.com/379572979/status/1143550808165736448")</f>
        <v>https://twitter.com/379572979/status/1143550808165736448</v>
      </c>
      <c r="H15" t="s">
        <v>46</v>
      </c>
      <c r="I15" t="s">
        <v>127</v>
      </c>
      <c r="J15" t="str">
        <f>HYPERLINK("http://twitter.com/VillaltaEduardo")</f>
        <v>http://twitter.com/VillaltaEduardo</v>
      </c>
      <c r="K15">
        <v>353</v>
      </c>
      <c r="L15" t="s">
        <v>48</v>
      </c>
      <c r="N15" t="s">
        <v>65</v>
      </c>
      <c r="R15" t="s">
        <v>60</v>
      </c>
      <c r="W15">
        <v>0</v>
      </c>
      <c r="X15">
        <v>0</v>
      </c>
      <c r="AE15">
        <v>0</v>
      </c>
      <c r="AF15">
        <v>0</v>
      </c>
      <c r="AM15" t="s">
        <v>52</v>
      </c>
      <c r="AN15" t="s">
        <v>53</v>
      </c>
    </row>
    <row r="16" spans="1:40">
      <c r="A16" t="s">
        <v>40</v>
      </c>
      <c r="B16" t="s">
        <v>128</v>
      </c>
      <c r="C16" t="s">
        <v>129</v>
      </c>
      <c r="D16" t="s">
        <v>52</v>
      </c>
      <c r="E16" t="s">
        <v>130</v>
      </c>
      <c r="F16" t="s">
        <v>131</v>
      </c>
      <c r="G16" t="str">
        <f>HYPERLINK("https://twitter.com/1525415611/status/1143550481828126720")</f>
        <v>https://twitter.com/1525415611/status/1143550481828126720</v>
      </c>
      <c r="H16" t="s">
        <v>46</v>
      </c>
      <c r="I16" t="s">
        <v>132</v>
      </c>
      <c r="J16" t="str">
        <f>HYPERLINK("http://twitter.com/Natterjacktoad7")</f>
        <v>http://twitter.com/Natterjacktoad7</v>
      </c>
      <c r="K16">
        <v>417</v>
      </c>
      <c r="N16" t="s">
        <v>65</v>
      </c>
      <c r="R16" t="s">
        <v>60</v>
      </c>
      <c r="W16">
        <v>0</v>
      </c>
      <c r="X16">
        <v>0</v>
      </c>
      <c r="AE16">
        <v>0</v>
      </c>
      <c r="AI16" t="s">
        <v>108</v>
      </c>
      <c r="AJ16" t="s">
        <v>52</v>
      </c>
      <c r="AK16" t="s">
        <v>52</v>
      </c>
      <c r="AL16" t="str">
        <f>HYPERLINK("https://pbs.twimg.com/media/D9XTkLWW4AAOYnJ.jpg")</f>
        <v>https://pbs.twimg.com/media/D9XTkLWW4AAOYnJ.jpg</v>
      </c>
      <c r="AM16" t="s">
        <v>52</v>
      </c>
      <c r="AN16" t="s">
        <v>53</v>
      </c>
    </row>
    <row r="17" spans="1:40">
      <c r="A17" t="s">
        <v>40</v>
      </c>
      <c r="B17" t="s">
        <v>133</v>
      </c>
      <c r="C17" t="s">
        <v>134</v>
      </c>
      <c r="D17" t="s">
        <v>52</v>
      </c>
      <c r="E17" t="s">
        <v>135</v>
      </c>
      <c r="F17" t="s">
        <v>45</v>
      </c>
      <c r="G17" t="str">
        <f>HYPERLINK("https://www.instagram.com/p/BzI4YSEAJZe")</f>
        <v>https://www.instagram.com/p/BzI4YSEAJZe</v>
      </c>
      <c r="H17" t="s">
        <v>46</v>
      </c>
      <c r="I17" t="s">
        <v>136</v>
      </c>
      <c r="J17" t="str">
        <f>HYPERLINK("http://instagram.com/sandwichtimedeli")</f>
        <v>http://instagram.com/sandwichtimedeli</v>
      </c>
      <c r="K17">
        <v>3402</v>
      </c>
      <c r="N17" t="s">
        <v>59</v>
      </c>
      <c r="O17" t="s">
        <v>136</v>
      </c>
      <c r="P17" t="str">
        <f>HYPERLINK("http://instagram.com/sandwichtimedeli")</f>
        <v>http://instagram.com/sandwichtimedeli</v>
      </c>
      <c r="Q17">
        <v>3402</v>
      </c>
      <c r="R17" t="s">
        <v>60</v>
      </c>
      <c r="S17" t="s">
        <v>51</v>
      </c>
      <c r="T17" t="s">
        <v>137</v>
      </c>
      <c r="U17" t="s">
        <v>138</v>
      </c>
      <c r="W17">
        <v>1</v>
      </c>
      <c r="X17">
        <v>1</v>
      </c>
      <c r="AE17">
        <v>0</v>
      </c>
      <c r="AI17" t="s">
        <v>52</v>
      </c>
      <c r="AJ17" t="s">
        <v>139</v>
      </c>
      <c r="AK17" t="s">
        <v>52</v>
      </c>
      <c r="AL17" t="str">
        <f>HYPERLINK("https://www.instagram.com/p/BzI4YSEAJZe/media/?size=l")</f>
        <v>https://www.instagram.com/p/BzI4YSEAJZe/media/?size=l</v>
      </c>
      <c r="AM17" t="s">
        <v>52</v>
      </c>
      <c r="AN17" t="s">
        <v>53</v>
      </c>
    </row>
    <row r="18" spans="1:40">
      <c r="A18" t="s">
        <v>40</v>
      </c>
      <c r="B18" t="s">
        <v>133</v>
      </c>
      <c r="C18" t="s">
        <v>134</v>
      </c>
      <c r="D18" t="s">
        <v>52</v>
      </c>
      <c r="E18" t="s">
        <v>140</v>
      </c>
      <c r="F18" t="s">
        <v>71</v>
      </c>
      <c r="G18" t="str">
        <f>HYPERLINK("https://twitter.com/853398679780241408/status/1143550376693719040")</f>
        <v>https://twitter.com/853398679780241408/status/1143550376693719040</v>
      </c>
      <c r="H18" t="s">
        <v>46</v>
      </c>
      <c r="I18" t="s">
        <v>141</v>
      </c>
      <c r="J18" t="str">
        <f>HYPERLINK("http://twitter.com/goonzales11")</f>
        <v>http://twitter.com/goonzales11</v>
      </c>
      <c r="K18">
        <v>179</v>
      </c>
      <c r="N18" t="s">
        <v>65</v>
      </c>
      <c r="R18" t="s">
        <v>60</v>
      </c>
      <c r="S18" t="s">
        <v>142</v>
      </c>
      <c r="T18" t="s">
        <v>143</v>
      </c>
      <c r="U18" t="s">
        <v>144</v>
      </c>
      <c r="W18">
        <v>0</v>
      </c>
      <c r="X18">
        <v>0</v>
      </c>
      <c r="AE18">
        <v>0</v>
      </c>
      <c r="AF18">
        <v>0</v>
      </c>
      <c r="AM18" t="s">
        <v>52</v>
      </c>
      <c r="AN18" t="s">
        <v>53</v>
      </c>
    </row>
    <row r="19" spans="1:40">
      <c r="A19" t="s">
        <v>40</v>
      </c>
      <c r="B19" t="s">
        <v>133</v>
      </c>
      <c r="C19" t="s">
        <v>145</v>
      </c>
      <c r="D19" t="s">
        <v>52</v>
      </c>
      <c r="E19" t="s">
        <v>146</v>
      </c>
      <c r="F19" t="s">
        <v>45</v>
      </c>
      <c r="G19" t="str">
        <f>HYPERLINK("https://www.instagram.com/p/BzI4WzuBlwc")</f>
        <v>https://www.instagram.com/p/BzI4WzuBlwc</v>
      </c>
      <c r="H19" t="s">
        <v>46</v>
      </c>
      <c r="I19" t="s">
        <v>147</v>
      </c>
      <c r="J19" t="str">
        <f>HYPERLINK("http://instagram.com/kennedy.the.golden.doodle")</f>
        <v>http://instagram.com/kennedy.the.golden.doodle</v>
      </c>
      <c r="K19">
        <v>1706</v>
      </c>
      <c r="N19" t="s">
        <v>59</v>
      </c>
      <c r="O19" t="s">
        <v>147</v>
      </c>
      <c r="P19" t="str">
        <f>HYPERLINK("http://instagram.com/kennedy.the.golden.doodle")</f>
        <v>http://instagram.com/kennedy.the.golden.doodle</v>
      </c>
      <c r="Q19">
        <v>1706</v>
      </c>
      <c r="R19" t="s">
        <v>60</v>
      </c>
      <c r="S19" t="s">
        <v>51</v>
      </c>
      <c r="T19" t="s">
        <v>84</v>
      </c>
      <c r="U19" t="s">
        <v>85</v>
      </c>
      <c r="W19">
        <v>2</v>
      </c>
      <c r="X19">
        <v>2</v>
      </c>
      <c r="AE19">
        <v>0</v>
      </c>
      <c r="AI19" t="s">
        <v>52</v>
      </c>
      <c r="AJ19" t="s">
        <v>148</v>
      </c>
      <c r="AK19" t="s">
        <v>52</v>
      </c>
      <c r="AL19" t="str">
        <f>HYPERLINK("https://www.instagram.com/p/BzI4WzuBlwc/media/?size=l")</f>
        <v>https://www.instagram.com/p/BzI4WzuBlwc/media/?size=l</v>
      </c>
      <c r="AM19" t="s">
        <v>52</v>
      </c>
      <c r="AN19" t="s">
        <v>53</v>
      </c>
    </row>
    <row r="20" spans="1:40">
      <c r="A20" t="s">
        <v>40</v>
      </c>
      <c r="B20" t="s">
        <v>149</v>
      </c>
      <c r="C20" t="s">
        <v>145</v>
      </c>
      <c r="D20" t="s">
        <v>52</v>
      </c>
      <c r="E20" t="s">
        <v>150</v>
      </c>
      <c r="F20" t="s">
        <v>131</v>
      </c>
      <c r="G20" t="str">
        <f>HYPERLINK("https://twitter.com/329457484/status/1143549233485819904")</f>
        <v>https://twitter.com/329457484/status/1143549233485819904</v>
      </c>
      <c r="H20" t="s">
        <v>46</v>
      </c>
      <c r="I20" t="s">
        <v>151</v>
      </c>
      <c r="J20" t="str">
        <f>HYPERLINK("http://twitter.com/qveenkalie_")</f>
        <v>http://twitter.com/qveenkalie_</v>
      </c>
      <c r="K20">
        <v>1376</v>
      </c>
      <c r="N20" t="s">
        <v>65</v>
      </c>
      <c r="R20" t="s">
        <v>60</v>
      </c>
      <c r="S20" t="s">
        <v>51</v>
      </c>
      <c r="T20" t="s">
        <v>152</v>
      </c>
      <c r="W20">
        <v>0</v>
      </c>
      <c r="X20">
        <v>0</v>
      </c>
      <c r="AE20">
        <v>0</v>
      </c>
      <c r="AM20" t="s">
        <v>52</v>
      </c>
      <c r="AN20" t="s">
        <v>53</v>
      </c>
    </row>
    <row r="21" spans="1:40">
      <c r="A21" t="s">
        <v>40</v>
      </c>
      <c r="B21" t="s">
        <v>153</v>
      </c>
      <c r="C21" t="s">
        <v>134</v>
      </c>
      <c r="D21" t="s">
        <v>52</v>
      </c>
      <c r="E21" t="s">
        <v>154</v>
      </c>
      <c r="F21" t="s">
        <v>95</v>
      </c>
      <c r="G21" t="str">
        <f>HYPERLINK("https://twitter.com/1062528674467999744/status/1143548267973582848")</f>
        <v>https://twitter.com/1062528674467999744/status/1143548267973582848</v>
      </c>
      <c r="H21" t="s">
        <v>46</v>
      </c>
      <c r="I21" t="s">
        <v>155</v>
      </c>
      <c r="J21" t="str">
        <f>HYPERLINK("http://twitter.com/thatogshit")</f>
        <v>http://twitter.com/thatogshit</v>
      </c>
      <c r="K21">
        <v>38</v>
      </c>
      <c r="L21" t="s">
        <v>48</v>
      </c>
      <c r="N21" t="s">
        <v>65</v>
      </c>
      <c r="R21" t="s">
        <v>60</v>
      </c>
      <c r="S21" t="s">
        <v>156</v>
      </c>
      <c r="W21">
        <v>0</v>
      </c>
      <c r="X21">
        <v>0</v>
      </c>
      <c r="AE21">
        <v>0</v>
      </c>
      <c r="AF21">
        <v>0</v>
      </c>
      <c r="AM21" t="s">
        <v>52</v>
      </c>
      <c r="AN21" t="s">
        <v>53</v>
      </c>
    </row>
    <row r="22" spans="1:40">
      <c r="A22" t="s">
        <v>40</v>
      </c>
      <c r="B22" t="s">
        <v>153</v>
      </c>
      <c r="C22" t="s">
        <v>157</v>
      </c>
      <c r="D22" t="s">
        <v>52</v>
      </c>
      <c r="E22" t="s">
        <v>158</v>
      </c>
      <c r="F22" t="s">
        <v>45</v>
      </c>
      <c r="G22" t="str">
        <f>HYPERLINK("https://twitter.com/1121818096631730181/status/1143548245488099329")</f>
        <v>https://twitter.com/1121818096631730181/status/1143548245488099329</v>
      </c>
      <c r="H22" t="s">
        <v>46</v>
      </c>
      <c r="I22" t="s">
        <v>159</v>
      </c>
      <c r="J22" t="str">
        <f>HYPERLINK("http://twitter.com/PauletteSmithR1")</f>
        <v>http://twitter.com/PauletteSmithR1</v>
      </c>
      <c r="K22">
        <v>171</v>
      </c>
      <c r="L22" t="s">
        <v>58</v>
      </c>
      <c r="N22" t="s">
        <v>65</v>
      </c>
      <c r="R22" t="s">
        <v>60</v>
      </c>
      <c r="S22" t="s">
        <v>51</v>
      </c>
      <c r="T22" t="s">
        <v>160</v>
      </c>
      <c r="U22" t="s">
        <v>161</v>
      </c>
      <c r="W22">
        <v>0</v>
      </c>
      <c r="X22">
        <v>0</v>
      </c>
      <c r="AE22">
        <v>0</v>
      </c>
      <c r="AF22">
        <v>0</v>
      </c>
      <c r="AM22" t="s">
        <v>52</v>
      </c>
      <c r="AN22" t="s">
        <v>53</v>
      </c>
    </row>
    <row r="23" spans="1:40">
      <c r="A23" t="s">
        <v>40</v>
      </c>
      <c r="B23" t="s">
        <v>153</v>
      </c>
      <c r="C23" t="s">
        <v>162</v>
      </c>
      <c r="D23" t="s">
        <v>163</v>
      </c>
      <c r="E23" t="s">
        <v>164</v>
      </c>
      <c r="F23" t="s">
        <v>45</v>
      </c>
      <c r="G23" t="str">
        <f>HYPERLINK("https://techknowbits.com/2019/06/25/cerebellum-gp-llc-takes-position-in-pepsico-inc-nasdaqpep.html")</f>
        <v>https://techknowbits.com/2019/06/25/cerebellum-gp-llc-takes-position-in-pepsico-inc-nasdaqpep.html</v>
      </c>
      <c r="H23" t="s">
        <v>91</v>
      </c>
      <c r="I23" t="s">
        <v>47</v>
      </c>
      <c r="J23" t="str">
        <f>HYPERLINK("https://techknowbits.com/2019/06/25/cerebellum-gp-llc-takes-position-in-pepsico-inc-nasdaqpep.html")</f>
        <v>https://techknowbits.com/2019/06/25/cerebellum-gp-llc-takes-position-in-pepsico-inc-nasdaqpep.html</v>
      </c>
      <c r="L23" t="s">
        <v>48</v>
      </c>
      <c r="N23" t="s">
        <v>49</v>
      </c>
      <c r="R23" t="s">
        <v>50</v>
      </c>
      <c r="S23" t="s">
        <v>51</v>
      </c>
      <c r="AM23" t="s">
        <v>52</v>
      </c>
      <c r="AN23" t="s">
        <v>53</v>
      </c>
    </row>
    <row r="24" spans="1:40">
      <c r="A24" t="s">
        <v>40</v>
      </c>
      <c r="B24" t="s">
        <v>165</v>
      </c>
      <c r="C24" t="s">
        <v>166</v>
      </c>
      <c r="D24" t="s">
        <v>52</v>
      </c>
      <c r="E24" t="s">
        <v>167</v>
      </c>
      <c r="F24" t="s">
        <v>45</v>
      </c>
      <c r="G24" t="str">
        <f>HYPERLINK("https://twitter.com/340723157/status/1143548134032699392")</f>
        <v>https://twitter.com/340723157/status/1143548134032699392</v>
      </c>
      <c r="H24" t="s">
        <v>46</v>
      </c>
      <c r="I24" t="s">
        <v>168</v>
      </c>
      <c r="J24" t="str">
        <f>HYPERLINK("http://twitter.com/foam_spice")</f>
        <v>http://twitter.com/foam_spice</v>
      </c>
      <c r="K24">
        <v>188</v>
      </c>
      <c r="N24" t="s">
        <v>65</v>
      </c>
      <c r="R24" t="s">
        <v>60</v>
      </c>
      <c r="S24" t="s">
        <v>51</v>
      </c>
      <c r="T24" t="s">
        <v>169</v>
      </c>
      <c r="W24">
        <v>0</v>
      </c>
      <c r="X24">
        <v>0</v>
      </c>
      <c r="AE24">
        <v>0</v>
      </c>
      <c r="AF24">
        <v>0</v>
      </c>
      <c r="AM24" t="s">
        <v>52</v>
      </c>
      <c r="AN24" t="s">
        <v>53</v>
      </c>
    </row>
    <row r="25" spans="1:40">
      <c r="A25" t="s">
        <v>40</v>
      </c>
      <c r="B25" t="s">
        <v>170</v>
      </c>
      <c r="C25" t="s">
        <v>157</v>
      </c>
      <c r="D25" t="s">
        <v>52</v>
      </c>
      <c r="E25" t="s">
        <v>171</v>
      </c>
      <c r="F25" t="s">
        <v>45</v>
      </c>
      <c r="G25" t="str">
        <f>HYPERLINK("https://twitter.com/81901468/status/1143547770600431616")</f>
        <v>https://twitter.com/81901468/status/1143547770600431616</v>
      </c>
      <c r="H25" t="s">
        <v>46</v>
      </c>
      <c r="I25" t="s">
        <v>172</v>
      </c>
      <c r="J25" t="str">
        <f>HYPERLINK("http://twitter.com/skiptomybrew")</f>
        <v>http://twitter.com/skiptomybrew</v>
      </c>
      <c r="K25">
        <v>144</v>
      </c>
      <c r="L25" t="s">
        <v>48</v>
      </c>
      <c r="N25" t="s">
        <v>65</v>
      </c>
      <c r="R25" t="s">
        <v>60</v>
      </c>
      <c r="S25" t="s">
        <v>51</v>
      </c>
      <c r="T25" t="s">
        <v>173</v>
      </c>
      <c r="W25">
        <v>0</v>
      </c>
      <c r="X25">
        <v>0</v>
      </c>
      <c r="AE25">
        <v>0</v>
      </c>
      <c r="AF25">
        <v>0</v>
      </c>
      <c r="AM25" t="s">
        <v>52</v>
      </c>
      <c r="AN25" t="s">
        <v>53</v>
      </c>
    </row>
    <row r="26" spans="1:40">
      <c r="A26" t="s">
        <v>40</v>
      </c>
      <c r="B26" t="s">
        <v>174</v>
      </c>
      <c r="C26" t="s">
        <v>175</v>
      </c>
      <c r="D26" t="s">
        <v>52</v>
      </c>
      <c r="E26" t="s">
        <v>130</v>
      </c>
      <c r="F26" t="s">
        <v>131</v>
      </c>
      <c r="G26" t="str">
        <f>HYPERLINK("https://twitter.com/1143523344085594112/status/1143547416039362562")</f>
        <v>https://twitter.com/1143523344085594112/status/1143547416039362562</v>
      </c>
      <c r="H26" t="s">
        <v>46</v>
      </c>
      <c r="I26" t="s">
        <v>176</v>
      </c>
      <c r="J26" t="str">
        <f>HYPERLINK("http://twitter.com/Cat82329942")</f>
        <v>http://twitter.com/Cat82329942</v>
      </c>
      <c r="K26">
        <v>0</v>
      </c>
      <c r="N26" t="s">
        <v>65</v>
      </c>
      <c r="R26" t="s">
        <v>60</v>
      </c>
      <c r="S26" t="s">
        <v>97</v>
      </c>
      <c r="T26" t="s">
        <v>177</v>
      </c>
      <c r="U26" t="s">
        <v>178</v>
      </c>
      <c r="W26">
        <v>0</v>
      </c>
      <c r="X26">
        <v>0</v>
      </c>
      <c r="AE26">
        <v>0</v>
      </c>
      <c r="AI26" t="s">
        <v>108</v>
      </c>
      <c r="AJ26" t="s">
        <v>52</v>
      </c>
      <c r="AK26" t="s">
        <v>52</v>
      </c>
      <c r="AL26" t="str">
        <f>HYPERLINK("https://pbs.twimg.com/media/D9XTkLWW4AAOYnJ.jpg")</f>
        <v>https://pbs.twimg.com/media/D9XTkLWW4AAOYnJ.jpg</v>
      </c>
      <c r="AM26" t="s">
        <v>52</v>
      </c>
      <c r="AN26" t="s">
        <v>53</v>
      </c>
    </row>
    <row r="27" spans="1:40">
      <c r="A27" t="s">
        <v>40</v>
      </c>
      <c r="B27" t="s">
        <v>179</v>
      </c>
      <c r="C27" t="s">
        <v>180</v>
      </c>
      <c r="D27" t="s">
        <v>181</v>
      </c>
      <c r="E27" t="s">
        <v>182</v>
      </c>
      <c r="F27" t="s">
        <v>45</v>
      </c>
      <c r="G27" t="str">
        <f>HYPERLINK("https://www.bargainbeliever.com/blog/best-deals-at-albertsons-and-safeway-6-26-19-7-2-19")</f>
        <v>https://www.bargainbeliever.com/blog/best-deals-at-albertsons-and-safeway-6-26-19-7-2-19</v>
      </c>
      <c r="H27" t="s">
        <v>46</v>
      </c>
      <c r="I27" t="s">
        <v>183</v>
      </c>
      <c r="J27" t="str">
        <f>HYPERLINK("https://www.bargainbeliever.com/blog/best-deals-at-albertsons-and-safeway-6-26-19-7-2-19/")</f>
        <v>https://www.bargainbeliever.com/blog/best-deals-at-albertsons-and-safeway-6-26-19-7-2-19/</v>
      </c>
      <c r="L27" t="s">
        <v>58</v>
      </c>
      <c r="N27" t="s">
        <v>184</v>
      </c>
      <c r="R27" t="s">
        <v>50</v>
      </c>
      <c r="S27" t="s">
        <v>51</v>
      </c>
      <c r="AM27" t="s">
        <v>52</v>
      </c>
      <c r="AN27" t="s">
        <v>53</v>
      </c>
    </row>
    <row r="28" spans="1:40">
      <c r="A28" t="s">
        <v>40</v>
      </c>
      <c r="B28" t="s">
        <v>185</v>
      </c>
      <c r="C28" t="s">
        <v>186</v>
      </c>
      <c r="D28" t="s">
        <v>52</v>
      </c>
      <c r="E28" t="s">
        <v>187</v>
      </c>
      <c r="F28" t="s">
        <v>131</v>
      </c>
      <c r="G28" t="str">
        <f>HYPERLINK("https://twitter.com/3269493031/status/1143547143208230913")</f>
        <v>https://twitter.com/3269493031/status/1143547143208230913</v>
      </c>
      <c r="H28" t="s">
        <v>46</v>
      </c>
      <c r="I28" t="s">
        <v>188</v>
      </c>
      <c r="J28" t="str">
        <f>HYPERLINK("http://twitter.com/mar_dunia")</f>
        <v>http://twitter.com/mar_dunia</v>
      </c>
      <c r="K28">
        <v>1279</v>
      </c>
      <c r="N28" t="s">
        <v>65</v>
      </c>
      <c r="R28" t="s">
        <v>60</v>
      </c>
      <c r="S28" t="s">
        <v>189</v>
      </c>
      <c r="U28" t="s">
        <v>190</v>
      </c>
      <c r="W28">
        <v>0</v>
      </c>
      <c r="X28">
        <v>0</v>
      </c>
      <c r="AE28">
        <v>0</v>
      </c>
      <c r="AM28" t="s">
        <v>52</v>
      </c>
      <c r="AN28" t="s">
        <v>53</v>
      </c>
    </row>
    <row r="29" spans="1:40">
      <c r="A29" t="s">
        <v>40</v>
      </c>
      <c r="B29" t="s">
        <v>191</v>
      </c>
      <c r="C29" t="s">
        <v>192</v>
      </c>
      <c r="D29" t="s">
        <v>52</v>
      </c>
      <c r="E29" t="s">
        <v>193</v>
      </c>
      <c r="F29" t="s">
        <v>45</v>
      </c>
      <c r="G29" t="str">
        <f>HYPERLINK("https://twitter.com/4252749693/status/1143546733957451777")</f>
        <v>https://twitter.com/4252749693/status/1143546733957451777</v>
      </c>
      <c r="H29" t="s">
        <v>46</v>
      </c>
      <c r="I29" t="s">
        <v>194</v>
      </c>
      <c r="J29" t="str">
        <f>HYPERLINK("http://twitter.com/kaidenentwistle")</f>
        <v>http://twitter.com/kaidenentwistle</v>
      </c>
      <c r="K29">
        <v>38</v>
      </c>
      <c r="N29" t="s">
        <v>65</v>
      </c>
      <c r="R29" t="s">
        <v>60</v>
      </c>
      <c r="S29" t="s">
        <v>97</v>
      </c>
      <c r="T29" t="s">
        <v>177</v>
      </c>
      <c r="U29" t="s">
        <v>195</v>
      </c>
      <c r="W29">
        <v>0</v>
      </c>
      <c r="X29">
        <v>0</v>
      </c>
      <c r="AE29">
        <v>0</v>
      </c>
      <c r="AF29">
        <v>0</v>
      </c>
      <c r="AM29" t="s">
        <v>52</v>
      </c>
      <c r="AN29" t="s">
        <v>53</v>
      </c>
    </row>
    <row r="30" spans="1:40">
      <c r="A30" t="s">
        <v>40</v>
      </c>
      <c r="B30" t="s">
        <v>191</v>
      </c>
      <c r="C30" t="s">
        <v>196</v>
      </c>
      <c r="D30" t="s">
        <v>52</v>
      </c>
      <c r="E30" t="s">
        <v>197</v>
      </c>
      <c r="F30" t="s">
        <v>45</v>
      </c>
      <c r="G30" t="str">
        <f>HYPERLINK("https://www.instagram.com/p/BzI2s7dBvoQ")</f>
        <v>https://www.instagram.com/p/BzI2s7dBvoQ</v>
      </c>
      <c r="H30" t="s">
        <v>46</v>
      </c>
      <c r="I30" t="s">
        <v>198</v>
      </c>
      <c r="J30" t="str">
        <f>HYPERLINK("http://instagram.com/shanan79")</f>
        <v>http://instagram.com/shanan79</v>
      </c>
      <c r="K30">
        <v>108</v>
      </c>
      <c r="N30" t="s">
        <v>59</v>
      </c>
      <c r="O30" t="s">
        <v>198</v>
      </c>
      <c r="P30" t="str">
        <f>HYPERLINK("http://instagram.com/shanan79")</f>
        <v>http://instagram.com/shanan79</v>
      </c>
      <c r="Q30">
        <v>108</v>
      </c>
      <c r="R30" t="s">
        <v>60</v>
      </c>
      <c r="S30" t="s">
        <v>51</v>
      </c>
      <c r="T30" t="s">
        <v>199</v>
      </c>
      <c r="U30" t="s">
        <v>200</v>
      </c>
      <c r="W30">
        <v>0</v>
      </c>
      <c r="X30">
        <v>0</v>
      </c>
      <c r="AE30">
        <v>0</v>
      </c>
      <c r="AI30" t="s">
        <v>52</v>
      </c>
      <c r="AJ30" t="s">
        <v>201</v>
      </c>
      <c r="AK30" t="s">
        <v>52</v>
      </c>
      <c r="AL30" t="str">
        <f>HYPERLINK("https://www.instagram.com/p/BzI2s7dBvoQ/media/?size=l")</f>
        <v>https://www.instagram.com/p/BzI2s7dBvoQ/media/?size=l</v>
      </c>
      <c r="AM30" t="s">
        <v>52</v>
      </c>
      <c r="AN30" t="s">
        <v>53</v>
      </c>
    </row>
    <row r="31" spans="1:40">
      <c r="A31" t="s">
        <v>40</v>
      </c>
      <c r="B31" t="s">
        <v>202</v>
      </c>
      <c r="C31" t="s">
        <v>203</v>
      </c>
      <c r="D31" t="s">
        <v>52</v>
      </c>
      <c r="E31" t="s">
        <v>204</v>
      </c>
      <c r="F31" t="s">
        <v>131</v>
      </c>
      <c r="G31" t="str">
        <f>HYPERLINK("https://twitter.com/2773111680/status/1143546155508359170")</f>
        <v>https://twitter.com/2773111680/status/1143546155508359170</v>
      </c>
      <c r="H31" t="s">
        <v>46</v>
      </c>
      <c r="I31" t="s">
        <v>205</v>
      </c>
      <c r="J31" t="str">
        <f>HYPERLINK("http://twitter.com/bdlw75")</f>
        <v>http://twitter.com/bdlw75</v>
      </c>
      <c r="K31">
        <v>57</v>
      </c>
      <c r="N31" t="s">
        <v>65</v>
      </c>
      <c r="R31" t="s">
        <v>60</v>
      </c>
      <c r="S31" t="s">
        <v>51</v>
      </c>
      <c r="T31" t="s">
        <v>137</v>
      </c>
      <c r="W31">
        <v>0</v>
      </c>
      <c r="X31">
        <v>0</v>
      </c>
      <c r="AE31">
        <v>0</v>
      </c>
      <c r="AM31" t="s">
        <v>52</v>
      </c>
      <c r="AN31" t="s">
        <v>53</v>
      </c>
    </row>
    <row r="32" spans="1:40">
      <c r="A32" t="s">
        <v>40</v>
      </c>
      <c r="B32" t="s">
        <v>206</v>
      </c>
      <c r="C32" t="s">
        <v>207</v>
      </c>
      <c r="D32" t="s">
        <v>52</v>
      </c>
      <c r="E32" t="s">
        <v>208</v>
      </c>
      <c r="F32" t="s">
        <v>95</v>
      </c>
      <c r="G32" t="str">
        <f>HYPERLINK("https://twitter.com/65988416/status/1143544836299153408")</f>
        <v>https://twitter.com/65988416/status/1143544836299153408</v>
      </c>
      <c r="H32" t="s">
        <v>46</v>
      </c>
      <c r="I32" t="s">
        <v>209</v>
      </c>
      <c r="J32" t="str">
        <f>HYPERLINK("http://twitter.com/ruif3r")</f>
        <v>http://twitter.com/ruif3r</v>
      </c>
      <c r="K32">
        <v>135</v>
      </c>
      <c r="N32" t="s">
        <v>65</v>
      </c>
      <c r="R32" t="s">
        <v>60</v>
      </c>
      <c r="S32" t="s">
        <v>210</v>
      </c>
      <c r="T32" t="s">
        <v>211</v>
      </c>
      <c r="U32" t="s">
        <v>212</v>
      </c>
      <c r="W32">
        <v>0</v>
      </c>
      <c r="X32">
        <v>0</v>
      </c>
      <c r="AE32">
        <v>0</v>
      </c>
      <c r="AF32">
        <v>0</v>
      </c>
      <c r="AM32" t="s">
        <v>52</v>
      </c>
      <c r="AN32" t="s">
        <v>53</v>
      </c>
    </row>
    <row r="33" spans="1:40">
      <c r="A33" t="s">
        <v>40</v>
      </c>
      <c r="B33" t="s">
        <v>206</v>
      </c>
      <c r="C33" t="s">
        <v>213</v>
      </c>
      <c r="D33" t="s">
        <v>52</v>
      </c>
      <c r="E33" t="s">
        <v>214</v>
      </c>
      <c r="F33" t="s">
        <v>45</v>
      </c>
      <c r="G33" t="str">
        <f>HYPERLINK("https://twitter.com/1854150378/status/1143544768062021634")</f>
        <v>https://twitter.com/1854150378/status/1143544768062021634</v>
      </c>
      <c r="H33" t="s">
        <v>215</v>
      </c>
      <c r="I33" t="s">
        <v>216</v>
      </c>
      <c r="J33" t="str">
        <f>HYPERLINK("http://twitter.com/trxshboat_")</f>
        <v>http://twitter.com/trxshboat_</v>
      </c>
      <c r="K33">
        <v>1687</v>
      </c>
      <c r="N33" t="s">
        <v>65</v>
      </c>
      <c r="R33" t="s">
        <v>60</v>
      </c>
      <c r="W33">
        <v>0</v>
      </c>
      <c r="X33">
        <v>0</v>
      </c>
      <c r="AE33">
        <v>0</v>
      </c>
      <c r="AF33">
        <v>0</v>
      </c>
      <c r="AM33" t="s">
        <v>52</v>
      </c>
      <c r="AN33" t="s">
        <v>53</v>
      </c>
    </row>
    <row r="34" spans="1:40">
      <c r="A34" t="s">
        <v>40</v>
      </c>
      <c r="B34" t="s">
        <v>206</v>
      </c>
      <c r="C34" t="s">
        <v>217</v>
      </c>
      <c r="D34" t="s">
        <v>52</v>
      </c>
      <c r="E34" t="s">
        <v>218</v>
      </c>
      <c r="F34" t="s">
        <v>45</v>
      </c>
      <c r="G34" t="str">
        <f>HYPERLINK("https://twitter.com/4917747784/status/1143544755575500800")</f>
        <v>https://twitter.com/4917747784/status/1143544755575500800</v>
      </c>
      <c r="H34" t="s">
        <v>46</v>
      </c>
      <c r="I34" t="s">
        <v>219</v>
      </c>
      <c r="J34" t="str">
        <f>HYPERLINK("http://twitter.com/Jcortez2471")</f>
        <v>http://twitter.com/Jcortez2471</v>
      </c>
      <c r="K34">
        <v>208</v>
      </c>
      <c r="N34" t="s">
        <v>65</v>
      </c>
      <c r="R34" t="s">
        <v>60</v>
      </c>
      <c r="W34">
        <v>0</v>
      </c>
      <c r="X34">
        <v>0</v>
      </c>
      <c r="AE34">
        <v>0</v>
      </c>
      <c r="AF34">
        <v>0</v>
      </c>
      <c r="AM34" t="s">
        <v>52</v>
      </c>
      <c r="AN34" t="s">
        <v>53</v>
      </c>
    </row>
    <row r="35" spans="1:40">
      <c r="A35" t="s">
        <v>40</v>
      </c>
      <c r="B35" t="s">
        <v>206</v>
      </c>
      <c r="C35" t="s">
        <v>220</v>
      </c>
      <c r="D35" t="s">
        <v>52</v>
      </c>
      <c r="E35" t="s">
        <v>221</v>
      </c>
      <c r="F35" t="s">
        <v>95</v>
      </c>
      <c r="G35" t="str">
        <f>HYPERLINK("https://twitter.com/1049632898742185984/status/1143544676949123073")</f>
        <v>https://twitter.com/1049632898742185984/status/1143544676949123073</v>
      </c>
      <c r="H35" t="s">
        <v>46</v>
      </c>
      <c r="I35" t="s">
        <v>222</v>
      </c>
      <c r="J35" t="str">
        <f>HYPERLINK("http://twitter.com/havbits")</f>
        <v>http://twitter.com/havbits</v>
      </c>
      <c r="K35">
        <v>20</v>
      </c>
      <c r="N35" t="s">
        <v>65</v>
      </c>
      <c r="R35" t="s">
        <v>60</v>
      </c>
      <c r="W35">
        <v>0</v>
      </c>
      <c r="X35">
        <v>0</v>
      </c>
      <c r="AE35">
        <v>0</v>
      </c>
      <c r="AF35">
        <v>0</v>
      </c>
      <c r="AM35" t="s">
        <v>52</v>
      </c>
      <c r="AN35" t="s">
        <v>53</v>
      </c>
    </row>
    <row r="36" spans="1:40">
      <c r="A36" t="s">
        <v>40</v>
      </c>
      <c r="B36" t="s">
        <v>223</v>
      </c>
      <c r="C36" t="s">
        <v>224</v>
      </c>
      <c r="D36" t="s">
        <v>52</v>
      </c>
      <c r="E36" t="s">
        <v>187</v>
      </c>
      <c r="F36" t="s">
        <v>131</v>
      </c>
      <c r="G36" t="str">
        <f>HYPERLINK("https://twitter.com/1432189616/status/1143544482853523456")</f>
        <v>https://twitter.com/1432189616/status/1143544482853523456</v>
      </c>
      <c r="H36" t="s">
        <v>46</v>
      </c>
      <c r="I36" t="s">
        <v>225</v>
      </c>
      <c r="J36" t="str">
        <f>HYPERLINK("http://twitter.com/Nagi_nia044")</f>
        <v>http://twitter.com/Nagi_nia044</v>
      </c>
      <c r="K36">
        <v>246</v>
      </c>
      <c r="N36" t="s">
        <v>65</v>
      </c>
      <c r="R36" t="s">
        <v>60</v>
      </c>
      <c r="S36" t="s">
        <v>226</v>
      </c>
      <c r="T36" t="s">
        <v>227</v>
      </c>
      <c r="U36" t="s">
        <v>228</v>
      </c>
      <c r="W36">
        <v>0</v>
      </c>
      <c r="X36">
        <v>0</v>
      </c>
      <c r="AE36">
        <v>0</v>
      </c>
      <c r="AM36" t="s">
        <v>52</v>
      </c>
      <c r="AN36" t="s">
        <v>53</v>
      </c>
    </row>
    <row r="37" spans="1:40">
      <c r="A37" t="s">
        <v>40</v>
      </c>
      <c r="B37" t="s">
        <v>229</v>
      </c>
      <c r="C37" t="s">
        <v>230</v>
      </c>
      <c r="D37" t="s">
        <v>52</v>
      </c>
      <c r="E37" t="s">
        <v>231</v>
      </c>
      <c r="F37" t="s">
        <v>45</v>
      </c>
      <c r="G37" t="str">
        <f>HYPERLINK("https://www.instagram.com/p/BzI1b0rHJNY")</f>
        <v>https://www.instagram.com/p/BzI1b0rHJNY</v>
      </c>
      <c r="H37" t="s">
        <v>46</v>
      </c>
      <c r="I37" t="s">
        <v>232</v>
      </c>
      <c r="J37" t="str">
        <f>HYPERLINK("http://instagram.com/mymexicanhelper")</f>
        <v>http://instagram.com/mymexicanhelper</v>
      </c>
      <c r="K37">
        <v>157</v>
      </c>
      <c r="N37" t="s">
        <v>59</v>
      </c>
      <c r="O37" t="s">
        <v>232</v>
      </c>
      <c r="P37" t="str">
        <f>HYPERLINK("http://instagram.com/mymexicanhelper")</f>
        <v>http://instagram.com/mymexicanhelper</v>
      </c>
      <c r="Q37">
        <v>157</v>
      </c>
      <c r="R37" t="s">
        <v>60</v>
      </c>
      <c r="W37">
        <v>2</v>
      </c>
      <c r="X37">
        <v>2</v>
      </c>
      <c r="AE37">
        <v>0</v>
      </c>
      <c r="AG37">
        <v>2</v>
      </c>
      <c r="AI37" t="s">
        <v>108</v>
      </c>
      <c r="AJ37" t="s">
        <v>233</v>
      </c>
      <c r="AK37" t="s">
        <v>52</v>
      </c>
      <c r="AL37" t="str">
        <f>HYPERLINK("https://www.instagram.com/p/BzI1b0rHJNY/media/?size=l")</f>
        <v>https://www.instagram.com/p/BzI1b0rHJNY/media/?size=l</v>
      </c>
      <c r="AM37" t="s">
        <v>52</v>
      </c>
      <c r="AN37" t="s">
        <v>53</v>
      </c>
    </row>
    <row r="38" spans="1:40">
      <c r="A38" t="s">
        <v>40</v>
      </c>
      <c r="B38" t="s">
        <v>229</v>
      </c>
      <c r="C38" t="s">
        <v>196</v>
      </c>
      <c r="D38" t="s">
        <v>52</v>
      </c>
      <c r="E38" t="s">
        <v>234</v>
      </c>
      <c r="F38" t="s">
        <v>45</v>
      </c>
      <c r="G38" t="str">
        <f>HYPERLINK("https://www.instagram.com/p/BzI1c-MghUb")</f>
        <v>https://www.instagram.com/p/BzI1c-MghUb</v>
      </c>
      <c r="H38" t="s">
        <v>46</v>
      </c>
      <c r="I38" t="s">
        <v>235</v>
      </c>
      <c r="J38" t="str">
        <f>HYPERLINK("http://instagram.com/karlandrade69")</f>
        <v>http://instagram.com/karlandrade69</v>
      </c>
      <c r="K38">
        <v>19394</v>
      </c>
      <c r="N38" t="s">
        <v>59</v>
      </c>
      <c r="O38" t="s">
        <v>235</v>
      </c>
      <c r="P38" t="str">
        <f>HYPERLINK("http://instagram.com/karlandrade69")</f>
        <v>http://instagram.com/karlandrade69</v>
      </c>
      <c r="Q38">
        <v>19394</v>
      </c>
      <c r="R38" t="s">
        <v>60</v>
      </c>
      <c r="S38" t="s">
        <v>51</v>
      </c>
      <c r="T38" t="s">
        <v>152</v>
      </c>
      <c r="U38" t="s">
        <v>236</v>
      </c>
      <c r="W38">
        <v>25</v>
      </c>
      <c r="X38">
        <v>25</v>
      </c>
      <c r="AE38">
        <v>0</v>
      </c>
      <c r="AI38" t="s">
        <v>52</v>
      </c>
      <c r="AJ38" t="s">
        <v>237</v>
      </c>
      <c r="AK38" t="s">
        <v>238</v>
      </c>
      <c r="AL38" t="str">
        <f>HYPERLINK("https://www.instagram.com/p/BzI1c-MghUb/media/?size=l")</f>
        <v>https://www.instagram.com/p/BzI1c-MghUb/media/?size=l</v>
      </c>
      <c r="AM38" t="s">
        <v>52</v>
      </c>
      <c r="AN38" t="s">
        <v>53</v>
      </c>
    </row>
    <row r="39" spans="1:40">
      <c r="A39" t="s">
        <v>40</v>
      </c>
      <c r="B39" t="s">
        <v>229</v>
      </c>
      <c r="C39" t="s">
        <v>239</v>
      </c>
      <c r="D39" t="s">
        <v>52</v>
      </c>
      <c r="E39" t="s">
        <v>187</v>
      </c>
      <c r="F39" t="s">
        <v>131</v>
      </c>
      <c r="G39" t="str">
        <f>HYPERLINK("https://twitter.com/2319445001/status/1143543916974825473")</f>
        <v>https://twitter.com/2319445001/status/1143543916974825473</v>
      </c>
      <c r="H39" t="s">
        <v>46</v>
      </c>
      <c r="I39" t="s">
        <v>240</v>
      </c>
      <c r="J39" t="str">
        <f>HYPERLINK("http://twitter.com/lucymontoya99")</f>
        <v>http://twitter.com/lucymontoya99</v>
      </c>
      <c r="K39">
        <v>126</v>
      </c>
      <c r="N39" t="s">
        <v>65</v>
      </c>
      <c r="R39" t="s">
        <v>60</v>
      </c>
      <c r="S39" t="s">
        <v>241</v>
      </c>
      <c r="W39">
        <v>0</v>
      </c>
      <c r="X39">
        <v>0</v>
      </c>
      <c r="AE39">
        <v>0</v>
      </c>
      <c r="AM39" t="s">
        <v>52</v>
      </c>
      <c r="AN39" t="s">
        <v>53</v>
      </c>
    </row>
    <row r="40" spans="1:40">
      <c r="A40" t="s">
        <v>40</v>
      </c>
      <c r="B40" t="s">
        <v>242</v>
      </c>
      <c r="C40" t="s">
        <v>203</v>
      </c>
      <c r="D40" t="s">
        <v>52</v>
      </c>
      <c r="E40" t="s">
        <v>243</v>
      </c>
      <c r="F40" t="s">
        <v>71</v>
      </c>
      <c r="G40" t="str">
        <f>HYPERLINK("https://twitter.com/3050947837/status/1143543663420563461")</f>
        <v>https://twitter.com/3050947837/status/1143543663420563461</v>
      </c>
      <c r="H40" t="s">
        <v>46</v>
      </c>
      <c r="I40" t="s">
        <v>244</v>
      </c>
      <c r="J40" t="str">
        <f>HYPERLINK("http://twitter.com/mv_ninja")</f>
        <v>http://twitter.com/mv_ninja</v>
      </c>
      <c r="K40">
        <v>554</v>
      </c>
      <c r="L40" t="s">
        <v>48</v>
      </c>
      <c r="N40" t="s">
        <v>65</v>
      </c>
      <c r="R40" t="s">
        <v>60</v>
      </c>
      <c r="S40" t="s">
        <v>51</v>
      </c>
      <c r="T40" t="s">
        <v>199</v>
      </c>
      <c r="U40" t="s">
        <v>245</v>
      </c>
      <c r="W40">
        <v>0</v>
      </c>
      <c r="X40">
        <v>0</v>
      </c>
      <c r="AE40">
        <v>0</v>
      </c>
      <c r="AF40">
        <v>0</v>
      </c>
      <c r="AI40" t="s">
        <v>108</v>
      </c>
      <c r="AJ40" t="s">
        <v>52</v>
      </c>
      <c r="AK40" t="s">
        <v>52</v>
      </c>
      <c r="AL40" t="str">
        <f>HYPERLINK("https://pbs.twimg.com/media/D9c2gM8XsAcHh7t.jpg")</f>
        <v>https://pbs.twimg.com/media/D9c2gM8XsAcHh7t.jpg</v>
      </c>
      <c r="AM40" t="s">
        <v>52</v>
      </c>
      <c r="AN40" t="s">
        <v>53</v>
      </c>
    </row>
    <row r="41" spans="1:40">
      <c r="A41" t="s">
        <v>40</v>
      </c>
      <c r="B41" t="s">
        <v>246</v>
      </c>
      <c r="C41" t="s">
        <v>186</v>
      </c>
      <c r="D41" t="s">
        <v>52</v>
      </c>
      <c r="E41" t="s">
        <v>247</v>
      </c>
      <c r="F41" t="s">
        <v>45</v>
      </c>
      <c r="G41" t="str">
        <f>HYPERLINK("https://twitter.com/767240178872254468/status/1143543603676897280")</f>
        <v>https://twitter.com/767240178872254468/status/1143543603676897280</v>
      </c>
      <c r="H41" t="s">
        <v>46</v>
      </c>
      <c r="I41" t="s">
        <v>248</v>
      </c>
      <c r="J41" t="str">
        <f>HYPERLINK("http://twitter.com/_harukawasora")</f>
        <v>http://twitter.com/_harukawasora</v>
      </c>
      <c r="K41">
        <v>153</v>
      </c>
      <c r="N41" t="s">
        <v>65</v>
      </c>
      <c r="R41" t="s">
        <v>60</v>
      </c>
      <c r="W41">
        <v>0</v>
      </c>
      <c r="X41">
        <v>0</v>
      </c>
      <c r="AE41">
        <v>0</v>
      </c>
      <c r="AF41">
        <v>0</v>
      </c>
      <c r="AM41" t="s">
        <v>52</v>
      </c>
      <c r="AN41" t="s">
        <v>53</v>
      </c>
    </row>
    <row r="42" spans="1:40">
      <c r="A42" t="s">
        <v>40</v>
      </c>
      <c r="B42" t="s">
        <v>249</v>
      </c>
      <c r="C42" t="s">
        <v>250</v>
      </c>
      <c r="D42" t="s">
        <v>52</v>
      </c>
      <c r="E42" t="s">
        <v>251</v>
      </c>
      <c r="F42" t="s">
        <v>45</v>
      </c>
      <c r="G42" t="str">
        <f>HYPERLINK("https://twitter.com/27078197/status/1143542331041300481")</f>
        <v>https://twitter.com/27078197/status/1143542331041300481</v>
      </c>
      <c r="H42" t="s">
        <v>46</v>
      </c>
      <c r="I42" t="s">
        <v>252</v>
      </c>
      <c r="J42" t="str">
        <f>HYPERLINK("http://twitter.com/JodiPaige")</f>
        <v>http://twitter.com/JodiPaige</v>
      </c>
      <c r="K42">
        <v>972</v>
      </c>
      <c r="L42" t="s">
        <v>58</v>
      </c>
      <c r="N42" t="s">
        <v>65</v>
      </c>
      <c r="R42" t="s">
        <v>60</v>
      </c>
      <c r="S42" t="s">
        <v>51</v>
      </c>
      <c r="T42" t="s">
        <v>253</v>
      </c>
      <c r="U42" t="s">
        <v>254</v>
      </c>
      <c r="W42">
        <v>0</v>
      </c>
      <c r="X42">
        <v>0</v>
      </c>
      <c r="AE42">
        <v>0</v>
      </c>
      <c r="AF42">
        <v>0</v>
      </c>
      <c r="AI42" t="s">
        <v>52</v>
      </c>
      <c r="AJ42" t="s">
        <v>52</v>
      </c>
      <c r="AK42" t="s">
        <v>52</v>
      </c>
      <c r="AL42" t="str">
        <f>HYPERLINK("https://pbs.twimg.com/tweet_video_thumb/D96trAkW4AA0grl.jpg")</f>
        <v>https://pbs.twimg.com/tweet_video_thumb/D96trAkW4AA0grl.jpg</v>
      </c>
      <c r="AM42" t="s">
        <v>52</v>
      </c>
      <c r="AN42" t="s">
        <v>53</v>
      </c>
    </row>
    <row r="43" spans="1:40">
      <c r="A43" t="s">
        <v>40</v>
      </c>
      <c r="B43" t="s">
        <v>255</v>
      </c>
      <c r="C43" t="s">
        <v>256</v>
      </c>
      <c r="D43" t="s">
        <v>52</v>
      </c>
      <c r="E43" t="s">
        <v>257</v>
      </c>
      <c r="F43" t="s">
        <v>45</v>
      </c>
      <c r="G43" t="str">
        <f>HYPERLINK("https://www.instagram.com/p/BzI0boeFzx2")</f>
        <v>https://www.instagram.com/p/BzI0boeFzx2</v>
      </c>
      <c r="H43" t="s">
        <v>46</v>
      </c>
      <c r="I43" t="s">
        <v>258</v>
      </c>
      <c r="J43" t="str">
        <f>HYPERLINK("http://instagram.com/sweetxmerrell")</f>
        <v>http://instagram.com/sweetxmerrell</v>
      </c>
      <c r="K43">
        <v>347</v>
      </c>
      <c r="N43" t="s">
        <v>59</v>
      </c>
      <c r="O43" t="s">
        <v>258</v>
      </c>
      <c r="P43" t="str">
        <f>HYPERLINK("http://instagram.com/sweetxmerrell")</f>
        <v>http://instagram.com/sweetxmerrell</v>
      </c>
      <c r="Q43">
        <v>347</v>
      </c>
      <c r="R43" t="s">
        <v>60</v>
      </c>
      <c r="W43">
        <v>9</v>
      </c>
      <c r="X43">
        <v>9</v>
      </c>
      <c r="AE43">
        <v>5</v>
      </c>
      <c r="AI43" t="s">
        <v>52</v>
      </c>
      <c r="AJ43" t="s">
        <v>52</v>
      </c>
      <c r="AK43" t="s">
        <v>52</v>
      </c>
      <c r="AL43" t="str">
        <f>HYPERLINK("https://www.instagram.com/p/BzI0boeFzx2/media/?size=l")</f>
        <v>https://www.instagram.com/p/BzI0boeFzx2/media/?size=l</v>
      </c>
      <c r="AM43" t="s">
        <v>52</v>
      </c>
      <c r="AN43" t="s">
        <v>53</v>
      </c>
    </row>
    <row r="44" spans="1:40">
      <c r="A44" t="s">
        <v>40</v>
      </c>
      <c r="B44" t="s">
        <v>259</v>
      </c>
      <c r="C44" t="s">
        <v>260</v>
      </c>
      <c r="D44" t="s">
        <v>52</v>
      </c>
      <c r="E44" t="s">
        <v>261</v>
      </c>
      <c r="F44" t="s">
        <v>45</v>
      </c>
      <c r="G44" t="str">
        <f>HYPERLINK("https://www.instagram.com/p/BzI0WWRAIpD")</f>
        <v>https://www.instagram.com/p/BzI0WWRAIpD</v>
      </c>
      <c r="H44" t="s">
        <v>46</v>
      </c>
      <c r="I44" t="s">
        <v>262</v>
      </c>
      <c r="J44" t="str">
        <f>HYPERLINK("http://instagram.com/bonetownburgers")</f>
        <v>http://instagram.com/bonetownburgers</v>
      </c>
      <c r="K44">
        <v>2083</v>
      </c>
      <c r="N44" t="s">
        <v>59</v>
      </c>
      <c r="O44" t="s">
        <v>262</v>
      </c>
      <c r="P44" t="str">
        <f>HYPERLINK("http://instagram.com/bonetownburgers")</f>
        <v>http://instagram.com/bonetownburgers</v>
      </c>
      <c r="Q44">
        <v>2083</v>
      </c>
      <c r="R44" t="s">
        <v>60</v>
      </c>
      <c r="S44" t="s">
        <v>51</v>
      </c>
      <c r="T44" t="s">
        <v>263</v>
      </c>
      <c r="U44" t="s">
        <v>264</v>
      </c>
      <c r="W44">
        <v>2</v>
      </c>
      <c r="X44">
        <v>2</v>
      </c>
      <c r="AE44">
        <v>0</v>
      </c>
      <c r="AI44" t="s">
        <v>52</v>
      </c>
      <c r="AJ44" t="s">
        <v>265</v>
      </c>
      <c r="AK44" t="s">
        <v>52</v>
      </c>
      <c r="AL44" t="str">
        <f>HYPERLINK("https://www.instagram.com/p/BzI0WWRAIpD/media/?size=l")</f>
        <v>https://www.instagram.com/p/BzI0WWRAIpD/media/?size=l</v>
      </c>
      <c r="AM44" t="s">
        <v>52</v>
      </c>
      <c r="AN44" t="s">
        <v>53</v>
      </c>
    </row>
    <row r="45" spans="1:40">
      <c r="A45" t="s">
        <v>40</v>
      </c>
      <c r="B45" t="s">
        <v>259</v>
      </c>
      <c r="C45" t="s">
        <v>196</v>
      </c>
      <c r="D45" t="s">
        <v>52</v>
      </c>
      <c r="E45" t="s">
        <v>266</v>
      </c>
      <c r="F45" t="s">
        <v>45</v>
      </c>
      <c r="G45" t="str">
        <f>HYPERLINK("https://www.instagram.com/p/BzI0RyhHBAk")</f>
        <v>https://www.instagram.com/p/BzI0RyhHBAk</v>
      </c>
      <c r="H45" t="s">
        <v>215</v>
      </c>
      <c r="I45" t="s">
        <v>267</v>
      </c>
      <c r="J45" t="str">
        <f>HYPERLINK("http://instagram.com/the.yummy.diaries")</f>
        <v>http://instagram.com/the.yummy.diaries</v>
      </c>
      <c r="K45">
        <v>223</v>
      </c>
      <c r="L45" t="s">
        <v>58</v>
      </c>
      <c r="N45" t="s">
        <v>59</v>
      </c>
      <c r="O45" t="s">
        <v>267</v>
      </c>
      <c r="P45" t="str">
        <f>HYPERLINK("http://instagram.com/the.yummy.diaries")</f>
        <v>http://instagram.com/the.yummy.diaries</v>
      </c>
      <c r="Q45">
        <v>223</v>
      </c>
      <c r="R45" t="s">
        <v>60</v>
      </c>
      <c r="W45">
        <v>19</v>
      </c>
      <c r="X45">
        <v>19</v>
      </c>
      <c r="AE45">
        <v>0</v>
      </c>
      <c r="AI45" t="s">
        <v>52</v>
      </c>
      <c r="AJ45" t="s">
        <v>268</v>
      </c>
      <c r="AK45" t="s">
        <v>52</v>
      </c>
      <c r="AL45" t="str">
        <f>HYPERLINK("https://www.instagram.com/p/BzI0RyhHBAk/media/?size=l")</f>
        <v>https://www.instagram.com/p/BzI0RyhHBAk/media/?size=l</v>
      </c>
      <c r="AM45" t="s">
        <v>52</v>
      </c>
      <c r="AN45" t="s">
        <v>53</v>
      </c>
    </row>
    <row r="46" spans="1:40">
      <c r="A46" t="s">
        <v>40</v>
      </c>
      <c r="B46" t="s">
        <v>269</v>
      </c>
      <c r="C46" t="s">
        <v>270</v>
      </c>
      <c r="D46" t="s">
        <v>52</v>
      </c>
      <c r="E46" t="s">
        <v>271</v>
      </c>
      <c r="F46" t="s">
        <v>45</v>
      </c>
      <c r="G46" t="str">
        <f>HYPERLINK("https://www.instagram.com/p/BzI0Poyl6Qq")</f>
        <v>https://www.instagram.com/p/BzI0Poyl6Qq</v>
      </c>
      <c r="H46" t="s">
        <v>215</v>
      </c>
      <c r="I46" t="s">
        <v>272</v>
      </c>
      <c r="J46" t="str">
        <f>HYPERLINK("http://instagram.com/hollywood__.suraaa")</f>
        <v>http://instagram.com/hollywood__.suraaa</v>
      </c>
      <c r="K46">
        <v>1382</v>
      </c>
      <c r="N46" t="s">
        <v>59</v>
      </c>
      <c r="O46" t="s">
        <v>272</v>
      </c>
      <c r="P46" t="str">
        <f>HYPERLINK("http://instagram.com/hollywood__.suraaa")</f>
        <v>http://instagram.com/hollywood__.suraaa</v>
      </c>
      <c r="Q46">
        <v>1382</v>
      </c>
      <c r="R46" t="s">
        <v>60</v>
      </c>
      <c r="W46">
        <v>3</v>
      </c>
      <c r="X46">
        <v>3</v>
      </c>
      <c r="AE46">
        <v>0</v>
      </c>
      <c r="AI46" t="s">
        <v>52</v>
      </c>
      <c r="AJ46" t="s">
        <v>52</v>
      </c>
      <c r="AK46" t="s">
        <v>273</v>
      </c>
      <c r="AL46" t="str">
        <f>HYPERLINK("https://www.instagram.com/p/BzI0Poyl6Qq/media/?size=l")</f>
        <v>https://www.instagram.com/p/BzI0Poyl6Qq/media/?size=l</v>
      </c>
      <c r="AM46" t="s">
        <v>52</v>
      </c>
      <c r="AN46" t="s">
        <v>53</v>
      </c>
    </row>
    <row r="47" spans="1:40">
      <c r="A47" t="s">
        <v>40</v>
      </c>
      <c r="B47" t="s">
        <v>274</v>
      </c>
      <c r="C47" t="s">
        <v>275</v>
      </c>
      <c r="D47" t="s">
        <v>52</v>
      </c>
      <c r="E47" t="s">
        <v>276</v>
      </c>
      <c r="F47" t="s">
        <v>131</v>
      </c>
      <c r="G47" t="str">
        <f>HYPERLINK("https://twitter.com/1093688784686854145/status/1143541099245555713")</f>
        <v>https://twitter.com/1093688784686854145/status/1143541099245555713</v>
      </c>
      <c r="H47" t="s">
        <v>46</v>
      </c>
      <c r="I47" t="s">
        <v>277</v>
      </c>
      <c r="J47" t="str">
        <f>HYPERLINK("http://twitter.com/qt_razer")</f>
        <v>http://twitter.com/qt_razer</v>
      </c>
      <c r="K47">
        <v>824</v>
      </c>
      <c r="N47" t="s">
        <v>65</v>
      </c>
      <c r="R47" t="s">
        <v>60</v>
      </c>
      <c r="W47">
        <v>0</v>
      </c>
      <c r="X47">
        <v>0</v>
      </c>
      <c r="AE47">
        <v>0</v>
      </c>
      <c r="AI47" t="s">
        <v>108</v>
      </c>
      <c r="AJ47" t="s">
        <v>52</v>
      </c>
      <c r="AK47" t="s">
        <v>52</v>
      </c>
      <c r="AL47" t="str">
        <f>HYPERLINK("https://pbs.twimg.com/tweet_video_thumb/D9hvNNzXUAATAS3.jpg")</f>
        <v>https://pbs.twimg.com/tweet_video_thumb/D9hvNNzXUAATAS3.jpg</v>
      </c>
      <c r="AM47" t="s">
        <v>52</v>
      </c>
      <c r="AN47" t="s">
        <v>53</v>
      </c>
    </row>
    <row r="48" spans="1:40">
      <c r="A48" t="s">
        <v>40</v>
      </c>
      <c r="B48" t="s">
        <v>274</v>
      </c>
      <c r="C48" t="s">
        <v>278</v>
      </c>
      <c r="D48" t="s">
        <v>52</v>
      </c>
      <c r="E48" t="s">
        <v>279</v>
      </c>
      <c r="F48" t="s">
        <v>45</v>
      </c>
      <c r="G48" t="str">
        <f>HYPERLINK("https://twitter.com/2203810484/status/1143540978042703872")</f>
        <v>https://twitter.com/2203810484/status/1143540978042703872</v>
      </c>
      <c r="H48" t="s">
        <v>46</v>
      </c>
      <c r="I48" t="s">
        <v>280</v>
      </c>
      <c r="J48" t="str">
        <f>HYPERLINK("http://twitter.com/juliaaamarks")</f>
        <v>http://twitter.com/juliaaamarks</v>
      </c>
      <c r="K48">
        <v>343</v>
      </c>
      <c r="N48" t="s">
        <v>65</v>
      </c>
      <c r="R48" t="s">
        <v>60</v>
      </c>
      <c r="S48" t="s">
        <v>51</v>
      </c>
      <c r="T48" t="s">
        <v>84</v>
      </c>
      <c r="U48" t="s">
        <v>85</v>
      </c>
      <c r="W48">
        <v>0</v>
      </c>
      <c r="X48">
        <v>0</v>
      </c>
      <c r="AE48">
        <v>0</v>
      </c>
      <c r="AF48">
        <v>0</v>
      </c>
      <c r="AM48" t="s">
        <v>52</v>
      </c>
      <c r="AN48" t="s">
        <v>53</v>
      </c>
    </row>
    <row r="49" spans="1:40">
      <c r="A49" t="s">
        <v>40</v>
      </c>
      <c r="B49" t="s">
        <v>274</v>
      </c>
      <c r="C49" t="s">
        <v>278</v>
      </c>
      <c r="D49" t="s">
        <v>52</v>
      </c>
      <c r="E49" t="s">
        <v>281</v>
      </c>
      <c r="F49" t="s">
        <v>45</v>
      </c>
      <c r="G49" t="str">
        <f>HYPERLINK("https://twitter.com/232439077/status/1143540872916742149")</f>
        <v>https://twitter.com/232439077/status/1143540872916742149</v>
      </c>
      <c r="H49" t="s">
        <v>91</v>
      </c>
      <c r="I49" t="s">
        <v>282</v>
      </c>
      <c r="J49" t="str">
        <f>HYPERLINK("http://twitter.com/_justcallmekia_")</f>
        <v>http://twitter.com/_justcallmekia_</v>
      </c>
      <c r="K49">
        <v>994</v>
      </c>
      <c r="N49" t="s">
        <v>65</v>
      </c>
      <c r="R49" t="s">
        <v>60</v>
      </c>
      <c r="W49">
        <v>0</v>
      </c>
      <c r="X49">
        <v>0</v>
      </c>
      <c r="AE49">
        <v>0</v>
      </c>
      <c r="AF49">
        <v>0</v>
      </c>
      <c r="AM49" t="s">
        <v>52</v>
      </c>
      <c r="AN49" t="s">
        <v>53</v>
      </c>
    </row>
    <row r="50" spans="1:40">
      <c r="A50" t="s">
        <v>40</v>
      </c>
      <c r="B50" t="s">
        <v>283</v>
      </c>
      <c r="C50" t="s">
        <v>270</v>
      </c>
      <c r="D50" t="s">
        <v>52</v>
      </c>
      <c r="E50" t="s">
        <v>284</v>
      </c>
      <c r="F50" t="s">
        <v>45</v>
      </c>
      <c r="G50" t="str">
        <f>HYPERLINK("https://twitter.com/483502381/status/1143540463061938177")</f>
        <v>https://twitter.com/483502381/status/1143540463061938177</v>
      </c>
      <c r="H50" t="s">
        <v>46</v>
      </c>
      <c r="I50" t="s">
        <v>285</v>
      </c>
      <c r="J50" t="str">
        <f>HYPERLINK("http://twitter.com/carver_caroline")</f>
        <v>http://twitter.com/carver_caroline</v>
      </c>
      <c r="K50">
        <v>1153</v>
      </c>
      <c r="N50" t="s">
        <v>65</v>
      </c>
      <c r="R50" t="s">
        <v>60</v>
      </c>
      <c r="W50">
        <v>0</v>
      </c>
      <c r="X50">
        <v>0</v>
      </c>
      <c r="AE50">
        <v>0</v>
      </c>
      <c r="AF50">
        <v>0</v>
      </c>
      <c r="AM50" t="s">
        <v>52</v>
      </c>
      <c r="AN50" t="s">
        <v>53</v>
      </c>
    </row>
    <row r="51" spans="1:40">
      <c r="A51" t="s">
        <v>40</v>
      </c>
      <c r="B51" t="s">
        <v>286</v>
      </c>
      <c r="C51" t="s">
        <v>287</v>
      </c>
      <c r="D51" t="s">
        <v>52</v>
      </c>
      <c r="E51" t="s">
        <v>288</v>
      </c>
      <c r="F51" t="s">
        <v>95</v>
      </c>
      <c r="G51" t="str">
        <f>HYPERLINK("https://twitter.com/1041304020172726273/status/1143540053148389381")</f>
        <v>https://twitter.com/1041304020172726273/status/1143540053148389381</v>
      </c>
      <c r="H51" t="s">
        <v>46</v>
      </c>
      <c r="I51" t="s">
        <v>289</v>
      </c>
      <c r="J51" t="str">
        <f>HYPERLINK("http://twitter.com/skintylove")</f>
        <v>http://twitter.com/skintylove</v>
      </c>
      <c r="K51">
        <v>254</v>
      </c>
      <c r="N51" t="s">
        <v>65</v>
      </c>
      <c r="R51" t="s">
        <v>60</v>
      </c>
      <c r="W51">
        <v>0</v>
      </c>
      <c r="X51">
        <v>0</v>
      </c>
      <c r="AE51">
        <v>0</v>
      </c>
      <c r="AF51">
        <v>0</v>
      </c>
      <c r="AM51" t="s">
        <v>52</v>
      </c>
      <c r="AN51" t="s">
        <v>53</v>
      </c>
    </row>
    <row r="52" spans="1:40">
      <c r="A52" t="s">
        <v>40</v>
      </c>
      <c r="B52" t="s">
        <v>290</v>
      </c>
      <c r="C52" t="s">
        <v>291</v>
      </c>
      <c r="D52" t="s">
        <v>52</v>
      </c>
      <c r="E52" t="s">
        <v>292</v>
      </c>
      <c r="F52" t="s">
        <v>95</v>
      </c>
      <c r="G52" t="str">
        <f>HYPERLINK("https://twitter.com/2502433439/status/1143539772616581122")</f>
        <v>https://twitter.com/2502433439/status/1143539772616581122</v>
      </c>
      <c r="H52" t="s">
        <v>46</v>
      </c>
      <c r="I52" t="s">
        <v>293</v>
      </c>
      <c r="J52" t="str">
        <f>HYPERLINK("http://twitter.com/Gib_reel")</f>
        <v>http://twitter.com/Gib_reel</v>
      </c>
      <c r="K52">
        <v>472</v>
      </c>
      <c r="N52" t="s">
        <v>65</v>
      </c>
      <c r="R52" t="s">
        <v>60</v>
      </c>
      <c r="W52">
        <v>0</v>
      </c>
      <c r="X52">
        <v>0</v>
      </c>
      <c r="AE52">
        <v>0</v>
      </c>
      <c r="AF52">
        <v>0</v>
      </c>
      <c r="AI52" t="s">
        <v>52</v>
      </c>
      <c r="AJ52" t="s">
        <v>52</v>
      </c>
      <c r="AK52" t="s">
        <v>273</v>
      </c>
      <c r="AL52" t="str">
        <f>HYPERLINK("https://pbs.twimg.com/media/D96rWgiXkAEulJ8.jpg")</f>
        <v>https://pbs.twimg.com/media/D96rWgiXkAEulJ8.jpg</v>
      </c>
      <c r="AM52" t="s">
        <v>52</v>
      </c>
      <c r="AN52" t="s">
        <v>53</v>
      </c>
    </row>
    <row r="53" spans="1:40">
      <c r="A53" t="s">
        <v>40</v>
      </c>
      <c r="B53" t="s">
        <v>294</v>
      </c>
      <c r="C53" t="s">
        <v>295</v>
      </c>
      <c r="D53" t="s">
        <v>52</v>
      </c>
      <c r="E53" t="s">
        <v>296</v>
      </c>
      <c r="F53" t="s">
        <v>131</v>
      </c>
      <c r="G53" t="str">
        <f>HYPERLINK("https://twitter.com/165661476/status/1143539465534631937")</f>
        <v>https://twitter.com/165661476/status/1143539465534631937</v>
      </c>
      <c r="H53" t="s">
        <v>46</v>
      </c>
      <c r="I53" t="s">
        <v>297</v>
      </c>
      <c r="J53" t="str">
        <f>HYPERLINK("http://twitter.com/FreezeFlowState")</f>
        <v>http://twitter.com/FreezeFlowState</v>
      </c>
      <c r="K53">
        <v>267</v>
      </c>
      <c r="N53" t="s">
        <v>65</v>
      </c>
      <c r="R53" t="s">
        <v>60</v>
      </c>
      <c r="S53" t="s">
        <v>298</v>
      </c>
      <c r="T53" t="s">
        <v>299</v>
      </c>
      <c r="U53" t="s">
        <v>299</v>
      </c>
      <c r="W53">
        <v>0</v>
      </c>
      <c r="X53">
        <v>0</v>
      </c>
      <c r="AE53">
        <v>0</v>
      </c>
      <c r="AI53" t="s">
        <v>52</v>
      </c>
      <c r="AJ53" t="s">
        <v>52</v>
      </c>
      <c r="AK53" t="s">
        <v>300</v>
      </c>
      <c r="AL53" t="str">
        <f>HYPERLINK("https://pbs.twimg.com/ext_tw_video_thumb/1143537348195618817/pu/img/rub2nrrYDNuVtv_x.jpg")</f>
        <v>https://pbs.twimg.com/ext_tw_video_thumb/1143537348195618817/pu/img/rub2nrrYDNuVtv_x.jpg</v>
      </c>
      <c r="AM53" t="s">
        <v>52</v>
      </c>
      <c r="AN53" t="s">
        <v>53</v>
      </c>
    </row>
    <row r="54" spans="1:40">
      <c r="A54" t="s">
        <v>40</v>
      </c>
      <c r="B54" t="s">
        <v>294</v>
      </c>
      <c r="C54" t="s">
        <v>275</v>
      </c>
      <c r="D54" t="s">
        <v>52</v>
      </c>
      <c r="E54" t="s">
        <v>301</v>
      </c>
      <c r="F54" t="s">
        <v>45</v>
      </c>
      <c r="G54" t="str">
        <f>HYPERLINK("https://www.instagram.com/p/BzIzXFVn8kn")</f>
        <v>https://www.instagram.com/p/BzIzXFVn8kn</v>
      </c>
      <c r="H54" t="s">
        <v>46</v>
      </c>
      <c r="I54" t="s">
        <v>302</v>
      </c>
      <c r="J54" t="str">
        <f>HYPERLINK("http://instagram.com/jrdacosta2002")</f>
        <v>http://instagram.com/jrdacosta2002</v>
      </c>
      <c r="K54">
        <v>475</v>
      </c>
      <c r="N54" t="s">
        <v>59</v>
      </c>
      <c r="O54" t="s">
        <v>302</v>
      </c>
      <c r="P54" t="str">
        <f>HYPERLINK("http://instagram.com/jrdacosta2002")</f>
        <v>http://instagram.com/jrdacosta2002</v>
      </c>
      <c r="Q54">
        <v>475</v>
      </c>
      <c r="R54" t="s">
        <v>60</v>
      </c>
      <c r="W54">
        <v>0</v>
      </c>
      <c r="X54">
        <v>0</v>
      </c>
      <c r="AE54">
        <v>0</v>
      </c>
      <c r="AG54">
        <v>0</v>
      </c>
      <c r="AI54" t="s">
        <v>108</v>
      </c>
      <c r="AJ54" t="s">
        <v>303</v>
      </c>
      <c r="AK54" t="s">
        <v>52</v>
      </c>
      <c r="AL54" t="str">
        <f>HYPERLINK("https://www.instagram.com/p/BzIzXFVn8kn/media/?size=l")</f>
        <v>https://www.instagram.com/p/BzIzXFVn8kn/media/?size=l</v>
      </c>
      <c r="AM54" t="s">
        <v>52</v>
      </c>
      <c r="AN54" t="s">
        <v>53</v>
      </c>
    </row>
    <row r="55" spans="1:40">
      <c r="A55" t="s">
        <v>40</v>
      </c>
      <c r="B55" t="s">
        <v>304</v>
      </c>
      <c r="C55" t="s">
        <v>305</v>
      </c>
      <c r="D55" t="s">
        <v>52</v>
      </c>
      <c r="E55" t="s">
        <v>306</v>
      </c>
      <c r="F55" t="s">
        <v>95</v>
      </c>
      <c r="G55" t="str">
        <f>HYPERLINK("https://twitter.com/1080376247824384000/status/1143539139742224389")</f>
        <v>https://twitter.com/1080376247824384000/status/1143539139742224389</v>
      </c>
      <c r="H55" t="s">
        <v>46</v>
      </c>
      <c r="I55" t="s">
        <v>307</v>
      </c>
      <c r="J55" t="str">
        <f>HYPERLINK("http://twitter.com/GalaxyKnight315")</f>
        <v>http://twitter.com/GalaxyKnight315</v>
      </c>
      <c r="K55">
        <v>9</v>
      </c>
      <c r="N55" t="s">
        <v>65</v>
      </c>
      <c r="R55" t="s">
        <v>60</v>
      </c>
      <c r="W55">
        <v>0</v>
      </c>
      <c r="X55">
        <v>0</v>
      </c>
      <c r="AE55">
        <v>0</v>
      </c>
      <c r="AF55">
        <v>0</v>
      </c>
      <c r="AM55" t="s">
        <v>52</v>
      </c>
      <c r="AN55" t="s">
        <v>53</v>
      </c>
    </row>
    <row r="56" spans="1:40">
      <c r="A56" t="s">
        <v>40</v>
      </c>
      <c r="B56" t="s">
        <v>304</v>
      </c>
      <c r="C56" t="s">
        <v>308</v>
      </c>
      <c r="D56" t="s">
        <v>52</v>
      </c>
      <c r="E56" t="s">
        <v>309</v>
      </c>
      <c r="F56" t="s">
        <v>95</v>
      </c>
      <c r="G56" t="str">
        <f>HYPERLINK("https://twitter.com/631610699/status/1143539094963855360")</f>
        <v>https://twitter.com/631610699/status/1143539094963855360</v>
      </c>
      <c r="H56" t="s">
        <v>215</v>
      </c>
      <c r="I56" t="s">
        <v>310</v>
      </c>
      <c r="J56" t="str">
        <f>HYPERLINK("http://twitter.com/Andyvelazquez40")</f>
        <v>http://twitter.com/Andyvelazquez40</v>
      </c>
      <c r="K56">
        <v>800</v>
      </c>
      <c r="N56" t="s">
        <v>65</v>
      </c>
      <c r="R56" t="s">
        <v>60</v>
      </c>
      <c r="W56">
        <v>0</v>
      </c>
      <c r="X56">
        <v>0</v>
      </c>
      <c r="AE56">
        <v>0</v>
      </c>
      <c r="AF56">
        <v>0</v>
      </c>
      <c r="AM56" t="s">
        <v>52</v>
      </c>
      <c r="AN56" t="s">
        <v>53</v>
      </c>
    </row>
    <row r="57" spans="1:40">
      <c r="A57" t="s">
        <v>40</v>
      </c>
      <c r="B57" t="s">
        <v>311</v>
      </c>
      <c r="C57" t="s">
        <v>312</v>
      </c>
      <c r="D57" t="s">
        <v>52</v>
      </c>
      <c r="E57" t="s">
        <v>313</v>
      </c>
      <c r="F57" t="s">
        <v>45</v>
      </c>
      <c r="G57" t="str">
        <f>HYPERLINK("https://twitter.com/3015065174/status/1143538298637434881")</f>
        <v>https://twitter.com/3015065174/status/1143538298637434881</v>
      </c>
      <c r="H57" t="s">
        <v>46</v>
      </c>
      <c r="I57" t="s">
        <v>314</v>
      </c>
      <c r="J57" t="str">
        <f>HYPERLINK("http://twitter.com/ImAshutoshPS")</f>
        <v>http://twitter.com/ImAshutoshPS</v>
      </c>
      <c r="K57">
        <v>402</v>
      </c>
      <c r="L57" t="s">
        <v>48</v>
      </c>
      <c r="N57" t="s">
        <v>65</v>
      </c>
      <c r="R57" t="s">
        <v>60</v>
      </c>
      <c r="S57" t="s">
        <v>315</v>
      </c>
      <c r="T57" t="s">
        <v>316</v>
      </c>
      <c r="U57" t="s">
        <v>317</v>
      </c>
      <c r="W57">
        <v>0</v>
      </c>
      <c r="X57">
        <v>0</v>
      </c>
      <c r="AE57">
        <v>0</v>
      </c>
      <c r="AF57">
        <v>0</v>
      </c>
      <c r="AM57" t="s">
        <v>52</v>
      </c>
      <c r="AN57" t="s">
        <v>53</v>
      </c>
    </row>
    <row r="58" spans="1:40">
      <c r="A58" t="s">
        <v>40</v>
      </c>
      <c r="B58" t="s">
        <v>311</v>
      </c>
      <c r="C58" t="s">
        <v>318</v>
      </c>
      <c r="D58" t="s">
        <v>52</v>
      </c>
      <c r="E58" t="s">
        <v>319</v>
      </c>
      <c r="F58" t="s">
        <v>45</v>
      </c>
      <c r="G58" t="str">
        <f>HYPERLINK("https://www.instagram.com/p/BzIy3hRlDqS")</f>
        <v>https://www.instagram.com/p/BzIy3hRlDqS</v>
      </c>
      <c r="H58" t="s">
        <v>46</v>
      </c>
      <c r="I58" t="s">
        <v>320</v>
      </c>
      <c r="J58" t="str">
        <f>HYPERLINK("http://instagram.com/missytries")</f>
        <v>http://instagram.com/missytries</v>
      </c>
      <c r="K58">
        <v>126</v>
      </c>
      <c r="N58" t="s">
        <v>59</v>
      </c>
      <c r="O58" t="s">
        <v>320</v>
      </c>
      <c r="P58" t="str">
        <f>HYPERLINK("http://instagram.com/missytries")</f>
        <v>http://instagram.com/missytries</v>
      </c>
      <c r="Q58">
        <v>126</v>
      </c>
      <c r="R58" t="s">
        <v>60</v>
      </c>
      <c r="W58">
        <v>1</v>
      </c>
      <c r="X58">
        <v>1</v>
      </c>
      <c r="AE58">
        <v>0</v>
      </c>
      <c r="AI58" t="s">
        <v>108</v>
      </c>
      <c r="AJ58" t="s">
        <v>321</v>
      </c>
      <c r="AK58" t="s">
        <v>52</v>
      </c>
      <c r="AL58" t="str">
        <f>HYPERLINK("https://www.instagram.com/p/BzIy3hRlDqS/media/?size=l")</f>
        <v>https://www.instagram.com/p/BzIy3hRlDqS/media/?size=l</v>
      </c>
      <c r="AM58" t="s">
        <v>52</v>
      </c>
      <c r="AN58" t="s">
        <v>53</v>
      </c>
    </row>
    <row r="59" spans="1:40">
      <c r="A59" t="s">
        <v>40</v>
      </c>
      <c r="B59" t="s">
        <v>322</v>
      </c>
      <c r="C59" t="s">
        <v>270</v>
      </c>
      <c r="D59" t="s">
        <v>52</v>
      </c>
      <c r="E59" t="s">
        <v>323</v>
      </c>
      <c r="F59" t="s">
        <v>45</v>
      </c>
      <c r="G59" t="str">
        <f>HYPERLINK("https://www.instagram.com/p/BzIyEH2BoQ5")</f>
        <v>https://www.instagram.com/p/BzIyEH2BoQ5</v>
      </c>
      <c r="H59" t="s">
        <v>46</v>
      </c>
      <c r="I59" t="s">
        <v>324</v>
      </c>
      <c r="J59" t="str">
        <f>HYPERLINK("http://instagram.com/amnas_kitchenette_and_blog")</f>
        <v>http://instagram.com/amnas_kitchenette_and_blog</v>
      </c>
      <c r="K59">
        <v>6158</v>
      </c>
      <c r="N59" t="s">
        <v>59</v>
      </c>
      <c r="O59" t="s">
        <v>324</v>
      </c>
      <c r="P59" t="str">
        <f>HYPERLINK("http://instagram.com/amnas_kitchenette_and_blog")</f>
        <v>http://instagram.com/amnas_kitchenette_and_blog</v>
      </c>
      <c r="Q59">
        <v>6158</v>
      </c>
      <c r="R59" t="s">
        <v>60</v>
      </c>
      <c r="S59" t="s">
        <v>325</v>
      </c>
      <c r="T59" t="s">
        <v>326</v>
      </c>
      <c r="U59" t="s">
        <v>327</v>
      </c>
      <c r="W59">
        <v>6</v>
      </c>
      <c r="X59">
        <v>6</v>
      </c>
      <c r="AE59">
        <v>6</v>
      </c>
      <c r="AG59">
        <v>13</v>
      </c>
      <c r="AI59" t="s">
        <v>52</v>
      </c>
      <c r="AJ59" t="s">
        <v>268</v>
      </c>
      <c r="AK59" t="s">
        <v>52</v>
      </c>
      <c r="AL59" t="str">
        <f>HYPERLINK("https://www.instagram.com/p/BzIyEH2BoQ5/media/?size=l")</f>
        <v>https://www.instagram.com/p/BzIyEH2BoQ5/media/?size=l</v>
      </c>
      <c r="AM59" t="s">
        <v>52</v>
      </c>
      <c r="AN59" t="s">
        <v>53</v>
      </c>
    </row>
    <row r="60" spans="1:40">
      <c r="A60" t="s">
        <v>40</v>
      </c>
      <c r="B60" t="s">
        <v>322</v>
      </c>
      <c r="C60" t="s">
        <v>328</v>
      </c>
      <c r="D60" t="s">
        <v>52</v>
      </c>
      <c r="E60" t="s">
        <v>329</v>
      </c>
      <c r="F60" t="s">
        <v>71</v>
      </c>
      <c r="G60" t="str">
        <f>HYPERLINK("https://twitter.com/1700939269/status/1143537852703096832")</f>
        <v>https://twitter.com/1700939269/status/1143537852703096832</v>
      </c>
      <c r="H60" t="s">
        <v>46</v>
      </c>
      <c r="I60" t="s">
        <v>330</v>
      </c>
      <c r="J60" t="str">
        <f>HYPERLINK("http://twitter.com/JohanCasal")</f>
        <v>http://twitter.com/JohanCasal</v>
      </c>
      <c r="K60">
        <v>692</v>
      </c>
      <c r="L60" t="s">
        <v>48</v>
      </c>
      <c r="N60" t="s">
        <v>65</v>
      </c>
      <c r="R60" t="s">
        <v>60</v>
      </c>
      <c r="W60">
        <v>0</v>
      </c>
      <c r="X60">
        <v>0</v>
      </c>
      <c r="AE60">
        <v>0</v>
      </c>
      <c r="AF60">
        <v>0</v>
      </c>
      <c r="AI60" t="s">
        <v>52</v>
      </c>
      <c r="AJ60" t="s">
        <v>331</v>
      </c>
      <c r="AK60" t="s">
        <v>52</v>
      </c>
      <c r="AL60" t="str">
        <f>HYPERLINK("https://pbs.twimg.com/media/D96lWKkXUAAEb2e.jpg")</f>
        <v>https://pbs.twimg.com/media/D96lWKkXUAAEb2e.jpg</v>
      </c>
      <c r="AM60" t="s">
        <v>52</v>
      </c>
      <c r="AN60" t="s">
        <v>53</v>
      </c>
    </row>
    <row r="61" spans="1:40">
      <c r="A61" t="s">
        <v>40</v>
      </c>
      <c r="B61" t="s">
        <v>332</v>
      </c>
      <c r="C61" t="s">
        <v>333</v>
      </c>
      <c r="D61" t="s">
        <v>52</v>
      </c>
      <c r="E61" t="s">
        <v>334</v>
      </c>
      <c r="F61" t="s">
        <v>45</v>
      </c>
      <c r="G61" t="str">
        <f>HYPERLINK("https://www.instagram.com/p/BzIyR9EBqmq")</f>
        <v>https://www.instagram.com/p/BzIyR9EBqmq</v>
      </c>
      <c r="H61" t="s">
        <v>46</v>
      </c>
      <c r="I61" t="s">
        <v>335</v>
      </c>
      <c r="J61" t="str">
        <f>HYPERLINK("http://instagram.com/jessica24_sw")</f>
        <v>http://instagram.com/jessica24_sw</v>
      </c>
      <c r="K61">
        <v>4894</v>
      </c>
      <c r="N61" t="s">
        <v>59</v>
      </c>
      <c r="O61" t="s">
        <v>335</v>
      </c>
      <c r="P61" t="str">
        <f>HYPERLINK("http://instagram.com/jessica24_sw")</f>
        <v>http://instagram.com/jessica24_sw</v>
      </c>
      <c r="Q61">
        <v>4894</v>
      </c>
      <c r="R61" t="s">
        <v>60</v>
      </c>
      <c r="W61">
        <v>1</v>
      </c>
      <c r="X61">
        <v>1</v>
      </c>
      <c r="AE61">
        <v>0</v>
      </c>
      <c r="AI61" t="s">
        <v>52</v>
      </c>
      <c r="AJ61" t="s">
        <v>336</v>
      </c>
      <c r="AK61" t="s">
        <v>52</v>
      </c>
      <c r="AL61" t="str">
        <f>HYPERLINK("https://www.instagram.com/p/BzIyR9EBqmq/media/?size=l")</f>
        <v>https://www.instagram.com/p/BzIyR9EBqmq/media/?size=l</v>
      </c>
      <c r="AM61" t="s">
        <v>52</v>
      </c>
      <c r="AN61" t="s">
        <v>53</v>
      </c>
    </row>
    <row r="62" spans="1:40">
      <c r="A62" t="s">
        <v>40</v>
      </c>
      <c r="B62" t="s">
        <v>337</v>
      </c>
      <c r="C62" t="s">
        <v>338</v>
      </c>
      <c r="D62" t="s">
        <v>52</v>
      </c>
      <c r="E62" t="s">
        <v>339</v>
      </c>
      <c r="F62" t="s">
        <v>45</v>
      </c>
      <c r="G62" t="str">
        <f>HYPERLINK("https://www.instagram.com/p/BzIyKjLgVXD")</f>
        <v>https://www.instagram.com/p/BzIyKjLgVXD</v>
      </c>
      <c r="H62" t="s">
        <v>46</v>
      </c>
      <c r="I62" t="s">
        <v>340</v>
      </c>
      <c r="J62" t="str">
        <f>HYPERLINK("http://instagram.com/f7lthy")</f>
        <v>http://instagram.com/f7lthy</v>
      </c>
      <c r="K62">
        <v>17036</v>
      </c>
      <c r="N62" t="s">
        <v>59</v>
      </c>
      <c r="O62" t="s">
        <v>340</v>
      </c>
      <c r="P62" t="str">
        <f>HYPERLINK("http://instagram.com/f7lthy")</f>
        <v>http://instagram.com/f7lthy</v>
      </c>
      <c r="Q62">
        <v>17036</v>
      </c>
      <c r="R62" t="s">
        <v>60</v>
      </c>
      <c r="W62">
        <v>15</v>
      </c>
      <c r="X62">
        <v>15</v>
      </c>
      <c r="AE62">
        <v>1</v>
      </c>
      <c r="AI62" t="s">
        <v>52</v>
      </c>
      <c r="AJ62" t="s">
        <v>121</v>
      </c>
      <c r="AK62" t="s">
        <v>341</v>
      </c>
      <c r="AL62" t="str">
        <f>HYPERLINK("https://www.instagram.com/p/BzIyKjLgVXD/media/?size=l")</f>
        <v>https://www.instagram.com/p/BzIyKjLgVXD/media/?size=l</v>
      </c>
      <c r="AM62" t="s">
        <v>52</v>
      </c>
      <c r="AN62" t="s">
        <v>53</v>
      </c>
    </row>
    <row r="63" spans="1:40">
      <c r="A63" t="s">
        <v>40</v>
      </c>
      <c r="B63" t="s">
        <v>342</v>
      </c>
      <c r="C63" t="s">
        <v>230</v>
      </c>
      <c r="D63" t="s">
        <v>52</v>
      </c>
      <c r="E63" t="s">
        <v>343</v>
      </c>
      <c r="F63" t="s">
        <v>45</v>
      </c>
      <c r="G63" t="str">
        <f>HYPERLINK("https://www.instagram.com/p/BzIx46hBm3B")</f>
        <v>https://www.instagram.com/p/BzIx46hBm3B</v>
      </c>
      <c r="H63" t="s">
        <v>46</v>
      </c>
      <c r="I63" t="s">
        <v>344</v>
      </c>
      <c r="J63" t="str">
        <f>HYPERLINK("http://instagram.com/always.santiners")</f>
        <v>http://instagram.com/always.santiners</v>
      </c>
      <c r="K63">
        <v>4</v>
      </c>
      <c r="L63" t="s">
        <v>58</v>
      </c>
      <c r="N63" t="s">
        <v>59</v>
      </c>
      <c r="O63" t="s">
        <v>344</v>
      </c>
      <c r="P63" t="str">
        <f>HYPERLINK("http://instagram.com/always.santiners")</f>
        <v>http://instagram.com/always.santiners</v>
      </c>
      <c r="Q63">
        <v>4</v>
      </c>
      <c r="R63" t="s">
        <v>60</v>
      </c>
      <c r="W63">
        <v>12</v>
      </c>
      <c r="X63">
        <v>12</v>
      </c>
      <c r="AE63">
        <v>5</v>
      </c>
      <c r="AI63" t="s">
        <v>52</v>
      </c>
      <c r="AJ63" t="s">
        <v>52</v>
      </c>
      <c r="AK63" t="s">
        <v>52</v>
      </c>
      <c r="AL63" t="str">
        <f>HYPERLINK("https://www.instagram.com/p/BzIx46hBm3B/media/?size=l")</f>
        <v>https://www.instagram.com/p/BzIx46hBm3B/media/?size=l</v>
      </c>
      <c r="AM63" t="s">
        <v>52</v>
      </c>
      <c r="AN63" t="s">
        <v>53</v>
      </c>
    </row>
    <row r="64" spans="1:40">
      <c r="A64" t="s">
        <v>40</v>
      </c>
      <c r="B64" t="s">
        <v>345</v>
      </c>
      <c r="C64" t="s">
        <v>308</v>
      </c>
      <c r="D64" t="s">
        <v>52</v>
      </c>
      <c r="E64" t="s">
        <v>346</v>
      </c>
      <c r="F64" t="s">
        <v>45</v>
      </c>
      <c r="G64" t="str">
        <f>HYPERLINK("https://twitter.com/231226755/status/1143535795837579264")</f>
        <v>https://twitter.com/231226755/status/1143535795837579264</v>
      </c>
      <c r="H64" t="s">
        <v>46</v>
      </c>
      <c r="I64" t="s">
        <v>347</v>
      </c>
      <c r="J64" t="str">
        <f>HYPERLINK("http://twitter.com/realized___")</f>
        <v>http://twitter.com/realized___</v>
      </c>
      <c r="K64">
        <v>345</v>
      </c>
      <c r="L64" t="s">
        <v>58</v>
      </c>
      <c r="N64" t="s">
        <v>65</v>
      </c>
      <c r="R64" t="s">
        <v>60</v>
      </c>
      <c r="S64" t="s">
        <v>51</v>
      </c>
      <c r="T64" t="s">
        <v>84</v>
      </c>
      <c r="U64" t="s">
        <v>85</v>
      </c>
      <c r="W64">
        <v>0</v>
      </c>
      <c r="X64">
        <v>0</v>
      </c>
      <c r="AE64">
        <v>0</v>
      </c>
      <c r="AF64">
        <v>0</v>
      </c>
      <c r="AM64" t="s">
        <v>52</v>
      </c>
      <c r="AN64" t="s">
        <v>53</v>
      </c>
    </row>
    <row r="65" spans="1:40">
      <c r="A65" t="s">
        <v>40</v>
      </c>
      <c r="B65" t="s">
        <v>348</v>
      </c>
      <c r="C65" t="s">
        <v>349</v>
      </c>
      <c r="D65" t="s">
        <v>52</v>
      </c>
      <c r="E65" t="s">
        <v>350</v>
      </c>
      <c r="F65" t="s">
        <v>131</v>
      </c>
      <c r="G65" t="str">
        <f>HYPERLINK("https://twitter.com/458757597/status/1143535206638465024")</f>
        <v>https://twitter.com/458757597/status/1143535206638465024</v>
      </c>
      <c r="H65" t="s">
        <v>46</v>
      </c>
      <c r="I65" t="s">
        <v>351</v>
      </c>
      <c r="J65" t="str">
        <f>HYPERLINK("http://twitter.com/kdriley05")</f>
        <v>http://twitter.com/kdriley05</v>
      </c>
      <c r="K65">
        <v>17213</v>
      </c>
      <c r="N65" t="s">
        <v>65</v>
      </c>
      <c r="R65" t="s">
        <v>60</v>
      </c>
      <c r="S65" t="s">
        <v>51</v>
      </c>
      <c r="T65" t="s">
        <v>263</v>
      </c>
      <c r="U65" t="s">
        <v>352</v>
      </c>
      <c r="W65">
        <v>0</v>
      </c>
      <c r="X65">
        <v>0</v>
      </c>
      <c r="AE65">
        <v>0</v>
      </c>
      <c r="AM65" t="s">
        <v>52</v>
      </c>
      <c r="AN65" t="s">
        <v>53</v>
      </c>
    </row>
    <row r="66" spans="1:40">
      <c r="A66" t="s">
        <v>40</v>
      </c>
      <c r="B66" t="s">
        <v>348</v>
      </c>
      <c r="C66" t="s">
        <v>162</v>
      </c>
      <c r="D66" t="s">
        <v>353</v>
      </c>
      <c r="E66" t="s">
        <v>354</v>
      </c>
      <c r="F66" t="s">
        <v>45</v>
      </c>
      <c r="G66" t="str">
        <f>HYPERLINK("https://mayfieldrecorder.com/2019/06/25/pepsico-inc-nasdaqpep-stake-boosted-by-princeton-global-asset-management-llc.html")</f>
        <v>https://mayfieldrecorder.com/2019/06/25/pepsico-inc-nasdaqpep-stake-boosted-by-princeton-global-asset-management-llc.html</v>
      </c>
      <c r="H66" t="s">
        <v>91</v>
      </c>
      <c r="I66" t="s">
        <v>355</v>
      </c>
      <c r="J66" t="str">
        <f>HYPERLINK("https://mayfieldrecorder.com/2019/06/25/pepsico-inc-nasdaqpep-stake-boosted-by-princeton-global-asset-management-llc.html")</f>
        <v>https://mayfieldrecorder.com/2019/06/25/pepsico-inc-nasdaqpep-stake-boosted-by-princeton-global-asset-management-llc.html</v>
      </c>
      <c r="L66" t="s">
        <v>48</v>
      </c>
      <c r="N66" t="s">
        <v>356</v>
      </c>
      <c r="R66" t="s">
        <v>357</v>
      </c>
      <c r="S66" t="s">
        <v>51</v>
      </c>
      <c r="AM66" t="s">
        <v>52</v>
      </c>
      <c r="AN66" t="s">
        <v>53</v>
      </c>
    </row>
    <row r="67" spans="1:40">
      <c r="A67" t="s">
        <v>40</v>
      </c>
      <c r="B67" t="s">
        <v>358</v>
      </c>
      <c r="C67" t="s">
        <v>359</v>
      </c>
      <c r="D67" t="s">
        <v>52</v>
      </c>
      <c r="E67" t="s">
        <v>130</v>
      </c>
      <c r="F67" t="s">
        <v>131</v>
      </c>
      <c r="G67" t="str">
        <f>HYPERLINK("https://twitter.com/511716423/status/1143534653061632000")</f>
        <v>https://twitter.com/511716423/status/1143534653061632000</v>
      </c>
      <c r="H67" t="s">
        <v>46</v>
      </c>
      <c r="I67" t="s">
        <v>360</v>
      </c>
      <c r="J67" t="str">
        <f>HYPERLINK("http://twitter.com/dollzstars")</f>
        <v>http://twitter.com/dollzstars</v>
      </c>
      <c r="K67">
        <v>987</v>
      </c>
      <c r="N67" t="s">
        <v>65</v>
      </c>
      <c r="R67" t="s">
        <v>60</v>
      </c>
      <c r="S67" t="s">
        <v>97</v>
      </c>
      <c r="T67" t="s">
        <v>177</v>
      </c>
      <c r="U67" t="s">
        <v>361</v>
      </c>
      <c r="W67">
        <v>0</v>
      </c>
      <c r="X67">
        <v>0</v>
      </c>
      <c r="AE67">
        <v>0</v>
      </c>
      <c r="AI67" t="s">
        <v>108</v>
      </c>
      <c r="AJ67" t="s">
        <v>52</v>
      </c>
      <c r="AK67" t="s">
        <v>52</v>
      </c>
      <c r="AL67" t="str">
        <f>HYPERLINK("https://pbs.twimg.com/media/D9XTkLWW4AAOYnJ.jpg")</f>
        <v>https://pbs.twimg.com/media/D9XTkLWW4AAOYnJ.jpg</v>
      </c>
      <c r="AM67" t="s">
        <v>52</v>
      </c>
      <c r="AN67" t="s">
        <v>53</v>
      </c>
    </row>
    <row r="68" spans="1:40">
      <c r="A68" t="s">
        <v>40</v>
      </c>
      <c r="B68" t="s">
        <v>362</v>
      </c>
      <c r="C68" t="s">
        <v>363</v>
      </c>
      <c r="D68" t="s">
        <v>52</v>
      </c>
      <c r="E68" t="s">
        <v>364</v>
      </c>
      <c r="F68" t="s">
        <v>131</v>
      </c>
      <c r="G68" t="str">
        <f>HYPERLINK("https://twitter.com/15741337/status/1143534481862795264")</f>
        <v>https://twitter.com/15741337/status/1143534481862795264</v>
      </c>
      <c r="H68" t="s">
        <v>46</v>
      </c>
      <c r="I68" t="s">
        <v>365</v>
      </c>
      <c r="J68" t="str">
        <f>HYPERLINK("http://twitter.com/DrClawMD")</f>
        <v>http://twitter.com/DrClawMD</v>
      </c>
      <c r="K68">
        <v>2611</v>
      </c>
      <c r="L68" t="s">
        <v>48</v>
      </c>
      <c r="N68" t="s">
        <v>65</v>
      </c>
      <c r="R68" t="s">
        <v>60</v>
      </c>
      <c r="S68" t="s">
        <v>51</v>
      </c>
      <c r="T68" t="s">
        <v>160</v>
      </c>
      <c r="U68" t="s">
        <v>366</v>
      </c>
      <c r="W68">
        <v>0</v>
      </c>
      <c r="X68">
        <v>0</v>
      </c>
      <c r="AE68">
        <v>0</v>
      </c>
      <c r="AI68" t="s">
        <v>52</v>
      </c>
      <c r="AJ68" t="s">
        <v>331</v>
      </c>
      <c r="AK68" t="s">
        <v>52</v>
      </c>
      <c r="AL68" t="str">
        <f>HYPERLINK("https://pbs.twimg.com/media/D96lWKkXUAAEb2e.jpg")</f>
        <v>https://pbs.twimg.com/media/D96lWKkXUAAEb2e.jpg</v>
      </c>
      <c r="AM68" t="s">
        <v>52</v>
      </c>
      <c r="AN68" t="s">
        <v>53</v>
      </c>
    </row>
    <row r="69" spans="1:40">
      <c r="A69" t="s">
        <v>40</v>
      </c>
      <c r="B69" t="s">
        <v>367</v>
      </c>
      <c r="C69" t="s">
        <v>368</v>
      </c>
      <c r="D69" t="s">
        <v>52</v>
      </c>
      <c r="E69" t="s">
        <v>369</v>
      </c>
      <c r="F69" t="s">
        <v>45</v>
      </c>
      <c r="G69" t="str">
        <f>HYPERLINK("https://www.instagram.com/p/BzIw2QJA88l")</f>
        <v>https://www.instagram.com/p/BzIw2QJA88l</v>
      </c>
      <c r="H69" t="s">
        <v>46</v>
      </c>
      <c r="I69" t="s">
        <v>370</v>
      </c>
      <c r="J69" t="str">
        <f>HYPERLINK("http://instagram.com/thesons2019")</f>
        <v>http://instagram.com/thesons2019</v>
      </c>
      <c r="K69">
        <v>18</v>
      </c>
      <c r="N69" t="s">
        <v>59</v>
      </c>
      <c r="O69" t="s">
        <v>370</v>
      </c>
      <c r="P69" t="str">
        <f>HYPERLINK("http://instagram.com/thesons2019")</f>
        <v>http://instagram.com/thesons2019</v>
      </c>
      <c r="Q69">
        <v>18</v>
      </c>
      <c r="R69" t="s">
        <v>60</v>
      </c>
      <c r="W69">
        <v>2</v>
      </c>
      <c r="X69">
        <v>2</v>
      </c>
      <c r="AE69">
        <v>0</v>
      </c>
      <c r="AI69" t="s">
        <v>52</v>
      </c>
      <c r="AJ69" t="s">
        <v>371</v>
      </c>
      <c r="AK69" t="s">
        <v>52</v>
      </c>
      <c r="AL69" t="str">
        <f>HYPERLINK("https://www.instagram.com/p/BzIw2QJA88l/media/?size=l")</f>
        <v>https://www.instagram.com/p/BzIw2QJA88l/media/?size=l</v>
      </c>
      <c r="AM69" t="s">
        <v>52</v>
      </c>
      <c r="AN69" t="s">
        <v>53</v>
      </c>
    </row>
    <row r="70" spans="1:40">
      <c r="A70" t="s">
        <v>40</v>
      </c>
      <c r="B70" t="s">
        <v>372</v>
      </c>
      <c r="C70" t="s">
        <v>373</v>
      </c>
      <c r="D70" t="s">
        <v>52</v>
      </c>
      <c r="E70" t="s">
        <v>374</v>
      </c>
      <c r="F70" t="s">
        <v>95</v>
      </c>
      <c r="G70" t="str">
        <f>HYPERLINK("https://twitter.com/2206807470/status/1143533722945433600")</f>
        <v>https://twitter.com/2206807470/status/1143533722945433600</v>
      </c>
      <c r="H70" t="s">
        <v>46</v>
      </c>
      <c r="I70" t="s">
        <v>375</v>
      </c>
      <c r="J70" t="str">
        <f>HYPERLINK("http://twitter.com/Stopher419")</f>
        <v>http://twitter.com/Stopher419</v>
      </c>
      <c r="K70">
        <v>116</v>
      </c>
      <c r="N70" t="s">
        <v>65</v>
      </c>
      <c r="R70" t="s">
        <v>60</v>
      </c>
      <c r="S70" t="s">
        <v>51</v>
      </c>
      <c r="W70">
        <v>1</v>
      </c>
      <c r="X70">
        <v>1</v>
      </c>
      <c r="AE70">
        <v>0</v>
      </c>
      <c r="AF70">
        <v>0</v>
      </c>
      <c r="AM70" t="s">
        <v>52</v>
      </c>
      <c r="AN70" t="s">
        <v>53</v>
      </c>
    </row>
    <row r="71" spans="1:40">
      <c r="A71" t="s">
        <v>40</v>
      </c>
      <c r="B71" t="s">
        <v>376</v>
      </c>
      <c r="C71" t="s">
        <v>377</v>
      </c>
      <c r="D71" t="s">
        <v>52</v>
      </c>
      <c r="E71" t="s">
        <v>378</v>
      </c>
      <c r="F71" t="s">
        <v>45</v>
      </c>
      <c r="G71" t="str">
        <f>HYPERLINK("https://twitter.com/969370288151564289/status/1143532738374504449")</f>
        <v>https://twitter.com/969370288151564289/status/1143532738374504449</v>
      </c>
      <c r="H71" t="s">
        <v>46</v>
      </c>
      <c r="I71" t="s">
        <v>379</v>
      </c>
      <c r="J71" t="str">
        <f>HYPERLINK("http://twitter.com/EthanEJJTM")</f>
        <v>http://twitter.com/EthanEJJTM</v>
      </c>
      <c r="K71">
        <v>316</v>
      </c>
      <c r="N71" t="s">
        <v>65</v>
      </c>
      <c r="R71" t="s">
        <v>60</v>
      </c>
      <c r="S71" t="s">
        <v>51</v>
      </c>
      <c r="T71" t="s">
        <v>380</v>
      </c>
      <c r="U71" t="s">
        <v>380</v>
      </c>
      <c r="W71">
        <v>0</v>
      </c>
      <c r="X71">
        <v>0</v>
      </c>
      <c r="AE71">
        <v>0</v>
      </c>
      <c r="AF71">
        <v>0</v>
      </c>
      <c r="AM71" t="s">
        <v>52</v>
      </c>
      <c r="AN71" t="s">
        <v>53</v>
      </c>
    </row>
    <row r="72" spans="1:40">
      <c r="A72" t="s">
        <v>40</v>
      </c>
      <c r="B72" t="s">
        <v>376</v>
      </c>
      <c r="C72" t="s">
        <v>368</v>
      </c>
      <c r="D72" t="s">
        <v>52</v>
      </c>
      <c r="E72" t="s">
        <v>381</v>
      </c>
      <c r="F72" t="s">
        <v>45</v>
      </c>
      <c r="G72" t="str">
        <f>HYPERLINK("https://twitter.com/39562346/status/1143532727393763330")</f>
        <v>https://twitter.com/39562346/status/1143532727393763330</v>
      </c>
      <c r="H72" t="s">
        <v>46</v>
      </c>
      <c r="I72" t="s">
        <v>382</v>
      </c>
      <c r="J72" t="str">
        <f>HYPERLINK("http://twitter.com/TrueAntoinette")</f>
        <v>http://twitter.com/TrueAntoinette</v>
      </c>
      <c r="K72">
        <v>235</v>
      </c>
      <c r="L72" t="s">
        <v>58</v>
      </c>
      <c r="N72" t="s">
        <v>65</v>
      </c>
      <c r="R72" t="s">
        <v>60</v>
      </c>
      <c r="S72" t="s">
        <v>51</v>
      </c>
      <c r="T72" t="s">
        <v>383</v>
      </c>
      <c r="W72">
        <v>0</v>
      </c>
      <c r="X72">
        <v>0</v>
      </c>
      <c r="AE72">
        <v>0</v>
      </c>
      <c r="AF72">
        <v>0</v>
      </c>
      <c r="AM72" t="s">
        <v>52</v>
      </c>
      <c r="AN72" t="s">
        <v>53</v>
      </c>
    </row>
    <row r="73" spans="1:40">
      <c r="A73" t="s">
        <v>40</v>
      </c>
      <c r="B73" t="s">
        <v>376</v>
      </c>
      <c r="C73" t="s">
        <v>384</v>
      </c>
      <c r="D73" t="s">
        <v>52</v>
      </c>
      <c r="E73" t="s">
        <v>385</v>
      </c>
      <c r="F73" t="s">
        <v>45</v>
      </c>
      <c r="G73" t="str">
        <f>HYPERLINK("https://twitter.com/1217061583/status/1143532704077701120")</f>
        <v>https://twitter.com/1217061583/status/1143532704077701120</v>
      </c>
      <c r="H73" t="s">
        <v>46</v>
      </c>
      <c r="I73" t="s">
        <v>386</v>
      </c>
      <c r="J73" t="str">
        <f>HYPERLINK("http://twitter.com/supernoah333")</f>
        <v>http://twitter.com/supernoah333</v>
      </c>
      <c r="K73">
        <v>214</v>
      </c>
      <c r="N73" t="s">
        <v>65</v>
      </c>
      <c r="R73" t="s">
        <v>60</v>
      </c>
      <c r="S73" t="s">
        <v>387</v>
      </c>
      <c r="T73" t="s">
        <v>388</v>
      </c>
      <c r="U73" t="s">
        <v>389</v>
      </c>
      <c r="W73">
        <v>0</v>
      </c>
      <c r="X73">
        <v>0</v>
      </c>
      <c r="AE73">
        <v>0</v>
      </c>
      <c r="AF73">
        <v>0</v>
      </c>
      <c r="AM73" t="s">
        <v>52</v>
      </c>
      <c r="AN73" t="s">
        <v>53</v>
      </c>
    </row>
    <row r="74" spans="1:40">
      <c r="A74" t="s">
        <v>40</v>
      </c>
      <c r="B74" t="s">
        <v>376</v>
      </c>
      <c r="C74" t="s">
        <v>384</v>
      </c>
      <c r="D74" t="s">
        <v>52</v>
      </c>
      <c r="E74" t="s">
        <v>390</v>
      </c>
      <c r="F74" t="s">
        <v>95</v>
      </c>
      <c r="G74" t="str">
        <f>HYPERLINK("https://twitter.com/2857598463/status/1143532703985426432")</f>
        <v>https://twitter.com/2857598463/status/1143532703985426432</v>
      </c>
      <c r="H74" t="s">
        <v>46</v>
      </c>
      <c r="I74" t="s">
        <v>391</v>
      </c>
      <c r="J74" t="str">
        <f>HYPERLINK("http://twitter.com/harryxstyles101")</f>
        <v>http://twitter.com/harryxstyles101</v>
      </c>
      <c r="K74">
        <v>861</v>
      </c>
      <c r="N74" t="s">
        <v>65</v>
      </c>
      <c r="R74" t="s">
        <v>60</v>
      </c>
      <c r="W74">
        <v>0</v>
      </c>
      <c r="X74">
        <v>0</v>
      </c>
      <c r="AE74">
        <v>0</v>
      </c>
      <c r="AF74">
        <v>0</v>
      </c>
      <c r="AM74" t="s">
        <v>52</v>
      </c>
      <c r="AN74" t="s">
        <v>53</v>
      </c>
    </row>
    <row r="75" spans="1:40">
      <c r="A75" t="s">
        <v>40</v>
      </c>
      <c r="B75" t="s">
        <v>376</v>
      </c>
      <c r="C75" t="s">
        <v>392</v>
      </c>
      <c r="D75" t="s">
        <v>52</v>
      </c>
      <c r="E75" t="s">
        <v>393</v>
      </c>
      <c r="F75" t="s">
        <v>95</v>
      </c>
      <c r="G75" t="str">
        <f>HYPERLINK("https://twitter.com/863059145959899137/status/1143532571432759297")</f>
        <v>https://twitter.com/863059145959899137/status/1143532571432759297</v>
      </c>
      <c r="H75" t="s">
        <v>46</v>
      </c>
      <c r="I75" t="s">
        <v>394</v>
      </c>
      <c r="J75" t="str">
        <f>HYPERLINK("http://twitter.com/PlumbingwerxUK")</f>
        <v>http://twitter.com/PlumbingwerxUK</v>
      </c>
      <c r="K75">
        <v>302</v>
      </c>
      <c r="N75" t="s">
        <v>65</v>
      </c>
      <c r="R75" t="s">
        <v>60</v>
      </c>
      <c r="S75" t="s">
        <v>97</v>
      </c>
      <c r="T75" t="s">
        <v>177</v>
      </c>
      <c r="U75" t="s">
        <v>395</v>
      </c>
      <c r="W75">
        <v>1</v>
      </c>
      <c r="X75">
        <v>1</v>
      </c>
      <c r="AE75">
        <v>0</v>
      </c>
      <c r="AF75">
        <v>0</v>
      </c>
      <c r="AM75" t="s">
        <v>52</v>
      </c>
      <c r="AN75" t="s">
        <v>53</v>
      </c>
    </row>
    <row r="76" spans="1:40">
      <c r="A76" t="s">
        <v>40</v>
      </c>
      <c r="B76" t="s">
        <v>396</v>
      </c>
      <c r="C76" t="s">
        <v>359</v>
      </c>
      <c r="D76" t="s">
        <v>397</v>
      </c>
      <c r="E76" t="s">
        <v>398</v>
      </c>
      <c r="F76" t="s">
        <v>45</v>
      </c>
      <c r="G76" t="str">
        <f>HYPERLINK("http://www.ladbible.com/entertainment/gaming-if-youre-cheating-playing-pokemon-go-prepare-for-a-permanent-ban-20160813")</f>
        <v>http://www.ladbible.com/entertainment/gaming-if-youre-cheating-playing-pokemon-go-prepare-for-a-permanent-ban-20160813</v>
      </c>
      <c r="H76" t="s">
        <v>46</v>
      </c>
      <c r="I76" t="s">
        <v>399</v>
      </c>
      <c r="J76" t="str">
        <f>HYPERLINK("http://www.ladbible.com/entertainment/gaming-if-youre-cheating-playing-pokemon-go-prepare-for-a-permanent-ban-20160813")</f>
        <v>http://www.ladbible.com/entertainment/gaming-if-youre-cheating-playing-pokemon-go-prepare-for-a-permanent-ban-20160813</v>
      </c>
      <c r="N76" t="s">
        <v>400</v>
      </c>
      <c r="R76" t="s">
        <v>357</v>
      </c>
      <c r="S76" t="s">
        <v>97</v>
      </c>
      <c r="AL76" t="str">
        <f>HYPERLINK("http://www.ladbible.com/assets/black@256.d9f8c93bde4dca7811e5d740960defea.png")</f>
        <v>http://www.ladbible.com/assets/black@256.d9f8c93bde4dca7811e5d740960defea.png</v>
      </c>
      <c r="AM76" t="s">
        <v>52</v>
      </c>
      <c r="AN76" t="s">
        <v>53</v>
      </c>
    </row>
    <row r="77" spans="1:40">
      <c r="A77" t="s">
        <v>40</v>
      </c>
      <c r="B77" t="s">
        <v>396</v>
      </c>
      <c r="C77" t="s">
        <v>291</v>
      </c>
      <c r="D77" t="s">
        <v>401</v>
      </c>
      <c r="E77" t="s">
        <v>402</v>
      </c>
      <c r="F77" t="s">
        <v>95</v>
      </c>
      <c r="G77" t="str">
        <f>HYPERLINK("http://www.pajiba.com/celebrities_are_better_than_you/british-royals-criticized-for-rising-expenses-cost-of-harry-and-meghans-renovations.php#comment-4515520901")</f>
        <v>http://www.pajiba.com/celebrities_are_better_than_you/british-royals-criticized-for-rising-expenses-cost-of-harry-and-meghans-renovations.php#comment-4515520901</v>
      </c>
      <c r="H77" t="s">
        <v>46</v>
      </c>
      <c r="I77" t="s">
        <v>403</v>
      </c>
      <c r="J77" t="str">
        <f>HYPERLINK("https://disqus.com/by/bonobochick/")</f>
        <v>https://disqus.com/by/bonobochick/</v>
      </c>
      <c r="K77">
        <v>2</v>
      </c>
      <c r="N77" t="s">
        <v>404</v>
      </c>
      <c r="O77" t="s">
        <v>405</v>
      </c>
      <c r="P77" t="str">
        <f>HYPERLINK("https://disqus.com/home/forum/jiba/")</f>
        <v>https://disqus.com/home/forum/jiba/</v>
      </c>
      <c r="R77" t="s">
        <v>50</v>
      </c>
      <c r="W77">
        <v>0</v>
      </c>
      <c r="X77">
        <v>0</v>
      </c>
      <c r="AM77" t="s">
        <v>52</v>
      </c>
      <c r="AN77" t="s">
        <v>53</v>
      </c>
    </row>
    <row r="78" spans="1:40">
      <c r="A78" t="s">
        <v>40</v>
      </c>
      <c r="B78" t="s">
        <v>406</v>
      </c>
      <c r="C78" t="s">
        <v>407</v>
      </c>
      <c r="D78" t="s">
        <v>52</v>
      </c>
      <c r="E78" t="s">
        <v>408</v>
      </c>
      <c r="F78" t="s">
        <v>95</v>
      </c>
      <c r="G78" t="str">
        <f>HYPERLINK("https://twitter.com/202407434/status/1143531413024706560")</f>
        <v>https://twitter.com/202407434/status/1143531413024706560</v>
      </c>
      <c r="H78" t="s">
        <v>46</v>
      </c>
      <c r="I78" t="s">
        <v>409</v>
      </c>
      <c r="J78" t="str">
        <f>HYPERLINK("http://twitter.com/seminole4life22")</f>
        <v>http://twitter.com/seminole4life22</v>
      </c>
      <c r="K78">
        <v>3351</v>
      </c>
      <c r="L78" t="s">
        <v>48</v>
      </c>
      <c r="N78" t="s">
        <v>65</v>
      </c>
      <c r="R78" t="s">
        <v>60</v>
      </c>
      <c r="S78" t="s">
        <v>97</v>
      </c>
      <c r="T78" t="s">
        <v>177</v>
      </c>
      <c r="U78" t="s">
        <v>410</v>
      </c>
      <c r="W78">
        <v>0</v>
      </c>
      <c r="X78">
        <v>0</v>
      </c>
      <c r="AE78">
        <v>2</v>
      </c>
      <c r="AF78">
        <v>0</v>
      </c>
      <c r="AM78" t="s">
        <v>52</v>
      </c>
      <c r="AN78" t="s">
        <v>53</v>
      </c>
    </row>
    <row r="79" spans="1:40">
      <c r="A79" t="s">
        <v>40</v>
      </c>
      <c r="B79" t="s">
        <v>411</v>
      </c>
      <c r="C79" t="s">
        <v>412</v>
      </c>
      <c r="D79" t="s">
        <v>52</v>
      </c>
      <c r="E79" t="s">
        <v>413</v>
      </c>
      <c r="F79" t="s">
        <v>71</v>
      </c>
      <c r="G79" t="str">
        <f>HYPERLINK("https://twitter.com/1058509451261435905/status/1143530921213087744")</f>
        <v>https://twitter.com/1058509451261435905/status/1143530921213087744</v>
      </c>
      <c r="H79" t="s">
        <v>46</v>
      </c>
      <c r="I79" t="s">
        <v>414</v>
      </c>
      <c r="J79" t="str">
        <f>HYPERLINK("http://twitter.com/thejevairs")</f>
        <v>http://twitter.com/thejevairs</v>
      </c>
      <c r="K79">
        <v>64</v>
      </c>
      <c r="N79" t="s">
        <v>65</v>
      </c>
      <c r="R79" t="s">
        <v>60</v>
      </c>
      <c r="W79">
        <v>0</v>
      </c>
      <c r="X79">
        <v>0</v>
      </c>
      <c r="AE79">
        <v>0</v>
      </c>
      <c r="AF79">
        <v>0</v>
      </c>
      <c r="AM79" t="s">
        <v>52</v>
      </c>
      <c r="AN79" t="s">
        <v>53</v>
      </c>
    </row>
    <row r="80" spans="1:40">
      <c r="A80" t="s">
        <v>40</v>
      </c>
      <c r="B80" t="s">
        <v>415</v>
      </c>
      <c r="C80" t="s">
        <v>412</v>
      </c>
      <c r="D80" t="s">
        <v>52</v>
      </c>
      <c r="E80" t="s">
        <v>413</v>
      </c>
      <c r="F80" t="s">
        <v>71</v>
      </c>
      <c r="G80" t="str">
        <f>HYPERLINK("https://twitter.com/1110083122077417472/status/1143530783828656128")</f>
        <v>https://twitter.com/1110083122077417472/status/1143530783828656128</v>
      </c>
      <c r="H80" t="s">
        <v>46</v>
      </c>
      <c r="I80" t="s">
        <v>416</v>
      </c>
      <c r="J80" t="str">
        <f>HYPERLINK("http://twitter.com/theaulions")</f>
        <v>http://twitter.com/theaulions</v>
      </c>
      <c r="K80">
        <v>87</v>
      </c>
      <c r="N80" t="s">
        <v>65</v>
      </c>
      <c r="R80" t="s">
        <v>60</v>
      </c>
      <c r="S80" t="s">
        <v>97</v>
      </c>
      <c r="T80" t="s">
        <v>98</v>
      </c>
      <c r="U80" t="s">
        <v>417</v>
      </c>
      <c r="W80">
        <v>0</v>
      </c>
      <c r="X80">
        <v>0</v>
      </c>
      <c r="AE80">
        <v>1</v>
      </c>
      <c r="AF80">
        <v>1</v>
      </c>
      <c r="AM80" t="s">
        <v>52</v>
      </c>
      <c r="AN80" t="s">
        <v>53</v>
      </c>
    </row>
    <row r="81" spans="1:40">
      <c r="A81" t="s">
        <v>40</v>
      </c>
      <c r="B81" t="s">
        <v>415</v>
      </c>
      <c r="C81" t="s">
        <v>349</v>
      </c>
      <c r="D81" t="s">
        <v>52</v>
      </c>
      <c r="E81" t="s">
        <v>418</v>
      </c>
      <c r="F81" t="s">
        <v>45</v>
      </c>
      <c r="G81" t="str">
        <f>HYPERLINK("https://www.instagram.com/p/BzIvYSYg9zP")</f>
        <v>https://www.instagram.com/p/BzIvYSYg9zP</v>
      </c>
      <c r="H81" t="s">
        <v>46</v>
      </c>
      <c r="I81" t="s">
        <v>52</v>
      </c>
      <c r="J81" t="str">
        <f>HYPERLINK("http://instagram.com/sakuramediauk")</f>
        <v>http://instagram.com/sakuramediauk</v>
      </c>
      <c r="K81">
        <v>1</v>
      </c>
      <c r="N81" t="s">
        <v>59</v>
      </c>
      <c r="O81" t="s">
        <v>52</v>
      </c>
      <c r="P81" t="str">
        <f>HYPERLINK("http://instagram.com/sakuramediauk")</f>
        <v>http://instagram.com/sakuramediauk</v>
      </c>
      <c r="Q81">
        <v>1</v>
      </c>
      <c r="R81" t="s">
        <v>60</v>
      </c>
      <c r="S81" t="s">
        <v>97</v>
      </c>
      <c r="T81" t="s">
        <v>177</v>
      </c>
      <c r="U81" t="s">
        <v>419</v>
      </c>
      <c r="W81">
        <v>2</v>
      </c>
      <c r="X81">
        <v>2</v>
      </c>
      <c r="AE81">
        <v>0</v>
      </c>
      <c r="AI81" t="s">
        <v>52</v>
      </c>
      <c r="AJ81" t="s">
        <v>121</v>
      </c>
      <c r="AK81" t="s">
        <v>52</v>
      </c>
      <c r="AL81" t="str">
        <f>HYPERLINK("https://www.instagram.com/p/BzIvYSYg9zP/media/?size=l")</f>
        <v>https://www.instagram.com/p/BzIvYSYg9zP/media/?size=l</v>
      </c>
      <c r="AM81" t="s">
        <v>52</v>
      </c>
      <c r="AN81" t="s">
        <v>53</v>
      </c>
    </row>
    <row r="82" spans="1:40">
      <c r="A82" t="s">
        <v>40</v>
      </c>
      <c r="B82" t="s">
        <v>420</v>
      </c>
      <c r="C82" t="s">
        <v>421</v>
      </c>
      <c r="D82" t="s">
        <v>52</v>
      </c>
      <c r="E82" t="s">
        <v>422</v>
      </c>
      <c r="F82" t="s">
        <v>95</v>
      </c>
      <c r="G82" t="str">
        <f>HYPERLINK("https://twitter.com/833710640/status/1143530300909244421")</f>
        <v>https://twitter.com/833710640/status/1143530300909244421</v>
      </c>
      <c r="H82" t="s">
        <v>215</v>
      </c>
      <c r="I82" t="s">
        <v>423</v>
      </c>
      <c r="J82" t="str">
        <f>HYPERLINK("http://twitter.com/IwatchVHS")</f>
        <v>http://twitter.com/IwatchVHS</v>
      </c>
      <c r="K82">
        <v>550</v>
      </c>
      <c r="N82" t="s">
        <v>65</v>
      </c>
      <c r="R82" t="s">
        <v>60</v>
      </c>
      <c r="S82" t="s">
        <v>51</v>
      </c>
      <c r="T82" t="s">
        <v>152</v>
      </c>
      <c r="U82" t="s">
        <v>424</v>
      </c>
      <c r="W82">
        <v>1</v>
      </c>
      <c r="X82">
        <v>1</v>
      </c>
      <c r="AE82">
        <v>0</v>
      </c>
      <c r="AF82">
        <v>0</v>
      </c>
      <c r="AM82" t="s">
        <v>52</v>
      </c>
      <c r="AN82" t="s">
        <v>53</v>
      </c>
    </row>
    <row r="83" spans="1:40">
      <c r="A83" t="s">
        <v>40</v>
      </c>
      <c r="B83" t="s">
        <v>425</v>
      </c>
      <c r="C83" t="s">
        <v>426</v>
      </c>
      <c r="D83" t="s">
        <v>52</v>
      </c>
      <c r="E83" t="s">
        <v>427</v>
      </c>
      <c r="F83" t="s">
        <v>95</v>
      </c>
      <c r="G83" t="str">
        <f>HYPERLINK("https://twitter.com/963998584948445184/status/1143529247002091520")</f>
        <v>https://twitter.com/963998584948445184/status/1143529247002091520</v>
      </c>
      <c r="H83" t="s">
        <v>46</v>
      </c>
      <c r="I83" t="s">
        <v>428</v>
      </c>
      <c r="J83" t="str">
        <f>HYPERLINK("http://twitter.com/YOONAodds")</f>
        <v>http://twitter.com/YOONAodds</v>
      </c>
      <c r="K83">
        <v>296</v>
      </c>
      <c r="L83" t="s">
        <v>58</v>
      </c>
      <c r="N83" t="s">
        <v>65</v>
      </c>
      <c r="R83" t="s">
        <v>60</v>
      </c>
      <c r="W83">
        <v>0</v>
      </c>
      <c r="X83">
        <v>0</v>
      </c>
      <c r="AE83">
        <v>1</v>
      </c>
      <c r="AF83">
        <v>0</v>
      </c>
      <c r="AM83" t="s">
        <v>52</v>
      </c>
      <c r="AN83" t="s">
        <v>53</v>
      </c>
    </row>
    <row r="84" spans="1:40">
      <c r="A84" t="s">
        <v>40</v>
      </c>
      <c r="B84" t="s">
        <v>425</v>
      </c>
      <c r="C84" t="s">
        <v>429</v>
      </c>
      <c r="D84" t="s">
        <v>52</v>
      </c>
      <c r="E84" t="s">
        <v>430</v>
      </c>
      <c r="F84" t="s">
        <v>45</v>
      </c>
      <c r="G84" t="str">
        <f>HYPERLINK("https://www.instagram.com/p/BzIuwhfnjzt")</f>
        <v>https://www.instagram.com/p/BzIuwhfnjzt</v>
      </c>
      <c r="H84" t="s">
        <v>46</v>
      </c>
      <c r="I84" t="s">
        <v>431</v>
      </c>
      <c r="J84" t="str">
        <f>HYPERLINK("http://instagram.com/canapi___")</f>
        <v>http://instagram.com/canapi___</v>
      </c>
      <c r="K84">
        <v>4227</v>
      </c>
      <c r="N84" t="s">
        <v>59</v>
      </c>
      <c r="O84" t="s">
        <v>431</v>
      </c>
      <c r="P84" t="str">
        <f>HYPERLINK("http://instagram.com/canapi___")</f>
        <v>http://instagram.com/canapi___</v>
      </c>
      <c r="Q84">
        <v>4227</v>
      </c>
      <c r="R84" t="s">
        <v>60</v>
      </c>
      <c r="S84" t="s">
        <v>432</v>
      </c>
      <c r="T84" t="s">
        <v>433</v>
      </c>
      <c r="W84">
        <v>16</v>
      </c>
      <c r="X84">
        <v>16</v>
      </c>
      <c r="AE84">
        <v>1</v>
      </c>
      <c r="AI84" t="s">
        <v>108</v>
      </c>
      <c r="AJ84" t="s">
        <v>52</v>
      </c>
      <c r="AK84" t="s">
        <v>52</v>
      </c>
      <c r="AL84" t="str">
        <f>HYPERLINK("https://www.instagram.com/p/BzIuwhfnjzt/media/?size=l")</f>
        <v>https://www.instagram.com/p/BzIuwhfnjzt/media/?size=l</v>
      </c>
      <c r="AM84" t="s">
        <v>52</v>
      </c>
      <c r="AN84" t="s">
        <v>53</v>
      </c>
    </row>
    <row r="85" spans="1:40">
      <c r="A85" t="s">
        <v>40</v>
      </c>
      <c r="B85" t="s">
        <v>434</v>
      </c>
      <c r="C85" t="s">
        <v>407</v>
      </c>
      <c r="D85" t="s">
        <v>52</v>
      </c>
      <c r="E85" t="s">
        <v>435</v>
      </c>
      <c r="F85" t="s">
        <v>45</v>
      </c>
      <c r="G85" t="str">
        <f>HYPERLINK("https://www.instagram.com/p/BzIuobqlx5-")</f>
        <v>https://www.instagram.com/p/BzIuobqlx5-</v>
      </c>
      <c r="H85" t="s">
        <v>46</v>
      </c>
      <c r="I85" t="s">
        <v>436</v>
      </c>
      <c r="J85" t="str">
        <f>HYPERLINK("http://instagram.com/susyayala")</f>
        <v>http://instagram.com/susyayala</v>
      </c>
      <c r="K85">
        <v>21725</v>
      </c>
      <c r="L85" t="s">
        <v>58</v>
      </c>
      <c r="N85" t="s">
        <v>59</v>
      </c>
      <c r="O85" t="s">
        <v>436</v>
      </c>
      <c r="P85" t="str">
        <f>HYPERLINK("http://instagram.com/susyayala")</f>
        <v>http://instagram.com/susyayala</v>
      </c>
      <c r="Q85">
        <v>21725</v>
      </c>
      <c r="R85" t="s">
        <v>60</v>
      </c>
      <c r="S85" t="s">
        <v>437</v>
      </c>
      <c r="T85" t="s">
        <v>438</v>
      </c>
      <c r="U85" t="s">
        <v>439</v>
      </c>
      <c r="W85">
        <v>90</v>
      </c>
      <c r="X85">
        <v>90</v>
      </c>
      <c r="AE85">
        <v>5</v>
      </c>
      <c r="AI85" t="s">
        <v>52</v>
      </c>
      <c r="AJ85" t="s">
        <v>52</v>
      </c>
      <c r="AK85" t="s">
        <v>110</v>
      </c>
      <c r="AL85" t="str">
        <f>HYPERLINK("https://www.instagram.com/p/BzIuobqlx5-/media/?size=l")</f>
        <v>https://www.instagram.com/p/BzIuobqlx5-/media/?size=l</v>
      </c>
      <c r="AM85" t="s">
        <v>52</v>
      </c>
      <c r="AN85" t="s">
        <v>53</v>
      </c>
    </row>
    <row r="86" spans="1:40">
      <c r="A86" t="s">
        <v>40</v>
      </c>
      <c r="B86" t="s">
        <v>440</v>
      </c>
      <c r="C86" t="s">
        <v>441</v>
      </c>
      <c r="D86" t="s">
        <v>52</v>
      </c>
      <c r="E86" t="s">
        <v>442</v>
      </c>
      <c r="F86" t="s">
        <v>45</v>
      </c>
      <c r="G86" t="str">
        <f>HYPERLINK("https://twitter.com/22845383/status/1143527833861591040")</f>
        <v>https://twitter.com/22845383/status/1143527833861591040</v>
      </c>
      <c r="H86" t="s">
        <v>46</v>
      </c>
      <c r="I86" t="s">
        <v>443</v>
      </c>
      <c r="J86" t="str">
        <f>HYPERLINK("http://twitter.com/himynameisjulz")</f>
        <v>http://twitter.com/himynameisjulz</v>
      </c>
      <c r="K86">
        <v>558</v>
      </c>
      <c r="N86" t="s">
        <v>65</v>
      </c>
      <c r="R86" t="s">
        <v>60</v>
      </c>
      <c r="S86" t="s">
        <v>444</v>
      </c>
      <c r="W86">
        <v>3</v>
      </c>
      <c r="X86">
        <v>3</v>
      </c>
      <c r="AE86">
        <v>0</v>
      </c>
      <c r="AF86">
        <v>1</v>
      </c>
      <c r="AM86" t="s">
        <v>52</v>
      </c>
      <c r="AN86" t="s">
        <v>53</v>
      </c>
    </row>
    <row r="87" spans="1:40">
      <c r="A87" t="s">
        <v>40</v>
      </c>
      <c r="B87" t="s">
        <v>445</v>
      </c>
      <c r="C87" t="s">
        <v>446</v>
      </c>
      <c r="D87" t="s">
        <v>52</v>
      </c>
      <c r="E87" t="s">
        <v>447</v>
      </c>
      <c r="F87" t="s">
        <v>45</v>
      </c>
      <c r="G87" t="str">
        <f>HYPERLINK("https://twitter.com/410166261/status/1143527111526965254")</f>
        <v>https://twitter.com/410166261/status/1143527111526965254</v>
      </c>
      <c r="H87" t="s">
        <v>46</v>
      </c>
      <c r="I87" t="s">
        <v>448</v>
      </c>
      <c r="J87" t="str">
        <f>HYPERLINK("http://twitter.com/Cakencarrot")</f>
        <v>http://twitter.com/Cakencarrot</v>
      </c>
      <c r="K87">
        <v>57</v>
      </c>
      <c r="N87" t="s">
        <v>65</v>
      </c>
      <c r="R87" t="s">
        <v>60</v>
      </c>
      <c r="S87" t="s">
        <v>51</v>
      </c>
      <c r="W87">
        <v>0</v>
      </c>
      <c r="X87">
        <v>0</v>
      </c>
      <c r="AE87">
        <v>0</v>
      </c>
      <c r="AF87">
        <v>0</v>
      </c>
      <c r="AM87" t="s">
        <v>52</v>
      </c>
      <c r="AN87" t="s">
        <v>53</v>
      </c>
    </row>
    <row r="88" spans="1:40">
      <c r="A88" t="s">
        <v>40</v>
      </c>
      <c r="B88" t="s">
        <v>449</v>
      </c>
      <c r="C88" t="s">
        <v>450</v>
      </c>
      <c r="D88" t="s">
        <v>52</v>
      </c>
      <c r="E88" t="s">
        <v>451</v>
      </c>
      <c r="F88" t="s">
        <v>71</v>
      </c>
      <c r="G88" t="str">
        <f>HYPERLINK("https://twitter.com/366164127/status/1143526863995904000")</f>
        <v>https://twitter.com/366164127/status/1143526863995904000</v>
      </c>
      <c r="H88" t="s">
        <v>215</v>
      </c>
      <c r="I88" t="s">
        <v>78</v>
      </c>
      <c r="J88" t="str">
        <f>HYPERLINK("http://twitter.com/DMFrank_")</f>
        <v>http://twitter.com/DMFrank_</v>
      </c>
      <c r="K88">
        <v>740</v>
      </c>
      <c r="L88" t="s">
        <v>48</v>
      </c>
      <c r="N88" t="s">
        <v>65</v>
      </c>
      <c r="R88" t="s">
        <v>60</v>
      </c>
      <c r="S88" t="s">
        <v>51</v>
      </c>
      <c r="T88" t="s">
        <v>79</v>
      </c>
      <c r="U88" t="s">
        <v>80</v>
      </c>
      <c r="W88">
        <v>1</v>
      </c>
      <c r="X88">
        <v>1</v>
      </c>
      <c r="AE88">
        <v>2</v>
      </c>
      <c r="AF88">
        <v>0</v>
      </c>
      <c r="AI88" t="s">
        <v>52</v>
      </c>
      <c r="AJ88" t="s">
        <v>452</v>
      </c>
      <c r="AK88" t="s">
        <v>453</v>
      </c>
      <c r="AL88" t="str">
        <f>HYPERLINK("https://pbs.twimg.com/tweet_video_thumb/D96fnOdX4AEGIHI.jpg")</f>
        <v>https://pbs.twimg.com/tweet_video_thumb/D96fnOdX4AEGIHI.jpg</v>
      </c>
      <c r="AM88" t="s">
        <v>52</v>
      </c>
      <c r="AN88" t="s">
        <v>53</v>
      </c>
    </row>
    <row r="89" spans="1:40">
      <c r="A89" t="s">
        <v>40</v>
      </c>
      <c r="B89" t="s">
        <v>454</v>
      </c>
      <c r="C89" t="s">
        <v>455</v>
      </c>
      <c r="D89" t="s">
        <v>52</v>
      </c>
      <c r="E89" t="s">
        <v>456</v>
      </c>
      <c r="F89" t="s">
        <v>45</v>
      </c>
      <c r="G89" t="str">
        <f>HYPERLINK("https://www.instagram.com/p/BzItnRjHEqc")</f>
        <v>https://www.instagram.com/p/BzItnRjHEqc</v>
      </c>
      <c r="H89" t="s">
        <v>46</v>
      </c>
      <c r="I89" t="s">
        <v>457</v>
      </c>
      <c r="J89" t="str">
        <f>HYPERLINK("http://instagram.com/daily_smug_")</f>
        <v>http://instagram.com/daily_smug_</v>
      </c>
      <c r="K89">
        <v>3</v>
      </c>
      <c r="N89" t="s">
        <v>59</v>
      </c>
      <c r="O89" t="s">
        <v>457</v>
      </c>
      <c r="P89" t="str">
        <f>HYPERLINK("http://instagram.com/daily_smug_")</f>
        <v>http://instagram.com/daily_smug_</v>
      </c>
      <c r="Q89">
        <v>3</v>
      </c>
      <c r="R89" t="s">
        <v>60</v>
      </c>
      <c r="W89">
        <v>5</v>
      </c>
      <c r="X89">
        <v>5</v>
      </c>
      <c r="AE89">
        <v>1</v>
      </c>
      <c r="AI89" t="s">
        <v>52</v>
      </c>
      <c r="AJ89" t="s">
        <v>458</v>
      </c>
      <c r="AK89" t="s">
        <v>52</v>
      </c>
      <c r="AL89" t="str">
        <f>HYPERLINK("https://www.instagram.com/p/BzItnRjHEqc/media/?size=l")</f>
        <v>https://www.instagram.com/p/BzItnRjHEqc/media/?size=l</v>
      </c>
      <c r="AM89" t="s">
        <v>52</v>
      </c>
      <c r="AN89" t="s">
        <v>53</v>
      </c>
    </row>
    <row r="90" spans="1:40">
      <c r="A90" t="s">
        <v>40</v>
      </c>
      <c r="B90" t="s">
        <v>454</v>
      </c>
      <c r="C90" t="s">
        <v>450</v>
      </c>
      <c r="D90" t="s">
        <v>52</v>
      </c>
      <c r="E90" t="s">
        <v>459</v>
      </c>
      <c r="F90" t="s">
        <v>45</v>
      </c>
      <c r="G90" t="str">
        <f>HYPERLINK("https://www.instagram.com/p/BzItjXkDSdG")</f>
        <v>https://www.instagram.com/p/BzItjXkDSdG</v>
      </c>
      <c r="H90" t="s">
        <v>46</v>
      </c>
      <c r="I90" t="s">
        <v>460</v>
      </c>
      <c r="J90" t="str">
        <f>HYPERLINK("http://instagram.com/fitlisa_fitness_and_nutrition")</f>
        <v>http://instagram.com/fitlisa_fitness_and_nutrition</v>
      </c>
      <c r="K90">
        <v>568</v>
      </c>
      <c r="L90" t="s">
        <v>58</v>
      </c>
      <c r="N90" t="s">
        <v>59</v>
      </c>
      <c r="O90" t="s">
        <v>460</v>
      </c>
      <c r="P90" t="str">
        <f>HYPERLINK("http://instagram.com/fitlisa_fitness_and_nutrition")</f>
        <v>http://instagram.com/fitlisa_fitness_and_nutrition</v>
      </c>
      <c r="Q90">
        <v>568</v>
      </c>
      <c r="R90" t="s">
        <v>60</v>
      </c>
      <c r="W90">
        <v>4</v>
      </c>
      <c r="X90">
        <v>4</v>
      </c>
      <c r="AE90">
        <v>0</v>
      </c>
      <c r="AI90" t="s">
        <v>52</v>
      </c>
      <c r="AJ90" t="s">
        <v>461</v>
      </c>
      <c r="AK90" t="s">
        <v>52</v>
      </c>
      <c r="AL90" t="str">
        <f>HYPERLINK("https://www.instagram.com/p/BzItjXkDSdG/media/?size=l")</f>
        <v>https://www.instagram.com/p/BzItjXkDSdG/media/?size=l</v>
      </c>
      <c r="AM90" t="s">
        <v>52</v>
      </c>
      <c r="AN90" t="s">
        <v>53</v>
      </c>
    </row>
    <row r="91" spans="1:40">
      <c r="A91" t="s">
        <v>40</v>
      </c>
      <c r="B91" t="s">
        <v>462</v>
      </c>
      <c r="C91" t="s">
        <v>441</v>
      </c>
      <c r="D91" t="s">
        <v>52</v>
      </c>
      <c r="E91" t="s">
        <v>463</v>
      </c>
      <c r="F91" t="s">
        <v>45</v>
      </c>
      <c r="G91" t="str">
        <f>HYPERLINK("https://www.instagram.com/p/BzItdlKlpmB")</f>
        <v>https://www.instagram.com/p/BzItdlKlpmB</v>
      </c>
      <c r="H91" t="s">
        <v>46</v>
      </c>
      <c r="I91" t="s">
        <v>464</v>
      </c>
      <c r="J91" t="str">
        <f>HYPERLINK("http://instagram.com/napajapan")</f>
        <v>http://instagram.com/napajapan</v>
      </c>
      <c r="K91">
        <v>10803</v>
      </c>
      <c r="N91" t="s">
        <v>59</v>
      </c>
      <c r="O91" t="s">
        <v>464</v>
      </c>
      <c r="P91" t="str">
        <f>HYPERLINK("http://instagram.com/napajapan")</f>
        <v>http://instagram.com/napajapan</v>
      </c>
      <c r="Q91">
        <v>10803</v>
      </c>
      <c r="R91" t="s">
        <v>60</v>
      </c>
      <c r="W91">
        <v>37</v>
      </c>
      <c r="X91">
        <v>37</v>
      </c>
      <c r="AE91">
        <v>2</v>
      </c>
      <c r="AI91" t="s">
        <v>108</v>
      </c>
      <c r="AJ91" t="s">
        <v>465</v>
      </c>
      <c r="AK91" t="s">
        <v>52</v>
      </c>
      <c r="AL91" t="str">
        <f>HYPERLINK("https://www.instagram.com/p/BzItdlKlpmB/media/?size=l")</f>
        <v>https://www.instagram.com/p/BzItdlKlpmB/media/?size=l</v>
      </c>
      <c r="AM91" t="s">
        <v>52</v>
      </c>
      <c r="AN91" t="s">
        <v>53</v>
      </c>
    </row>
    <row r="92" spans="1:40">
      <c r="A92" t="s">
        <v>40</v>
      </c>
      <c r="B92" t="s">
        <v>462</v>
      </c>
      <c r="C92" t="s">
        <v>349</v>
      </c>
      <c r="D92" t="s">
        <v>52</v>
      </c>
      <c r="E92" t="s">
        <v>466</v>
      </c>
      <c r="F92" t="s">
        <v>45</v>
      </c>
      <c r="G92" t="str">
        <f>HYPERLINK("https://www.instagram.com/p/BzIta8liY_D")</f>
        <v>https://www.instagram.com/p/BzIta8liY_D</v>
      </c>
      <c r="H92" t="s">
        <v>46</v>
      </c>
      <c r="I92" t="s">
        <v>467</v>
      </c>
      <c r="J92" t="str">
        <f>HYPERLINK("http://instagram.com/gucci_king79")</f>
        <v>http://instagram.com/gucci_king79</v>
      </c>
      <c r="K92">
        <v>86</v>
      </c>
      <c r="N92" t="s">
        <v>59</v>
      </c>
      <c r="O92" t="s">
        <v>467</v>
      </c>
      <c r="P92" t="str">
        <f>HYPERLINK("http://instagram.com/gucci_king79")</f>
        <v>http://instagram.com/gucci_king79</v>
      </c>
      <c r="Q92">
        <v>86</v>
      </c>
      <c r="R92" t="s">
        <v>60</v>
      </c>
      <c r="W92">
        <v>1</v>
      </c>
      <c r="X92">
        <v>1</v>
      </c>
      <c r="AE92">
        <v>1</v>
      </c>
      <c r="AL92" t="str">
        <f>HYPERLINK("https://www.instagram.com/p/BzIta8liY_D/media/?size=l")</f>
        <v>https://www.instagram.com/p/BzIta8liY_D/media/?size=l</v>
      </c>
      <c r="AM92" t="s">
        <v>52</v>
      </c>
      <c r="AN92" t="s">
        <v>53</v>
      </c>
    </row>
    <row r="93" spans="1:40">
      <c r="A93" t="s">
        <v>40</v>
      </c>
      <c r="B93" t="s">
        <v>468</v>
      </c>
      <c r="C93" t="s">
        <v>349</v>
      </c>
      <c r="D93" t="s">
        <v>52</v>
      </c>
      <c r="E93" t="s">
        <v>469</v>
      </c>
      <c r="F93" t="s">
        <v>45</v>
      </c>
      <c r="G93" t="str">
        <f>HYPERLINK("https://www.instagram.com/p/BzItBumpkDT")</f>
        <v>https://www.instagram.com/p/BzItBumpkDT</v>
      </c>
      <c r="H93" t="s">
        <v>46</v>
      </c>
      <c r="I93" t="s">
        <v>470</v>
      </c>
      <c r="J93" t="str">
        <f>HYPERLINK("http://instagram.com/mama_b33")</f>
        <v>http://instagram.com/mama_b33</v>
      </c>
      <c r="K93">
        <v>178</v>
      </c>
      <c r="N93" t="s">
        <v>59</v>
      </c>
      <c r="O93" t="s">
        <v>470</v>
      </c>
      <c r="P93" t="str">
        <f>HYPERLINK("http://instagram.com/mama_b33")</f>
        <v>http://instagram.com/mama_b33</v>
      </c>
      <c r="Q93">
        <v>178</v>
      </c>
      <c r="R93" t="s">
        <v>60</v>
      </c>
      <c r="W93">
        <v>0</v>
      </c>
      <c r="X93">
        <v>0</v>
      </c>
      <c r="AE93">
        <v>0</v>
      </c>
      <c r="AI93" t="s">
        <v>108</v>
      </c>
      <c r="AJ93" t="s">
        <v>471</v>
      </c>
      <c r="AK93" t="s">
        <v>52</v>
      </c>
      <c r="AL93" t="str">
        <f>HYPERLINK("https://www.instagram.com/p/BzItBumpkDT/media/?size=l")</f>
        <v>https://www.instagram.com/p/BzItBumpkDT/media/?size=l</v>
      </c>
      <c r="AM93" t="s">
        <v>52</v>
      </c>
      <c r="AN93" t="s">
        <v>53</v>
      </c>
    </row>
    <row r="94" spans="1:40">
      <c r="A94" t="s">
        <v>40</v>
      </c>
      <c r="B94" t="s">
        <v>468</v>
      </c>
      <c r="C94" t="s">
        <v>472</v>
      </c>
      <c r="D94" t="s">
        <v>52</v>
      </c>
      <c r="E94" t="s">
        <v>473</v>
      </c>
      <c r="F94" t="s">
        <v>131</v>
      </c>
      <c r="G94" t="str">
        <f>HYPERLINK("https://twitter.com/1470745218/status/1143525322417201153")</f>
        <v>https://twitter.com/1470745218/status/1143525322417201153</v>
      </c>
      <c r="H94" t="s">
        <v>46</v>
      </c>
      <c r="I94" t="s">
        <v>474</v>
      </c>
      <c r="J94" t="str">
        <f>HYPERLINK("http://twitter.com/Isaac_Ward06")</f>
        <v>http://twitter.com/Isaac_Ward06</v>
      </c>
      <c r="K94">
        <v>422</v>
      </c>
      <c r="N94" t="s">
        <v>65</v>
      </c>
      <c r="R94" t="s">
        <v>60</v>
      </c>
      <c r="W94">
        <v>0</v>
      </c>
      <c r="X94">
        <v>0</v>
      </c>
      <c r="AE94">
        <v>0</v>
      </c>
      <c r="AM94" t="s">
        <v>52</v>
      </c>
      <c r="AN94" t="s">
        <v>53</v>
      </c>
    </row>
    <row r="95" spans="1:40">
      <c r="A95" t="s">
        <v>40</v>
      </c>
      <c r="B95" t="s">
        <v>475</v>
      </c>
      <c r="C95" t="s">
        <v>476</v>
      </c>
      <c r="D95" t="s">
        <v>52</v>
      </c>
      <c r="E95" t="s">
        <v>130</v>
      </c>
      <c r="F95" t="s">
        <v>131</v>
      </c>
      <c r="G95" t="str">
        <f>HYPERLINK("https://twitter.com/257883483/status/1143524056978923520")</f>
        <v>https://twitter.com/257883483/status/1143524056978923520</v>
      </c>
      <c r="H95" t="s">
        <v>46</v>
      </c>
      <c r="I95" t="s">
        <v>477</v>
      </c>
      <c r="J95" t="str">
        <f>HYPERLINK("http://twitter.com/app1968")</f>
        <v>http://twitter.com/app1968</v>
      </c>
      <c r="K95">
        <v>409</v>
      </c>
      <c r="L95" t="s">
        <v>58</v>
      </c>
      <c r="N95" t="s">
        <v>65</v>
      </c>
      <c r="R95" t="s">
        <v>60</v>
      </c>
      <c r="S95" t="s">
        <v>97</v>
      </c>
      <c r="T95" t="s">
        <v>177</v>
      </c>
      <c r="U95" t="s">
        <v>478</v>
      </c>
      <c r="W95">
        <v>0</v>
      </c>
      <c r="X95">
        <v>0</v>
      </c>
      <c r="AE95">
        <v>0</v>
      </c>
      <c r="AI95" t="s">
        <v>108</v>
      </c>
      <c r="AJ95" t="s">
        <v>52</v>
      </c>
      <c r="AK95" t="s">
        <v>52</v>
      </c>
      <c r="AL95" t="str">
        <f>HYPERLINK("https://pbs.twimg.com/media/D9XTkLWW4AAOYnJ.jpg")</f>
        <v>https://pbs.twimg.com/media/D9XTkLWW4AAOYnJ.jpg</v>
      </c>
      <c r="AM95" t="s">
        <v>52</v>
      </c>
      <c r="AN95" t="s">
        <v>53</v>
      </c>
    </row>
    <row r="96" spans="1:40">
      <c r="A96" t="s">
        <v>40</v>
      </c>
      <c r="B96" t="s">
        <v>479</v>
      </c>
      <c r="C96" t="s">
        <v>480</v>
      </c>
      <c r="D96" t="s">
        <v>52</v>
      </c>
      <c r="E96" t="s">
        <v>481</v>
      </c>
      <c r="F96" t="s">
        <v>131</v>
      </c>
      <c r="G96" t="str">
        <f>HYPERLINK("https://twitter.com/56899360/status/1143523916369076230")</f>
        <v>https://twitter.com/56899360/status/1143523916369076230</v>
      </c>
      <c r="H96" t="s">
        <v>46</v>
      </c>
      <c r="I96" t="s">
        <v>482</v>
      </c>
      <c r="J96" t="str">
        <f>HYPERLINK("http://twitter.com/useful_noise")</f>
        <v>http://twitter.com/useful_noise</v>
      </c>
      <c r="K96">
        <v>2948</v>
      </c>
      <c r="N96" t="s">
        <v>65</v>
      </c>
      <c r="R96" t="s">
        <v>60</v>
      </c>
      <c r="W96">
        <v>0</v>
      </c>
      <c r="X96">
        <v>0</v>
      </c>
      <c r="AE96">
        <v>0</v>
      </c>
      <c r="AM96" t="s">
        <v>52</v>
      </c>
      <c r="AN96" t="s">
        <v>53</v>
      </c>
    </row>
    <row r="97" spans="1:40">
      <c r="A97" t="s">
        <v>40</v>
      </c>
      <c r="B97" t="s">
        <v>479</v>
      </c>
      <c r="C97" t="s">
        <v>483</v>
      </c>
      <c r="D97" t="s">
        <v>484</v>
      </c>
      <c r="E97" t="s">
        <v>485</v>
      </c>
      <c r="F97" t="s">
        <v>45</v>
      </c>
      <c r="G97" t="str">
        <f>HYPERLINK("https://www.youtube.com/watch?v=sQ5lMfN66mk")</f>
        <v>https://www.youtube.com/watch?v=sQ5lMfN66mk</v>
      </c>
      <c r="H97" t="s">
        <v>46</v>
      </c>
      <c r="I97" t="s">
        <v>486</v>
      </c>
      <c r="J97" t="str">
        <f>HYPERLINK("https://www.youtube.com/channel/UCF-sGSlwQB5kV_gLIQnJzpQ")</f>
        <v>https://www.youtube.com/channel/UCF-sGSlwQB5kV_gLIQnJzpQ</v>
      </c>
      <c r="K97">
        <v>35</v>
      </c>
      <c r="L97" t="s">
        <v>48</v>
      </c>
      <c r="N97" t="s">
        <v>116</v>
      </c>
      <c r="O97" t="s">
        <v>486</v>
      </c>
      <c r="P97" t="str">
        <f>HYPERLINK("https://www.youtube.com/channel/UCF-sGSlwQB5kV_gLIQnJzpQ")</f>
        <v>https://www.youtube.com/channel/UCF-sGSlwQB5kV_gLIQnJzpQ</v>
      </c>
      <c r="Q97">
        <v>35</v>
      </c>
      <c r="R97" t="s">
        <v>60</v>
      </c>
      <c r="W97">
        <v>0</v>
      </c>
      <c r="X97">
        <v>0</v>
      </c>
      <c r="AD97">
        <v>0</v>
      </c>
      <c r="AE97">
        <v>0</v>
      </c>
      <c r="AG97">
        <v>0</v>
      </c>
      <c r="AI97" t="s">
        <v>52</v>
      </c>
      <c r="AJ97" t="s">
        <v>52</v>
      </c>
      <c r="AK97" t="s">
        <v>52</v>
      </c>
      <c r="AL97" t="str">
        <f>HYPERLINK("https://i.ytimg.com/vi/sQ5lMfN66mk/maxresdefault.jpg")</f>
        <v>https://i.ytimg.com/vi/sQ5lMfN66mk/maxresdefault.jpg</v>
      </c>
      <c r="AM97" t="s">
        <v>52</v>
      </c>
      <c r="AN97" t="s">
        <v>53</v>
      </c>
    </row>
    <row r="98" spans="1:40">
      <c r="A98" t="s">
        <v>40</v>
      </c>
      <c r="B98" t="s">
        <v>487</v>
      </c>
      <c r="C98" t="s">
        <v>488</v>
      </c>
      <c r="D98" t="s">
        <v>52</v>
      </c>
      <c r="E98" t="s">
        <v>481</v>
      </c>
      <c r="F98" t="s">
        <v>45</v>
      </c>
      <c r="G98" t="str">
        <f>HYPERLINK("https://twitter.com/179316702/status/1143523705991106564")</f>
        <v>https://twitter.com/179316702/status/1143523705991106564</v>
      </c>
      <c r="H98" t="s">
        <v>46</v>
      </c>
      <c r="I98" t="s">
        <v>489</v>
      </c>
      <c r="J98" t="str">
        <f>HYPERLINK("http://twitter.com/jonbern")</f>
        <v>http://twitter.com/jonbern</v>
      </c>
      <c r="K98">
        <v>1926</v>
      </c>
      <c r="L98" t="s">
        <v>48</v>
      </c>
      <c r="N98" t="s">
        <v>65</v>
      </c>
      <c r="R98" t="s">
        <v>60</v>
      </c>
      <c r="S98" t="s">
        <v>51</v>
      </c>
      <c r="T98" t="s">
        <v>490</v>
      </c>
      <c r="U98" t="s">
        <v>491</v>
      </c>
      <c r="W98">
        <v>12</v>
      </c>
      <c r="X98">
        <v>12</v>
      </c>
      <c r="AE98">
        <v>1</v>
      </c>
      <c r="AF98">
        <v>1</v>
      </c>
      <c r="AM98" t="s">
        <v>52</v>
      </c>
      <c r="AN98" t="s">
        <v>53</v>
      </c>
    </row>
    <row r="99" spans="1:40">
      <c r="A99" t="s">
        <v>40</v>
      </c>
      <c r="B99" t="s">
        <v>487</v>
      </c>
      <c r="C99" t="s">
        <v>480</v>
      </c>
      <c r="D99" t="s">
        <v>52</v>
      </c>
      <c r="E99" t="s">
        <v>492</v>
      </c>
      <c r="F99" t="s">
        <v>45</v>
      </c>
      <c r="G99" t="str">
        <f>HYPERLINK("https://twitter.com/1035813973/status/1143523528869928962")</f>
        <v>https://twitter.com/1035813973/status/1143523528869928962</v>
      </c>
      <c r="H99" t="s">
        <v>91</v>
      </c>
      <c r="I99" t="s">
        <v>493</v>
      </c>
      <c r="J99" t="str">
        <f>HYPERLINK("http://twitter.com/jaycheda")</f>
        <v>http://twitter.com/jaycheda</v>
      </c>
      <c r="K99">
        <v>350</v>
      </c>
      <c r="N99" t="s">
        <v>65</v>
      </c>
      <c r="R99" t="s">
        <v>60</v>
      </c>
      <c r="W99">
        <v>0</v>
      </c>
      <c r="X99">
        <v>0</v>
      </c>
      <c r="AE99">
        <v>0</v>
      </c>
      <c r="AF99">
        <v>0</v>
      </c>
      <c r="AM99" t="s">
        <v>52</v>
      </c>
      <c r="AN99" t="s">
        <v>53</v>
      </c>
    </row>
    <row r="100" spans="1:40">
      <c r="A100" t="s">
        <v>40</v>
      </c>
      <c r="B100" t="s">
        <v>494</v>
      </c>
      <c r="C100" t="s">
        <v>472</v>
      </c>
      <c r="D100" t="s">
        <v>52</v>
      </c>
      <c r="E100" t="s">
        <v>495</v>
      </c>
      <c r="F100" t="s">
        <v>45</v>
      </c>
      <c r="G100" t="str">
        <f>HYPERLINK("https://twitter.com/1018525722/status/1143523237462204419")</f>
        <v>https://twitter.com/1018525722/status/1143523237462204419</v>
      </c>
      <c r="H100" t="s">
        <v>46</v>
      </c>
      <c r="I100" t="s">
        <v>496</v>
      </c>
      <c r="J100" t="str">
        <f>HYPERLINK("http://twitter.com/XxBurntGingerXx")</f>
        <v>http://twitter.com/XxBurntGingerXx</v>
      </c>
      <c r="K100">
        <v>17</v>
      </c>
      <c r="L100" t="s">
        <v>58</v>
      </c>
      <c r="N100" t="s">
        <v>65</v>
      </c>
      <c r="R100" t="s">
        <v>60</v>
      </c>
      <c r="S100" t="s">
        <v>51</v>
      </c>
      <c r="T100" t="s">
        <v>497</v>
      </c>
      <c r="U100" t="s">
        <v>498</v>
      </c>
      <c r="W100">
        <v>1</v>
      </c>
      <c r="X100">
        <v>1</v>
      </c>
      <c r="AE100">
        <v>0</v>
      </c>
      <c r="AF100">
        <v>0</v>
      </c>
      <c r="AM100" t="s">
        <v>52</v>
      </c>
      <c r="AN100" t="s">
        <v>53</v>
      </c>
    </row>
    <row r="101" spans="1:40">
      <c r="A101" t="s">
        <v>40</v>
      </c>
      <c r="B101" t="s">
        <v>499</v>
      </c>
      <c r="C101" t="s">
        <v>480</v>
      </c>
      <c r="D101" t="s">
        <v>52</v>
      </c>
      <c r="E101" t="s">
        <v>500</v>
      </c>
      <c r="F101" t="s">
        <v>45</v>
      </c>
      <c r="G101" t="str">
        <f>HYPERLINK("https://www.instagram.com/p/BzIsBkmg00L")</f>
        <v>https://www.instagram.com/p/BzIsBkmg00L</v>
      </c>
      <c r="H101" t="s">
        <v>46</v>
      </c>
      <c r="I101" t="s">
        <v>501</v>
      </c>
      <c r="J101" t="str">
        <f>HYPERLINK("http://instagram.com/x_burnt_ginger_x")</f>
        <v>http://instagram.com/x_burnt_ginger_x</v>
      </c>
      <c r="K101">
        <v>92</v>
      </c>
      <c r="L101" t="s">
        <v>58</v>
      </c>
      <c r="N101" t="s">
        <v>59</v>
      </c>
      <c r="O101" t="s">
        <v>501</v>
      </c>
      <c r="P101" t="str">
        <f>HYPERLINK("http://instagram.com/x_burnt_ginger_x")</f>
        <v>http://instagram.com/x_burnt_ginger_x</v>
      </c>
      <c r="Q101">
        <v>92</v>
      </c>
      <c r="R101" t="s">
        <v>60</v>
      </c>
      <c r="W101">
        <v>3</v>
      </c>
      <c r="X101">
        <v>3</v>
      </c>
      <c r="AE101">
        <v>0</v>
      </c>
      <c r="AI101" t="s">
        <v>52</v>
      </c>
      <c r="AJ101" t="s">
        <v>52</v>
      </c>
      <c r="AK101" t="s">
        <v>52</v>
      </c>
      <c r="AL101" t="str">
        <f>HYPERLINK("https://www.instagram.com/p/BzIsBkmg00L/media/?size=l")</f>
        <v>https://www.instagram.com/p/BzIsBkmg00L/media/?size=l</v>
      </c>
      <c r="AM101" t="s">
        <v>52</v>
      </c>
      <c r="AN101" t="s">
        <v>53</v>
      </c>
    </row>
    <row r="102" spans="1:40">
      <c r="A102" t="s">
        <v>40</v>
      </c>
      <c r="B102" t="s">
        <v>502</v>
      </c>
      <c r="C102" t="s">
        <v>441</v>
      </c>
      <c r="D102" t="s">
        <v>503</v>
      </c>
      <c r="E102" t="s">
        <v>504</v>
      </c>
      <c r="F102" t="s">
        <v>45</v>
      </c>
      <c r="G102" t="str">
        <f>HYPERLINK("https://www.youtube.com/watch?v=cbg-pT9wQZg")</f>
        <v>https://www.youtube.com/watch?v=cbg-pT9wQZg</v>
      </c>
      <c r="H102" t="s">
        <v>46</v>
      </c>
      <c r="I102" t="s">
        <v>505</v>
      </c>
      <c r="J102" t="str">
        <f>HYPERLINK("https://www.youtube.com/channel/UCI-uYfa5UuL_hqlDwvzos7Q")</f>
        <v>https://www.youtube.com/channel/UCI-uYfa5UuL_hqlDwvzos7Q</v>
      </c>
      <c r="K102">
        <v>41</v>
      </c>
      <c r="L102" t="s">
        <v>48</v>
      </c>
      <c r="N102" t="s">
        <v>116</v>
      </c>
      <c r="O102" t="s">
        <v>505</v>
      </c>
      <c r="P102" t="str">
        <f>HYPERLINK("https://www.youtube.com/channel/UCI-uYfa5UuL_hqlDwvzos7Q")</f>
        <v>https://www.youtube.com/channel/UCI-uYfa5UuL_hqlDwvzos7Q</v>
      </c>
      <c r="Q102">
        <v>41</v>
      </c>
      <c r="R102" t="s">
        <v>60</v>
      </c>
      <c r="W102">
        <v>1</v>
      </c>
      <c r="X102">
        <v>1</v>
      </c>
      <c r="AD102">
        <v>0</v>
      </c>
      <c r="AE102">
        <v>0</v>
      </c>
      <c r="AG102">
        <v>3</v>
      </c>
      <c r="AI102" t="s">
        <v>52</v>
      </c>
      <c r="AJ102" t="s">
        <v>52</v>
      </c>
      <c r="AK102" t="s">
        <v>52</v>
      </c>
      <c r="AL102" t="str">
        <f>HYPERLINK("https://i.ytimg.com/vi/cbg-pT9wQZg/hqdefault.jpg")</f>
        <v>https://i.ytimg.com/vi/cbg-pT9wQZg/hqdefault.jpg</v>
      </c>
      <c r="AM102" t="s">
        <v>52</v>
      </c>
      <c r="AN102" t="s">
        <v>53</v>
      </c>
    </row>
    <row r="103" spans="1:40">
      <c r="A103" t="s">
        <v>40</v>
      </c>
      <c r="B103" t="s">
        <v>506</v>
      </c>
      <c r="C103" t="s">
        <v>507</v>
      </c>
      <c r="D103" t="s">
        <v>52</v>
      </c>
      <c r="E103" t="s">
        <v>508</v>
      </c>
      <c r="F103" t="s">
        <v>45</v>
      </c>
      <c r="G103" t="str">
        <f>HYPERLINK("https://www.instagram.com/p/BzIrt_5Bt0R")</f>
        <v>https://www.instagram.com/p/BzIrt_5Bt0R</v>
      </c>
      <c r="H103" t="s">
        <v>46</v>
      </c>
      <c r="I103" t="s">
        <v>509</v>
      </c>
      <c r="J103" t="str">
        <f>HYPERLINK("http://instagram.com/slowdownjenna")</f>
        <v>http://instagram.com/slowdownjenna</v>
      </c>
      <c r="K103">
        <v>145</v>
      </c>
      <c r="L103" t="s">
        <v>58</v>
      </c>
      <c r="N103" t="s">
        <v>59</v>
      </c>
      <c r="O103" t="s">
        <v>509</v>
      </c>
      <c r="P103" t="str">
        <f>HYPERLINK("http://instagram.com/slowdownjenna")</f>
        <v>http://instagram.com/slowdownjenna</v>
      </c>
      <c r="Q103">
        <v>145</v>
      </c>
      <c r="R103" t="s">
        <v>60</v>
      </c>
      <c r="W103">
        <v>2</v>
      </c>
      <c r="X103">
        <v>2</v>
      </c>
      <c r="AE103">
        <v>0</v>
      </c>
      <c r="AI103" t="s">
        <v>52</v>
      </c>
      <c r="AJ103" t="s">
        <v>510</v>
      </c>
      <c r="AK103" t="s">
        <v>52</v>
      </c>
      <c r="AL103" t="str">
        <f>HYPERLINK("https://www.instagram.com/p/BzIrt_5Bt0R/media/?size=l")</f>
        <v>https://www.instagram.com/p/BzIrt_5Bt0R/media/?size=l</v>
      </c>
      <c r="AM103" t="s">
        <v>52</v>
      </c>
      <c r="AN103" t="s">
        <v>53</v>
      </c>
    </row>
    <row r="104" spans="1:40">
      <c r="A104" t="s">
        <v>40</v>
      </c>
      <c r="B104" t="s">
        <v>506</v>
      </c>
      <c r="C104" t="s">
        <v>105</v>
      </c>
      <c r="D104" t="s">
        <v>511</v>
      </c>
      <c r="E104" t="s">
        <v>512</v>
      </c>
      <c r="F104" t="s">
        <v>45</v>
      </c>
      <c r="G104" t="str">
        <f>HYPERLINK("https://www.resetera.com/threads/i-didnt-realize-how-niche-video-games-were-until-i-got-a-job.125343/page-9#22202599")</f>
        <v>https://www.resetera.com/threads/i-didnt-realize-how-niche-video-games-were-until-i-got-a-job.125343/page-9#22202599</v>
      </c>
      <c r="H104" t="s">
        <v>215</v>
      </c>
      <c r="I104" t="s">
        <v>513</v>
      </c>
      <c r="J104" t="str">
        <f>HYPERLINK("https://www.resetera.com/threads/i-didnt-realize-how-niche-video-games-were-until-i-got-a-job.125343/page-9#22202599")</f>
        <v>https://www.resetera.com/threads/i-didnt-realize-how-niche-video-games-were-until-i-got-a-job.125343/page-9#22202599</v>
      </c>
      <c r="N104" t="s">
        <v>514</v>
      </c>
      <c r="O104" t="s">
        <v>515</v>
      </c>
      <c r="P104" t="str">
        <f>HYPERLINK("https://www.resetera.com/forums/gaming-forum.7")</f>
        <v>https://www.resetera.com/forums/gaming-forum.7</v>
      </c>
      <c r="R104" t="s">
        <v>516</v>
      </c>
      <c r="S104" t="s">
        <v>51</v>
      </c>
      <c r="AM104" t="s">
        <v>52</v>
      </c>
      <c r="AN104" t="s">
        <v>53</v>
      </c>
    </row>
    <row r="105" spans="1:40">
      <c r="A105" t="s">
        <v>40</v>
      </c>
      <c r="B105" t="s">
        <v>517</v>
      </c>
      <c r="C105" t="s">
        <v>518</v>
      </c>
      <c r="D105" t="s">
        <v>52</v>
      </c>
      <c r="E105" t="s">
        <v>519</v>
      </c>
      <c r="F105" t="s">
        <v>45</v>
      </c>
      <c r="G105" t="str">
        <f>HYPERLINK("https://twitter.com/222544850/status/1143521850493997058")</f>
        <v>https://twitter.com/222544850/status/1143521850493997058</v>
      </c>
      <c r="H105" t="s">
        <v>91</v>
      </c>
      <c r="I105" t="s">
        <v>520</v>
      </c>
      <c r="J105" t="str">
        <f>HYPERLINK("http://twitter.com/tez_brooks")</f>
        <v>http://twitter.com/tez_brooks</v>
      </c>
      <c r="K105">
        <v>2536</v>
      </c>
      <c r="N105" t="s">
        <v>65</v>
      </c>
      <c r="R105" t="s">
        <v>60</v>
      </c>
      <c r="S105" t="s">
        <v>521</v>
      </c>
      <c r="T105" t="s">
        <v>522</v>
      </c>
      <c r="U105" t="s">
        <v>523</v>
      </c>
      <c r="W105">
        <v>0</v>
      </c>
      <c r="X105">
        <v>0</v>
      </c>
      <c r="AE105">
        <v>0</v>
      </c>
      <c r="AF105">
        <v>0</v>
      </c>
      <c r="AM105" t="s">
        <v>52</v>
      </c>
      <c r="AN105" t="s">
        <v>53</v>
      </c>
    </row>
    <row r="106" spans="1:40">
      <c r="A106" t="s">
        <v>40</v>
      </c>
      <c r="B106" t="s">
        <v>524</v>
      </c>
      <c r="C106" t="s">
        <v>525</v>
      </c>
      <c r="D106" t="s">
        <v>52</v>
      </c>
      <c r="E106" t="s">
        <v>526</v>
      </c>
      <c r="F106" t="s">
        <v>131</v>
      </c>
      <c r="G106" t="str">
        <f>HYPERLINK("https://twitter.com/1034417745696358402/status/1143521234631692288")</f>
        <v>https://twitter.com/1034417745696358402/status/1143521234631692288</v>
      </c>
      <c r="H106" t="s">
        <v>46</v>
      </c>
      <c r="I106" t="s">
        <v>527</v>
      </c>
      <c r="J106" t="str">
        <f>HYPERLINK("http://twitter.com/Emiliaco17")</f>
        <v>http://twitter.com/Emiliaco17</v>
      </c>
      <c r="K106">
        <v>162</v>
      </c>
      <c r="N106" t="s">
        <v>65</v>
      </c>
      <c r="R106" t="s">
        <v>60</v>
      </c>
      <c r="S106" t="s">
        <v>437</v>
      </c>
      <c r="T106" t="s">
        <v>528</v>
      </c>
      <c r="U106" t="s">
        <v>529</v>
      </c>
      <c r="W106">
        <v>0</v>
      </c>
      <c r="X106">
        <v>0</v>
      </c>
      <c r="AE106">
        <v>0</v>
      </c>
      <c r="AI106" t="s">
        <v>108</v>
      </c>
      <c r="AJ106" t="s">
        <v>52</v>
      </c>
      <c r="AK106" t="s">
        <v>52</v>
      </c>
      <c r="AL106" t="str">
        <f>HYPERLINK("https://pbs.twimg.com/ext_tw_video_thumb/1141360066962100224/pu/img/5_tGc4hLFQwcD07b.jpg")</f>
        <v>https://pbs.twimg.com/ext_tw_video_thumb/1141360066962100224/pu/img/5_tGc4hLFQwcD07b.jpg</v>
      </c>
      <c r="AM106" t="s">
        <v>52</v>
      </c>
      <c r="AN106" t="s">
        <v>53</v>
      </c>
    </row>
    <row r="107" spans="1:40">
      <c r="A107" t="s">
        <v>40</v>
      </c>
      <c r="B107" t="s">
        <v>530</v>
      </c>
      <c r="C107" t="s">
        <v>531</v>
      </c>
      <c r="D107" t="s">
        <v>52</v>
      </c>
      <c r="E107" t="s">
        <v>204</v>
      </c>
      <c r="F107" t="s">
        <v>131</v>
      </c>
      <c r="G107" t="str">
        <f>HYPERLINK("https://twitter.com/788869319744774144/status/1143520909569011714")</f>
        <v>https://twitter.com/788869319744774144/status/1143520909569011714</v>
      </c>
      <c r="H107" t="s">
        <v>46</v>
      </c>
      <c r="I107" t="s">
        <v>532</v>
      </c>
      <c r="J107" t="str">
        <f>HYPERLINK("http://twitter.com/floatingruin")</f>
        <v>http://twitter.com/floatingruin</v>
      </c>
      <c r="K107">
        <v>78</v>
      </c>
      <c r="N107" t="s">
        <v>65</v>
      </c>
      <c r="R107" t="s">
        <v>60</v>
      </c>
      <c r="W107">
        <v>0</v>
      </c>
      <c r="X107">
        <v>0</v>
      </c>
      <c r="AE107">
        <v>0</v>
      </c>
      <c r="AM107" t="s">
        <v>52</v>
      </c>
      <c r="AN107" t="s">
        <v>53</v>
      </c>
    </row>
    <row r="108" spans="1:40">
      <c r="A108" t="s">
        <v>40</v>
      </c>
      <c r="B108" t="s">
        <v>530</v>
      </c>
      <c r="C108" t="s">
        <v>533</v>
      </c>
      <c r="D108" t="s">
        <v>534</v>
      </c>
      <c r="E108" t="s">
        <v>535</v>
      </c>
      <c r="F108" t="s">
        <v>95</v>
      </c>
      <c r="G108" t="str">
        <f>HYPERLINK("https://www.underconsideration.com/brandnew/archives/new_logo_and_identity_for_maif_by_w_agency.php#comment-4515462523")</f>
        <v>https://www.underconsideration.com/brandnew/archives/new_logo_and_identity_for_maif_by_w_agency.php#comment-4515462523</v>
      </c>
      <c r="H108" t="s">
        <v>46</v>
      </c>
      <c r="I108" t="s">
        <v>536</v>
      </c>
      <c r="J108" t="str">
        <f>HYPERLINK("https://disqus.com/by/D13904/")</f>
        <v>https://disqus.com/by/D13904/</v>
      </c>
      <c r="K108">
        <v>0</v>
      </c>
      <c r="N108" t="s">
        <v>537</v>
      </c>
      <c r="O108" t="s">
        <v>538</v>
      </c>
      <c r="P108" t="str">
        <f>HYPERLINK("https://disqus.com/home/forum/ucllc-brandnew/")</f>
        <v>https://disqus.com/home/forum/ucllc-brandnew/</v>
      </c>
      <c r="R108" t="s">
        <v>50</v>
      </c>
      <c r="S108" t="s">
        <v>51</v>
      </c>
      <c r="T108" t="s">
        <v>380</v>
      </c>
      <c r="U108" t="s">
        <v>539</v>
      </c>
      <c r="W108">
        <v>0</v>
      </c>
      <c r="X108">
        <v>0</v>
      </c>
      <c r="AM108" t="s">
        <v>52</v>
      </c>
      <c r="AN108" t="s">
        <v>53</v>
      </c>
    </row>
    <row r="109" spans="1:40">
      <c r="A109" t="s">
        <v>40</v>
      </c>
      <c r="B109" t="s">
        <v>540</v>
      </c>
      <c r="C109" t="s">
        <v>541</v>
      </c>
      <c r="D109" t="s">
        <v>542</v>
      </c>
      <c r="E109" t="s">
        <v>543</v>
      </c>
      <c r="F109" t="s">
        <v>45</v>
      </c>
      <c r="G109" t="str">
        <f>HYPERLINK("https://www.reddit.com/r/soccer/comments/c55u5s/barcelonas_famed_academy_la_masia_is_in_bad_shape/?sort=new#thing_t1_es0bxpc")</f>
        <v>https://www.reddit.com/r/soccer/comments/c55u5s/barcelonas_famed_academy_la_masia_is_in_bad_shape/?sort=new#thing_t1_es0bxpc</v>
      </c>
      <c r="H109" t="s">
        <v>91</v>
      </c>
      <c r="I109" t="s">
        <v>544</v>
      </c>
      <c r="J109" t="str">
        <f>HYPERLINK("https://www.reddit.com/r/soccer/comments/c55u5s/barcelonas_famed_academy_la_masia_is_in_bad_shape/?sort=new#thing_t1_es0bxpc")</f>
        <v>https://www.reddit.com/r/soccer/comments/c55u5s/barcelonas_famed_academy_la_masia_is_in_bad_shape/?sort=new#thing_t1_es0bxpc</v>
      </c>
      <c r="N109" t="s">
        <v>545</v>
      </c>
      <c r="O109" t="s">
        <v>546</v>
      </c>
      <c r="P109" t="str">
        <f>HYPERLINK("https://www.reddit.com/r/soccer/")</f>
        <v>https://www.reddit.com/r/soccer/</v>
      </c>
      <c r="R109" t="s">
        <v>516</v>
      </c>
      <c r="S109" t="s">
        <v>51</v>
      </c>
      <c r="AM109" t="s">
        <v>52</v>
      </c>
      <c r="AN109" t="s">
        <v>53</v>
      </c>
    </row>
    <row r="110" spans="1:40">
      <c r="A110" t="s">
        <v>40</v>
      </c>
      <c r="B110" t="s">
        <v>547</v>
      </c>
      <c r="C110" t="s">
        <v>518</v>
      </c>
      <c r="D110" t="s">
        <v>52</v>
      </c>
      <c r="E110" t="s">
        <v>548</v>
      </c>
      <c r="F110" t="s">
        <v>45</v>
      </c>
      <c r="G110" t="str">
        <f>HYPERLINK("https://www.instagram.com/p/BzIqOK1nkpm")</f>
        <v>https://www.instagram.com/p/BzIqOK1nkpm</v>
      </c>
      <c r="H110" t="s">
        <v>46</v>
      </c>
      <c r="I110" t="s">
        <v>549</v>
      </c>
      <c r="J110" t="str">
        <f>HYPERLINK("http://instagram.com/vaderdriven")</f>
        <v>http://instagram.com/vaderdriven</v>
      </c>
      <c r="K110">
        <v>71421</v>
      </c>
      <c r="N110" t="s">
        <v>59</v>
      </c>
      <c r="O110" t="s">
        <v>549</v>
      </c>
      <c r="P110" t="str">
        <f>HYPERLINK("http://instagram.com/vaderdriven")</f>
        <v>http://instagram.com/vaderdriven</v>
      </c>
      <c r="Q110">
        <v>71421</v>
      </c>
      <c r="R110" t="s">
        <v>60</v>
      </c>
      <c r="S110" t="s">
        <v>51</v>
      </c>
      <c r="T110" t="s">
        <v>152</v>
      </c>
      <c r="U110" t="s">
        <v>550</v>
      </c>
      <c r="W110">
        <v>297</v>
      </c>
      <c r="X110">
        <v>297</v>
      </c>
      <c r="AE110">
        <v>6</v>
      </c>
      <c r="AI110" t="s">
        <v>52</v>
      </c>
      <c r="AJ110" t="s">
        <v>551</v>
      </c>
      <c r="AK110" t="s">
        <v>552</v>
      </c>
      <c r="AL110" t="str">
        <f>HYPERLINK("https://www.instagram.com/p/BzIqOK1nkpm/media/?size=l")</f>
        <v>https://www.instagram.com/p/BzIqOK1nkpm/media/?size=l</v>
      </c>
      <c r="AM110" t="s">
        <v>52</v>
      </c>
      <c r="AN110" t="s">
        <v>53</v>
      </c>
    </row>
    <row r="111" spans="1:40">
      <c r="A111" t="s">
        <v>40</v>
      </c>
      <c r="B111" t="s">
        <v>547</v>
      </c>
      <c r="C111" t="s">
        <v>105</v>
      </c>
      <c r="D111" t="s">
        <v>553</v>
      </c>
      <c r="E111" t="s">
        <v>554</v>
      </c>
      <c r="F111" t="s">
        <v>45</v>
      </c>
      <c r="G111" t="str">
        <f>HYPERLINK("https://www.quickanddirtytips.com/house-home/holidays/summer/how-to-solve-your-biggest-summer-problems")</f>
        <v>https://www.quickanddirtytips.com/house-home/holidays/summer/how-to-solve-your-biggest-summer-problems</v>
      </c>
      <c r="H111" t="s">
        <v>46</v>
      </c>
      <c r="I111" t="s">
        <v>555</v>
      </c>
      <c r="J111" t="str">
        <f>HYPERLINK("https://www.quickanddirtytips.com/house-home/holidays/summer/how-to-solve-your-biggest-summer-problems")</f>
        <v>https://www.quickanddirtytips.com/house-home/holidays/summer/how-to-solve-your-biggest-summer-problems</v>
      </c>
      <c r="N111" t="s">
        <v>556</v>
      </c>
      <c r="R111" t="s">
        <v>357</v>
      </c>
      <c r="S111" t="s">
        <v>51</v>
      </c>
      <c r="AM111" t="s">
        <v>52</v>
      </c>
      <c r="AN111" t="s">
        <v>53</v>
      </c>
    </row>
    <row r="112" spans="1:40">
      <c r="A112" t="s">
        <v>40</v>
      </c>
      <c r="B112" t="s">
        <v>557</v>
      </c>
      <c r="C112" t="s">
        <v>558</v>
      </c>
      <c r="D112" t="s">
        <v>52</v>
      </c>
      <c r="E112" t="s">
        <v>559</v>
      </c>
      <c r="F112" t="s">
        <v>95</v>
      </c>
      <c r="G112" t="str">
        <f>HYPERLINK("https://twitter.com/249919778/status/1143518167488245765")</f>
        <v>https://twitter.com/249919778/status/1143518167488245765</v>
      </c>
      <c r="H112" t="s">
        <v>46</v>
      </c>
      <c r="I112" t="s">
        <v>560</v>
      </c>
      <c r="J112" t="str">
        <f>HYPERLINK("http://twitter.com/PaulTAdamsII")</f>
        <v>http://twitter.com/PaulTAdamsII</v>
      </c>
      <c r="K112">
        <v>185</v>
      </c>
      <c r="N112" t="s">
        <v>65</v>
      </c>
      <c r="R112" t="s">
        <v>60</v>
      </c>
      <c r="W112">
        <v>1</v>
      </c>
      <c r="X112">
        <v>1</v>
      </c>
      <c r="AE112">
        <v>0</v>
      </c>
      <c r="AF112">
        <v>0</v>
      </c>
      <c r="AM112" t="s">
        <v>52</v>
      </c>
      <c r="AN112" t="s">
        <v>53</v>
      </c>
    </row>
    <row r="113" spans="1:40">
      <c r="A113" t="s">
        <v>40</v>
      </c>
      <c r="B113" t="s">
        <v>557</v>
      </c>
      <c r="C113" t="s">
        <v>561</v>
      </c>
      <c r="D113" t="s">
        <v>52</v>
      </c>
      <c r="E113" t="s">
        <v>562</v>
      </c>
      <c r="F113" t="s">
        <v>45</v>
      </c>
      <c r="G113" t="str">
        <f>HYPERLINK("https://twitter.com/1273808935/status/1143518007462977538")</f>
        <v>https://twitter.com/1273808935/status/1143518007462977538</v>
      </c>
      <c r="H113" t="s">
        <v>46</v>
      </c>
      <c r="I113" t="s">
        <v>563</v>
      </c>
      <c r="J113" t="str">
        <f>HYPERLINK("http://twitter.com/jsskeeter1")</f>
        <v>http://twitter.com/jsskeeter1</v>
      </c>
      <c r="K113">
        <v>308</v>
      </c>
      <c r="N113" t="s">
        <v>65</v>
      </c>
      <c r="R113" t="s">
        <v>60</v>
      </c>
      <c r="S113" t="s">
        <v>51</v>
      </c>
      <c r="T113" t="s">
        <v>263</v>
      </c>
      <c r="W113">
        <v>0</v>
      </c>
      <c r="X113">
        <v>0</v>
      </c>
      <c r="AE113">
        <v>0</v>
      </c>
      <c r="AF113">
        <v>0</v>
      </c>
      <c r="AM113" t="s">
        <v>52</v>
      </c>
      <c r="AN113" t="s">
        <v>53</v>
      </c>
    </row>
    <row r="114" spans="1:40">
      <c r="A114" t="s">
        <v>40</v>
      </c>
      <c r="B114" t="s">
        <v>564</v>
      </c>
      <c r="C114" t="s">
        <v>565</v>
      </c>
      <c r="D114" t="s">
        <v>52</v>
      </c>
      <c r="E114" t="s">
        <v>566</v>
      </c>
      <c r="F114" t="s">
        <v>45</v>
      </c>
      <c r="G114" t="str">
        <f>HYPERLINK("https://www.instagram.com/p/BzIpaQ6o33f")</f>
        <v>https://www.instagram.com/p/BzIpaQ6o33f</v>
      </c>
      <c r="H114" t="s">
        <v>46</v>
      </c>
      <c r="I114" t="s">
        <v>52</v>
      </c>
      <c r="J114" t="str">
        <f>HYPERLINK("http://instagram.com/cute.lookbooks")</f>
        <v>http://instagram.com/cute.lookbooks</v>
      </c>
      <c r="K114">
        <v>1</v>
      </c>
      <c r="N114" t="s">
        <v>59</v>
      </c>
      <c r="O114" t="s">
        <v>52</v>
      </c>
      <c r="P114" t="str">
        <f>HYPERLINK("http://instagram.com/cute.lookbooks")</f>
        <v>http://instagram.com/cute.lookbooks</v>
      </c>
      <c r="Q114">
        <v>1</v>
      </c>
      <c r="R114" t="s">
        <v>60</v>
      </c>
      <c r="W114">
        <v>5</v>
      </c>
      <c r="X114">
        <v>5</v>
      </c>
      <c r="AE114">
        <v>0</v>
      </c>
      <c r="AI114" t="s">
        <v>108</v>
      </c>
      <c r="AJ114" t="s">
        <v>52</v>
      </c>
      <c r="AK114" t="s">
        <v>52</v>
      </c>
      <c r="AL114" t="str">
        <f>HYPERLINK("https://www.instagram.com/p/BzIpaQ6o33f/media/?size=l")</f>
        <v>https://www.instagram.com/p/BzIpaQ6o33f/media/?size=l</v>
      </c>
      <c r="AM114" t="s">
        <v>52</v>
      </c>
      <c r="AN114" t="s">
        <v>53</v>
      </c>
    </row>
    <row r="115" spans="1:40">
      <c r="A115" t="s">
        <v>40</v>
      </c>
      <c r="B115" t="s">
        <v>567</v>
      </c>
      <c r="C115" t="s">
        <v>568</v>
      </c>
      <c r="D115" t="s">
        <v>52</v>
      </c>
      <c r="E115" t="s">
        <v>569</v>
      </c>
      <c r="F115" t="s">
        <v>45</v>
      </c>
      <c r="G115" t="str">
        <f>HYPERLINK("https://www.instagram.com/p/BzIpMeJliP9")</f>
        <v>https://www.instagram.com/p/BzIpMeJliP9</v>
      </c>
      <c r="H115" t="s">
        <v>46</v>
      </c>
      <c r="I115" t="s">
        <v>570</v>
      </c>
      <c r="J115" t="str">
        <f>HYPERLINK("http://instagram.com/manwithaspleen")</f>
        <v>http://instagram.com/manwithaspleen</v>
      </c>
      <c r="K115">
        <v>661</v>
      </c>
      <c r="N115" t="s">
        <v>59</v>
      </c>
      <c r="O115" t="s">
        <v>570</v>
      </c>
      <c r="P115" t="str">
        <f>HYPERLINK("http://instagram.com/manwithaspleen")</f>
        <v>http://instagram.com/manwithaspleen</v>
      </c>
      <c r="Q115">
        <v>661</v>
      </c>
      <c r="R115" t="s">
        <v>60</v>
      </c>
      <c r="W115">
        <v>11</v>
      </c>
      <c r="X115">
        <v>11</v>
      </c>
      <c r="AE115">
        <v>1</v>
      </c>
      <c r="AI115" t="s">
        <v>108</v>
      </c>
      <c r="AJ115" t="s">
        <v>571</v>
      </c>
      <c r="AK115" t="s">
        <v>52</v>
      </c>
      <c r="AL115" t="str">
        <f>HYPERLINK("https://www.instagram.com/p/BzIpMeJliP9/media/?size=l")</f>
        <v>https://www.instagram.com/p/BzIpMeJliP9/media/?size=l</v>
      </c>
      <c r="AM115" t="s">
        <v>52</v>
      </c>
      <c r="AN115" t="s">
        <v>53</v>
      </c>
    </row>
    <row r="116" spans="1:40">
      <c r="A116" t="s">
        <v>40</v>
      </c>
      <c r="B116" t="s">
        <v>572</v>
      </c>
      <c r="C116" t="s">
        <v>573</v>
      </c>
      <c r="D116" t="s">
        <v>52</v>
      </c>
      <c r="E116" t="s">
        <v>574</v>
      </c>
      <c r="F116" t="s">
        <v>45</v>
      </c>
      <c r="G116" t="str">
        <f>HYPERLINK("https://www.instagram.com/p/BzIorrSnpM1")</f>
        <v>https://www.instagram.com/p/BzIorrSnpM1</v>
      </c>
      <c r="H116" t="s">
        <v>46</v>
      </c>
      <c r="I116" t="s">
        <v>575</v>
      </c>
      <c r="J116" t="str">
        <f>HYPERLINK("http://instagram.com/angelingenue")</f>
        <v>http://instagram.com/angelingenue</v>
      </c>
      <c r="K116">
        <v>886</v>
      </c>
      <c r="N116" t="s">
        <v>59</v>
      </c>
      <c r="O116" t="s">
        <v>575</v>
      </c>
      <c r="P116" t="str">
        <f>HYPERLINK("http://instagram.com/angelingenue")</f>
        <v>http://instagram.com/angelingenue</v>
      </c>
      <c r="Q116">
        <v>886</v>
      </c>
      <c r="R116" t="s">
        <v>60</v>
      </c>
      <c r="W116">
        <v>30</v>
      </c>
      <c r="X116">
        <v>30</v>
      </c>
      <c r="AE116">
        <v>2</v>
      </c>
      <c r="AI116" t="s">
        <v>52</v>
      </c>
      <c r="AJ116" t="s">
        <v>576</v>
      </c>
      <c r="AK116" t="s">
        <v>52</v>
      </c>
      <c r="AL116" t="str">
        <f>HYPERLINK("https://www.instagram.com/p/BzIorrSnpM1/media/?size=l")</f>
        <v>https://www.instagram.com/p/BzIorrSnpM1/media/?size=l</v>
      </c>
      <c r="AM116" t="s">
        <v>52</v>
      </c>
      <c r="AN116" t="s">
        <v>53</v>
      </c>
    </row>
    <row r="117" spans="1:40">
      <c r="A117" t="s">
        <v>40</v>
      </c>
      <c r="B117" t="s">
        <v>572</v>
      </c>
      <c r="C117" t="s">
        <v>573</v>
      </c>
      <c r="D117" t="s">
        <v>52</v>
      </c>
      <c r="E117" t="s">
        <v>577</v>
      </c>
      <c r="F117" t="s">
        <v>131</v>
      </c>
      <c r="G117" t="str">
        <f>HYPERLINK("https://twitter.com/996085964618522626/status/1143515831353204736")</f>
        <v>https://twitter.com/996085964618522626/status/1143515831353204736</v>
      </c>
      <c r="H117" t="s">
        <v>46</v>
      </c>
      <c r="I117" t="s">
        <v>578</v>
      </c>
      <c r="J117" t="str">
        <f>HYPERLINK("http://twitter.com/busterscomeback")</f>
        <v>http://twitter.com/busterscomeback</v>
      </c>
      <c r="K117">
        <v>610</v>
      </c>
      <c r="N117" t="s">
        <v>65</v>
      </c>
      <c r="R117" t="s">
        <v>60</v>
      </c>
      <c r="S117" t="s">
        <v>444</v>
      </c>
      <c r="T117" t="s">
        <v>579</v>
      </c>
      <c r="U117" t="s">
        <v>580</v>
      </c>
      <c r="W117">
        <v>0</v>
      </c>
      <c r="X117">
        <v>0</v>
      </c>
      <c r="AE117">
        <v>0</v>
      </c>
      <c r="AI117" t="s">
        <v>52</v>
      </c>
      <c r="AJ117" t="s">
        <v>52</v>
      </c>
      <c r="AK117" t="s">
        <v>581</v>
      </c>
      <c r="AL117" t="str">
        <f>HYPERLINK("https://pbs.twimg.com/ext_tw_video_thumb/1142915685863108608/pu/img/WRlHL3RIvWqv0H2N.jpg")</f>
        <v>https://pbs.twimg.com/ext_tw_video_thumb/1142915685863108608/pu/img/WRlHL3RIvWqv0H2N.jpg</v>
      </c>
      <c r="AM117" t="s">
        <v>52</v>
      </c>
      <c r="AN117" t="s">
        <v>53</v>
      </c>
    </row>
    <row r="118" spans="1:40">
      <c r="A118" t="s">
        <v>40</v>
      </c>
      <c r="B118" t="s">
        <v>582</v>
      </c>
      <c r="C118" t="s">
        <v>583</v>
      </c>
      <c r="D118" t="s">
        <v>52</v>
      </c>
      <c r="E118" t="s">
        <v>584</v>
      </c>
      <c r="F118" t="s">
        <v>45</v>
      </c>
      <c r="G118" t="str">
        <f>HYPERLINK("https://www.instagram.com/p/BzIolE3BJlz")</f>
        <v>https://www.instagram.com/p/BzIolE3BJlz</v>
      </c>
      <c r="H118" t="s">
        <v>46</v>
      </c>
      <c r="I118" t="s">
        <v>585</v>
      </c>
      <c r="J118" t="str">
        <f>HYPERLINK("http://instagram.com/skipsampson")</f>
        <v>http://instagram.com/skipsampson</v>
      </c>
      <c r="K118">
        <v>3722</v>
      </c>
      <c r="L118" t="s">
        <v>48</v>
      </c>
      <c r="N118" t="s">
        <v>59</v>
      </c>
      <c r="O118" t="s">
        <v>585</v>
      </c>
      <c r="P118" t="str">
        <f>HYPERLINK("http://instagram.com/skipsampson")</f>
        <v>http://instagram.com/skipsampson</v>
      </c>
      <c r="Q118">
        <v>3722</v>
      </c>
      <c r="R118" t="s">
        <v>60</v>
      </c>
      <c r="W118">
        <v>35</v>
      </c>
      <c r="X118">
        <v>35</v>
      </c>
      <c r="AE118">
        <v>5</v>
      </c>
      <c r="AI118" t="s">
        <v>52</v>
      </c>
      <c r="AJ118" t="s">
        <v>586</v>
      </c>
      <c r="AK118" t="s">
        <v>52</v>
      </c>
      <c r="AL118" t="str">
        <f>HYPERLINK("https://www.instagram.com/p/BzIolE3BJlz/media/?size=l")</f>
        <v>https://www.instagram.com/p/BzIolE3BJlz/media/?size=l</v>
      </c>
      <c r="AM118" t="s">
        <v>52</v>
      </c>
      <c r="AN118" t="s">
        <v>53</v>
      </c>
    </row>
    <row r="119" spans="1:40">
      <c r="A119" t="s">
        <v>40</v>
      </c>
      <c r="B119" t="s">
        <v>582</v>
      </c>
      <c r="C119" t="s">
        <v>587</v>
      </c>
      <c r="D119" t="s">
        <v>588</v>
      </c>
      <c r="E119" t="s">
        <v>589</v>
      </c>
      <c r="F119" t="s">
        <v>45</v>
      </c>
      <c r="G119" t="str">
        <f>HYPERLINK("https://www.investing.com/analysis/pepsico-pep-up-27-in-six-months-will-the-momentum-last-200434430")</f>
        <v>https://www.investing.com/analysis/pepsico-pep-up-27-in-six-months-will-the-momentum-last-200434430</v>
      </c>
      <c r="H119" t="s">
        <v>46</v>
      </c>
      <c r="I119" t="s">
        <v>590</v>
      </c>
      <c r="J119" t="str">
        <f>HYPERLINK("https://www.investing.com/analysis/pepsico-pep-up-27-in-six-months-will-the-momentum-last-200434430")</f>
        <v>https://www.investing.com/analysis/pepsico-pep-up-27-in-six-months-will-the-momentum-last-200434430</v>
      </c>
      <c r="L119" t="s">
        <v>48</v>
      </c>
      <c r="N119" t="s">
        <v>591</v>
      </c>
      <c r="R119" t="s">
        <v>357</v>
      </c>
      <c r="S119" t="s">
        <v>592</v>
      </c>
      <c r="AI119" t="s">
        <v>52</v>
      </c>
      <c r="AJ119" t="s">
        <v>593</v>
      </c>
      <c r="AK119" t="s">
        <v>52</v>
      </c>
      <c r="AL119" t="str">
        <f>HYPERLINK("https://d1-invdn-com.akamaized.net/company_logo/101093114_1461491293.png")</f>
        <v>https://d1-invdn-com.akamaized.net/company_logo/101093114_1461491293.png</v>
      </c>
      <c r="AM119" t="s">
        <v>52</v>
      </c>
      <c r="AN119" t="s">
        <v>53</v>
      </c>
    </row>
    <row r="120" spans="1:40">
      <c r="A120" t="s">
        <v>40</v>
      </c>
      <c r="B120" t="s">
        <v>594</v>
      </c>
      <c r="C120" t="s">
        <v>595</v>
      </c>
      <c r="D120" t="s">
        <v>52</v>
      </c>
      <c r="E120" t="s">
        <v>204</v>
      </c>
      <c r="F120" t="s">
        <v>131</v>
      </c>
      <c r="G120" t="str">
        <f>HYPERLINK("https://twitter.com/795040622038155264/status/1143515418939863040")</f>
        <v>https://twitter.com/795040622038155264/status/1143515418939863040</v>
      </c>
      <c r="H120" t="s">
        <v>46</v>
      </c>
      <c r="I120" t="s">
        <v>596</v>
      </c>
      <c r="J120" t="str">
        <f>HYPERLINK("http://twitter.com/shoutynubs")</f>
        <v>http://twitter.com/shoutynubs</v>
      </c>
      <c r="K120">
        <v>10</v>
      </c>
      <c r="N120" t="s">
        <v>65</v>
      </c>
      <c r="R120" t="s">
        <v>60</v>
      </c>
      <c r="W120">
        <v>0</v>
      </c>
      <c r="X120">
        <v>0</v>
      </c>
      <c r="AE120">
        <v>0</v>
      </c>
      <c r="AM120" t="s">
        <v>52</v>
      </c>
      <c r="AN120" t="s">
        <v>53</v>
      </c>
    </row>
    <row r="121" spans="1:40">
      <c r="A121" t="s">
        <v>40</v>
      </c>
      <c r="B121" t="s">
        <v>597</v>
      </c>
      <c r="C121" t="s">
        <v>598</v>
      </c>
      <c r="D121" t="s">
        <v>52</v>
      </c>
      <c r="E121" t="s">
        <v>599</v>
      </c>
      <c r="F121" t="s">
        <v>131</v>
      </c>
      <c r="G121" t="str">
        <f>HYPERLINK("https://twitter.com/1014545229804761090/status/1143515158431453184")</f>
        <v>https://twitter.com/1014545229804761090/status/1143515158431453184</v>
      </c>
      <c r="H121" t="s">
        <v>46</v>
      </c>
      <c r="I121" t="s">
        <v>600</v>
      </c>
      <c r="J121" t="str">
        <f>HYPERLINK("http://twitter.com/heejjipeach")</f>
        <v>http://twitter.com/heejjipeach</v>
      </c>
      <c r="K121">
        <v>2</v>
      </c>
      <c r="N121" t="s">
        <v>65</v>
      </c>
      <c r="R121" t="s">
        <v>60</v>
      </c>
      <c r="W121">
        <v>0</v>
      </c>
      <c r="X121">
        <v>0</v>
      </c>
      <c r="AE121">
        <v>0</v>
      </c>
      <c r="AI121" t="s">
        <v>108</v>
      </c>
      <c r="AJ121" t="s">
        <v>52</v>
      </c>
      <c r="AK121" t="s">
        <v>601</v>
      </c>
      <c r="AL121" t="str">
        <f>HYPERLINK("https://pbs.twimg.com/ext_tw_video_thumb/1143202185154584581/pu/img/K72qfBH8zIdbiUf-.jpg")</f>
        <v>https://pbs.twimg.com/ext_tw_video_thumb/1143202185154584581/pu/img/K72qfBH8zIdbiUf-.jpg</v>
      </c>
      <c r="AM121" t="s">
        <v>52</v>
      </c>
      <c r="AN121" t="s">
        <v>53</v>
      </c>
    </row>
    <row r="122" spans="1:40">
      <c r="A122" t="s">
        <v>40</v>
      </c>
      <c r="B122" t="s">
        <v>602</v>
      </c>
      <c r="C122" t="s">
        <v>603</v>
      </c>
      <c r="D122" t="s">
        <v>52</v>
      </c>
      <c r="E122" t="s">
        <v>604</v>
      </c>
      <c r="F122" t="s">
        <v>71</v>
      </c>
      <c r="G122" t="str">
        <f>HYPERLINK("https://twitter.com/47120593/status/1143514923391180805")</f>
        <v>https://twitter.com/47120593/status/1143514923391180805</v>
      </c>
      <c r="H122" t="s">
        <v>46</v>
      </c>
      <c r="I122" t="s">
        <v>605</v>
      </c>
      <c r="J122" t="str">
        <f>HYPERLINK("http://twitter.com/danieljmckee")</f>
        <v>http://twitter.com/danieljmckee</v>
      </c>
      <c r="K122">
        <v>1637</v>
      </c>
      <c r="N122" t="s">
        <v>65</v>
      </c>
      <c r="R122" t="s">
        <v>60</v>
      </c>
      <c r="S122" t="s">
        <v>97</v>
      </c>
      <c r="T122" t="s">
        <v>177</v>
      </c>
      <c r="U122" t="s">
        <v>606</v>
      </c>
      <c r="W122">
        <v>0</v>
      </c>
      <c r="X122">
        <v>0</v>
      </c>
      <c r="AE122">
        <v>0</v>
      </c>
      <c r="AF122">
        <v>0</v>
      </c>
      <c r="AI122" t="s">
        <v>52</v>
      </c>
      <c r="AJ122" t="s">
        <v>52</v>
      </c>
      <c r="AK122" t="s">
        <v>273</v>
      </c>
      <c r="AL122" t="str">
        <f>HYPERLINK("https://pbs.twimg.com/media/D9X0U5DW4AIHfiw.jpg")</f>
        <v>https://pbs.twimg.com/media/D9X0U5DW4AIHfiw.jpg</v>
      </c>
      <c r="AM122" t="s">
        <v>52</v>
      </c>
      <c r="AN122" t="s">
        <v>53</v>
      </c>
    </row>
    <row r="123" spans="1:40">
      <c r="A123" t="s">
        <v>40</v>
      </c>
      <c r="B123" t="s">
        <v>607</v>
      </c>
      <c r="C123" t="s">
        <v>608</v>
      </c>
      <c r="D123" t="s">
        <v>52</v>
      </c>
      <c r="E123" t="s">
        <v>609</v>
      </c>
      <c r="F123" t="s">
        <v>71</v>
      </c>
      <c r="G123" t="str">
        <f>HYPERLINK("https://twitter.com/396336510/status/1143514524827492353")</f>
        <v>https://twitter.com/396336510/status/1143514524827492353</v>
      </c>
      <c r="H123" t="s">
        <v>46</v>
      </c>
      <c r="I123" t="s">
        <v>610</v>
      </c>
      <c r="J123" t="str">
        <f>HYPERLINK("http://twitter.com/McNewbie1")</f>
        <v>http://twitter.com/McNewbie1</v>
      </c>
      <c r="K123">
        <v>1605</v>
      </c>
      <c r="N123" t="s">
        <v>65</v>
      </c>
      <c r="R123" t="s">
        <v>60</v>
      </c>
      <c r="W123">
        <v>1</v>
      </c>
      <c r="X123">
        <v>1</v>
      </c>
      <c r="AE123">
        <v>0</v>
      </c>
      <c r="AF123">
        <v>0</v>
      </c>
      <c r="AI123" t="s">
        <v>52</v>
      </c>
      <c r="AJ123" t="s">
        <v>611</v>
      </c>
      <c r="AK123" t="s">
        <v>612</v>
      </c>
      <c r="AL123" t="str">
        <f>HYPERLINK("https://pbs.twimg.com/media/D96TgRmXoAIg3Xh.jpg")</f>
        <v>https://pbs.twimg.com/media/D96TgRmXoAIg3Xh.jpg</v>
      </c>
      <c r="AM123" t="s">
        <v>52</v>
      </c>
      <c r="AN123" t="s">
        <v>53</v>
      </c>
    </row>
    <row r="124" spans="1:40">
      <c r="A124" t="s">
        <v>40</v>
      </c>
      <c r="B124" t="s">
        <v>607</v>
      </c>
      <c r="C124" t="s">
        <v>613</v>
      </c>
      <c r="D124" t="s">
        <v>52</v>
      </c>
      <c r="E124" t="s">
        <v>614</v>
      </c>
      <c r="F124" t="s">
        <v>131</v>
      </c>
      <c r="G124" t="str">
        <f>HYPERLINK("https://twitter.com/788889102045372416/status/1143514499087044615")</f>
        <v>https://twitter.com/788889102045372416/status/1143514499087044615</v>
      </c>
      <c r="H124" t="s">
        <v>46</v>
      </c>
      <c r="I124" t="s">
        <v>615</v>
      </c>
      <c r="J124" t="str">
        <f>HYPERLINK("http://twitter.com/silvycmendes")</f>
        <v>http://twitter.com/silvycmendes</v>
      </c>
      <c r="K124">
        <v>24</v>
      </c>
      <c r="N124" t="s">
        <v>65</v>
      </c>
      <c r="R124" t="s">
        <v>60</v>
      </c>
      <c r="S124" t="s">
        <v>432</v>
      </c>
      <c r="T124" t="s">
        <v>616</v>
      </c>
      <c r="U124" t="s">
        <v>617</v>
      </c>
      <c r="W124">
        <v>0</v>
      </c>
      <c r="X124">
        <v>0</v>
      </c>
      <c r="AE124">
        <v>0</v>
      </c>
      <c r="AM124" t="s">
        <v>52</v>
      </c>
      <c r="AN124" t="s">
        <v>53</v>
      </c>
    </row>
    <row r="125" spans="1:40">
      <c r="A125" t="s">
        <v>40</v>
      </c>
      <c r="B125" t="s">
        <v>618</v>
      </c>
      <c r="C125" t="s">
        <v>441</v>
      </c>
      <c r="D125" t="s">
        <v>619</v>
      </c>
      <c r="E125" t="s">
        <v>620</v>
      </c>
      <c r="F125" t="s">
        <v>45</v>
      </c>
      <c r="G125" t="str">
        <f>HYPERLINK("https://www.youtube.com/watch?v=IzhXgTFsPs8")</f>
        <v>https://www.youtube.com/watch?v=IzhXgTFsPs8</v>
      </c>
      <c r="H125" t="s">
        <v>46</v>
      </c>
      <c r="I125" t="s">
        <v>621</v>
      </c>
      <c r="J125" t="str">
        <f>HYPERLINK("https://www.youtube.com/channel/UCa3UE_Z8izNMBdmeYoXNuNg")</f>
        <v>https://www.youtube.com/channel/UCa3UE_Z8izNMBdmeYoXNuNg</v>
      </c>
      <c r="K125">
        <v>23</v>
      </c>
      <c r="N125" t="s">
        <v>116</v>
      </c>
      <c r="O125" t="s">
        <v>621</v>
      </c>
      <c r="P125" t="str">
        <f>HYPERLINK("https://www.youtube.com/channel/UCa3UE_Z8izNMBdmeYoXNuNg")</f>
        <v>https://www.youtube.com/channel/UCa3UE_Z8izNMBdmeYoXNuNg</v>
      </c>
      <c r="Q125">
        <v>23</v>
      </c>
      <c r="R125" t="s">
        <v>60</v>
      </c>
      <c r="W125">
        <v>1</v>
      </c>
      <c r="X125">
        <v>1</v>
      </c>
      <c r="AD125">
        <v>0</v>
      </c>
      <c r="AE125">
        <v>2</v>
      </c>
      <c r="AG125">
        <v>1</v>
      </c>
      <c r="AI125" t="s">
        <v>52</v>
      </c>
      <c r="AJ125" t="s">
        <v>52</v>
      </c>
      <c r="AK125" t="s">
        <v>52</v>
      </c>
      <c r="AL125" t="str">
        <f>HYPERLINK("https://i.ytimg.com/vi/IzhXgTFsPs8/maxresdefault.jpg")</f>
        <v>https://i.ytimg.com/vi/IzhXgTFsPs8/maxresdefault.jpg</v>
      </c>
      <c r="AM125" t="s">
        <v>52</v>
      </c>
      <c r="AN125" t="s">
        <v>53</v>
      </c>
    </row>
    <row r="126" spans="1:40">
      <c r="A126" t="s">
        <v>40</v>
      </c>
      <c r="B126" t="s">
        <v>622</v>
      </c>
      <c r="C126" t="s">
        <v>623</v>
      </c>
      <c r="D126" t="s">
        <v>52</v>
      </c>
      <c r="E126" t="s">
        <v>624</v>
      </c>
      <c r="F126" t="s">
        <v>45</v>
      </c>
      <c r="G126" t="str">
        <f>HYPERLINK("https://www.instagram.com/p/BzInGhaJgf9")</f>
        <v>https://www.instagram.com/p/BzInGhaJgf9</v>
      </c>
      <c r="H126" t="s">
        <v>46</v>
      </c>
      <c r="I126" t="s">
        <v>625</v>
      </c>
      <c r="J126" t="str">
        <f>HYPERLINK("http://instagram.com/gomartstores")</f>
        <v>http://instagram.com/gomartstores</v>
      </c>
      <c r="K126">
        <v>762</v>
      </c>
      <c r="N126" t="s">
        <v>59</v>
      </c>
      <c r="O126" t="s">
        <v>625</v>
      </c>
      <c r="P126" t="str">
        <f>HYPERLINK("http://instagram.com/gomartstores")</f>
        <v>http://instagram.com/gomartstores</v>
      </c>
      <c r="Q126">
        <v>762</v>
      </c>
      <c r="R126" t="s">
        <v>60</v>
      </c>
      <c r="W126">
        <v>3</v>
      </c>
      <c r="X126">
        <v>3</v>
      </c>
      <c r="AE126">
        <v>0</v>
      </c>
      <c r="AI126" t="s">
        <v>108</v>
      </c>
      <c r="AJ126" t="s">
        <v>458</v>
      </c>
      <c r="AK126" t="s">
        <v>52</v>
      </c>
      <c r="AL126" t="str">
        <f>HYPERLINK("https://www.instagram.com/p/BzInGhaJgf9/media/?size=l")</f>
        <v>https://www.instagram.com/p/BzInGhaJgf9/media/?size=l</v>
      </c>
      <c r="AM126" t="s">
        <v>52</v>
      </c>
      <c r="AN126" t="s">
        <v>53</v>
      </c>
    </row>
    <row r="127" spans="1:40">
      <c r="A127" t="s">
        <v>40</v>
      </c>
      <c r="B127" t="s">
        <v>622</v>
      </c>
      <c r="C127" t="s">
        <v>626</v>
      </c>
      <c r="D127" t="s">
        <v>52</v>
      </c>
      <c r="E127" t="s">
        <v>599</v>
      </c>
      <c r="F127" t="s">
        <v>131</v>
      </c>
      <c r="G127" t="str">
        <f>HYPERLINK("https://twitter.com/809130689593384960/status/1143512289863016456")</f>
        <v>https://twitter.com/809130689593384960/status/1143512289863016456</v>
      </c>
      <c r="H127" t="s">
        <v>46</v>
      </c>
      <c r="I127" t="s">
        <v>627</v>
      </c>
      <c r="J127" t="str">
        <f>HYPERLINK("http://twitter.com/gmed070")</f>
        <v>http://twitter.com/gmed070</v>
      </c>
      <c r="K127">
        <v>890</v>
      </c>
      <c r="L127" t="s">
        <v>48</v>
      </c>
      <c r="N127" t="s">
        <v>65</v>
      </c>
      <c r="R127" t="s">
        <v>60</v>
      </c>
      <c r="W127">
        <v>0</v>
      </c>
      <c r="X127">
        <v>0</v>
      </c>
      <c r="AE127">
        <v>0</v>
      </c>
      <c r="AI127" t="s">
        <v>108</v>
      </c>
      <c r="AJ127" t="s">
        <v>52</v>
      </c>
      <c r="AK127" t="s">
        <v>601</v>
      </c>
      <c r="AL127" t="str">
        <f>HYPERLINK("https://pbs.twimg.com/ext_tw_video_thumb/1143202185154584581/pu/img/K72qfBH8zIdbiUf-.jpg")</f>
        <v>https://pbs.twimg.com/ext_tw_video_thumb/1143202185154584581/pu/img/K72qfBH8zIdbiUf-.jpg</v>
      </c>
      <c r="AM127" t="s">
        <v>52</v>
      </c>
      <c r="AN127" t="s">
        <v>53</v>
      </c>
    </row>
    <row r="128" spans="1:40">
      <c r="A128" t="s">
        <v>40</v>
      </c>
      <c r="B128" t="s">
        <v>622</v>
      </c>
      <c r="C128" t="s">
        <v>628</v>
      </c>
      <c r="D128" t="s">
        <v>629</v>
      </c>
      <c r="E128" t="s">
        <v>630</v>
      </c>
      <c r="F128" t="s">
        <v>95</v>
      </c>
      <c r="G128" t="str">
        <f>HYPERLINK("https://realityblurb.com/2019/06/24/kyle-richards-explains-why-she-wasnt-surprised-lisa-vanderpump-quit-the-rhobh-plus-she-dishes-on-upcoming-reunion-and-her-potential-season-10-return/#comment-4515422968")</f>
        <v>https://realityblurb.com/2019/06/24/kyle-richards-explains-why-she-wasnt-surprised-lisa-vanderpump-quit-the-rhobh-plus-she-dishes-on-upcoming-reunion-and-her-potential-season-10-return/#comment-4515422968</v>
      </c>
      <c r="H128" t="s">
        <v>46</v>
      </c>
      <c r="I128" t="s">
        <v>631</v>
      </c>
      <c r="J128" t="str">
        <f>HYPERLINK("https://disqus.com/by/disqus_NxGbGEkbCr/")</f>
        <v>https://disqus.com/by/disqus_NxGbGEkbCr/</v>
      </c>
      <c r="K128">
        <v>0</v>
      </c>
      <c r="N128" t="s">
        <v>632</v>
      </c>
      <c r="O128" t="s">
        <v>633</v>
      </c>
      <c r="P128" t="str">
        <f>HYPERLINK("https://disqus.com/home/forum/realityblurb/")</f>
        <v>https://disqus.com/home/forum/realityblurb/</v>
      </c>
      <c r="R128" t="s">
        <v>50</v>
      </c>
      <c r="W128">
        <v>1</v>
      </c>
      <c r="X128">
        <v>1</v>
      </c>
      <c r="AM128" t="s">
        <v>52</v>
      </c>
      <c r="AN128" t="s">
        <v>53</v>
      </c>
    </row>
    <row r="129" spans="1:40">
      <c r="A129" t="s">
        <v>40</v>
      </c>
      <c r="B129" t="s">
        <v>622</v>
      </c>
      <c r="C129" t="s">
        <v>634</v>
      </c>
      <c r="D129" t="s">
        <v>52</v>
      </c>
      <c r="E129" t="s">
        <v>140</v>
      </c>
      <c r="F129" t="s">
        <v>71</v>
      </c>
      <c r="G129" t="str">
        <f>HYPERLINK("https://twitter.com/972640852811108352/status/1143512239963590656")</f>
        <v>https://twitter.com/972640852811108352/status/1143512239963590656</v>
      </c>
      <c r="H129" t="s">
        <v>46</v>
      </c>
      <c r="I129" t="s">
        <v>635</v>
      </c>
      <c r="J129" t="str">
        <f>HYPERLINK("http://twitter.com/Marrrrrti02")</f>
        <v>http://twitter.com/Marrrrrti02</v>
      </c>
      <c r="K129">
        <v>262</v>
      </c>
      <c r="L129" t="s">
        <v>48</v>
      </c>
      <c r="N129" t="s">
        <v>65</v>
      </c>
      <c r="R129" t="s">
        <v>60</v>
      </c>
      <c r="W129">
        <v>0</v>
      </c>
      <c r="X129">
        <v>0</v>
      </c>
      <c r="AE129">
        <v>0</v>
      </c>
      <c r="AF129">
        <v>0</v>
      </c>
      <c r="AM129" t="s">
        <v>52</v>
      </c>
      <c r="AN129" t="s">
        <v>53</v>
      </c>
    </row>
    <row r="130" spans="1:40">
      <c r="A130" t="s">
        <v>40</v>
      </c>
      <c r="B130" t="s">
        <v>636</v>
      </c>
      <c r="C130" t="s">
        <v>634</v>
      </c>
      <c r="D130" t="s">
        <v>52</v>
      </c>
      <c r="E130" t="s">
        <v>637</v>
      </c>
      <c r="F130" t="s">
        <v>95</v>
      </c>
      <c r="G130" t="str">
        <f>HYPERLINK("https://twitter.com/312360880/status/1143512131704446976")</f>
        <v>https://twitter.com/312360880/status/1143512131704446976</v>
      </c>
      <c r="H130" t="s">
        <v>46</v>
      </c>
      <c r="I130" t="s">
        <v>638</v>
      </c>
      <c r="J130" t="str">
        <f>HYPERLINK("http://twitter.com/kbsimerly")</f>
        <v>http://twitter.com/kbsimerly</v>
      </c>
      <c r="K130">
        <v>919</v>
      </c>
      <c r="N130" t="s">
        <v>65</v>
      </c>
      <c r="R130" t="s">
        <v>60</v>
      </c>
      <c r="S130" t="s">
        <v>639</v>
      </c>
      <c r="T130" t="s">
        <v>640</v>
      </c>
      <c r="U130" t="s">
        <v>641</v>
      </c>
      <c r="W130">
        <v>1</v>
      </c>
      <c r="X130">
        <v>1</v>
      </c>
      <c r="AE130">
        <v>0</v>
      </c>
      <c r="AF130">
        <v>0</v>
      </c>
      <c r="AI130" t="s">
        <v>52</v>
      </c>
      <c r="AJ130" t="s">
        <v>642</v>
      </c>
      <c r="AK130" t="s">
        <v>643</v>
      </c>
      <c r="AL130" t="str">
        <f>HYPERLINK("https://pbs.twimg.com/media/D96SOPxX4AA-biC.jpg")</f>
        <v>https://pbs.twimg.com/media/D96SOPxX4AA-biC.jpg</v>
      </c>
      <c r="AM130" t="s">
        <v>52</v>
      </c>
      <c r="AN130" t="s">
        <v>53</v>
      </c>
    </row>
    <row r="131" spans="1:40">
      <c r="A131" t="s">
        <v>40</v>
      </c>
      <c r="B131" t="s">
        <v>644</v>
      </c>
      <c r="C131" t="s">
        <v>645</v>
      </c>
      <c r="D131" t="s">
        <v>52</v>
      </c>
      <c r="E131" t="s">
        <v>646</v>
      </c>
      <c r="F131" t="s">
        <v>45</v>
      </c>
      <c r="G131" t="str">
        <f>HYPERLINK("https://twitter.com/1129113524368740353/status/1143511859045261312")</f>
        <v>https://twitter.com/1129113524368740353/status/1143511859045261312</v>
      </c>
      <c r="H131" t="s">
        <v>46</v>
      </c>
      <c r="I131" t="s">
        <v>647</v>
      </c>
      <c r="J131" t="str">
        <f>HYPERLINK("http://twitter.com/PeakFitnessNB")</f>
        <v>http://twitter.com/PeakFitnessNB</v>
      </c>
      <c r="K131">
        <v>5</v>
      </c>
      <c r="N131" t="s">
        <v>65</v>
      </c>
      <c r="R131" t="s">
        <v>60</v>
      </c>
      <c r="W131">
        <v>0</v>
      </c>
      <c r="X131">
        <v>0</v>
      </c>
      <c r="AE131">
        <v>0</v>
      </c>
      <c r="AF131">
        <v>0</v>
      </c>
      <c r="AI131" t="s">
        <v>52</v>
      </c>
      <c r="AJ131" t="s">
        <v>648</v>
      </c>
      <c r="AK131" t="s">
        <v>52</v>
      </c>
      <c r="AL131" t="str">
        <f>HYPERLINK("https://pbs.twimg.com/media/D96R-a6WkAAclOa.jpg")</f>
        <v>https://pbs.twimg.com/media/D96R-a6WkAAclOa.jpg</v>
      </c>
      <c r="AM131" t="s">
        <v>52</v>
      </c>
      <c r="AN131" t="s">
        <v>53</v>
      </c>
    </row>
    <row r="132" spans="1:40">
      <c r="A132" t="s">
        <v>40</v>
      </c>
      <c r="B132" t="s">
        <v>644</v>
      </c>
      <c r="C132" t="s">
        <v>649</v>
      </c>
      <c r="D132" t="s">
        <v>52</v>
      </c>
      <c r="E132" t="s">
        <v>650</v>
      </c>
      <c r="F132" t="s">
        <v>45</v>
      </c>
      <c r="G132" t="str">
        <f>HYPERLINK("https://www.instagram.com/p/BzIm189ApOQ")</f>
        <v>https://www.instagram.com/p/BzIm189ApOQ</v>
      </c>
      <c r="H132" t="s">
        <v>46</v>
      </c>
      <c r="I132" t="s">
        <v>647</v>
      </c>
      <c r="J132" t="str">
        <f>HYPERLINK("http://instagram.com/peakfitnessmiramichi")</f>
        <v>http://instagram.com/peakfitnessmiramichi</v>
      </c>
      <c r="K132">
        <v>453</v>
      </c>
      <c r="L132" t="s">
        <v>651</v>
      </c>
      <c r="N132" t="s">
        <v>59</v>
      </c>
      <c r="O132" t="s">
        <v>647</v>
      </c>
      <c r="P132" t="str">
        <f>HYPERLINK("http://instagram.com/peakfitnessmiramichi")</f>
        <v>http://instagram.com/peakfitnessmiramichi</v>
      </c>
      <c r="Q132">
        <v>453</v>
      </c>
      <c r="R132" t="s">
        <v>60</v>
      </c>
      <c r="S132" t="s">
        <v>444</v>
      </c>
      <c r="T132" t="s">
        <v>652</v>
      </c>
      <c r="U132" t="s">
        <v>653</v>
      </c>
      <c r="W132">
        <v>8</v>
      </c>
      <c r="X132">
        <v>8</v>
      </c>
      <c r="AE132">
        <v>1</v>
      </c>
      <c r="AI132" t="s">
        <v>52</v>
      </c>
      <c r="AJ132" t="s">
        <v>648</v>
      </c>
      <c r="AK132" t="s">
        <v>52</v>
      </c>
      <c r="AL132" t="str">
        <f>HYPERLINK("https://www.instagram.com/p/BzIm189ApOQ/media/?size=l")</f>
        <v>https://www.instagram.com/p/BzIm189ApOQ/media/?size=l</v>
      </c>
      <c r="AM132" t="s">
        <v>52</v>
      </c>
      <c r="AN132" t="s">
        <v>53</v>
      </c>
    </row>
    <row r="133" spans="1:40">
      <c r="A133" t="s">
        <v>40</v>
      </c>
      <c r="B133" t="s">
        <v>654</v>
      </c>
      <c r="C133" t="s">
        <v>655</v>
      </c>
      <c r="D133" t="s">
        <v>52</v>
      </c>
      <c r="E133" t="s">
        <v>656</v>
      </c>
      <c r="F133" t="s">
        <v>45</v>
      </c>
      <c r="G133" t="str">
        <f>HYPERLINK("https://www.instagram.com/p/BzImu-1n6kI")</f>
        <v>https://www.instagram.com/p/BzImu-1n6kI</v>
      </c>
      <c r="H133" t="s">
        <v>46</v>
      </c>
      <c r="I133" t="s">
        <v>657</v>
      </c>
      <c r="J133" t="str">
        <f>HYPERLINK("http://instagram.com/kimlycurry")</f>
        <v>http://instagram.com/kimlycurry</v>
      </c>
      <c r="K133">
        <v>43928</v>
      </c>
      <c r="N133" t="s">
        <v>59</v>
      </c>
      <c r="O133" t="s">
        <v>657</v>
      </c>
      <c r="P133" t="str">
        <f>HYPERLINK("http://instagram.com/kimlycurry")</f>
        <v>http://instagram.com/kimlycurry</v>
      </c>
      <c r="Q133">
        <v>43928</v>
      </c>
      <c r="R133" t="s">
        <v>60</v>
      </c>
      <c r="S133" t="s">
        <v>51</v>
      </c>
      <c r="T133" t="s">
        <v>199</v>
      </c>
      <c r="U133" t="s">
        <v>658</v>
      </c>
      <c r="W133">
        <v>388</v>
      </c>
      <c r="X133">
        <v>388</v>
      </c>
      <c r="AE133">
        <v>47</v>
      </c>
      <c r="AI133" t="s">
        <v>52</v>
      </c>
      <c r="AJ133" t="s">
        <v>659</v>
      </c>
      <c r="AK133" t="s">
        <v>52</v>
      </c>
      <c r="AL133" t="str">
        <f>HYPERLINK("https://www.instagram.com/p/BzImu-1n6kI/media/?size=l")</f>
        <v>https://www.instagram.com/p/BzImu-1n6kI/media/?size=l</v>
      </c>
      <c r="AM133" t="s">
        <v>52</v>
      </c>
      <c r="AN133" t="s">
        <v>53</v>
      </c>
    </row>
    <row r="134" spans="1:40">
      <c r="A134" t="s">
        <v>40</v>
      </c>
      <c r="B134" t="s">
        <v>654</v>
      </c>
      <c r="C134" t="s">
        <v>660</v>
      </c>
      <c r="D134" t="s">
        <v>52</v>
      </c>
      <c r="E134" t="s">
        <v>661</v>
      </c>
      <c r="F134" t="s">
        <v>45</v>
      </c>
      <c r="G134" t="str">
        <f>HYPERLINK("https://www.instagram.com/p/BzImGJvnGcG")</f>
        <v>https://www.instagram.com/p/BzImGJvnGcG</v>
      </c>
      <c r="H134" t="s">
        <v>46</v>
      </c>
      <c r="I134" t="s">
        <v>662</v>
      </c>
      <c r="J134" t="str">
        <f>HYPERLINK("http://instagram.com/sharky_puppet")</f>
        <v>http://instagram.com/sharky_puppet</v>
      </c>
      <c r="K134">
        <v>41</v>
      </c>
      <c r="N134" t="s">
        <v>59</v>
      </c>
      <c r="O134" t="s">
        <v>662</v>
      </c>
      <c r="P134" t="str">
        <f>HYPERLINK("http://instagram.com/sharky_puppet")</f>
        <v>http://instagram.com/sharky_puppet</v>
      </c>
      <c r="Q134">
        <v>41</v>
      </c>
      <c r="R134" t="s">
        <v>60</v>
      </c>
      <c r="W134">
        <v>11</v>
      </c>
      <c r="X134">
        <v>11</v>
      </c>
      <c r="AE134">
        <v>0</v>
      </c>
      <c r="AG134">
        <v>38</v>
      </c>
      <c r="AI134" t="s">
        <v>52</v>
      </c>
      <c r="AJ134" t="s">
        <v>52</v>
      </c>
      <c r="AK134" t="s">
        <v>663</v>
      </c>
      <c r="AL134" t="str">
        <f>HYPERLINK("https://www.instagram.com/p/BzImGJvnGcG/media/?size=l")</f>
        <v>https://www.instagram.com/p/BzImGJvnGcG/media/?size=l</v>
      </c>
      <c r="AM134" t="s">
        <v>52</v>
      </c>
      <c r="AN134" t="s">
        <v>53</v>
      </c>
    </row>
    <row r="135" spans="1:40">
      <c r="A135" t="s">
        <v>40</v>
      </c>
      <c r="B135" t="s">
        <v>664</v>
      </c>
      <c r="C135" t="s">
        <v>665</v>
      </c>
      <c r="D135" t="s">
        <v>52</v>
      </c>
      <c r="E135" t="s">
        <v>666</v>
      </c>
      <c r="F135" t="s">
        <v>45</v>
      </c>
      <c r="G135" t="str">
        <f>HYPERLINK("https://www.instagram.com/p/BzImjP-FS_N")</f>
        <v>https://www.instagram.com/p/BzImjP-FS_N</v>
      </c>
      <c r="H135" t="s">
        <v>46</v>
      </c>
      <c r="I135" t="s">
        <v>667</v>
      </c>
      <c r="J135" t="str">
        <f>HYPERLINK("http://instagram.com/multifunctionalmom")</f>
        <v>http://instagram.com/multifunctionalmom</v>
      </c>
      <c r="K135">
        <v>937</v>
      </c>
      <c r="N135" t="s">
        <v>59</v>
      </c>
      <c r="O135" t="s">
        <v>667</v>
      </c>
      <c r="P135" t="str">
        <f>HYPERLINK("http://instagram.com/multifunctionalmom")</f>
        <v>http://instagram.com/multifunctionalmom</v>
      </c>
      <c r="Q135">
        <v>937</v>
      </c>
      <c r="R135" t="s">
        <v>60</v>
      </c>
      <c r="W135">
        <v>2</v>
      </c>
      <c r="X135">
        <v>2</v>
      </c>
      <c r="AE135">
        <v>1</v>
      </c>
      <c r="AI135" t="s">
        <v>52</v>
      </c>
      <c r="AJ135" t="s">
        <v>52</v>
      </c>
      <c r="AK135" t="s">
        <v>52</v>
      </c>
      <c r="AL135" t="str">
        <f>HYPERLINK("https://www.instagram.com/p/BzImjP-FS_N/media/?size=l")</f>
        <v>https://www.instagram.com/p/BzImjP-FS_N/media/?size=l</v>
      </c>
      <c r="AM135" t="s">
        <v>52</v>
      </c>
      <c r="AN135" t="s">
        <v>53</v>
      </c>
    </row>
    <row r="136" spans="1:40">
      <c r="A136" t="s">
        <v>40</v>
      </c>
      <c r="B136" t="s">
        <v>668</v>
      </c>
      <c r="C136" t="s">
        <v>669</v>
      </c>
      <c r="D136" t="s">
        <v>52</v>
      </c>
      <c r="E136" t="s">
        <v>670</v>
      </c>
      <c r="F136" t="s">
        <v>45</v>
      </c>
      <c r="G136" t="str">
        <f>HYPERLINK("https://www.instagram.com/p/BzImXN1h11I")</f>
        <v>https://www.instagram.com/p/BzImXN1h11I</v>
      </c>
      <c r="H136" t="s">
        <v>46</v>
      </c>
      <c r="I136" t="s">
        <v>671</v>
      </c>
      <c r="J136" t="str">
        <f>HYPERLINK("http://instagram.com/harrieteb93")</f>
        <v>http://instagram.com/harrieteb93</v>
      </c>
      <c r="K136">
        <v>386</v>
      </c>
      <c r="L136" t="s">
        <v>58</v>
      </c>
      <c r="N136" t="s">
        <v>59</v>
      </c>
      <c r="O136" t="s">
        <v>671</v>
      </c>
      <c r="P136" t="str">
        <f>HYPERLINK("http://instagram.com/harrieteb93")</f>
        <v>http://instagram.com/harrieteb93</v>
      </c>
      <c r="Q136">
        <v>386</v>
      </c>
      <c r="R136" t="s">
        <v>60</v>
      </c>
      <c r="S136" t="s">
        <v>142</v>
      </c>
      <c r="T136" t="s">
        <v>672</v>
      </c>
      <c r="U136" t="s">
        <v>673</v>
      </c>
      <c r="W136">
        <v>10</v>
      </c>
      <c r="X136">
        <v>10</v>
      </c>
      <c r="AE136">
        <v>1</v>
      </c>
      <c r="AI136" t="s">
        <v>52</v>
      </c>
      <c r="AJ136" t="s">
        <v>52</v>
      </c>
      <c r="AK136" t="s">
        <v>52</v>
      </c>
      <c r="AL136" t="str">
        <f>HYPERLINK("https://www.instagram.com/p/BzImXN1h11I/media/?size=l")</f>
        <v>https://www.instagram.com/p/BzImXN1h11I/media/?size=l</v>
      </c>
      <c r="AM136" t="s">
        <v>52</v>
      </c>
      <c r="AN136" t="s">
        <v>53</v>
      </c>
    </row>
    <row r="137" spans="1:40">
      <c r="A137" t="s">
        <v>40</v>
      </c>
      <c r="B137" t="s">
        <v>674</v>
      </c>
      <c r="C137" t="s">
        <v>675</v>
      </c>
      <c r="D137" t="s">
        <v>52</v>
      </c>
      <c r="E137" t="s">
        <v>676</v>
      </c>
      <c r="F137" t="s">
        <v>131</v>
      </c>
      <c r="G137" t="str">
        <f>HYPERLINK("https://twitter.com/703204400353964032/status/1143510279457845248")</f>
        <v>https://twitter.com/703204400353964032/status/1143510279457845248</v>
      </c>
      <c r="H137" t="s">
        <v>46</v>
      </c>
      <c r="I137" t="s">
        <v>677</v>
      </c>
      <c r="J137" t="str">
        <f>HYPERLINK("http://twitter.com/LibbyDoyle9")</f>
        <v>http://twitter.com/LibbyDoyle9</v>
      </c>
      <c r="K137">
        <v>2184</v>
      </c>
      <c r="N137" t="s">
        <v>65</v>
      </c>
      <c r="R137" t="s">
        <v>60</v>
      </c>
      <c r="S137" t="s">
        <v>51</v>
      </c>
      <c r="T137" t="s">
        <v>678</v>
      </c>
      <c r="U137" t="s">
        <v>679</v>
      </c>
      <c r="W137">
        <v>0</v>
      </c>
      <c r="X137">
        <v>0</v>
      </c>
      <c r="AE137">
        <v>0</v>
      </c>
      <c r="AI137" t="s">
        <v>52</v>
      </c>
      <c r="AJ137" t="s">
        <v>52</v>
      </c>
      <c r="AK137" t="s">
        <v>680</v>
      </c>
      <c r="AL137" t="str">
        <f>HYPERLINK("https://pbs.twimg.com/tweet_video_thumb/D96FmOXXkAIBKOq.jpg")</f>
        <v>https://pbs.twimg.com/tweet_video_thumb/D96FmOXXkAIBKOq.jpg</v>
      </c>
      <c r="AM137" t="s">
        <v>52</v>
      </c>
      <c r="AN137" t="s">
        <v>53</v>
      </c>
    </row>
    <row r="138" spans="1:40">
      <c r="A138" t="s">
        <v>40</v>
      </c>
      <c r="B138" t="s">
        <v>674</v>
      </c>
      <c r="C138" t="s">
        <v>681</v>
      </c>
      <c r="D138" t="s">
        <v>52</v>
      </c>
      <c r="E138" t="s">
        <v>682</v>
      </c>
      <c r="F138" t="s">
        <v>45</v>
      </c>
      <c r="G138" t="str">
        <f>HYPERLINK("https://www.instagram.com/p/BzImHjyJE2t")</f>
        <v>https://www.instagram.com/p/BzImHjyJE2t</v>
      </c>
      <c r="H138" t="s">
        <v>46</v>
      </c>
      <c r="I138" t="s">
        <v>683</v>
      </c>
      <c r="J138" t="str">
        <f>HYPERLINK("http://instagram.com/mike_alexander15")</f>
        <v>http://instagram.com/mike_alexander15</v>
      </c>
      <c r="K138">
        <v>83</v>
      </c>
      <c r="L138" t="s">
        <v>48</v>
      </c>
      <c r="N138" t="s">
        <v>59</v>
      </c>
      <c r="O138" t="s">
        <v>683</v>
      </c>
      <c r="P138" t="str">
        <f>HYPERLINK("http://instagram.com/mike_alexander15")</f>
        <v>http://instagram.com/mike_alexander15</v>
      </c>
      <c r="Q138">
        <v>83</v>
      </c>
      <c r="R138" t="s">
        <v>60</v>
      </c>
      <c r="W138">
        <v>0</v>
      </c>
      <c r="X138">
        <v>0</v>
      </c>
      <c r="AE138">
        <v>0</v>
      </c>
      <c r="AI138" t="s">
        <v>108</v>
      </c>
      <c r="AJ138" t="s">
        <v>52</v>
      </c>
      <c r="AK138" t="s">
        <v>52</v>
      </c>
      <c r="AL138" t="str">
        <f>HYPERLINK("https://www.instagram.com/p/BzImHjyJE2t/media/?size=l")</f>
        <v>https://www.instagram.com/p/BzImHjyJE2t/media/?size=l</v>
      </c>
      <c r="AM138" t="s">
        <v>52</v>
      </c>
      <c r="AN138" t="s">
        <v>53</v>
      </c>
    </row>
    <row r="139" spans="1:40">
      <c r="A139" t="s">
        <v>40</v>
      </c>
      <c r="B139" t="s">
        <v>684</v>
      </c>
      <c r="C139" t="s">
        <v>634</v>
      </c>
      <c r="D139" t="s">
        <v>52</v>
      </c>
      <c r="E139" t="s">
        <v>685</v>
      </c>
      <c r="F139" t="s">
        <v>45</v>
      </c>
      <c r="G139" t="str">
        <f>HYPERLINK("https://www.instagram.com/p/BzImCjfgAzx")</f>
        <v>https://www.instagram.com/p/BzImCjfgAzx</v>
      </c>
      <c r="H139" t="s">
        <v>46</v>
      </c>
      <c r="I139" t="s">
        <v>686</v>
      </c>
      <c r="J139" t="str">
        <f>HYPERLINK("http://instagram.com/detodito91")</f>
        <v>http://instagram.com/detodito91</v>
      </c>
      <c r="K139">
        <v>88</v>
      </c>
      <c r="N139" t="s">
        <v>59</v>
      </c>
      <c r="O139" t="s">
        <v>686</v>
      </c>
      <c r="P139" t="str">
        <f>HYPERLINK("http://instagram.com/detodito91")</f>
        <v>http://instagram.com/detodito91</v>
      </c>
      <c r="Q139">
        <v>88</v>
      </c>
      <c r="R139" t="s">
        <v>60</v>
      </c>
      <c r="S139" t="s">
        <v>210</v>
      </c>
      <c r="T139" t="s">
        <v>687</v>
      </c>
      <c r="U139" t="s">
        <v>688</v>
      </c>
      <c r="W139">
        <v>3</v>
      </c>
      <c r="X139">
        <v>3</v>
      </c>
      <c r="AE139">
        <v>1</v>
      </c>
      <c r="AI139" t="s">
        <v>52</v>
      </c>
      <c r="AJ139" t="s">
        <v>321</v>
      </c>
      <c r="AK139" t="s">
        <v>52</v>
      </c>
      <c r="AL139" t="str">
        <f>HYPERLINK("https://www.instagram.com/p/BzImCjfgAzx/media/?size=l")</f>
        <v>https://www.instagram.com/p/BzImCjfgAzx/media/?size=l</v>
      </c>
      <c r="AM139" t="s">
        <v>52</v>
      </c>
      <c r="AN139" t="s">
        <v>53</v>
      </c>
    </row>
    <row r="140" spans="1:40">
      <c r="A140" t="s">
        <v>40</v>
      </c>
      <c r="B140" t="s">
        <v>689</v>
      </c>
      <c r="C140" t="s">
        <v>690</v>
      </c>
      <c r="D140" t="s">
        <v>52</v>
      </c>
      <c r="E140" t="s">
        <v>691</v>
      </c>
      <c r="F140" t="s">
        <v>45</v>
      </c>
      <c r="G140" t="str">
        <f>HYPERLINK("https://www.instagram.com/p/BzIl46DJKYJ")</f>
        <v>https://www.instagram.com/p/BzIl46DJKYJ</v>
      </c>
      <c r="H140" t="s">
        <v>46</v>
      </c>
      <c r="I140" t="s">
        <v>692</v>
      </c>
      <c r="J140" t="str">
        <f>HYPERLINK("http://instagram.com/aziz_zina_")</f>
        <v>http://instagram.com/aziz_zina_</v>
      </c>
      <c r="K140">
        <v>302</v>
      </c>
      <c r="L140" t="s">
        <v>48</v>
      </c>
      <c r="N140" t="s">
        <v>59</v>
      </c>
      <c r="O140" t="s">
        <v>692</v>
      </c>
      <c r="P140" t="str">
        <f>HYPERLINK("http://instagram.com/aziz_zina_")</f>
        <v>http://instagram.com/aziz_zina_</v>
      </c>
      <c r="Q140">
        <v>302</v>
      </c>
      <c r="R140" t="s">
        <v>60</v>
      </c>
      <c r="S140" t="s">
        <v>693</v>
      </c>
      <c r="T140" t="s">
        <v>694</v>
      </c>
      <c r="U140" t="s">
        <v>695</v>
      </c>
      <c r="W140">
        <v>5</v>
      </c>
      <c r="X140">
        <v>5</v>
      </c>
      <c r="AE140">
        <v>0</v>
      </c>
      <c r="AI140" t="s">
        <v>52</v>
      </c>
      <c r="AJ140" t="s">
        <v>696</v>
      </c>
      <c r="AK140" t="s">
        <v>52</v>
      </c>
      <c r="AL140" t="str">
        <f>HYPERLINK("https://www.instagram.com/p/BzIl46DJKYJ/media/?size=l")</f>
        <v>https://www.instagram.com/p/BzIl46DJKYJ/media/?size=l</v>
      </c>
      <c r="AM140" t="s">
        <v>52</v>
      </c>
      <c r="AN140" t="s">
        <v>53</v>
      </c>
    </row>
    <row r="141" spans="1:40">
      <c r="A141" t="s">
        <v>40</v>
      </c>
      <c r="B141" t="s">
        <v>697</v>
      </c>
      <c r="C141" t="s">
        <v>698</v>
      </c>
      <c r="D141" t="s">
        <v>52</v>
      </c>
      <c r="E141" t="s">
        <v>699</v>
      </c>
      <c r="F141" t="s">
        <v>45</v>
      </c>
      <c r="G141" t="str">
        <f>HYPERLINK("https://twitter.com/3116907143/status/1143509498763591681")</f>
        <v>https://twitter.com/3116907143/status/1143509498763591681</v>
      </c>
      <c r="H141" t="s">
        <v>46</v>
      </c>
      <c r="I141" t="s">
        <v>700</v>
      </c>
      <c r="J141" t="str">
        <f>HYPERLINK("http://twitter.com/gonn_ce")</f>
        <v>http://twitter.com/gonn_ce</v>
      </c>
      <c r="K141">
        <v>7956</v>
      </c>
      <c r="N141" t="s">
        <v>65</v>
      </c>
      <c r="R141" t="s">
        <v>60</v>
      </c>
      <c r="S141" t="s">
        <v>701</v>
      </c>
      <c r="T141" t="s">
        <v>702</v>
      </c>
      <c r="U141" t="s">
        <v>702</v>
      </c>
      <c r="W141">
        <v>15</v>
      </c>
      <c r="X141">
        <v>15</v>
      </c>
      <c r="AE141">
        <v>2</v>
      </c>
      <c r="AF141">
        <v>1</v>
      </c>
      <c r="AI141" t="s">
        <v>52</v>
      </c>
      <c r="AJ141" t="s">
        <v>703</v>
      </c>
      <c r="AK141" t="s">
        <v>52</v>
      </c>
      <c r="AL141" t="str">
        <f>HYPERLINK("https://pbs.twimg.com/media/D96P0ItXkAE2zRS.jpg")</f>
        <v>https://pbs.twimg.com/media/D96P0ItXkAE2zRS.jpg</v>
      </c>
      <c r="AM141" t="s">
        <v>52</v>
      </c>
      <c r="AN141" t="s">
        <v>53</v>
      </c>
    </row>
    <row r="142" spans="1:40">
      <c r="A142" t="s">
        <v>40</v>
      </c>
      <c r="B142" t="s">
        <v>697</v>
      </c>
      <c r="C142" t="s">
        <v>690</v>
      </c>
      <c r="D142" t="s">
        <v>52</v>
      </c>
      <c r="E142" t="s">
        <v>704</v>
      </c>
      <c r="F142" t="s">
        <v>45</v>
      </c>
      <c r="G142" t="str">
        <f>HYPERLINK("https://www.instagram.com/p/BzIlvlLhFjP")</f>
        <v>https://www.instagram.com/p/BzIlvlLhFjP</v>
      </c>
      <c r="H142" t="s">
        <v>46</v>
      </c>
      <c r="I142" t="s">
        <v>705</v>
      </c>
      <c r="J142" t="str">
        <f>HYPERLINK("http://instagram.com/photos_vatrina_")</f>
        <v>http://instagram.com/photos_vatrina_</v>
      </c>
      <c r="K142">
        <v>1418</v>
      </c>
      <c r="N142" t="s">
        <v>59</v>
      </c>
      <c r="O142" t="s">
        <v>705</v>
      </c>
      <c r="P142" t="str">
        <f>HYPERLINK("http://instagram.com/photos_vatrina_")</f>
        <v>http://instagram.com/photos_vatrina_</v>
      </c>
      <c r="Q142">
        <v>1418</v>
      </c>
      <c r="R142" t="s">
        <v>60</v>
      </c>
      <c r="W142">
        <v>62</v>
      </c>
      <c r="X142">
        <v>62</v>
      </c>
      <c r="AE142">
        <v>0</v>
      </c>
      <c r="AI142" t="s">
        <v>108</v>
      </c>
      <c r="AJ142" t="s">
        <v>706</v>
      </c>
      <c r="AK142" t="s">
        <v>52</v>
      </c>
      <c r="AL142" t="str">
        <f>HYPERLINK("https://www.instagram.com/p/BzIlvlLhFjP/media/?size=l")</f>
        <v>https://www.instagram.com/p/BzIlvlLhFjP/media/?size=l</v>
      </c>
      <c r="AM142" t="s">
        <v>52</v>
      </c>
      <c r="AN142" t="s">
        <v>53</v>
      </c>
    </row>
    <row r="143" spans="1:40">
      <c r="A143" t="s">
        <v>40</v>
      </c>
      <c r="B143" t="s">
        <v>707</v>
      </c>
      <c r="C143" t="s">
        <v>690</v>
      </c>
      <c r="D143" t="s">
        <v>52</v>
      </c>
      <c r="E143" t="s">
        <v>708</v>
      </c>
      <c r="F143" t="s">
        <v>45</v>
      </c>
      <c r="G143" t="str">
        <f>HYPERLINK("https://twitter.com/1074391580285509634/status/1143508499286167553")</f>
        <v>https://twitter.com/1074391580285509634/status/1143508499286167553</v>
      </c>
      <c r="H143" t="s">
        <v>46</v>
      </c>
      <c r="I143" t="s">
        <v>709</v>
      </c>
      <c r="J143" t="str">
        <f>HYPERLINK("http://twitter.com/vikii_lacuesta")</f>
        <v>http://twitter.com/vikii_lacuesta</v>
      </c>
      <c r="K143">
        <v>63</v>
      </c>
      <c r="N143" t="s">
        <v>65</v>
      </c>
      <c r="R143" t="s">
        <v>60</v>
      </c>
      <c r="S143" t="s">
        <v>710</v>
      </c>
      <c r="T143" t="s">
        <v>711</v>
      </c>
      <c r="U143" t="s">
        <v>711</v>
      </c>
      <c r="W143">
        <v>0</v>
      </c>
      <c r="X143">
        <v>0</v>
      </c>
      <c r="AE143">
        <v>0</v>
      </c>
      <c r="AF143">
        <v>0</v>
      </c>
      <c r="AM143" t="s">
        <v>52</v>
      </c>
      <c r="AN143" t="s">
        <v>53</v>
      </c>
    </row>
    <row r="144" spans="1:40">
      <c r="A144" t="s">
        <v>40</v>
      </c>
      <c r="B144" t="s">
        <v>707</v>
      </c>
      <c r="C144" t="s">
        <v>712</v>
      </c>
      <c r="D144" t="s">
        <v>52</v>
      </c>
      <c r="E144" t="s">
        <v>713</v>
      </c>
      <c r="F144" t="s">
        <v>45</v>
      </c>
      <c r="G144" t="str">
        <f>HYPERLINK("https://www.instagram.com/p/BzIlUp9gSJX")</f>
        <v>https://www.instagram.com/p/BzIlUp9gSJX</v>
      </c>
      <c r="H144" t="s">
        <v>215</v>
      </c>
      <c r="I144" t="s">
        <v>714</v>
      </c>
      <c r="J144" t="str">
        <f>HYPERLINK("http://instagram.com/kaitlyn.elise.cook")</f>
        <v>http://instagram.com/kaitlyn.elise.cook</v>
      </c>
      <c r="K144">
        <v>185</v>
      </c>
      <c r="L144" t="s">
        <v>58</v>
      </c>
      <c r="N144" t="s">
        <v>59</v>
      </c>
      <c r="O144" t="s">
        <v>714</v>
      </c>
      <c r="P144" t="str">
        <f>HYPERLINK("http://instagram.com/kaitlyn.elise.cook")</f>
        <v>http://instagram.com/kaitlyn.elise.cook</v>
      </c>
      <c r="Q144">
        <v>185</v>
      </c>
      <c r="R144" t="s">
        <v>60</v>
      </c>
      <c r="S144" t="s">
        <v>97</v>
      </c>
      <c r="T144" t="s">
        <v>177</v>
      </c>
      <c r="U144" t="s">
        <v>715</v>
      </c>
      <c r="W144">
        <v>16</v>
      </c>
      <c r="X144">
        <v>16</v>
      </c>
      <c r="AE144">
        <v>5</v>
      </c>
      <c r="AI144" t="s">
        <v>108</v>
      </c>
      <c r="AJ144" t="s">
        <v>716</v>
      </c>
      <c r="AK144" t="s">
        <v>52</v>
      </c>
      <c r="AL144" t="str">
        <f>HYPERLINK("https://www.instagram.com/p/BzIlUp9gSJX/media/?size=l")</f>
        <v>https://www.instagram.com/p/BzIlUp9gSJX/media/?size=l</v>
      </c>
      <c r="AM144" t="s">
        <v>52</v>
      </c>
      <c r="AN144" t="s">
        <v>53</v>
      </c>
    </row>
    <row r="145" spans="1:40">
      <c r="A145" t="s">
        <v>40</v>
      </c>
      <c r="B145" t="s">
        <v>717</v>
      </c>
      <c r="C145" t="s">
        <v>718</v>
      </c>
      <c r="D145" t="s">
        <v>52</v>
      </c>
      <c r="E145" t="s">
        <v>719</v>
      </c>
      <c r="F145" t="s">
        <v>45</v>
      </c>
      <c r="G145" t="str">
        <f>HYPERLINK("https://www.instagram.com/p/BzIlL73Ij5v")</f>
        <v>https://www.instagram.com/p/BzIlL73Ij5v</v>
      </c>
      <c r="H145" t="s">
        <v>46</v>
      </c>
      <c r="I145" t="s">
        <v>720</v>
      </c>
      <c r="J145" t="str">
        <f>HYPERLINK("http://instagram.com/akane_cosplay")</f>
        <v>http://instagram.com/akane_cosplay</v>
      </c>
      <c r="K145">
        <v>469</v>
      </c>
      <c r="N145" t="s">
        <v>59</v>
      </c>
      <c r="O145" t="s">
        <v>720</v>
      </c>
      <c r="P145" t="str">
        <f>HYPERLINK("http://instagram.com/akane_cosplay")</f>
        <v>http://instagram.com/akane_cosplay</v>
      </c>
      <c r="Q145">
        <v>469</v>
      </c>
      <c r="R145" t="s">
        <v>60</v>
      </c>
      <c r="W145">
        <v>20</v>
      </c>
      <c r="X145">
        <v>20</v>
      </c>
      <c r="AE145">
        <v>0</v>
      </c>
      <c r="AI145" t="s">
        <v>52</v>
      </c>
      <c r="AJ145" t="s">
        <v>52</v>
      </c>
      <c r="AK145" t="s">
        <v>680</v>
      </c>
      <c r="AL145" t="str">
        <f>HYPERLINK("https://www.instagram.com/p/BzIlL73Ij5v/media/?size=l")</f>
        <v>https://www.instagram.com/p/BzIlL73Ij5v/media/?size=l</v>
      </c>
      <c r="AM145" t="s">
        <v>52</v>
      </c>
      <c r="AN145" t="s">
        <v>53</v>
      </c>
    </row>
    <row r="146" spans="1:40">
      <c r="A146" t="s">
        <v>40</v>
      </c>
      <c r="B146" t="s">
        <v>721</v>
      </c>
      <c r="C146" t="s">
        <v>690</v>
      </c>
      <c r="D146" t="s">
        <v>722</v>
      </c>
      <c r="E146" t="s">
        <v>723</v>
      </c>
      <c r="F146" t="s">
        <v>45</v>
      </c>
      <c r="G146" t="str">
        <f>HYPERLINK("https://driving.ca/features/feature-story/11-ridiculously-smart-car-camping-hacks")</f>
        <v>https://driving.ca/features/feature-story/11-ridiculously-smart-car-camping-hacks</v>
      </c>
      <c r="H146" t="s">
        <v>46</v>
      </c>
      <c r="I146" t="s">
        <v>724</v>
      </c>
      <c r="J146" t="str">
        <f>HYPERLINK("https://driving.ca/features/feature-story/11-ridiculously-smart-car-camping-hacks")</f>
        <v>https://driving.ca/features/feature-story/11-ridiculously-smart-car-camping-hacks</v>
      </c>
      <c r="L146" t="s">
        <v>58</v>
      </c>
      <c r="N146" t="s">
        <v>725</v>
      </c>
      <c r="R146" t="s">
        <v>357</v>
      </c>
      <c r="S146" t="s">
        <v>444</v>
      </c>
      <c r="AI146" t="s">
        <v>52</v>
      </c>
      <c r="AJ146" t="s">
        <v>726</v>
      </c>
      <c r="AK146" t="s">
        <v>52</v>
      </c>
      <c r="AL146" t="str">
        <f>HYPERLINK("https://postmediadriving.files.wordpress.com/2019/06/camping-tic-tac-spices.jpg?w=1024&amp;crop=1&amp;strip=all&amp;quality=100&amp;h=1024")</f>
        <v>https://postmediadriving.files.wordpress.com/2019/06/camping-tic-tac-spices.jpg?w=1024&amp;crop=1&amp;strip=all&amp;quality=100&amp;h=1024</v>
      </c>
      <c r="AM146" t="s">
        <v>52</v>
      </c>
      <c r="AN146" t="s">
        <v>53</v>
      </c>
    </row>
    <row r="147" spans="1:40">
      <c r="A147" t="s">
        <v>40</v>
      </c>
      <c r="B147" t="s">
        <v>727</v>
      </c>
      <c r="C147" t="s">
        <v>690</v>
      </c>
      <c r="D147" t="s">
        <v>52</v>
      </c>
      <c r="E147" t="s">
        <v>728</v>
      </c>
      <c r="F147" t="s">
        <v>45</v>
      </c>
      <c r="G147" t="str">
        <f>HYPERLINK("https://www.instagram.com/p/BzIk_oJgWBq")</f>
        <v>https://www.instagram.com/p/BzIk_oJgWBq</v>
      </c>
      <c r="H147" t="s">
        <v>46</v>
      </c>
      <c r="I147" t="s">
        <v>729</v>
      </c>
      <c r="J147" t="str">
        <f>HYPERLINK("http://instagram.com/yenilezzetler34")</f>
        <v>http://instagram.com/yenilezzetler34</v>
      </c>
      <c r="K147">
        <v>0</v>
      </c>
      <c r="L147" t="s">
        <v>651</v>
      </c>
      <c r="N147" t="s">
        <v>59</v>
      </c>
      <c r="O147" t="s">
        <v>729</v>
      </c>
      <c r="P147" t="str">
        <f>HYPERLINK("http://instagram.com/yenilezzetler34")</f>
        <v>http://instagram.com/yenilezzetler34</v>
      </c>
      <c r="Q147">
        <v>0</v>
      </c>
      <c r="R147" t="s">
        <v>60</v>
      </c>
      <c r="W147">
        <v>0</v>
      </c>
      <c r="X147">
        <v>0</v>
      </c>
      <c r="AE147">
        <v>0</v>
      </c>
      <c r="AI147" t="s">
        <v>108</v>
      </c>
      <c r="AJ147" t="s">
        <v>730</v>
      </c>
      <c r="AK147" t="s">
        <v>52</v>
      </c>
      <c r="AL147" t="str">
        <f>HYPERLINK("https://www.instagram.com/p/BzIk_oJgWBq/media/?size=l")</f>
        <v>https://www.instagram.com/p/BzIk_oJgWBq/media/?size=l</v>
      </c>
      <c r="AM147" t="s">
        <v>52</v>
      </c>
      <c r="AN147" t="s">
        <v>53</v>
      </c>
    </row>
    <row r="148" spans="1:40">
      <c r="A148" t="s">
        <v>40</v>
      </c>
      <c r="B148" t="s">
        <v>727</v>
      </c>
      <c r="C148" t="s">
        <v>731</v>
      </c>
      <c r="D148" t="s">
        <v>52</v>
      </c>
      <c r="E148" t="s">
        <v>732</v>
      </c>
      <c r="F148" t="s">
        <v>45</v>
      </c>
      <c r="G148" t="str">
        <f>HYPERLINK("https://www.instagram.com/p/BzIk75wA1Me")</f>
        <v>https://www.instagram.com/p/BzIk75wA1Me</v>
      </c>
      <c r="H148" t="s">
        <v>46</v>
      </c>
      <c r="I148" t="s">
        <v>733</v>
      </c>
      <c r="J148" t="str">
        <f>HYPERLINK("http://instagram.com/rickybandapop")</f>
        <v>http://instagram.com/rickybandapop</v>
      </c>
      <c r="K148">
        <v>267</v>
      </c>
      <c r="N148" t="s">
        <v>59</v>
      </c>
      <c r="O148" t="s">
        <v>733</v>
      </c>
      <c r="P148" t="str">
        <f>HYPERLINK("http://instagram.com/rickybandapop")</f>
        <v>http://instagram.com/rickybandapop</v>
      </c>
      <c r="Q148">
        <v>267</v>
      </c>
      <c r="R148" t="s">
        <v>60</v>
      </c>
      <c r="W148">
        <v>9</v>
      </c>
      <c r="X148">
        <v>9</v>
      </c>
      <c r="AE148">
        <v>0</v>
      </c>
      <c r="AI148" t="s">
        <v>52</v>
      </c>
      <c r="AJ148" t="s">
        <v>52</v>
      </c>
      <c r="AK148" t="s">
        <v>52</v>
      </c>
      <c r="AL148" t="str">
        <f>HYPERLINK("https://www.instagram.com/p/BzIk75wA1Me/media/?size=l")</f>
        <v>https://www.instagram.com/p/BzIk75wA1Me/media/?size=l</v>
      </c>
      <c r="AM148" t="s">
        <v>52</v>
      </c>
      <c r="AN148" t="s">
        <v>53</v>
      </c>
    </row>
    <row r="149" spans="1:40">
      <c r="A149" t="s">
        <v>40</v>
      </c>
      <c r="B149" t="s">
        <v>734</v>
      </c>
      <c r="C149" t="s">
        <v>735</v>
      </c>
      <c r="D149" t="s">
        <v>52</v>
      </c>
      <c r="E149" t="s">
        <v>736</v>
      </c>
      <c r="F149" t="s">
        <v>45</v>
      </c>
      <c r="G149" t="str">
        <f>HYPERLINK("https://www.instagram.com/p/BzIj3Orl8f0")</f>
        <v>https://www.instagram.com/p/BzIj3Orl8f0</v>
      </c>
      <c r="H149" t="s">
        <v>91</v>
      </c>
      <c r="I149" t="s">
        <v>737</v>
      </c>
      <c r="J149" t="str">
        <f>HYPERLINK("http://instagram.com/summitfitofficial")</f>
        <v>http://instagram.com/summitfitofficial</v>
      </c>
      <c r="K149">
        <v>3080</v>
      </c>
      <c r="N149" t="s">
        <v>59</v>
      </c>
      <c r="O149" t="s">
        <v>737</v>
      </c>
      <c r="P149" t="str">
        <f>HYPERLINK("http://instagram.com/summitfitofficial")</f>
        <v>http://instagram.com/summitfitofficial</v>
      </c>
      <c r="Q149">
        <v>3080</v>
      </c>
      <c r="R149" t="s">
        <v>60</v>
      </c>
      <c r="S149" t="s">
        <v>51</v>
      </c>
      <c r="T149" t="s">
        <v>738</v>
      </c>
      <c r="U149" t="s">
        <v>739</v>
      </c>
      <c r="W149">
        <v>13</v>
      </c>
      <c r="X149">
        <v>13</v>
      </c>
      <c r="AE149">
        <v>1</v>
      </c>
      <c r="AI149" t="s">
        <v>52</v>
      </c>
      <c r="AJ149" t="s">
        <v>740</v>
      </c>
      <c r="AK149" t="s">
        <v>52</v>
      </c>
      <c r="AL149" t="str">
        <f>HYPERLINK("https://www.instagram.com/p/BzIj3Orl8f0/media/?size=l")</f>
        <v>https://www.instagram.com/p/BzIj3Orl8f0/media/?size=l</v>
      </c>
      <c r="AM149" t="s">
        <v>52</v>
      </c>
      <c r="AN149" t="s">
        <v>53</v>
      </c>
    </row>
    <row r="150" spans="1:40">
      <c r="A150" t="s">
        <v>40</v>
      </c>
      <c r="B150" t="s">
        <v>734</v>
      </c>
      <c r="C150" t="s">
        <v>735</v>
      </c>
      <c r="D150" t="s">
        <v>741</v>
      </c>
      <c r="E150" t="s">
        <v>742</v>
      </c>
      <c r="F150" t="s">
        <v>95</v>
      </c>
      <c r="G150" t="str">
        <f>HYPERLINK("https://www.youtube.com/watch?v=ZxdYirwtWKc&amp;lc=UgzEtLmDNOhqiIXic4p4AaABAg")</f>
        <v>https://www.youtube.com/watch?v=ZxdYirwtWKc&amp;lc=UgzEtLmDNOhqiIXic4p4AaABAg</v>
      </c>
      <c r="H150" t="s">
        <v>46</v>
      </c>
      <c r="I150" t="s">
        <v>743</v>
      </c>
      <c r="J150" t="str">
        <f>HYPERLINK("https://www.youtube.com/channel/UCsnUb_1YGi_2UcdjfbyhqqA")</f>
        <v>https://www.youtube.com/channel/UCsnUb_1YGi_2UcdjfbyhqqA</v>
      </c>
      <c r="K150">
        <v>25</v>
      </c>
      <c r="N150" t="s">
        <v>116</v>
      </c>
      <c r="O150" t="s">
        <v>744</v>
      </c>
      <c r="P150" t="str">
        <f>HYPERLINK("https://www.youtube.com/channel/UCHp178ENUj1QfqX4tekEufw")</f>
        <v>https://www.youtube.com/channel/UCHp178ENUj1QfqX4tekEufw</v>
      </c>
      <c r="Q150">
        <v>638279</v>
      </c>
      <c r="R150" t="s">
        <v>60</v>
      </c>
      <c r="S150" t="s">
        <v>51</v>
      </c>
      <c r="W150">
        <v>1</v>
      </c>
      <c r="X150">
        <v>1</v>
      </c>
      <c r="AE150">
        <v>0</v>
      </c>
      <c r="AM150" t="s">
        <v>52</v>
      </c>
      <c r="AN150" t="s">
        <v>53</v>
      </c>
    </row>
    <row r="151" spans="1:40">
      <c r="A151" t="s">
        <v>40</v>
      </c>
      <c r="B151" t="s">
        <v>734</v>
      </c>
      <c r="C151" t="s">
        <v>735</v>
      </c>
      <c r="D151" t="s">
        <v>741</v>
      </c>
      <c r="E151" t="s">
        <v>745</v>
      </c>
      <c r="F151" t="s">
        <v>95</v>
      </c>
      <c r="G151" t="str">
        <f>HYPERLINK("https://www.youtube.com/watch?v=ZxdYirwtWKc&amp;lc=UgxoA5qMV-q05SfMwIB4AaABAg")</f>
        <v>https://www.youtube.com/watch?v=ZxdYirwtWKc&amp;lc=UgxoA5qMV-q05SfMwIB4AaABAg</v>
      </c>
      <c r="H151" t="s">
        <v>46</v>
      </c>
      <c r="I151" t="s">
        <v>746</v>
      </c>
      <c r="J151" t="str">
        <f>HYPERLINK("https://www.youtube.com/channel/UCu0F5uoGf90K7xSeA3urNDg")</f>
        <v>https://www.youtube.com/channel/UCu0F5uoGf90K7xSeA3urNDg</v>
      </c>
      <c r="K151">
        <v>53</v>
      </c>
      <c r="L151" t="s">
        <v>48</v>
      </c>
      <c r="N151" t="s">
        <v>116</v>
      </c>
      <c r="O151" t="s">
        <v>744</v>
      </c>
      <c r="P151" t="str">
        <f>HYPERLINK("https://www.youtube.com/channel/UCHp178ENUj1QfqX4tekEufw")</f>
        <v>https://www.youtube.com/channel/UCHp178ENUj1QfqX4tekEufw</v>
      </c>
      <c r="Q151">
        <v>638279</v>
      </c>
      <c r="R151" t="s">
        <v>60</v>
      </c>
      <c r="S151" t="s">
        <v>51</v>
      </c>
      <c r="W151">
        <v>3</v>
      </c>
      <c r="X151">
        <v>3</v>
      </c>
      <c r="AE151">
        <v>0</v>
      </c>
      <c r="AM151" t="s">
        <v>52</v>
      </c>
      <c r="AN151" t="s">
        <v>53</v>
      </c>
    </row>
    <row r="152" spans="1:40">
      <c r="A152" t="s">
        <v>40</v>
      </c>
      <c r="B152" t="s">
        <v>747</v>
      </c>
      <c r="C152" t="s">
        <v>735</v>
      </c>
      <c r="D152" t="s">
        <v>741</v>
      </c>
      <c r="E152" t="s">
        <v>748</v>
      </c>
      <c r="F152" t="s">
        <v>95</v>
      </c>
      <c r="G152" t="str">
        <f>HYPERLINK("https://www.youtube.com/watch?v=ZxdYirwtWKc&amp;lc=UgzIkdUTBkfdsScfqLd4AaABAg")</f>
        <v>https://www.youtube.com/watch?v=ZxdYirwtWKc&amp;lc=UgzIkdUTBkfdsScfqLd4AaABAg</v>
      </c>
      <c r="H152" t="s">
        <v>46</v>
      </c>
      <c r="I152" t="s">
        <v>749</v>
      </c>
      <c r="J152" t="str">
        <f>HYPERLINK("https://www.youtube.com/channel/UCaJnSyExwAp6UmdOmXKsDRg")</f>
        <v>https://www.youtube.com/channel/UCaJnSyExwAp6UmdOmXKsDRg</v>
      </c>
      <c r="K152">
        <v>5</v>
      </c>
      <c r="N152" t="s">
        <v>116</v>
      </c>
      <c r="O152" t="s">
        <v>744</v>
      </c>
      <c r="P152" t="str">
        <f>HYPERLINK("https://www.youtube.com/channel/UCHp178ENUj1QfqX4tekEufw")</f>
        <v>https://www.youtube.com/channel/UCHp178ENUj1QfqX4tekEufw</v>
      </c>
      <c r="Q152">
        <v>638279</v>
      </c>
      <c r="R152" t="s">
        <v>60</v>
      </c>
      <c r="S152" t="s">
        <v>51</v>
      </c>
      <c r="W152">
        <v>1</v>
      </c>
      <c r="X152">
        <v>1</v>
      </c>
      <c r="AE152">
        <v>1</v>
      </c>
      <c r="AM152" t="s">
        <v>52</v>
      </c>
      <c r="AN152" t="s">
        <v>53</v>
      </c>
    </row>
    <row r="153" spans="1:40">
      <c r="A153" t="s">
        <v>40</v>
      </c>
      <c r="B153" t="s">
        <v>747</v>
      </c>
      <c r="C153" t="s">
        <v>735</v>
      </c>
      <c r="D153" t="s">
        <v>741</v>
      </c>
      <c r="E153" t="s">
        <v>750</v>
      </c>
      <c r="F153" t="s">
        <v>95</v>
      </c>
      <c r="G153" t="str">
        <f>HYPERLINK("https://www.youtube.com/watch?v=ZxdYirwtWKc&amp;lc=Ugze7ukg37AxzgFd_8V4AaABAg")</f>
        <v>https://www.youtube.com/watch?v=ZxdYirwtWKc&amp;lc=Ugze7ukg37AxzgFd_8V4AaABAg</v>
      </c>
      <c r="H153" t="s">
        <v>46</v>
      </c>
      <c r="I153" t="s">
        <v>751</v>
      </c>
      <c r="J153" t="str">
        <f>HYPERLINK("https://www.youtube.com/channel/UCexJSTGzzFow-AwZ2bbvBeA")</f>
        <v>https://www.youtube.com/channel/UCexJSTGzzFow-AwZ2bbvBeA</v>
      </c>
      <c r="K153">
        <v>12</v>
      </c>
      <c r="N153" t="s">
        <v>116</v>
      </c>
      <c r="O153" t="s">
        <v>744</v>
      </c>
      <c r="P153" t="str">
        <f>HYPERLINK("https://www.youtube.com/channel/UCHp178ENUj1QfqX4tekEufw")</f>
        <v>https://www.youtube.com/channel/UCHp178ENUj1QfqX4tekEufw</v>
      </c>
      <c r="Q153">
        <v>638279</v>
      </c>
      <c r="R153" t="s">
        <v>60</v>
      </c>
      <c r="S153" t="s">
        <v>51</v>
      </c>
      <c r="W153">
        <v>0</v>
      </c>
      <c r="X153">
        <v>0</v>
      </c>
      <c r="AE153">
        <v>0</v>
      </c>
      <c r="AM153" t="s">
        <v>52</v>
      </c>
      <c r="AN153" t="s">
        <v>53</v>
      </c>
    </row>
    <row r="154" spans="1:40">
      <c r="A154" t="s">
        <v>40</v>
      </c>
      <c r="B154" t="s">
        <v>752</v>
      </c>
      <c r="C154" t="s">
        <v>753</v>
      </c>
      <c r="D154" t="s">
        <v>52</v>
      </c>
      <c r="E154" t="s">
        <v>754</v>
      </c>
      <c r="F154" t="s">
        <v>131</v>
      </c>
      <c r="G154" t="str">
        <f>HYPERLINK("https://twitter.com/2156083948/status/1143504397428842498")</f>
        <v>https://twitter.com/2156083948/status/1143504397428842498</v>
      </c>
      <c r="H154" t="s">
        <v>46</v>
      </c>
      <c r="I154" t="s">
        <v>755</v>
      </c>
      <c r="J154" t="str">
        <f>HYPERLINK("http://twitter.com/bclini36")</f>
        <v>http://twitter.com/bclini36</v>
      </c>
      <c r="K154">
        <v>2576</v>
      </c>
      <c r="N154" t="s">
        <v>65</v>
      </c>
      <c r="R154" t="s">
        <v>60</v>
      </c>
      <c r="S154" t="s">
        <v>51</v>
      </c>
      <c r="T154" t="s">
        <v>756</v>
      </c>
      <c r="U154" t="s">
        <v>757</v>
      </c>
      <c r="W154">
        <v>0</v>
      </c>
      <c r="X154">
        <v>0</v>
      </c>
      <c r="AE154">
        <v>0</v>
      </c>
      <c r="AM154" t="s">
        <v>52</v>
      </c>
      <c r="AN154" t="s">
        <v>53</v>
      </c>
    </row>
    <row r="155" spans="1:40">
      <c r="A155" t="s">
        <v>40</v>
      </c>
      <c r="B155" t="s">
        <v>752</v>
      </c>
      <c r="C155" t="s">
        <v>758</v>
      </c>
      <c r="D155" t="s">
        <v>759</v>
      </c>
      <c r="E155" t="s">
        <v>760</v>
      </c>
      <c r="F155" t="s">
        <v>45</v>
      </c>
      <c r="G155" t="str">
        <f>HYPERLINK("https://www.reddit.com/r/progresspics/comments/c4w51e/m2760_425lbs_277lbs_148lbs_3_years_working_on/?sort=new#thing_t1_erzsw07")</f>
        <v>https://www.reddit.com/r/progresspics/comments/c4w51e/m2760_425lbs_277lbs_148lbs_3_years_working_on/?sort=new#thing_t1_erzsw07</v>
      </c>
      <c r="H155" t="s">
        <v>46</v>
      </c>
      <c r="I155" t="s">
        <v>761</v>
      </c>
      <c r="J155" t="str">
        <f>HYPERLINK("https://www.reddit.com/r/progresspics/comments/c4w51e/m2760_425lbs_277lbs_148lbs_3_years_working_on/?sort=new#thing_t1_erzsw07")</f>
        <v>https://www.reddit.com/r/progresspics/comments/c4w51e/m2760_425lbs_277lbs_148lbs_3_years_working_on/?sort=new#thing_t1_erzsw07</v>
      </c>
      <c r="N155" t="s">
        <v>545</v>
      </c>
      <c r="O155" t="s">
        <v>762</v>
      </c>
      <c r="P155" t="str">
        <f>HYPERLINK("https://www.reddit.com/r/progresspics/")</f>
        <v>https://www.reddit.com/r/progresspics/</v>
      </c>
      <c r="R155" t="s">
        <v>516</v>
      </c>
      <c r="S155" t="s">
        <v>51</v>
      </c>
      <c r="AM155" t="s">
        <v>52</v>
      </c>
      <c r="AN155" t="s">
        <v>53</v>
      </c>
    </row>
    <row r="156" spans="1:40">
      <c r="A156" t="s">
        <v>40</v>
      </c>
      <c r="B156" t="s">
        <v>763</v>
      </c>
      <c r="C156" t="s">
        <v>735</v>
      </c>
      <c r="D156" t="s">
        <v>741</v>
      </c>
      <c r="E156" t="s">
        <v>764</v>
      </c>
      <c r="F156" t="s">
        <v>45</v>
      </c>
      <c r="G156" t="str">
        <f>HYPERLINK("https://www.youtube.com/watch?v=ZxdYirwtWKc")</f>
        <v>https://www.youtube.com/watch?v=ZxdYirwtWKc</v>
      </c>
      <c r="H156" t="s">
        <v>46</v>
      </c>
      <c r="I156" t="s">
        <v>744</v>
      </c>
      <c r="J156" t="str">
        <f>HYPERLINK("https://www.youtube.com/channel/UCHp178ENUj1QfqX4tekEufw")</f>
        <v>https://www.youtube.com/channel/UCHp178ENUj1QfqX4tekEufw</v>
      </c>
      <c r="K156">
        <v>638279</v>
      </c>
      <c r="N156" t="s">
        <v>116</v>
      </c>
      <c r="O156" t="s">
        <v>744</v>
      </c>
      <c r="P156" t="str">
        <f>HYPERLINK("https://www.youtube.com/channel/UCHp178ENUj1QfqX4tekEufw")</f>
        <v>https://www.youtube.com/channel/UCHp178ENUj1QfqX4tekEufw</v>
      </c>
      <c r="Q156">
        <v>638279</v>
      </c>
      <c r="R156" t="s">
        <v>60</v>
      </c>
      <c r="S156" t="s">
        <v>51</v>
      </c>
      <c r="W156">
        <v>64</v>
      </c>
      <c r="X156">
        <v>64</v>
      </c>
      <c r="AD156">
        <v>3</v>
      </c>
      <c r="AE156">
        <v>36</v>
      </c>
      <c r="AG156">
        <v>536</v>
      </c>
      <c r="AI156" t="s">
        <v>108</v>
      </c>
      <c r="AJ156" t="s">
        <v>765</v>
      </c>
      <c r="AK156" t="s">
        <v>52</v>
      </c>
      <c r="AL156" t="str">
        <f>HYPERLINK("https://i.ytimg.com/vi/ZxdYirwtWKc/maxresdefault.jpg")</f>
        <v>https://i.ytimg.com/vi/ZxdYirwtWKc/maxresdefault.jpg</v>
      </c>
      <c r="AM156" t="s">
        <v>52</v>
      </c>
      <c r="AN156" t="s">
        <v>53</v>
      </c>
    </row>
    <row r="157" spans="1:40">
      <c r="A157" t="s">
        <v>40</v>
      </c>
      <c r="B157" t="s">
        <v>766</v>
      </c>
      <c r="C157" t="s">
        <v>767</v>
      </c>
      <c r="D157" t="s">
        <v>768</v>
      </c>
      <c r="E157" t="s">
        <v>769</v>
      </c>
      <c r="F157" t="s">
        <v>45</v>
      </c>
      <c r="G157" t="str">
        <f>HYPERLINK("https://mayfieldrecorder.com/2019/06/25/pepsico-inc-nasdaqpep-holdings-lifted-by-diversified-trust-co.html")</f>
        <v>https://mayfieldrecorder.com/2019/06/25/pepsico-inc-nasdaqpep-holdings-lifted-by-diversified-trust-co.html</v>
      </c>
      <c r="H157" t="s">
        <v>46</v>
      </c>
      <c r="I157" t="s">
        <v>355</v>
      </c>
      <c r="J157" t="str">
        <f>HYPERLINK("https://mayfieldrecorder.com/2019/06/25/pepsico-inc-nasdaqpep-holdings-lifted-by-diversified-trust-co.html")</f>
        <v>https://mayfieldrecorder.com/2019/06/25/pepsico-inc-nasdaqpep-holdings-lifted-by-diversified-trust-co.html</v>
      </c>
      <c r="L157" t="s">
        <v>48</v>
      </c>
      <c r="N157" t="s">
        <v>356</v>
      </c>
      <c r="R157" t="s">
        <v>357</v>
      </c>
      <c r="S157" t="s">
        <v>51</v>
      </c>
      <c r="AM157" t="s">
        <v>52</v>
      </c>
      <c r="AN157" t="s">
        <v>53</v>
      </c>
    </row>
    <row r="158" spans="1:40">
      <c r="A158" t="s">
        <v>40</v>
      </c>
      <c r="B158" t="s">
        <v>770</v>
      </c>
      <c r="C158" t="s">
        <v>771</v>
      </c>
      <c r="D158" t="s">
        <v>52</v>
      </c>
      <c r="E158" t="s">
        <v>772</v>
      </c>
      <c r="F158" t="s">
        <v>45</v>
      </c>
      <c r="G158" t="str">
        <f>HYPERLINK("https://twitter.com/45856856/status/1143503376144977921")</f>
        <v>https://twitter.com/45856856/status/1143503376144977921</v>
      </c>
      <c r="H158" t="s">
        <v>46</v>
      </c>
      <c r="I158" t="s">
        <v>773</v>
      </c>
      <c r="J158" t="str">
        <f>HYPERLINK("http://twitter.com/BorisABLBuzz")</f>
        <v>http://twitter.com/BorisABLBuzz</v>
      </c>
      <c r="K158">
        <v>891</v>
      </c>
      <c r="L158" t="s">
        <v>48</v>
      </c>
      <c r="N158" t="s">
        <v>65</v>
      </c>
      <c r="R158" t="s">
        <v>60</v>
      </c>
      <c r="S158" t="s">
        <v>774</v>
      </c>
      <c r="W158">
        <v>3</v>
      </c>
      <c r="X158">
        <v>3</v>
      </c>
      <c r="AE158">
        <v>1</v>
      </c>
      <c r="AF158">
        <v>0</v>
      </c>
      <c r="AM158" t="s">
        <v>52</v>
      </c>
      <c r="AN158" t="s">
        <v>53</v>
      </c>
    </row>
    <row r="159" spans="1:40">
      <c r="A159" t="s">
        <v>40</v>
      </c>
      <c r="B159" t="s">
        <v>770</v>
      </c>
      <c r="C159" t="s">
        <v>483</v>
      </c>
      <c r="D159" t="s">
        <v>775</v>
      </c>
      <c r="E159" t="s">
        <v>776</v>
      </c>
      <c r="F159" t="s">
        <v>45</v>
      </c>
      <c r="G159" t="str">
        <f>HYPERLINK("https://www.reddit.com/r/justneckbeardthings/comments/c5813u/channeling_my_inner_neckbeard/?sort=new#thing_t1_es06sbw")</f>
        <v>https://www.reddit.com/r/justneckbeardthings/comments/c5813u/channeling_my_inner_neckbeard/?sort=new#thing_t1_es06sbw</v>
      </c>
      <c r="H159" t="s">
        <v>46</v>
      </c>
      <c r="I159" t="s">
        <v>777</v>
      </c>
      <c r="J159" t="str">
        <f>HYPERLINK("https://www.reddit.com/r/justneckbeardthings/comments/c5813u/channeling_my_inner_neckbeard/?sort=new#thing_t1_es06sbw")</f>
        <v>https://www.reddit.com/r/justneckbeardthings/comments/c5813u/channeling_my_inner_neckbeard/?sort=new#thing_t1_es06sbw</v>
      </c>
      <c r="N159" t="s">
        <v>545</v>
      </c>
      <c r="O159" t="s">
        <v>778</v>
      </c>
      <c r="P159" t="str">
        <f>HYPERLINK("https://www.reddit.com/r/justneckbeardthings/")</f>
        <v>https://www.reddit.com/r/justneckbeardthings/</v>
      </c>
      <c r="R159" t="s">
        <v>516</v>
      </c>
      <c r="S159" t="s">
        <v>51</v>
      </c>
      <c r="AM159" t="s">
        <v>52</v>
      </c>
      <c r="AN159" t="s">
        <v>53</v>
      </c>
    </row>
    <row r="160" spans="1:40">
      <c r="A160" t="s">
        <v>40</v>
      </c>
      <c r="B160" t="s">
        <v>779</v>
      </c>
      <c r="C160" t="s">
        <v>780</v>
      </c>
      <c r="D160" t="s">
        <v>52</v>
      </c>
      <c r="E160" t="s">
        <v>781</v>
      </c>
      <c r="F160" t="s">
        <v>45</v>
      </c>
      <c r="G160" t="str">
        <f>HYPERLINK("https://twitter.com/1057109101371523072/status/1143503170322092032")</f>
        <v>https://twitter.com/1057109101371523072/status/1143503170322092032</v>
      </c>
      <c r="H160" t="s">
        <v>46</v>
      </c>
      <c r="I160" t="s">
        <v>782</v>
      </c>
      <c r="J160" t="str">
        <f>HYPERLINK("http://twitter.com/lauvsagna")</f>
        <v>http://twitter.com/lauvsagna</v>
      </c>
      <c r="K160">
        <v>347</v>
      </c>
      <c r="L160" t="s">
        <v>58</v>
      </c>
      <c r="N160" t="s">
        <v>65</v>
      </c>
      <c r="R160" t="s">
        <v>60</v>
      </c>
      <c r="W160">
        <v>0</v>
      </c>
      <c r="X160">
        <v>0</v>
      </c>
      <c r="AE160">
        <v>0</v>
      </c>
      <c r="AF160">
        <v>0</v>
      </c>
      <c r="AM160" t="s">
        <v>52</v>
      </c>
      <c r="AN160" t="s">
        <v>53</v>
      </c>
    </row>
    <row r="161" spans="1:40">
      <c r="A161" t="s">
        <v>40</v>
      </c>
      <c r="B161" t="s">
        <v>783</v>
      </c>
      <c r="C161" t="s">
        <v>784</v>
      </c>
      <c r="D161" t="s">
        <v>785</v>
      </c>
      <c r="E161" t="s">
        <v>786</v>
      </c>
      <c r="F161" t="s">
        <v>45</v>
      </c>
      <c r="G161" t="str">
        <f>HYPERLINK("https://www.youtube.com/watch?v=MhLdDcYsOhE")</f>
        <v>https://www.youtube.com/watch?v=MhLdDcYsOhE</v>
      </c>
      <c r="H161" t="s">
        <v>46</v>
      </c>
      <c r="I161" t="s">
        <v>787</v>
      </c>
      <c r="J161" t="str">
        <f>HYPERLINK("https://www.youtube.com/channel/UCAmC7TdSNEYo1XeACEn5EZQ")</f>
        <v>https://www.youtube.com/channel/UCAmC7TdSNEYo1XeACEn5EZQ</v>
      </c>
      <c r="K161">
        <v>5195</v>
      </c>
      <c r="N161" t="s">
        <v>116</v>
      </c>
      <c r="O161" t="s">
        <v>787</v>
      </c>
      <c r="P161" t="str">
        <f>HYPERLINK("https://www.youtube.com/channel/UCAmC7TdSNEYo1XeACEn5EZQ")</f>
        <v>https://www.youtube.com/channel/UCAmC7TdSNEYo1XeACEn5EZQ</v>
      </c>
      <c r="Q161">
        <v>5195</v>
      </c>
      <c r="R161" t="s">
        <v>60</v>
      </c>
      <c r="S161" t="s">
        <v>315</v>
      </c>
      <c r="W161">
        <v>6</v>
      </c>
      <c r="X161">
        <v>6</v>
      </c>
      <c r="AD161">
        <v>3</v>
      </c>
      <c r="AE161">
        <v>0</v>
      </c>
      <c r="AG161">
        <v>119</v>
      </c>
      <c r="AI161" t="s">
        <v>788</v>
      </c>
      <c r="AJ161" t="s">
        <v>789</v>
      </c>
      <c r="AK161" t="s">
        <v>52</v>
      </c>
      <c r="AL161" t="str">
        <f>HYPERLINK("https://i.ytimg.com/vi/MhLdDcYsOhE/maxresdefault.jpg")</f>
        <v>https://i.ytimg.com/vi/MhLdDcYsOhE/maxresdefault.jpg</v>
      </c>
      <c r="AM161" t="s">
        <v>52</v>
      </c>
      <c r="AN161" t="s">
        <v>53</v>
      </c>
    </row>
    <row r="162" spans="1:40">
      <c r="A162" t="s">
        <v>40</v>
      </c>
      <c r="B162" t="s">
        <v>790</v>
      </c>
      <c r="C162" t="s">
        <v>791</v>
      </c>
      <c r="D162" t="s">
        <v>52</v>
      </c>
      <c r="E162" t="s">
        <v>792</v>
      </c>
      <c r="F162" t="s">
        <v>45</v>
      </c>
      <c r="G162" t="str">
        <f>HYPERLINK("https://www.instagram.com/p/BzIhejRnpJ7")</f>
        <v>https://www.instagram.com/p/BzIhejRnpJ7</v>
      </c>
      <c r="H162" t="s">
        <v>46</v>
      </c>
      <c r="I162" t="s">
        <v>793</v>
      </c>
      <c r="J162" t="str">
        <f>HYPERLINK("http://instagram.com/admiresanns")</f>
        <v>http://instagram.com/admiresanns</v>
      </c>
      <c r="K162">
        <v>1327</v>
      </c>
      <c r="L162" t="s">
        <v>58</v>
      </c>
      <c r="N162" t="s">
        <v>59</v>
      </c>
      <c r="O162" t="s">
        <v>793</v>
      </c>
      <c r="P162" t="str">
        <f>HYPERLINK("http://instagram.com/admiresanns")</f>
        <v>http://instagram.com/admiresanns</v>
      </c>
      <c r="Q162">
        <v>1327</v>
      </c>
      <c r="R162" t="s">
        <v>60</v>
      </c>
      <c r="W162">
        <v>18</v>
      </c>
      <c r="X162">
        <v>18</v>
      </c>
      <c r="AE162">
        <v>19</v>
      </c>
      <c r="AG162">
        <v>37</v>
      </c>
      <c r="AI162" t="s">
        <v>52</v>
      </c>
      <c r="AJ162" t="s">
        <v>52</v>
      </c>
      <c r="AK162" t="s">
        <v>52</v>
      </c>
      <c r="AL162" t="str">
        <f>HYPERLINK("https://www.instagram.com/p/BzIhejRnpJ7/media/?size=l")</f>
        <v>https://www.instagram.com/p/BzIhejRnpJ7/media/?size=l</v>
      </c>
      <c r="AM162" t="s">
        <v>52</v>
      </c>
      <c r="AN162" t="s">
        <v>53</v>
      </c>
    </row>
    <row r="163" spans="1:40">
      <c r="A163" t="s">
        <v>40</v>
      </c>
      <c r="B163" t="s">
        <v>790</v>
      </c>
      <c r="C163" t="s">
        <v>794</v>
      </c>
      <c r="D163" t="s">
        <v>795</v>
      </c>
      <c r="E163" t="s">
        <v>796</v>
      </c>
      <c r="F163" t="s">
        <v>45</v>
      </c>
      <c r="G163" t="str">
        <f>HYPERLINK("https://finance.yahoo.com/news/pepsico-pep-27-six-months-124912040.html")</f>
        <v>https://finance.yahoo.com/news/pepsico-pep-27-six-months-124912040.html</v>
      </c>
      <c r="H163" t="s">
        <v>46</v>
      </c>
      <c r="N163" t="s">
        <v>797</v>
      </c>
      <c r="R163" t="s">
        <v>357</v>
      </c>
      <c r="S163" t="s">
        <v>51</v>
      </c>
      <c r="AM163" t="s">
        <v>52</v>
      </c>
      <c r="AN163" t="s">
        <v>53</v>
      </c>
    </row>
    <row r="164" spans="1:40">
      <c r="A164" t="s">
        <v>40</v>
      </c>
      <c r="B164" t="s">
        <v>798</v>
      </c>
      <c r="C164" t="s">
        <v>483</v>
      </c>
      <c r="D164" t="s">
        <v>775</v>
      </c>
      <c r="E164" t="s">
        <v>799</v>
      </c>
      <c r="F164" t="s">
        <v>45</v>
      </c>
      <c r="G164" t="str">
        <f>HYPERLINK("https://www.reddit.com/r/justneckbeardthings/comments/c5813u/channeling_my_inner_neckbeard/?sort=new#thing_t1_es062pg")</f>
        <v>https://www.reddit.com/r/justneckbeardthings/comments/c5813u/channeling_my_inner_neckbeard/?sort=new#thing_t1_es062pg</v>
      </c>
      <c r="H164" t="s">
        <v>46</v>
      </c>
      <c r="I164" t="s">
        <v>800</v>
      </c>
      <c r="J164" t="str">
        <f>HYPERLINK("https://www.reddit.com/r/justneckbeardthings/comments/c5813u/channeling_my_inner_neckbeard/?sort=new#thing_t1_es062pg")</f>
        <v>https://www.reddit.com/r/justneckbeardthings/comments/c5813u/channeling_my_inner_neckbeard/?sort=new#thing_t1_es062pg</v>
      </c>
      <c r="N164" t="s">
        <v>545</v>
      </c>
      <c r="O164" t="s">
        <v>778</v>
      </c>
      <c r="P164" t="str">
        <f>HYPERLINK("https://www.reddit.com/r/justneckbeardthings/")</f>
        <v>https://www.reddit.com/r/justneckbeardthings/</v>
      </c>
      <c r="R164" t="s">
        <v>516</v>
      </c>
      <c r="S164" t="s">
        <v>51</v>
      </c>
      <c r="AM164" t="s">
        <v>52</v>
      </c>
      <c r="AN164" t="s">
        <v>53</v>
      </c>
    </row>
    <row r="165" spans="1:40">
      <c r="A165" t="s">
        <v>40</v>
      </c>
      <c r="B165" t="s">
        <v>801</v>
      </c>
      <c r="C165" t="s">
        <v>802</v>
      </c>
      <c r="D165" t="s">
        <v>52</v>
      </c>
      <c r="E165" t="s">
        <v>803</v>
      </c>
      <c r="F165" t="s">
        <v>45</v>
      </c>
      <c r="G165" t="str">
        <f>HYPERLINK("https://www.instagram.com/p/BzIhx8RnVSO")</f>
        <v>https://www.instagram.com/p/BzIhx8RnVSO</v>
      </c>
      <c r="H165" t="s">
        <v>46</v>
      </c>
      <c r="I165" t="s">
        <v>804</v>
      </c>
      <c r="J165" t="str">
        <f>HYPERLINK("http://instagram.com/jacquezofficial2")</f>
        <v>http://instagram.com/jacquezofficial2</v>
      </c>
      <c r="K165">
        <v>185</v>
      </c>
      <c r="N165" t="s">
        <v>59</v>
      </c>
      <c r="O165" t="s">
        <v>804</v>
      </c>
      <c r="P165" t="str">
        <f>HYPERLINK("http://instagram.com/jacquezofficial2")</f>
        <v>http://instagram.com/jacquezofficial2</v>
      </c>
      <c r="Q165">
        <v>185</v>
      </c>
      <c r="R165" t="s">
        <v>60</v>
      </c>
      <c r="W165">
        <v>5</v>
      </c>
      <c r="X165">
        <v>5</v>
      </c>
      <c r="AE165">
        <v>0</v>
      </c>
      <c r="AG165">
        <v>4</v>
      </c>
      <c r="AI165" t="s">
        <v>52</v>
      </c>
      <c r="AJ165" t="s">
        <v>52</v>
      </c>
      <c r="AK165" t="s">
        <v>52</v>
      </c>
      <c r="AL165" t="str">
        <f>HYPERLINK("https://www.instagram.com/p/BzIhx8RnVSO/media/?size=l")</f>
        <v>https://www.instagram.com/p/BzIhx8RnVSO/media/?size=l</v>
      </c>
      <c r="AM165" t="s">
        <v>52</v>
      </c>
      <c r="AN165" t="s">
        <v>53</v>
      </c>
    </row>
    <row r="166" spans="1:40">
      <c r="A166" t="s">
        <v>40</v>
      </c>
      <c r="B166" t="s">
        <v>805</v>
      </c>
      <c r="C166" t="s">
        <v>806</v>
      </c>
      <c r="D166" t="s">
        <v>52</v>
      </c>
      <c r="E166" t="s">
        <v>807</v>
      </c>
      <c r="F166" t="s">
        <v>45</v>
      </c>
      <c r="G166" t="str">
        <f>HYPERLINK("https://twitter.com/847480353191153664/status/1143500070974681088")</f>
        <v>https://twitter.com/847480353191153664/status/1143500070974681088</v>
      </c>
      <c r="H166" t="s">
        <v>46</v>
      </c>
      <c r="I166" t="s">
        <v>808</v>
      </c>
      <c r="J166" t="str">
        <f>HYPERLINK("http://twitter.com/dreamsadrift")</f>
        <v>http://twitter.com/dreamsadrift</v>
      </c>
      <c r="K166">
        <v>354</v>
      </c>
      <c r="N166" t="s">
        <v>65</v>
      </c>
      <c r="R166" t="s">
        <v>60</v>
      </c>
      <c r="S166" t="s">
        <v>809</v>
      </c>
      <c r="U166" t="s">
        <v>810</v>
      </c>
      <c r="W166">
        <v>3</v>
      </c>
      <c r="X166">
        <v>3</v>
      </c>
      <c r="AE166">
        <v>0</v>
      </c>
      <c r="AF166">
        <v>0</v>
      </c>
      <c r="AI166" t="s">
        <v>52</v>
      </c>
      <c r="AJ166" t="s">
        <v>52</v>
      </c>
      <c r="AK166" t="s">
        <v>52</v>
      </c>
      <c r="AL166" t="str">
        <f>HYPERLINK("https://pbs.twimg.com/media/D96HPCPVAAArVKO.jpg")</f>
        <v>https://pbs.twimg.com/media/D96HPCPVAAArVKO.jpg</v>
      </c>
      <c r="AM166" t="s">
        <v>52</v>
      </c>
      <c r="AN166" t="s">
        <v>53</v>
      </c>
    </row>
    <row r="167" spans="1:40">
      <c r="A167" t="s">
        <v>40</v>
      </c>
      <c r="B167" t="s">
        <v>805</v>
      </c>
      <c r="C167" t="s">
        <v>811</v>
      </c>
      <c r="D167" t="s">
        <v>52</v>
      </c>
      <c r="E167" t="s">
        <v>812</v>
      </c>
      <c r="F167" t="s">
        <v>45</v>
      </c>
      <c r="G167" t="str">
        <f>HYPERLINK("https://twitter.com/2737516951/status/1143500022182535171")</f>
        <v>https://twitter.com/2737516951/status/1143500022182535171</v>
      </c>
      <c r="H167" t="s">
        <v>46</v>
      </c>
      <c r="I167" t="s">
        <v>813</v>
      </c>
      <c r="J167" t="str">
        <f>HYPERLINK("http://twitter.com/alotofstuf")</f>
        <v>http://twitter.com/alotofstuf</v>
      </c>
      <c r="K167">
        <v>595</v>
      </c>
      <c r="N167" t="s">
        <v>65</v>
      </c>
      <c r="R167" t="s">
        <v>60</v>
      </c>
      <c r="S167" t="s">
        <v>51</v>
      </c>
      <c r="T167" t="s">
        <v>756</v>
      </c>
      <c r="U167" t="s">
        <v>814</v>
      </c>
      <c r="W167">
        <v>0</v>
      </c>
      <c r="X167">
        <v>0</v>
      </c>
      <c r="AE167">
        <v>0</v>
      </c>
      <c r="AF167">
        <v>0</v>
      </c>
      <c r="AM167" t="s">
        <v>52</v>
      </c>
      <c r="AN167" t="s">
        <v>53</v>
      </c>
    </row>
    <row r="168" spans="1:40">
      <c r="A168" t="s">
        <v>40</v>
      </c>
      <c r="B168" t="s">
        <v>815</v>
      </c>
      <c r="C168" t="s">
        <v>784</v>
      </c>
      <c r="D168" t="s">
        <v>816</v>
      </c>
      <c r="E168" t="s">
        <v>817</v>
      </c>
      <c r="F168" t="s">
        <v>95</v>
      </c>
      <c r="G168" t="str">
        <f>HYPERLINK("https://www.youtube.com/watch?v=WaD_bvqGcGU&amp;lc=UgzILy3h9DWjnKh-w1V4AaABAg")</f>
        <v>https://www.youtube.com/watch?v=WaD_bvqGcGU&amp;lc=UgzILy3h9DWjnKh-w1V4AaABAg</v>
      </c>
      <c r="H168" t="s">
        <v>46</v>
      </c>
      <c r="I168" t="s">
        <v>818</v>
      </c>
      <c r="J168" t="str">
        <f>HYPERLINK("https://www.youtube.com/channel/UCG1dYPL1dCA27aiNF9pRs7w")</f>
        <v>https://www.youtube.com/channel/UCG1dYPL1dCA27aiNF9pRs7w</v>
      </c>
      <c r="K168">
        <v>2</v>
      </c>
      <c r="L168" t="s">
        <v>48</v>
      </c>
      <c r="N168" t="s">
        <v>116</v>
      </c>
      <c r="O168" t="s">
        <v>819</v>
      </c>
      <c r="P168" t="str">
        <f>HYPERLINK("https://www.youtube.com/channel/UCJyDt_VGSzeFozhNyWtG56w")</f>
        <v>https://www.youtube.com/channel/UCJyDt_VGSzeFozhNyWtG56w</v>
      </c>
      <c r="Q168">
        <v>43559</v>
      </c>
      <c r="R168" t="s">
        <v>60</v>
      </c>
      <c r="S168" t="s">
        <v>51</v>
      </c>
      <c r="W168">
        <v>2</v>
      </c>
      <c r="X168">
        <v>2</v>
      </c>
      <c r="AE168">
        <v>0</v>
      </c>
      <c r="AM168" t="s">
        <v>52</v>
      </c>
      <c r="AN168" t="s">
        <v>53</v>
      </c>
    </row>
    <row r="169" spans="1:40">
      <c r="A169" t="s">
        <v>40</v>
      </c>
      <c r="B169" t="s">
        <v>815</v>
      </c>
      <c r="C169" t="s">
        <v>811</v>
      </c>
      <c r="D169" t="s">
        <v>52</v>
      </c>
      <c r="E169" t="s">
        <v>820</v>
      </c>
      <c r="F169" t="s">
        <v>45</v>
      </c>
      <c r="G169" t="str">
        <f>HYPERLINK("https://www.instagram.com/p/BzIhO9snusX")</f>
        <v>https://www.instagram.com/p/BzIhO9snusX</v>
      </c>
      <c r="H169" t="s">
        <v>46</v>
      </c>
      <c r="I169" t="s">
        <v>821</v>
      </c>
      <c r="J169" t="str">
        <f>HYPERLINK("http://instagram.com/hcrecovery")</f>
        <v>http://instagram.com/hcrecovery</v>
      </c>
      <c r="K169">
        <v>2</v>
      </c>
      <c r="L169" t="s">
        <v>58</v>
      </c>
      <c r="N169" t="s">
        <v>59</v>
      </c>
      <c r="O169" t="s">
        <v>821</v>
      </c>
      <c r="P169" t="str">
        <f>HYPERLINK("http://instagram.com/hcrecovery")</f>
        <v>http://instagram.com/hcrecovery</v>
      </c>
      <c r="Q169">
        <v>2</v>
      </c>
      <c r="R169" t="s">
        <v>60</v>
      </c>
      <c r="W169">
        <v>14</v>
      </c>
      <c r="X169">
        <v>14</v>
      </c>
      <c r="AE169">
        <v>1</v>
      </c>
      <c r="AI169" t="s">
        <v>52</v>
      </c>
      <c r="AJ169" t="s">
        <v>822</v>
      </c>
      <c r="AK169" t="s">
        <v>52</v>
      </c>
      <c r="AL169" t="str">
        <f>HYPERLINK("https://www.instagram.com/p/BzIhO9snusX/media/?size=l")</f>
        <v>https://www.instagram.com/p/BzIhO9snusX/media/?size=l</v>
      </c>
      <c r="AM169" t="s">
        <v>52</v>
      </c>
      <c r="AN169" t="s">
        <v>53</v>
      </c>
    </row>
    <row r="170" spans="1:40">
      <c r="A170" t="s">
        <v>40</v>
      </c>
      <c r="B170" t="s">
        <v>823</v>
      </c>
      <c r="C170" t="s">
        <v>811</v>
      </c>
      <c r="D170" t="s">
        <v>52</v>
      </c>
      <c r="E170" t="s">
        <v>824</v>
      </c>
      <c r="F170" t="s">
        <v>71</v>
      </c>
      <c r="G170" t="str">
        <f>HYPERLINK("https://twitter.com/1077097264386981888/status/1143499193660481537")</f>
        <v>https://twitter.com/1077097264386981888/status/1143499193660481537</v>
      </c>
      <c r="H170" t="s">
        <v>46</v>
      </c>
      <c r="I170" t="s">
        <v>825</v>
      </c>
      <c r="J170" t="str">
        <f>HYPERLINK("http://twitter.com/Tesay18")</f>
        <v>http://twitter.com/Tesay18</v>
      </c>
      <c r="K170">
        <v>116</v>
      </c>
      <c r="N170" t="s">
        <v>65</v>
      </c>
      <c r="R170" t="s">
        <v>60</v>
      </c>
      <c r="W170">
        <v>0</v>
      </c>
      <c r="X170">
        <v>0</v>
      </c>
      <c r="AE170">
        <v>0</v>
      </c>
      <c r="AF170">
        <v>0</v>
      </c>
      <c r="AM170" t="s">
        <v>52</v>
      </c>
      <c r="AN170" t="s">
        <v>53</v>
      </c>
    </row>
    <row r="171" spans="1:40">
      <c r="A171" t="s">
        <v>40</v>
      </c>
      <c r="B171" t="s">
        <v>823</v>
      </c>
      <c r="C171" t="s">
        <v>826</v>
      </c>
      <c r="D171" t="s">
        <v>52</v>
      </c>
      <c r="E171" t="s">
        <v>827</v>
      </c>
      <c r="F171" t="s">
        <v>45</v>
      </c>
      <c r="G171" t="str">
        <f>HYPERLINK("https://www.instagram.com/p/BzIhD9zgieO")</f>
        <v>https://www.instagram.com/p/BzIhD9zgieO</v>
      </c>
      <c r="H171" t="s">
        <v>46</v>
      </c>
      <c r="I171" t="s">
        <v>828</v>
      </c>
      <c r="J171" t="str">
        <f>HYPERLINK("http://instagram.com/livinglife_black")</f>
        <v>http://instagram.com/livinglife_black</v>
      </c>
      <c r="K171">
        <v>4</v>
      </c>
      <c r="N171" t="s">
        <v>59</v>
      </c>
      <c r="O171" t="s">
        <v>828</v>
      </c>
      <c r="P171" t="str">
        <f>HYPERLINK("http://instagram.com/livinglife_black")</f>
        <v>http://instagram.com/livinglife_black</v>
      </c>
      <c r="Q171">
        <v>4</v>
      </c>
      <c r="R171" t="s">
        <v>60</v>
      </c>
      <c r="W171">
        <v>8</v>
      </c>
      <c r="X171">
        <v>8</v>
      </c>
      <c r="AE171">
        <v>0</v>
      </c>
      <c r="AI171" t="s">
        <v>52</v>
      </c>
      <c r="AJ171" t="s">
        <v>829</v>
      </c>
      <c r="AK171" t="s">
        <v>52</v>
      </c>
      <c r="AL171" t="str">
        <f>HYPERLINK("https://www.instagram.com/p/BzIhD9zgieO/media/?size=l")</f>
        <v>https://www.instagram.com/p/BzIhD9zgieO/media/?size=l</v>
      </c>
      <c r="AM171" t="s">
        <v>52</v>
      </c>
      <c r="AN171" t="s">
        <v>53</v>
      </c>
    </row>
    <row r="172" spans="1:40">
      <c r="A172" t="s">
        <v>40</v>
      </c>
      <c r="B172" t="s">
        <v>830</v>
      </c>
      <c r="C172" t="s">
        <v>831</v>
      </c>
      <c r="D172" t="s">
        <v>52</v>
      </c>
      <c r="E172" t="s">
        <v>832</v>
      </c>
      <c r="F172" t="s">
        <v>45</v>
      </c>
      <c r="G172" t="str">
        <f>HYPERLINK("https://www.instagram.com/p/BzIgup2HWMS")</f>
        <v>https://www.instagram.com/p/BzIgup2HWMS</v>
      </c>
      <c r="H172" t="s">
        <v>46</v>
      </c>
      <c r="I172" t="s">
        <v>833</v>
      </c>
      <c r="J172" t="str">
        <f>HYPERLINK("http://instagram.com/dori7os_fd3s")</f>
        <v>http://instagram.com/dori7os_fd3s</v>
      </c>
      <c r="K172">
        <v>6145</v>
      </c>
      <c r="N172" t="s">
        <v>59</v>
      </c>
      <c r="O172" t="s">
        <v>833</v>
      </c>
      <c r="P172" t="str">
        <f>HYPERLINK("http://instagram.com/dori7os_fd3s")</f>
        <v>http://instagram.com/dori7os_fd3s</v>
      </c>
      <c r="Q172">
        <v>6145</v>
      </c>
      <c r="R172" t="s">
        <v>60</v>
      </c>
      <c r="W172">
        <v>246</v>
      </c>
      <c r="X172">
        <v>246</v>
      </c>
      <c r="AE172">
        <v>4</v>
      </c>
      <c r="AI172" t="s">
        <v>52</v>
      </c>
      <c r="AJ172" t="s">
        <v>121</v>
      </c>
      <c r="AK172" t="s">
        <v>52</v>
      </c>
      <c r="AL172" t="str">
        <f>HYPERLINK("https://www.instagram.com/p/BzIgup2HWMS/media/?size=l")</f>
        <v>https://www.instagram.com/p/BzIgup2HWMS/media/?size=l</v>
      </c>
      <c r="AM172" t="s">
        <v>52</v>
      </c>
      <c r="AN172" t="s">
        <v>53</v>
      </c>
    </row>
    <row r="173" spans="1:40">
      <c r="A173" t="s">
        <v>40</v>
      </c>
      <c r="B173" t="s">
        <v>834</v>
      </c>
      <c r="C173" t="s">
        <v>835</v>
      </c>
      <c r="D173" t="s">
        <v>52</v>
      </c>
      <c r="E173" t="s">
        <v>676</v>
      </c>
      <c r="F173" t="s">
        <v>45</v>
      </c>
      <c r="G173" t="str">
        <f>HYPERLINK("https://twitter.com/1092801053341433856/status/1143498262990807040")</f>
        <v>https://twitter.com/1092801053341433856/status/1143498262990807040</v>
      </c>
      <c r="H173" t="s">
        <v>46</v>
      </c>
      <c r="I173" t="s">
        <v>836</v>
      </c>
      <c r="J173" t="str">
        <f>HYPERLINK("http://twitter.com/DellPoncet")</f>
        <v>http://twitter.com/DellPoncet</v>
      </c>
      <c r="K173">
        <v>208</v>
      </c>
      <c r="N173" t="s">
        <v>65</v>
      </c>
      <c r="R173" t="s">
        <v>60</v>
      </c>
      <c r="S173" t="s">
        <v>51</v>
      </c>
      <c r="T173" t="s">
        <v>678</v>
      </c>
      <c r="U173" t="s">
        <v>679</v>
      </c>
      <c r="W173">
        <v>10</v>
      </c>
      <c r="X173">
        <v>10</v>
      </c>
      <c r="AE173">
        <v>0</v>
      </c>
      <c r="AF173">
        <v>2</v>
      </c>
      <c r="AI173" t="s">
        <v>52</v>
      </c>
      <c r="AJ173" t="s">
        <v>52</v>
      </c>
      <c r="AK173" t="s">
        <v>680</v>
      </c>
      <c r="AL173" t="str">
        <f>HYPERLINK("https://pbs.twimg.com/tweet_video_thumb/D96FmOXXkAIBKOq.jpg")</f>
        <v>https://pbs.twimg.com/tweet_video_thumb/D96FmOXXkAIBKOq.jpg</v>
      </c>
      <c r="AM173" t="s">
        <v>52</v>
      </c>
      <c r="AN173" t="s">
        <v>53</v>
      </c>
    </row>
    <row r="174" spans="1:40">
      <c r="A174" t="s">
        <v>40</v>
      </c>
      <c r="B174" t="s">
        <v>834</v>
      </c>
      <c r="C174" t="s">
        <v>93</v>
      </c>
      <c r="D174" t="s">
        <v>837</v>
      </c>
      <c r="E174" t="s">
        <v>838</v>
      </c>
      <c r="F174" t="s">
        <v>45</v>
      </c>
      <c r="G174" t="str">
        <f>HYPERLINK("https://theworkingsinglemom.com/make-plans")</f>
        <v>https://theworkingsinglemom.com/make-plans</v>
      </c>
      <c r="H174" t="s">
        <v>46</v>
      </c>
      <c r="I174" t="s">
        <v>839</v>
      </c>
      <c r="J174" t="str">
        <f>HYPERLINK("https://theworkingsinglemom.com/make-plans/")</f>
        <v>https://theworkingsinglemom.com/make-plans/</v>
      </c>
      <c r="N174" t="s">
        <v>840</v>
      </c>
      <c r="R174" t="s">
        <v>50</v>
      </c>
      <c r="S174" t="s">
        <v>51</v>
      </c>
      <c r="AM174" t="s">
        <v>52</v>
      </c>
      <c r="AN174" t="s">
        <v>53</v>
      </c>
    </row>
    <row r="175" spans="1:40">
      <c r="A175" t="s">
        <v>40</v>
      </c>
      <c r="B175" t="s">
        <v>841</v>
      </c>
      <c r="C175" t="s">
        <v>831</v>
      </c>
      <c r="D175" t="s">
        <v>52</v>
      </c>
      <c r="E175" t="s">
        <v>842</v>
      </c>
      <c r="F175" t="s">
        <v>45</v>
      </c>
      <c r="G175" t="str">
        <f>HYPERLINK("https://www.instagram.com/p/BzIggqhHPdQ")</f>
        <v>https://www.instagram.com/p/BzIggqhHPdQ</v>
      </c>
      <c r="H175" t="s">
        <v>215</v>
      </c>
      <c r="I175" t="s">
        <v>843</v>
      </c>
      <c r="J175" t="str">
        <f>HYPERLINK("http://instagram.com/snacksnapz_")</f>
        <v>http://instagram.com/snacksnapz_</v>
      </c>
      <c r="K175">
        <v>1</v>
      </c>
      <c r="N175" t="s">
        <v>59</v>
      </c>
      <c r="O175" t="s">
        <v>843</v>
      </c>
      <c r="P175" t="str">
        <f>HYPERLINK("http://instagram.com/snacksnapz_")</f>
        <v>http://instagram.com/snacksnapz_</v>
      </c>
      <c r="Q175">
        <v>1</v>
      </c>
      <c r="R175" t="s">
        <v>60</v>
      </c>
      <c r="W175">
        <v>4</v>
      </c>
      <c r="X175">
        <v>4</v>
      </c>
      <c r="AE175">
        <v>0</v>
      </c>
      <c r="AI175" t="s">
        <v>108</v>
      </c>
      <c r="AJ175" t="s">
        <v>321</v>
      </c>
      <c r="AK175" t="s">
        <v>52</v>
      </c>
      <c r="AL175" t="str">
        <f>HYPERLINK("https://www.instagram.com/p/BzIggqhHPdQ/media/?size=l")</f>
        <v>https://www.instagram.com/p/BzIggqhHPdQ/media/?size=l</v>
      </c>
      <c r="AM175" t="s">
        <v>52</v>
      </c>
      <c r="AN175" t="s">
        <v>53</v>
      </c>
    </row>
    <row r="176" spans="1:40">
      <c r="A176" t="s">
        <v>40</v>
      </c>
      <c r="B176" t="s">
        <v>844</v>
      </c>
      <c r="C176" t="s">
        <v>845</v>
      </c>
      <c r="D176" t="s">
        <v>52</v>
      </c>
      <c r="E176" t="s">
        <v>846</v>
      </c>
      <c r="F176" t="s">
        <v>95</v>
      </c>
      <c r="G176" t="str">
        <f>HYPERLINK("https://twitter.com/495965400/status/1143497012341608449")</f>
        <v>https://twitter.com/495965400/status/1143497012341608449</v>
      </c>
      <c r="H176" t="s">
        <v>215</v>
      </c>
      <c r="I176" t="s">
        <v>847</v>
      </c>
      <c r="J176" t="str">
        <f>HYPERLINK("http://twitter.com/mgilbert56347")</f>
        <v>http://twitter.com/mgilbert56347</v>
      </c>
      <c r="K176">
        <v>253</v>
      </c>
      <c r="L176" t="s">
        <v>48</v>
      </c>
      <c r="N176" t="s">
        <v>65</v>
      </c>
      <c r="R176" t="s">
        <v>60</v>
      </c>
      <c r="S176" t="s">
        <v>51</v>
      </c>
      <c r="T176" t="s">
        <v>199</v>
      </c>
      <c r="U176" t="s">
        <v>848</v>
      </c>
      <c r="W176">
        <v>0</v>
      </c>
      <c r="X176">
        <v>0</v>
      </c>
      <c r="AE176">
        <v>0</v>
      </c>
      <c r="AF176">
        <v>0</v>
      </c>
      <c r="AM176" t="s">
        <v>52</v>
      </c>
      <c r="AN176" t="s">
        <v>53</v>
      </c>
    </row>
    <row r="177" spans="1:40">
      <c r="A177" t="s">
        <v>40</v>
      </c>
      <c r="B177" t="s">
        <v>844</v>
      </c>
      <c r="C177" t="s">
        <v>849</v>
      </c>
      <c r="D177" t="s">
        <v>52</v>
      </c>
      <c r="E177" t="s">
        <v>204</v>
      </c>
      <c r="F177" t="s">
        <v>131</v>
      </c>
      <c r="G177" t="str">
        <f>HYPERLINK("https://twitter.com/2707359765/status/1143496957924716544")</f>
        <v>https://twitter.com/2707359765/status/1143496957924716544</v>
      </c>
      <c r="H177" t="s">
        <v>46</v>
      </c>
      <c r="I177" t="s">
        <v>850</v>
      </c>
      <c r="J177" t="str">
        <f>HYPERLINK("http://twitter.com/zavetherave")</f>
        <v>http://twitter.com/zavetherave</v>
      </c>
      <c r="K177">
        <v>192</v>
      </c>
      <c r="N177" t="s">
        <v>65</v>
      </c>
      <c r="R177" t="s">
        <v>60</v>
      </c>
      <c r="S177" t="s">
        <v>51</v>
      </c>
      <c r="T177" t="s">
        <v>851</v>
      </c>
      <c r="U177" t="s">
        <v>852</v>
      </c>
      <c r="W177">
        <v>0</v>
      </c>
      <c r="X177">
        <v>0</v>
      </c>
      <c r="AE177">
        <v>0</v>
      </c>
      <c r="AM177" t="s">
        <v>52</v>
      </c>
      <c r="AN177" t="s">
        <v>53</v>
      </c>
    </row>
    <row r="178" spans="1:40">
      <c r="A178" t="s">
        <v>40</v>
      </c>
      <c r="B178" t="s">
        <v>853</v>
      </c>
      <c r="C178" t="s">
        <v>845</v>
      </c>
      <c r="D178" t="s">
        <v>52</v>
      </c>
      <c r="E178" t="s">
        <v>854</v>
      </c>
      <c r="F178" t="s">
        <v>95</v>
      </c>
      <c r="G178" t="str">
        <f>HYPERLINK("https://twitter.com/51452761/status/1143496808804564993")</f>
        <v>https://twitter.com/51452761/status/1143496808804564993</v>
      </c>
      <c r="H178" t="s">
        <v>46</v>
      </c>
      <c r="I178" t="s">
        <v>855</v>
      </c>
      <c r="J178" t="str">
        <f>HYPERLINK("http://twitter.com/savagekrow")</f>
        <v>http://twitter.com/savagekrow</v>
      </c>
      <c r="K178">
        <v>116</v>
      </c>
      <c r="N178" t="s">
        <v>65</v>
      </c>
      <c r="R178" t="s">
        <v>60</v>
      </c>
      <c r="S178" t="s">
        <v>51</v>
      </c>
      <c r="W178">
        <v>0</v>
      </c>
      <c r="X178">
        <v>0</v>
      </c>
      <c r="AE178">
        <v>0</v>
      </c>
      <c r="AF178">
        <v>0</v>
      </c>
      <c r="AM178" t="s">
        <v>52</v>
      </c>
      <c r="AN178" t="s">
        <v>53</v>
      </c>
    </row>
    <row r="179" spans="1:40">
      <c r="A179" t="s">
        <v>40</v>
      </c>
      <c r="B179" t="s">
        <v>853</v>
      </c>
      <c r="C179" t="s">
        <v>831</v>
      </c>
      <c r="D179" t="s">
        <v>856</v>
      </c>
      <c r="E179" t="s">
        <v>857</v>
      </c>
      <c r="F179" t="s">
        <v>45</v>
      </c>
      <c r="G179" t="str">
        <f>HYPERLINK("https://www.youtube.com/watch?v=LnsrUcdvthg")</f>
        <v>https://www.youtube.com/watch?v=LnsrUcdvthg</v>
      </c>
      <c r="H179" t="s">
        <v>46</v>
      </c>
      <c r="I179" t="s">
        <v>858</v>
      </c>
      <c r="J179" t="str">
        <f>HYPERLINK("https://www.youtube.com/channel/UChhVBuCVplBpjC_eJEMLbxQ")</f>
        <v>https://www.youtube.com/channel/UChhVBuCVplBpjC_eJEMLbxQ</v>
      </c>
      <c r="K179">
        <v>150</v>
      </c>
      <c r="N179" t="s">
        <v>116</v>
      </c>
      <c r="O179" t="s">
        <v>858</v>
      </c>
      <c r="P179" t="str">
        <f>HYPERLINK("https://www.youtube.com/channel/UChhVBuCVplBpjC_eJEMLbxQ")</f>
        <v>https://www.youtube.com/channel/UChhVBuCVplBpjC_eJEMLbxQ</v>
      </c>
      <c r="Q179">
        <v>150</v>
      </c>
      <c r="R179" t="s">
        <v>60</v>
      </c>
      <c r="W179">
        <v>2</v>
      </c>
      <c r="X179">
        <v>2</v>
      </c>
      <c r="AD179">
        <v>0</v>
      </c>
      <c r="AE179">
        <v>1</v>
      </c>
      <c r="AG179">
        <v>43</v>
      </c>
      <c r="AI179" t="s">
        <v>52</v>
      </c>
      <c r="AJ179" t="s">
        <v>52</v>
      </c>
      <c r="AK179" t="s">
        <v>859</v>
      </c>
      <c r="AL179" t="str">
        <f>HYPERLINK("https://i.ytimg.com/vi/LnsrUcdvthg/maxresdefault.jpg")</f>
        <v>https://i.ytimg.com/vi/LnsrUcdvthg/maxresdefault.jpg</v>
      </c>
      <c r="AM179" t="s">
        <v>52</v>
      </c>
      <c r="AN179" t="s">
        <v>53</v>
      </c>
    </row>
    <row r="180" spans="1:40">
      <c r="A180" t="s">
        <v>40</v>
      </c>
      <c r="B180" t="s">
        <v>853</v>
      </c>
      <c r="C180" t="s">
        <v>791</v>
      </c>
      <c r="D180" t="s">
        <v>52</v>
      </c>
      <c r="E180" t="s">
        <v>860</v>
      </c>
      <c r="F180" t="s">
        <v>45</v>
      </c>
      <c r="G180" t="str">
        <f>HYPERLINK("https://www.instagram.com/p/BzIf8BRpCJR")</f>
        <v>https://www.instagram.com/p/BzIf8BRpCJR</v>
      </c>
      <c r="H180" t="s">
        <v>46</v>
      </c>
      <c r="I180" t="s">
        <v>861</v>
      </c>
      <c r="J180" t="str">
        <f>HYPERLINK("http://instagram.com/shelbyan")</f>
        <v>http://instagram.com/shelbyan</v>
      </c>
      <c r="K180">
        <v>486</v>
      </c>
      <c r="N180" t="s">
        <v>59</v>
      </c>
      <c r="O180" t="s">
        <v>861</v>
      </c>
      <c r="P180" t="str">
        <f>HYPERLINK("http://instagram.com/shelbyan")</f>
        <v>http://instagram.com/shelbyan</v>
      </c>
      <c r="Q180">
        <v>486</v>
      </c>
      <c r="R180" t="s">
        <v>60</v>
      </c>
      <c r="S180" t="s">
        <v>51</v>
      </c>
      <c r="T180" t="s">
        <v>137</v>
      </c>
      <c r="U180" t="s">
        <v>862</v>
      </c>
      <c r="W180">
        <v>13</v>
      </c>
      <c r="X180">
        <v>13</v>
      </c>
      <c r="AE180">
        <v>1</v>
      </c>
      <c r="AI180" t="s">
        <v>52</v>
      </c>
      <c r="AJ180" t="s">
        <v>52</v>
      </c>
      <c r="AK180" t="s">
        <v>863</v>
      </c>
      <c r="AL180" t="str">
        <f>HYPERLINK("https://www.instagram.com/p/BzIf8BRpCJR/media/?size=l")</f>
        <v>https://www.instagram.com/p/BzIf8BRpCJR/media/?size=l</v>
      </c>
      <c r="AM180" t="s">
        <v>52</v>
      </c>
      <c r="AN180" t="s">
        <v>53</v>
      </c>
    </row>
    <row r="181" spans="1:40">
      <c r="A181" t="s">
        <v>40</v>
      </c>
      <c r="B181" t="s">
        <v>864</v>
      </c>
      <c r="C181" t="s">
        <v>865</v>
      </c>
      <c r="D181" t="s">
        <v>52</v>
      </c>
      <c r="E181" t="s">
        <v>866</v>
      </c>
      <c r="F181" t="s">
        <v>71</v>
      </c>
      <c r="G181" t="str">
        <f>HYPERLINK("https://twitter.com/1048277280382959620/status/1143495986305732608")</f>
        <v>https://twitter.com/1048277280382959620/status/1143495986305732608</v>
      </c>
      <c r="H181" t="s">
        <v>46</v>
      </c>
      <c r="I181" t="s">
        <v>867</v>
      </c>
      <c r="J181" t="str">
        <f>HYPERLINK("http://twitter.com/BurzoJoann")</f>
        <v>http://twitter.com/BurzoJoann</v>
      </c>
      <c r="K181">
        <v>3</v>
      </c>
      <c r="L181" t="s">
        <v>58</v>
      </c>
      <c r="N181" t="s">
        <v>65</v>
      </c>
      <c r="R181" t="s">
        <v>60</v>
      </c>
      <c r="S181" t="s">
        <v>51</v>
      </c>
      <c r="T181" t="s">
        <v>380</v>
      </c>
      <c r="U181" t="s">
        <v>380</v>
      </c>
      <c r="W181">
        <v>0</v>
      </c>
      <c r="X181">
        <v>0</v>
      </c>
      <c r="AE181">
        <v>0</v>
      </c>
      <c r="AF181">
        <v>0</v>
      </c>
      <c r="AM181" t="s">
        <v>52</v>
      </c>
      <c r="AN181" t="s">
        <v>53</v>
      </c>
    </row>
    <row r="182" spans="1:40">
      <c r="A182" t="s">
        <v>40</v>
      </c>
      <c r="B182" t="s">
        <v>868</v>
      </c>
      <c r="C182" t="s">
        <v>869</v>
      </c>
      <c r="D182" t="s">
        <v>52</v>
      </c>
      <c r="E182" t="s">
        <v>870</v>
      </c>
      <c r="F182" t="s">
        <v>131</v>
      </c>
      <c r="G182" t="str">
        <f>HYPERLINK("https://twitter.com/15485981/status/1143495717698150401")</f>
        <v>https://twitter.com/15485981/status/1143495717698150401</v>
      </c>
      <c r="H182" t="s">
        <v>46</v>
      </c>
      <c r="I182" t="s">
        <v>871</v>
      </c>
      <c r="J182" t="str">
        <f>HYPERLINK("http://twitter.com/kouhei")</f>
        <v>http://twitter.com/kouhei</v>
      </c>
      <c r="K182">
        <v>134</v>
      </c>
      <c r="N182" t="s">
        <v>65</v>
      </c>
      <c r="R182" t="s">
        <v>60</v>
      </c>
      <c r="S182" t="s">
        <v>872</v>
      </c>
      <c r="T182" t="s">
        <v>873</v>
      </c>
      <c r="U182" t="s">
        <v>874</v>
      </c>
      <c r="W182">
        <v>0</v>
      </c>
      <c r="X182">
        <v>0</v>
      </c>
      <c r="AE182">
        <v>0</v>
      </c>
      <c r="AM182" t="s">
        <v>52</v>
      </c>
      <c r="AN182" t="s">
        <v>53</v>
      </c>
    </row>
    <row r="183" spans="1:40">
      <c r="A183" t="s">
        <v>40</v>
      </c>
      <c r="B183" t="s">
        <v>875</v>
      </c>
      <c r="C183" t="s">
        <v>876</v>
      </c>
      <c r="D183" t="s">
        <v>52</v>
      </c>
      <c r="E183" t="s">
        <v>870</v>
      </c>
      <c r="F183" t="s">
        <v>131</v>
      </c>
      <c r="G183" t="str">
        <f>HYPERLINK("https://twitter.com/1104309013498511360/status/1143495326277525506")</f>
        <v>https://twitter.com/1104309013498511360/status/1143495326277525506</v>
      </c>
      <c r="H183" t="s">
        <v>46</v>
      </c>
      <c r="I183" t="s">
        <v>52</v>
      </c>
      <c r="J183" t="str">
        <f>HYPERLINK("http://twitter.com/ruining")</f>
        <v>http://twitter.com/ruining</v>
      </c>
      <c r="K183">
        <v>98</v>
      </c>
      <c r="N183" t="s">
        <v>65</v>
      </c>
      <c r="R183" t="s">
        <v>60</v>
      </c>
      <c r="W183">
        <v>0</v>
      </c>
      <c r="X183">
        <v>0</v>
      </c>
      <c r="AE183">
        <v>0</v>
      </c>
      <c r="AM183" t="s">
        <v>52</v>
      </c>
      <c r="AN183" t="s">
        <v>53</v>
      </c>
    </row>
    <row r="184" spans="1:40">
      <c r="A184" t="s">
        <v>40</v>
      </c>
      <c r="B184" t="s">
        <v>877</v>
      </c>
      <c r="C184" t="s">
        <v>878</v>
      </c>
      <c r="D184" t="s">
        <v>52</v>
      </c>
      <c r="E184" t="s">
        <v>879</v>
      </c>
      <c r="F184" t="s">
        <v>45</v>
      </c>
      <c r="G184" t="str">
        <f>HYPERLINK("https://twitter.com/886139705460502529/status/1143495004733788160")</f>
        <v>https://twitter.com/886139705460502529/status/1143495004733788160</v>
      </c>
      <c r="H184" t="s">
        <v>46</v>
      </c>
      <c r="I184" t="s">
        <v>880</v>
      </c>
      <c r="J184" t="str">
        <f>HYPERLINK("http://twitter.com/ssahlofolina")</f>
        <v>http://twitter.com/ssahlofolina</v>
      </c>
      <c r="K184">
        <v>445</v>
      </c>
      <c r="L184" t="s">
        <v>58</v>
      </c>
      <c r="N184" t="s">
        <v>65</v>
      </c>
      <c r="R184" t="s">
        <v>60</v>
      </c>
      <c r="W184">
        <v>2</v>
      </c>
      <c r="X184">
        <v>2</v>
      </c>
      <c r="AE184">
        <v>0</v>
      </c>
      <c r="AF184">
        <v>0</v>
      </c>
      <c r="AM184" t="s">
        <v>52</v>
      </c>
      <c r="AN184" t="s">
        <v>53</v>
      </c>
    </row>
    <row r="185" spans="1:40">
      <c r="A185" t="s">
        <v>40</v>
      </c>
      <c r="B185" t="s">
        <v>881</v>
      </c>
      <c r="C185" t="s">
        <v>882</v>
      </c>
      <c r="D185" t="s">
        <v>52</v>
      </c>
      <c r="E185" t="s">
        <v>883</v>
      </c>
      <c r="F185" t="s">
        <v>95</v>
      </c>
      <c r="G185" t="str">
        <f>HYPERLINK("https://twitter.com/814206255745134592/status/1143494764249124866")</f>
        <v>https://twitter.com/814206255745134592/status/1143494764249124866</v>
      </c>
      <c r="H185" t="s">
        <v>46</v>
      </c>
      <c r="I185" t="s">
        <v>884</v>
      </c>
      <c r="J185" t="str">
        <f>HYPERLINK("http://twitter.com/MonsterFallsAW")</f>
        <v>http://twitter.com/MonsterFallsAW</v>
      </c>
      <c r="K185">
        <v>29</v>
      </c>
      <c r="N185" t="s">
        <v>65</v>
      </c>
      <c r="R185" t="s">
        <v>60</v>
      </c>
      <c r="S185" t="s">
        <v>51</v>
      </c>
      <c r="T185" t="s">
        <v>84</v>
      </c>
      <c r="U185" t="s">
        <v>85</v>
      </c>
      <c r="W185">
        <v>0</v>
      </c>
      <c r="X185">
        <v>0</v>
      </c>
      <c r="AE185">
        <v>0</v>
      </c>
      <c r="AF185">
        <v>0</v>
      </c>
      <c r="AM185" t="s">
        <v>52</v>
      </c>
      <c r="AN185" t="s">
        <v>53</v>
      </c>
    </row>
    <row r="186" spans="1:40">
      <c r="A186" t="s">
        <v>40</v>
      </c>
      <c r="B186" t="s">
        <v>881</v>
      </c>
      <c r="C186" t="s">
        <v>885</v>
      </c>
      <c r="D186" t="s">
        <v>52</v>
      </c>
      <c r="E186" t="s">
        <v>886</v>
      </c>
      <c r="F186" t="s">
        <v>95</v>
      </c>
      <c r="G186" t="str">
        <f>HYPERLINK("https://twitter.com/1090918614/status/1143494640198455297")</f>
        <v>https://twitter.com/1090918614/status/1143494640198455297</v>
      </c>
      <c r="H186" t="s">
        <v>46</v>
      </c>
      <c r="I186" t="s">
        <v>887</v>
      </c>
      <c r="J186" t="str">
        <f>HYPERLINK("http://twitter.com/totodeafrica")</f>
        <v>http://twitter.com/totodeafrica</v>
      </c>
      <c r="K186">
        <v>283</v>
      </c>
      <c r="N186" t="s">
        <v>65</v>
      </c>
      <c r="R186" t="s">
        <v>60</v>
      </c>
      <c r="S186" t="s">
        <v>437</v>
      </c>
      <c r="T186" t="s">
        <v>528</v>
      </c>
      <c r="U186" t="s">
        <v>529</v>
      </c>
      <c r="W186">
        <v>0</v>
      </c>
      <c r="X186">
        <v>0</v>
      </c>
      <c r="AE186">
        <v>1</v>
      </c>
      <c r="AF186">
        <v>0</v>
      </c>
      <c r="AM186" t="s">
        <v>52</v>
      </c>
      <c r="AN186" t="s">
        <v>53</v>
      </c>
    </row>
    <row r="187" spans="1:40">
      <c r="A187" t="s">
        <v>40</v>
      </c>
      <c r="B187" t="s">
        <v>888</v>
      </c>
      <c r="C187" t="s">
        <v>876</v>
      </c>
      <c r="D187" t="s">
        <v>52</v>
      </c>
      <c r="E187" t="s">
        <v>889</v>
      </c>
      <c r="F187" t="s">
        <v>95</v>
      </c>
      <c r="G187" t="str">
        <f>HYPERLINK("https://twitter.com/3322129678/status/1143494170838994944")</f>
        <v>https://twitter.com/3322129678/status/1143494170838994944</v>
      </c>
      <c r="H187" t="s">
        <v>46</v>
      </c>
      <c r="I187" t="s">
        <v>890</v>
      </c>
      <c r="J187" t="str">
        <f>HYPERLINK("http://twitter.com/NJOverclocked")</f>
        <v>http://twitter.com/NJOverclocked</v>
      </c>
      <c r="K187">
        <v>1759</v>
      </c>
      <c r="N187" t="s">
        <v>65</v>
      </c>
      <c r="R187" t="s">
        <v>60</v>
      </c>
      <c r="S187" t="s">
        <v>51</v>
      </c>
      <c r="T187" t="s">
        <v>380</v>
      </c>
      <c r="U187" t="s">
        <v>380</v>
      </c>
      <c r="W187">
        <v>0</v>
      </c>
      <c r="X187">
        <v>0</v>
      </c>
      <c r="AE187">
        <v>1</v>
      </c>
      <c r="AF187">
        <v>0</v>
      </c>
      <c r="AM187" t="s">
        <v>52</v>
      </c>
      <c r="AN187" t="s">
        <v>53</v>
      </c>
    </row>
    <row r="188" spans="1:40">
      <c r="A188" t="s">
        <v>40</v>
      </c>
      <c r="B188" t="s">
        <v>888</v>
      </c>
      <c r="C188" t="s">
        <v>891</v>
      </c>
      <c r="D188" t="s">
        <v>52</v>
      </c>
      <c r="E188" t="s">
        <v>892</v>
      </c>
      <c r="F188" t="s">
        <v>45</v>
      </c>
      <c r="G188" t="str">
        <f>HYPERLINK("https://www.instagram.com/p/BzIezBeAHha")</f>
        <v>https://www.instagram.com/p/BzIezBeAHha</v>
      </c>
      <c r="H188" t="s">
        <v>46</v>
      </c>
      <c r="I188" t="s">
        <v>893</v>
      </c>
      <c r="J188" t="str">
        <f>HYPERLINK("http://instagram.com/macandcheesejillate")</f>
        <v>http://instagram.com/macandcheesejillate</v>
      </c>
      <c r="K188">
        <v>53</v>
      </c>
      <c r="N188" t="s">
        <v>59</v>
      </c>
      <c r="O188" t="s">
        <v>893</v>
      </c>
      <c r="P188" t="str">
        <f>HYPERLINK("http://instagram.com/macandcheesejillate")</f>
        <v>http://instagram.com/macandcheesejillate</v>
      </c>
      <c r="Q188">
        <v>53</v>
      </c>
      <c r="R188" t="s">
        <v>60</v>
      </c>
      <c r="S188" t="s">
        <v>51</v>
      </c>
      <c r="T188" t="s">
        <v>263</v>
      </c>
      <c r="U188" t="s">
        <v>264</v>
      </c>
      <c r="W188">
        <v>5</v>
      </c>
      <c r="X188">
        <v>5</v>
      </c>
      <c r="AE188">
        <v>0</v>
      </c>
      <c r="AI188" t="s">
        <v>52</v>
      </c>
      <c r="AJ188" t="s">
        <v>894</v>
      </c>
      <c r="AK188" t="s">
        <v>52</v>
      </c>
      <c r="AL188" t="str">
        <f>HYPERLINK("https://www.instagram.com/p/BzIezBeAHha/media/?size=l")</f>
        <v>https://www.instagram.com/p/BzIezBeAHha/media/?size=l</v>
      </c>
      <c r="AM188" t="s">
        <v>52</v>
      </c>
      <c r="AN188" t="s">
        <v>53</v>
      </c>
    </row>
    <row r="189" spans="1:40">
      <c r="A189" t="s">
        <v>40</v>
      </c>
      <c r="B189" t="s">
        <v>895</v>
      </c>
      <c r="C189" t="s">
        <v>896</v>
      </c>
      <c r="D189" t="s">
        <v>52</v>
      </c>
      <c r="E189" t="s">
        <v>897</v>
      </c>
      <c r="F189" t="s">
        <v>45</v>
      </c>
      <c r="G189" t="str">
        <f>HYPERLINK("https://www.instagram.com/p/BzIevSqnPz7")</f>
        <v>https://www.instagram.com/p/BzIevSqnPz7</v>
      </c>
      <c r="H189" t="s">
        <v>46</v>
      </c>
      <c r="I189" t="s">
        <v>898</v>
      </c>
      <c r="J189" t="str">
        <f>HYPERLINK("http://instagram.com/murfolkcosplay")</f>
        <v>http://instagram.com/murfolkcosplay</v>
      </c>
      <c r="K189">
        <v>342</v>
      </c>
      <c r="N189" t="s">
        <v>59</v>
      </c>
      <c r="O189" t="s">
        <v>898</v>
      </c>
      <c r="P189" t="str">
        <f>HYPERLINK("http://instagram.com/murfolkcosplay")</f>
        <v>http://instagram.com/murfolkcosplay</v>
      </c>
      <c r="Q189">
        <v>342</v>
      </c>
      <c r="R189" t="s">
        <v>60</v>
      </c>
      <c r="W189">
        <v>17</v>
      </c>
      <c r="X189">
        <v>17</v>
      </c>
      <c r="AE189">
        <v>0</v>
      </c>
      <c r="AI189" t="s">
        <v>52</v>
      </c>
      <c r="AJ189" t="s">
        <v>899</v>
      </c>
      <c r="AK189" t="s">
        <v>52</v>
      </c>
      <c r="AL189" t="str">
        <f>HYPERLINK("https://www.instagram.com/p/BzIevSqnPz7/media/?size=l")</f>
        <v>https://www.instagram.com/p/BzIevSqnPz7/media/?size=l</v>
      </c>
      <c r="AM189" t="s">
        <v>52</v>
      </c>
      <c r="AN189" t="s">
        <v>53</v>
      </c>
    </row>
    <row r="190" spans="1:40">
      <c r="A190" t="s">
        <v>40</v>
      </c>
      <c r="B190" t="s">
        <v>900</v>
      </c>
      <c r="C190" t="s">
        <v>901</v>
      </c>
      <c r="D190" t="s">
        <v>52</v>
      </c>
      <c r="E190" t="s">
        <v>902</v>
      </c>
      <c r="F190" t="s">
        <v>45</v>
      </c>
      <c r="G190" t="str">
        <f>HYPERLINK("https://www.instagram.com/p/BzIeooxnEBy")</f>
        <v>https://www.instagram.com/p/BzIeooxnEBy</v>
      </c>
      <c r="H190" t="s">
        <v>46</v>
      </c>
      <c r="I190" t="s">
        <v>903</v>
      </c>
      <c r="J190" t="str">
        <f>HYPERLINK("http://instagram.com/jenfrypruvit")</f>
        <v>http://instagram.com/jenfrypruvit</v>
      </c>
      <c r="K190">
        <v>134</v>
      </c>
      <c r="L190" t="s">
        <v>58</v>
      </c>
      <c r="N190" t="s">
        <v>59</v>
      </c>
      <c r="O190" t="s">
        <v>903</v>
      </c>
      <c r="P190" t="str">
        <f>HYPERLINK("http://instagram.com/jenfrypruvit")</f>
        <v>http://instagram.com/jenfrypruvit</v>
      </c>
      <c r="Q190">
        <v>134</v>
      </c>
      <c r="R190" t="s">
        <v>60</v>
      </c>
      <c r="W190">
        <v>15</v>
      </c>
      <c r="X190">
        <v>15</v>
      </c>
      <c r="AE190">
        <v>6</v>
      </c>
      <c r="AI190" t="s">
        <v>52</v>
      </c>
      <c r="AJ190" t="s">
        <v>904</v>
      </c>
      <c r="AK190" t="s">
        <v>52</v>
      </c>
      <c r="AL190" t="str">
        <f>HYPERLINK("https://www.instagram.com/p/BzIeooxnEBy/media/?size=l")</f>
        <v>https://www.instagram.com/p/BzIeooxnEBy/media/?size=l</v>
      </c>
      <c r="AM190" t="s">
        <v>52</v>
      </c>
      <c r="AN190" t="s">
        <v>53</v>
      </c>
    </row>
    <row r="191" spans="1:40">
      <c r="A191" t="s">
        <v>40</v>
      </c>
      <c r="B191" t="s">
        <v>905</v>
      </c>
      <c r="C191" t="s">
        <v>906</v>
      </c>
      <c r="D191" t="s">
        <v>907</v>
      </c>
      <c r="E191" t="s">
        <v>908</v>
      </c>
      <c r="F191" t="s">
        <v>95</v>
      </c>
      <c r="G191" t="str">
        <f>HYPERLINK("https://www.comingsoon.net/movies/features/1078057-poll-results-what-is-the-best-pixar-movie#comment-4515341502")</f>
        <v>https://www.comingsoon.net/movies/features/1078057-poll-results-what-is-the-best-pixar-movie#comment-4515341502</v>
      </c>
      <c r="H191" t="s">
        <v>46</v>
      </c>
      <c r="I191" t="s">
        <v>909</v>
      </c>
      <c r="J191" t="str">
        <f>HYPERLINK("https://disqus.com/by/disqus_nDXNqdflLs/")</f>
        <v>https://disqus.com/by/disqus_nDXNqdflLs/</v>
      </c>
      <c r="K191">
        <v>5</v>
      </c>
      <c r="N191" t="s">
        <v>910</v>
      </c>
      <c r="O191" t="s">
        <v>911</v>
      </c>
      <c r="P191" t="str">
        <f>HYPERLINK("https://disqus.com/home/forum/comingsoondotnet/")</f>
        <v>https://disqus.com/home/forum/comingsoondotnet/</v>
      </c>
      <c r="R191" t="s">
        <v>50</v>
      </c>
      <c r="W191">
        <v>0</v>
      </c>
      <c r="X191">
        <v>0</v>
      </c>
      <c r="AM191" t="s">
        <v>52</v>
      </c>
      <c r="AN191" t="s">
        <v>53</v>
      </c>
    </row>
    <row r="192" spans="1:40">
      <c r="A192" t="s">
        <v>40</v>
      </c>
      <c r="B192" t="s">
        <v>905</v>
      </c>
      <c r="C192" t="s">
        <v>912</v>
      </c>
      <c r="D192" t="s">
        <v>52</v>
      </c>
      <c r="E192" t="s">
        <v>913</v>
      </c>
      <c r="F192" t="s">
        <v>45</v>
      </c>
      <c r="G192" t="str">
        <f>HYPERLINK("https://twitter.com/2188591795/status/1143492601833820162")</f>
        <v>https://twitter.com/2188591795/status/1143492601833820162</v>
      </c>
      <c r="H192" t="s">
        <v>46</v>
      </c>
      <c r="I192" t="s">
        <v>914</v>
      </c>
      <c r="J192" t="str">
        <f>HYPERLINK("http://twitter.com/_selsoto")</f>
        <v>http://twitter.com/_selsoto</v>
      </c>
      <c r="K192">
        <v>602</v>
      </c>
      <c r="N192" t="s">
        <v>65</v>
      </c>
      <c r="R192" t="s">
        <v>60</v>
      </c>
      <c r="S192" t="s">
        <v>915</v>
      </c>
      <c r="T192" t="s">
        <v>916</v>
      </c>
      <c r="U192" t="s">
        <v>916</v>
      </c>
      <c r="W192">
        <v>3</v>
      </c>
      <c r="X192">
        <v>3</v>
      </c>
      <c r="AE192">
        <v>0</v>
      </c>
      <c r="AF192">
        <v>0</v>
      </c>
      <c r="AM192" t="s">
        <v>52</v>
      </c>
      <c r="AN192" t="s">
        <v>53</v>
      </c>
    </row>
    <row r="193" spans="1:40">
      <c r="A193" t="s">
        <v>40</v>
      </c>
      <c r="B193" t="s">
        <v>917</v>
      </c>
      <c r="C193" t="s">
        <v>918</v>
      </c>
      <c r="D193" t="s">
        <v>52</v>
      </c>
      <c r="E193" t="s">
        <v>919</v>
      </c>
      <c r="F193" t="s">
        <v>95</v>
      </c>
      <c r="G193" t="str">
        <f>HYPERLINK("https://twitter.com/1125759858685378560/status/1143492323642433540")</f>
        <v>https://twitter.com/1125759858685378560/status/1143492323642433540</v>
      </c>
      <c r="H193" t="s">
        <v>46</v>
      </c>
      <c r="I193" t="s">
        <v>920</v>
      </c>
      <c r="J193" t="str">
        <f>HYPERLINK("http://twitter.com/Adam__Bly")</f>
        <v>http://twitter.com/Adam__Bly</v>
      </c>
      <c r="K193">
        <v>42</v>
      </c>
      <c r="L193" t="s">
        <v>48</v>
      </c>
      <c r="N193" t="s">
        <v>65</v>
      </c>
      <c r="R193" t="s">
        <v>60</v>
      </c>
      <c r="W193">
        <v>0</v>
      </c>
      <c r="X193">
        <v>0</v>
      </c>
      <c r="AE193">
        <v>0</v>
      </c>
      <c r="AF193">
        <v>0</v>
      </c>
      <c r="AM193" t="s">
        <v>52</v>
      </c>
      <c r="AN193" t="s">
        <v>53</v>
      </c>
    </row>
    <row r="194" spans="1:40">
      <c r="A194" t="s">
        <v>40</v>
      </c>
      <c r="B194" t="s">
        <v>921</v>
      </c>
      <c r="C194" t="s">
        <v>878</v>
      </c>
      <c r="D194" t="s">
        <v>856</v>
      </c>
      <c r="E194" t="s">
        <v>922</v>
      </c>
      <c r="F194" t="s">
        <v>45</v>
      </c>
      <c r="G194" t="str">
        <f>HYPERLINK("https://www.youtube.com/watch?v=Jr0AxrcwWxs")</f>
        <v>https://www.youtube.com/watch?v=Jr0AxrcwWxs</v>
      </c>
      <c r="H194" t="s">
        <v>46</v>
      </c>
      <c r="I194" t="s">
        <v>858</v>
      </c>
      <c r="J194" t="str">
        <f>HYPERLINK("https://www.youtube.com/channel/UChhVBuCVplBpjC_eJEMLbxQ")</f>
        <v>https://www.youtube.com/channel/UChhVBuCVplBpjC_eJEMLbxQ</v>
      </c>
      <c r="K194">
        <v>150</v>
      </c>
      <c r="N194" t="s">
        <v>116</v>
      </c>
      <c r="O194" t="s">
        <v>858</v>
      </c>
      <c r="P194" t="str">
        <f>HYPERLINK("https://www.youtube.com/channel/UChhVBuCVplBpjC_eJEMLbxQ")</f>
        <v>https://www.youtube.com/channel/UChhVBuCVplBpjC_eJEMLbxQ</v>
      </c>
      <c r="Q194">
        <v>150</v>
      </c>
      <c r="R194" t="s">
        <v>60</v>
      </c>
      <c r="W194">
        <v>1</v>
      </c>
      <c r="X194">
        <v>1</v>
      </c>
      <c r="AE194">
        <v>0</v>
      </c>
      <c r="AG194">
        <v>5</v>
      </c>
      <c r="AI194" t="s">
        <v>52</v>
      </c>
      <c r="AJ194" t="s">
        <v>52</v>
      </c>
      <c r="AK194" t="s">
        <v>859</v>
      </c>
      <c r="AL194" t="str">
        <f>HYPERLINK("https://i.ytimg.com/vi/Jr0AxrcwWxs/maxresdefault.jpg")</f>
        <v>https://i.ytimg.com/vi/Jr0AxrcwWxs/maxresdefault.jpg</v>
      </c>
      <c r="AM194" t="s">
        <v>52</v>
      </c>
      <c r="AN194" t="s">
        <v>53</v>
      </c>
    </row>
    <row r="195" spans="1:40">
      <c r="A195" t="s">
        <v>40</v>
      </c>
      <c r="B195" t="s">
        <v>923</v>
      </c>
      <c r="C195" t="s">
        <v>896</v>
      </c>
      <c r="D195" t="s">
        <v>52</v>
      </c>
      <c r="E195" t="s">
        <v>924</v>
      </c>
      <c r="F195" t="s">
        <v>45</v>
      </c>
      <c r="G195" t="str">
        <f>HYPERLINK("https://www.instagram.com/p/BzIdQ6mFhhC")</f>
        <v>https://www.instagram.com/p/BzIdQ6mFhhC</v>
      </c>
      <c r="H195" t="s">
        <v>215</v>
      </c>
      <c r="I195" t="s">
        <v>925</v>
      </c>
      <c r="J195" t="str">
        <f>HYPERLINK("http://instagram.com/tim_please_relax")</f>
        <v>http://instagram.com/tim_please_relax</v>
      </c>
      <c r="K195">
        <v>157</v>
      </c>
      <c r="L195" t="s">
        <v>48</v>
      </c>
      <c r="N195" t="s">
        <v>59</v>
      </c>
      <c r="O195" t="s">
        <v>925</v>
      </c>
      <c r="P195" t="str">
        <f>HYPERLINK("http://instagram.com/tim_please_relax")</f>
        <v>http://instagram.com/tim_please_relax</v>
      </c>
      <c r="Q195">
        <v>157</v>
      </c>
      <c r="R195" t="s">
        <v>60</v>
      </c>
      <c r="W195">
        <v>9</v>
      </c>
      <c r="X195">
        <v>9</v>
      </c>
      <c r="AE195">
        <v>2</v>
      </c>
      <c r="AI195" t="s">
        <v>108</v>
      </c>
      <c r="AJ195" t="s">
        <v>659</v>
      </c>
      <c r="AK195" t="s">
        <v>52</v>
      </c>
      <c r="AL195" t="str">
        <f>HYPERLINK("https://www.instagram.com/p/BzIdQ6mFhhC/media/?size=l")</f>
        <v>https://www.instagram.com/p/BzIdQ6mFhhC/media/?size=l</v>
      </c>
      <c r="AM195" t="s">
        <v>52</v>
      </c>
      <c r="AN195" t="s">
        <v>53</v>
      </c>
    </row>
    <row r="196" spans="1:40">
      <c r="A196" t="s">
        <v>40</v>
      </c>
      <c r="B196" t="s">
        <v>926</v>
      </c>
      <c r="C196" t="s">
        <v>896</v>
      </c>
      <c r="D196" t="s">
        <v>52</v>
      </c>
      <c r="E196" t="s">
        <v>927</v>
      </c>
      <c r="F196" t="s">
        <v>45</v>
      </c>
      <c r="G196" t="str">
        <f>HYPERLINK("https://www.instagram.com/p/BzIdFF4nkPY")</f>
        <v>https://www.instagram.com/p/BzIdFF4nkPY</v>
      </c>
      <c r="H196" t="s">
        <v>46</v>
      </c>
      <c r="I196" t="s">
        <v>928</v>
      </c>
      <c r="J196" t="str">
        <f>HYPERLINK("http://instagram.com/anjalisaystv")</f>
        <v>http://instagram.com/anjalisaystv</v>
      </c>
      <c r="K196">
        <v>468</v>
      </c>
      <c r="N196" t="s">
        <v>59</v>
      </c>
      <c r="O196" t="s">
        <v>928</v>
      </c>
      <c r="P196" t="str">
        <f>HYPERLINK("http://instagram.com/anjalisaystv")</f>
        <v>http://instagram.com/anjalisaystv</v>
      </c>
      <c r="Q196">
        <v>468</v>
      </c>
      <c r="R196" t="s">
        <v>60</v>
      </c>
      <c r="W196">
        <v>23</v>
      </c>
      <c r="X196">
        <v>23</v>
      </c>
      <c r="AE196">
        <v>6</v>
      </c>
      <c r="AI196" t="s">
        <v>108</v>
      </c>
      <c r="AJ196" t="s">
        <v>52</v>
      </c>
      <c r="AK196" t="s">
        <v>52</v>
      </c>
      <c r="AL196" t="str">
        <f>HYPERLINK("https://www.instagram.com/p/BzIdFF4nkPY/media/?size=l")</f>
        <v>https://www.instagram.com/p/BzIdFF4nkPY/media/?size=l</v>
      </c>
      <c r="AM196" t="s">
        <v>52</v>
      </c>
      <c r="AN196" t="s">
        <v>53</v>
      </c>
    </row>
    <row r="197" spans="1:40">
      <c r="A197" t="s">
        <v>40</v>
      </c>
      <c r="B197" t="s">
        <v>929</v>
      </c>
      <c r="C197" t="s">
        <v>767</v>
      </c>
      <c r="D197" t="s">
        <v>52</v>
      </c>
      <c r="E197" t="s">
        <v>130</v>
      </c>
      <c r="F197" t="s">
        <v>131</v>
      </c>
      <c r="G197" t="str">
        <f>HYPERLINK("https://twitter.com/3431713522/status/1143490258081853440")</f>
        <v>https://twitter.com/3431713522/status/1143490258081853440</v>
      </c>
      <c r="H197" t="s">
        <v>46</v>
      </c>
      <c r="I197" t="s">
        <v>930</v>
      </c>
      <c r="J197" t="str">
        <f>HYPERLINK("http://twitter.com/travellingcat79")</f>
        <v>http://twitter.com/travellingcat79</v>
      </c>
      <c r="K197">
        <v>266</v>
      </c>
      <c r="N197" t="s">
        <v>65</v>
      </c>
      <c r="R197" t="s">
        <v>60</v>
      </c>
      <c r="W197">
        <v>0</v>
      </c>
      <c r="X197">
        <v>0</v>
      </c>
      <c r="AE197">
        <v>0</v>
      </c>
      <c r="AI197" t="s">
        <v>108</v>
      </c>
      <c r="AJ197" t="s">
        <v>52</v>
      </c>
      <c r="AK197" t="s">
        <v>52</v>
      </c>
      <c r="AL197" t="str">
        <f>HYPERLINK("https://pbs.twimg.com/media/D9XTkLWW4AAOYnJ.jpg")</f>
        <v>https://pbs.twimg.com/media/D9XTkLWW4AAOYnJ.jpg</v>
      </c>
      <c r="AM197" t="s">
        <v>52</v>
      </c>
      <c r="AN197" t="s">
        <v>53</v>
      </c>
    </row>
    <row r="198" spans="1:40">
      <c r="A198" t="s">
        <v>40</v>
      </c>
      <c r="B198" t="s">
        <v>931</v>
      </c>
      <c r="C198" t="s">
        <v>932</v>
      </c>
      <c r="D198" t="s">
        <v>52</v>
      </c>
      <c r="E198" t="s">
        <v>933</v>
      </c>
      <c r="F198" t="s">
        <v>45</v>
      </c>
      <c r="G198" t="str">
        <f>HYPERLINK("https://www.instagram.com/p/BzIcwuMFXD_")</f>
        <v>https://www.instagram.com/p/BzIcwuMFXD_</v>
      </c>
      <c r="H198" t="s">
        <v>46</v>
      </c>
      <c r="I198" t="s">
        <v>934</v>
      </c>
      <c r="J198" t="str">
        <f>HYPERLINK("http://instagram.com/gleetz")</f>
        <v>http://instagram.com/gleetz</v>
      </c>
      <c r="K198">
        <v>595</v>
      </c>
      <c r="L198" t="s">
        <v>58</v>
      </c>
      <c r="N198" t="s">
        <v>59</v>
      </c>
      <c r="O198" t="s">
        <v>934</v>
      </c>
      <c r="P198" t="str">
        <f>HYPERLINK("http://instagram.com/gleetz")</f>
        <v>http://instagram.com/gleetz</v>
      </c>
      <c r="Q198">
        <v>595</v>
      </c>
      <c r="R198" t="s">
        <v>60</v>
      </c>
      <c r="S198" t="s">
        <v>51</v>
      </c>
      <c r="T198" t="s">
        <v>380</v>
      </c>
      <c r="U198" t="s">
        <v>380</v>
      </c>
      <c r="W198">
        <v>36</v>
      </c>
      <c r="X198">
        <v>36</v>
      </c>
      <c r="AE198">
        <v>3</v>
      </c>
      <c r="AI198" t="s">
        <v>52</v>
      </c>
      <c r="AJ198" t="s">
        <v>935</v>
      </c>
      <c r="AK198" t="s">
        <v>52</v>
      </c>
      <c r="AL198" t="str">
        <f>HYPERLINK("https://www.instagram.com/p/BzIcwuMFXD_/media/?size=l")</f>
        <v>https://www.instagram.com/p/BzIcwuMFXD_/media/?size=l</v>
      </c>
      <c r="AM198" t="s">
        <v>52</v>
      </c>
      <c r="AN198" t="s">
        <v>53</v>
      </c>
    </row>
    <row r="199" spans="1:40">
      <c r="A199" t="s">
        <v>40</v>
      </c>
      <c r="B199" t="s">
        <v>931</v>
      </c>
      <c r="C199" t="s">
        <v>845</v>
      </c>
      <c r="D199" t="s">
        <v>52</v>
      </c>
      <c r="E199" t="s">
        <v>936</v>
      </c>
      <c r="F199" t="s">
        <v>45</v>
      </c>
      <c r="G199" t="str">
        <f>HYPERLINK("https://www.instagram.com/p/BzIctwmFrDF")</f>
        <v>https://www.instagram.com/p/BzIctwmFrDF</v>
      </c>
      <c r="H199" t="s">
        <v>46</v>
      </c>
      <c r="I199" t="s">
        <v>937</v>
      </c>
      <c r="J199" t="str">
        <f>HYPERLINK("http://instagram.com/yobeez")</f>
        <v>http://instagram.com/yobeez</v>
      </c>
      <c r="K199">
        <v>1043</v>
      </c>
      <c r="N199" t="s">
        <v>59</v>
      </c>
      <c r="O199" t="s">
        <v>937</v>
      </c>
      <c r="P199" t="str">
        <f>HYPERLINK("http://instagram.com/yobeez")</f>
        <v>http://instagram.com/yobeez</v>
      </c>
      <c r="Q199">
        <v>1043</v>
      </c>
      <c r="R199" t="s">
        <v>60</v>
      </c>
      <c r="W199">
        <v>31</v>
      </c>
      <c r="X199">
        <v>31</v>
      </c>
      <c r="AE199">
        <v>3</v>
      </c>
      <c r="AI199" t="s">
        <v>52</v>
      </c>
      <c r="AJ199" t="s">
        <v>659</v>
      </c>
      <c r="AK199" t="s">
        <v>52</v>
      </c>
      <c r="AL199" t="str">
        <f>HYPERLINK("https://www.instagram.com/p/BzIctwmFrDF/media/?size=l")</f>
        <v>https://www.instagram.com/p/BzIctwmFrDF/media/?size=l</v>
      </c>
      <c r="AM199" t="s">
        <v>52</v>
      </c>
      <c r="AN199" t="s">
        <v>53</v>
      </c>
    </row>
    <row r="200" spans="1:40">
      <c r="A200" t="s">
        <v>40</v>
      </c>
      <c r="B200" t="s">
        <v>938</v>
      </c>
      <c r="C200" t="s">
        <v>939</v>
      </c>
      <c r="D200" t="s">
        <v>52</v>
      </c>
      <c r="E200" t="s">
        <v>940</v>
      </c>
      <c r="F200" t="s">
        <v>45</v>
      </c>
      <c r="G200" t="str">
        <f>HYPERLINK("https://www.instagram.com/p/BzIcOgjIdW1")</f>
        <v>https://www.instagram.com/p/BzIcOgjIdW1</v>
      </c>
      <c r="H200" t="s">
        <v>215</v>
      </c>
      <c r="I200" t="s">
        <v>941</v>
      </c>
      <c r="J200" t="str">
        <f>HYPERLINK("http://instagram.com/evarin_pw")</f>
        <v>http://instagram.com/evarin_pw</v>
      </c>
      <c r="K200">
        <v>325</v>
      </c>
      <c r="N200" t="s">
        <v>59</v>
      </c>
      <c r="O200" t="s">
        <v>941</v>
      </c>
      <c r="P200" t="str">
        <f>HYPERLINK("http://instagram.com/evarin_pw")</f>
        <v>http://instagram.com/evarin_pw</v>
      </c>
      <c r="Q200">
        <v>325</v>
      </c>
      <c r="R200" t="s">
        <v>60</v>
      </c>
      <c r="W200">
        <v>15</v>
      </c>
      <c r="X200">
        <v>15</v>
      </c>
      <c r="AE200">
        <v>1</v>
      </c>
      <c r="AI200" t="s">
        <v>108</v>
      </c>
      <c r="AJ200" t="s">
        <v>942</v>
      </c>
      <c r="AK200" t="s">
        <v>52</v>
      </c>
      <c r="AL200" t="str">
        <f>HYPERLINK("https://www.instagram.com/p/BzIcOgjIdW1/media/?size=l")</f>
        <v>https://www.instagram.com/p/BzIcOgjIdW1/media/?size=l</v>
      </c>
      <c r="AM200" t="s">
        <v>52</v>
      </c>
      <c r="AN200" t="s">
        <v>53</v>
      </c>
    </row>
    <row r="201" spans="1:40">
      <c r="A201" t="s">
        <v>40</v>
      </c>
      <c r="B201" t="s">
        <v>943</v>
      </c>
      <c r="C201" t="s">
        <v>944</v>
      </c>
      <c r="D201" t="s">
        <v>795</v>
      </c>
      <c r="E201" t="s">
        <v>945</v>
      </c>
      <c r="F201" t="s">
        <v>45</v>
      </c>
      <c r="G201" t="str">
        <f>HYPERLINK("https://www.zacks.com/stock/news/433817/pepsico-pep-up-27-in-six-months-will-the-momentum-last")</f>
        <v>https://www.zacks.com/stock/news/433817/pepsico-pep-up-27-in-six-months-will-the-momentum-last</v>
      </c>
      <c r="H201" t="s">
        <v>46</v>
      </c>
      <c r="I201" t="s">
        <v>946</v>
      </c>
      <c r="J201" t="str">
        <f>HYPERLINK("https://www.zacks.com")</f>
        <v>https://www.zacks.com</v>
      </c>
      <c r="N201" t="s">
        <v>947</v>
      </c>
      <c r="R201" t="s">
        <v>357</v>
      </c>
      <c r="S201" t="s">
        <v>51</v>
      </c>
      <c r="AI201" t="s">
        <v>52</v>
      </c>
      <c r="AJ201" t="s">
        <v>948</v>
      </c>
      <c r="AK201" t="s">
        <v>52</v>
      </c>
      <c r="AL201" t="str">
        <f>HYPERLINK("https://staticx-tuner.zacks.com/images/zadmin_tuner_image/pep%20graph.jpg")</f>
        <v>https://staticx-tuner.zacks.com/images/zadmin_tuner_image/pep%20graph.jpg</v>
      </c>
      <c r="AM201" t="s">
        <v>52</v>
      </c>
      <c r="AN201" t="s">
        <v>53</v>
      </c>
    </row>
    <row r="202" spans="1:40">
      <c r="A202" t="s">
        <v>40</v>
      </c>
      <c r="B202" t="s">
        <v>949</v>
      </c>
      <c r="C202" t="s">
        <v>950</v>
      </c>
      <c r="D202" t="s">
        <v>52</v>
      </c>
      <c r="E202" t="s">
        <v>951</v>
      </c>
      <c r="F202" t="s">
        <v>95</v>
      </c>
      <c r="G202" t="str">
        <f>HYPERLINK("https://twitter.com/109695033/status/1143487456185950211")</f>
        <v>https://twitter.com/109695033/status/1143487456185950211</v>
      </c>
      <c r="H202" t="s">
        <v>46</v>
      </c>
      <c r="I202" t="s">
        <v>952</v>
      </c>
      <c r="J202" t="str">
        <f>HYPERLINK("http://twitter.com/mothmaam420")</f>
        <v>http://twitter.com/mothmaam420</v>
      </c>
      <c r="K202">
        <v>965</v>
      </c>
      <c r="N202" t="s">
        <v>65</v>
      </c>
      <c r="R202" t="s">
        <v>60</v>
      </c>
      <c r="S202" t="s">
        <v>387</v>
      </c>
      <c r="T202" t="s">
        <v>953</v>
      </c>
      <c r="U202" t="s">
        <v>954</v>
      </c>
      <c r="W202">
        <v>1</v>
      </c>
      <c r="X202">
        <v>1</v>
      </c>
      <c r="AE202">
        <v>0</v>
      </c>
      <c r="AF202">
        <v>0</v>
      </c>
      <c r="AM202" t="s">
        <v>52</v>
      </c>
      <c r="AN202" t="s">
        <v>53</v>
      </c>
    </row>
    <row r="203" spans="1:40">
      <c r="A203" t="s">
        <v>40</v>
      </c>
      <c r="B203" t="s">
        <v>955</v>
      </c>
      <c r="C203" t="s">
        <v>956</v>
      </c>
      <c r="D203" t="s">
        <v>957</v>
      </c>
      <c r="E203" t="s">
        <v>958</v>
      </c>
      <c r="F203" t="s">
        <v>45</v>
      </c>
      <c r="G203" t="str">
        <f>HYPERLINK("https://cryptocoinstribune.com/pepsico-pep-holder-capital-advisors-increased-holding-reinsurance-grp-of-america-i-rga-shareholder-legacy-private-trust-has-trimmed-position-by-552720-as-stock-value-rose")</f>
        <v>https://cryptocoinstribune.com/pepsico-pep-holder-capital-advisors-increased-holding-reinsurance-grp-of-america-i-rga-shareholder-legacy-private-trust-has-trimmed-position-by-552720-as-stock-value-rose</v>
      </c>
      <c r="H203" t="s">
        <v>46</v>
      </c>
      <c r="I203" t="s">
        <v>959</v>
      </c>
      <c r="J203" t="str">
        <f>HYPERLINK("https://cryptocoinstribune.com/pepsico-pep-holder-capital-advisors-increased-holding-reinsurance-grp-of-america-i-rga-shareholder-legacy-private-trust-has-trimmed-position-by-552720-as-stock-value-rose/")</f>
        <v>https://cryptocoinstribune.com/pepsico-pep-holder-capital-advisors-increased-holding-reinsurance-grp-of-america-i-rga-shareholder-legacy-private-trust-has-trimmed-position-by-552720-as-stock-value-rose/</v>
      </c>
      <c r="N203" t="s">
        <v>960</v>
      </c>
      <c r="R203" t="s">
        <v>357</v>
      </c>
      <c r="S203" t="s">
        <v>51</v>
      </c>
      <c r="AI203" t="s">
        <v>52</v>
      </c>
      <c r="AJ203" t="s">
        <v>52</v>
      </c>
      <c r="AK203" t="s">
        <v>52</v>
      </c>
      <c r="AL203" t="str">
        <f>HYPERLINK("https://cryptocoinstribune.com/wp-content/uploads/logos/Logos/PEP.png")</f>
        <v>https://cryptocoinstribune.com/wp-content/uploads/logos/Logos/PEP.png</v>
      </c>
      <c r="AM203" t="s">
        <v>52</v>
      </c>
      <c r="AN203" t="s">
        <v>53</v>
      </c>
    </row>
    <row r="204" spans="1:40">
      <c r="A204" t="s">
        <v>40</v>
      </c>
      <c r="B204" t="s">
        <v>961</v>
      </c>
      <c r="C204" t="s">
        <v>962</v>
      </c>
      <c r="D204" t="s">
        <v>52</v>
      </c>
      <c r="E204" t="s">
        <v>963</v>
      </c>
      <c r="F204" t="s">
        <v>45</v>
      </c>
      <c r="G204" t="str">
        <f>HYPERLINK("https://www.instagram.com/p/BzIbcpkBcL5")</f>
        <v>https://www.instagram.com/p/BzIbcpkBcL5</v>
      </c>
      <c r="H204" t="s">
        <v>215</v>
      </c>
      <c r="I204" t="s">
        <v>964</v>
      </c>
      <c r="J204" t="str">
        <f>HYPERLINK("http://instagram.com/eatinginchongqing")</f>
        <v>http://instagram.com/eatinginchongqing</v>
      </c>
      <c r="K204">
        <v>295</v>
      </c>
      <c r="N204" t="s">
        <v>59</v>
      </c>
      <c r="O204" t="s">
        <v>964</v>
      </c>
      <c r="P204" t="str">
        <f>HYPERLINK("http://instagram.com/eatinginchongqing")</f>
        <v>http://instagram.com/eatinginchongqing</v>
      </c>
      <c r="Q204">
        <v>295</v>
      </c>
      <c r="R204" t="s">
        <v>60</v>
      </c>
      <c r="S204" t="s">
        <v>965</v>
      </c>
      <c r="T204" t="s">
        <v>966</v>
      </c>
      <c r="U204" t="s">
        <v>966</v>
      </c>
      <c r="W204">
        <v>14</v>
      </c>
      <c r="X204">
        <v>14</v>
      </c>
      <c r="AE204">
        <v>0</v>
      </c>
      <c r="AI204" t="s">
        <v>52</v>
      </c>
      <c r="AJ204" t="s">
        <v>967</v>
      </c>
      <c r="AK204" t="s">
        <v>52</v>
      </c>
      <c r="AL204" t="str">
        <f>HYPERLINK("https://www.instagram.com/p/BzIbcpkBcL5/media/?size=l")</f>
        <v>https://www.instagram.com/p/BzIbcpkBcL5/media/?size=l</v>
      </c>
      <c r="AM204" t="s">
        <v>52</v>
      </c>
      <c r="AN204" t="s">
        <v>53</v>
      </c>
    </row>
    <row r="205" spans="1:40">
      <c r="A205" t="s">
        <v>40</v>
      </c>
      <c r="B205" t="s">
        <v>968</v>
      </c>
      <c r="C205" t="s">
        <v>969</v>
      </c>
      <c r="D205" t="s">
        <v>970</v>
      </c>
      <c r="E205" t="s">
        <v>971</v>
      </c>
      <c r="F205" t="s">
        <v>45</v>
      </c>
      <c r="G205" t="str">
        <f>HYPERLINK("https://www.reddit.com/r/gaming/comments/c4s7ll/our_highschool_lan_parties_2004/?sort=new#thing_t1_erzptdg")</f>
        <v>https://www.reddit.com/r/gaming/comments/c4s7ll/our_highschool_lan_parties_2004/?sort=new#thing_t1_erzptdg</v>
      </c>
      <c r="H205" t="s">
        <v>46</v>
      </c>
      <c r="I205" t="s">
        <v>972</v>
      </c>
      <c r="J205" t="str">
        <f>HYPERLINK("https://www.reddit.com/r/gaming/comments/c4s7ll/our_highschool_lan_parties_2004/?sort=new#thing_t1_erzptdg")</f>
        <v>https://www.reddit.com/r/gaming/comments/c4s7ll/our_highschool_lan_parties_2004/?sort=new#thing_t1_erzptdg</v>
      </c>
      <c r="N205" t="s">
        <v>545</v>
      </c>
      <c r="O205" t="s">
        <v>973</v>
      </c>
      <c r="P205" t="str">
        <f>HYPERLINK("https://www.reddit.com/top/")</f>
        <v>https://www.reddit.com/top/</v>
      </c>
      <c r="R205" t="s">
        <v>516</v>
      </c>
      <c r="S205" t="s">
        <v>51</v>
      </c>
      <c r="AM205" t="s">
        <v>52</v>
      </c>
      <c r="AN205" t="s">
        <v>53</v>
      </c>
    </row>
    <row r="206" spans="1:40">
      <c r="A206" t="s">
        <v>40</v>
      </c>
      <c r="B206" t="s">
        <v>974</v>
      </c>
      <c r="C206" t="s">
        <v>939</v>
      </c>
      <c r="D206" t="s">
        <v>52</v>
      </c>
      <c r="E206" t="s">
        <v>975</v>
      </c>
      <c r="F206" t="s">
        <v>45</v>
      </c>
      <c r="G206" t="str">
        <f>HYPERLINK("https://www.instagram.com/p/BzIbKVMB3-z")</f>
        <v>https://www.instagram.com/p/BzIbKVMB3-z</v>
      </c>
      <c r="H206" t="s">
        <v>46</v>
      </c>
      <c r="I206" t="s">
        <v>976</v>
      </c>
      <c r="J206" t="str">
        <f>HYPERLINK("http://instagram.com/countrypride___")</f>
        <v>http://instagram.com/countrypride___</v>
      </c>
      <c r="K206">
        <v>42</v>
      </c>
      <c r="N206" t="s">
        <v>59</v>
      </c>
      <c r="O206" t="s">
        <v>976</v>
      </c>
      <c r="P206" t="str">
        <f>HYPERLINK("http://instagram.com/countrypride___")</f>
        <v>http://instagram.com/countrypride___</v>
      </c>
      <c r="Q206">
        <v>42</v>
      </c>
      <c r="R206" t="s">
        <v>60</v>
      </c>
      <c r="W206">
        <v>5</v>
      </c>
      <c r="X206">
        <v>5</v>
      </c>
      <c r="AE206">
        <v>1</v>
      </c>
      <c r="AG206">
        <v>6</v>
      </c>
      <c r="AI206" t="s">
        <v>52</v>
      </c>
      <c r="AJ206" t="s">
        <v>977</v>
      </c>
      <c r="AK206" t="s">
        <v>978</v>
      </c>
      <c r="AL206" t="str">
        <f>HYPERLINK("https://www.instagram.com/p/BzIbKVMB3-z/media/?size=l")</f>
        <v>https://www.instagram.com/p/BzIbKVMB3-z/media/?size=l</v>
      </c>
      <c r="AM206" t="s">
        <v>52</v>
      </c>
      <c r="AN206" t="s">
        <v>53</v>
      </c>
    </row>
    <row r="207" spans="1:40">
      <c r="A207" t="s">
        <v>40</v>
      </c>
      <c r="B207" t="s">
        <v>974</v>
      </c>
      <c r="C207" t="s">
        <v>979</v>
      </c>
      <c r="D207" t="s">
        <v>52</v>
      </c>
      <c r="E207" t="s">
        <v>980</v>
      </c>
      <c r="F207" t="s">
        <v>45</v>
      </c>
      <c r="G207" t="str">
        <f>HYPERLINK("https://www.instagram.com/p/BzIbJ0oBQTd")</f>
        <v>https://www.instagram.com/p/BzIbJ0oBQTd</v>
      </c>
      <c r="H207" t="s">
        <v>46</v>
      </c>
      <c r="I207" t="s">
        <v>981</v>
      </c>
      <c r="J207" t="str">
        <f>HYPERLINK("http://instagram.com/charlottes_food_log")</f>
        <v>http://instagram.com/charlottes_food_log</v>
      </c>
      <c r="K207">
        <v>133</v>
      </c>
      <c r="N207" t="s">
        <v>59</v>
      </c>
      <c r="O207" t="s">
        <v>981</v>
      </c>
      <c r="P207" t="str">
        <f>HYPERLINK("http://instagram.com/charlottes_food_log")</f>
        <v>http://instagram.com/charlottes_food_log</v>
      </c>
      <c r="Q207">
        <v>133</v>
      </c>
      <c r="R207" t="s">
        <v>60</v>
      </c>
      <c r="W207">
        <v>6</v>
      </c>
      <c r="X207">
        <v>6</v>
      </c>
      <c r="AE207">
        <v>0</v>
      </c>
      <c r="AI207" t="s">
        <v>52</v>
      </c>
      <c r="AJ207" t="s">
        <v>659</v>
      </c>
      <c r="AK207" t="s">
        <v>52</v>
      </c>
      <c r="AL207" t="str">
        <f>HYPERLINK("https://www.instagram.com/p/BzIbJ0oBQTd/media/?size=l")</f>
        <v>https://www.instagram.com/p/BzIbJ0oBQTd/media/?size=l</v>
      </c>
      <c r="AM207" t="s">
        <v>52</v>
      </c>
      <c r="AN207" t="s">
        <v>53</v>
      </c>
    </row>
    <row r="208" spans="1:40">
      <c r="A208" t="s">
        <v>40</v>
      </c>
      <c r="B208" t="s">
        <v>974</v>
      </c>
      <c r="C208" t="s">
        <v>982</v>
      </c>
      <c r="D208" t="s">
        <v>52</v>
      </c>
      <c r="E208" t="s">
        <v>983</v>
      </c>
      <c r="F208" t="s">
        <v>45</v>
      </c>
      <c r="G208" t="str">
        <f>HYPERLINK("https://www.instagram.com/p/BzIbGYOod79")</f>
        <v>https://www.instagram.com/p/BzIbGYOod79</v>
      </c>
      <c r="H208" t="s">
        <v>46</v>
      </c>
      <c r="I208" t="s">
        <v>984</v>
      </c>
      <c r="J208" t="str">
        <f>HYPERLINK("http://instagram.com/budyeros_26")</f>
        <v>http://instagram.com/budyeros_26</v>
      </c>
      <c r="K208">
        <v>62</v>
      </c>
      <c r="N208" t="s">
        <v>59</v>
      </c>
      <c r="O208" t="s">
        <v>984</v>
      </c>
      <c r="P208" t="str">
        <f>HYPERLINK("http://instagram.com/budyeros_26")</f>
        <v>http://instagram.com/budyeros_26</v>
      </c>
      <c r="Q208">
        <v>62</v>
      </c>
      <c r="R208" t="s">
        <v>60</v>
      </c>
      <c r="W208">
        <v>13</v>
      </c>
      <c r="X208">
        <v>13</v>
      </c>
      <c r="AE208">
        <v>2</v>
      </c>
      <c r="AI208" t="s">
        <v>52</v>
      </c>
      <c r="AJ208" t="s">
        <v>985</v>
      </c>
      <c r="AK208" t="s">
        <v>52</v>
      </c>
      <c r="AL208" t="str">
        <f>HYPERLINK("https://www.instagram.com/p/BzIbGYOod79/media/?size=l")</f>
        <v>https://www.instagram.com/p/BzIbGYOod79/media/?size=l</v>
      </c>
      <c r="AM208" t="s">
        <v>52</v>
      </c>
      <c r="AN208" t="s">
        <v>53</v>
      </c>
    </row>
    <row r="209" spans="1:40">
      <c r="A209" t="s">
        <v>40</v>
      </c>
      <c r="B209" t="s">
        <v>986</v>
      </c>
      <c r="C209" t="s">
        <v>950</v>
      </c>
      <c r="D209" t="s">
        <v>52</v>
      </c>
      <c r="E209" t="s">
        <v>987</v>
      </c>
      <c r="F209" t="s">
        <v>45</v>
      </c>
      <c r="G209" t="str">
        <f>HYPERLINK("https://twitter.com/1032379554386649088/status/1143485983062745089")</f>
        <v>https://twitter.com/1032379554386649088/status/1143485983062745089</v>
      </c>
      <c r="H209" t="s">
        <v>46</v>
      </c>
      <c r="I209" t="s">
        <v>988</v>
      </c>
      <c r="J209" t="str">
        <f>HYPERLINK("http://twitter.com/Nick798671")</f>
        <v>http://twitter.com/Nick798671</v>
      </c>
      <c r="K209">
        <v>4</v>
      </c>
      <c r="N209" t="s">
        <v>65</v>
      </c>
      <c r="R209" t="s">
        <v>60</v>
      </c>
      <c r="W209">
        <v>0</v>
      </c>
      <c r="X209">
        <v>0</v>
      </c>
      <c r="AE209">
        <v>0</v>
      </c>
      <c r="AF209">
        <v>0</v>
      </c>
      <c r="AM209" t="s">
        <v>52</v>
      </c>
      <c r="AN209" t="s">
        <v>53</v>
      </c>
    </row>
    <row r="210" spans="1:40">
      <c r="A210" t="s">
        <v>40</v>
      </c>
      <c r="B210" t="s">
        <v>989</v>
      </c>
      <c r="C210" t="s">
        <v>990</v>
      </c>
      <c r="D210" t="s">
        <v>52</v>
      </c>
      <c r="E210" t="s">
        <v>991</v>
      </c>
      <c r="F210" t="s">
        <v>71</v>
      </c>
      <c r="G210" t="str">
        <f>HYPERLINK("https://twitter.com/1691811572/status/1143485563921674242")</f>
        <v>https://twitter.com/1691811572/status/1143485563921674242</v>
      </c>
      <c r="H210" t="s">
        <v>46</v>
      </c>
      <c r="I210" t="s">
        <v>992</v>
      </c>
      <c r="J210" t="str">
        <f>HYPERLINK("http://twitter.com/morphbrooke")</f>
        <v>http://twitter.com/morphbrooke</v>
      </c>
      <c r="K210">
        <v>5400</v>
      </c>
      <c r="L210" t="s">
        <v>58</v>
      </c>
      <c r="N210" t="s">
        <v>65</v>
      </c>
      <c r="R210" t="s">
        <v>60</v>
      </c>
      <c r="S210" t="s">
        <v>97</v>
      </c>
      <c r="T210" t="s">
        <v>177</v>
      </c>
      <c r="U210" t="s">
        <v>993</v>
      </c>
      <c r="W210">
        <v>0</v>
      </c>
      <c r="X210">
        <v>0</v>
      </c>
      <c r="AE210">
        <v>0</v>
      </c>
      <c r="AF210">
        <v>0</v>
      </c>
      <c r="AI210" t="s">
        <v>52</v>
      </c>
      <c r="AJ210" t="s">
        <v>268</v>
      </c>
      <c r="AK210" t="s">
        <v>52</v>
      </c>
      <c r="AL210" t="str">
        <f>HYPERLINK("https://pbs.twimg.com/media/D46-HqWXsAEwFIx.jpg")</f>
        <v>https://pbs.twimg.com/media/D46-HqWXsAEwFIx.jpg</v>
      </c>
      <c r="AM210" t="s">
        <v>52</v>
      </c>
      <c r="AN210" t="s">
        <v>53</v>
      </c>
    </row>
    <row r="211" spans="1:40">
      <c r="A211" t="s">
        <v>40</v>
      </c>
      <c r="B211" t="s">
        <v>994</v>
      </c>
      <c r="C211" t="s">
        <v>845</v>
      </c>
      <c r="D211" t="s">
        <v>52</v>
      </c>
      <c r="E211" t="s">
        <v>995</v>
      </c>
      <c r="F211" t="s">
        <v>45</v>
      </c>
      <c r="G211" t="str">
        <f>HYPERLINK("https://www.instagram.com/p/BzIat3ahsdj")</f>
        <v>https://www.instagram.com/p/BzIat3ahsdj</v>
      </c>
      <c r="H211" t="s">
        <v>46</v>
      </c>
      <c r="I211" t="s">
        <v>996</v>
      </c>
      <c r="J211" t="str">
        <f>HYPERLINK("http://instagram.com/ho_9r")</f>
        <v>http://instagram.com/ho_9r</v>
      </c>
      <c r="K211">
        <v>89</v>
      </c>
      <c r="N211" t="s">
        <v>59</v>
      </c>
      <c r="O211" t="s">
        <v>996</v>
      </c>
      <c r="P211" t="str">
        <f>HYPERLINK("http://instagram.com/ho_9r")</f>
        <v>http://instagram.com/ho_9r</v>
      </c>
      <c r="Q211">
        <v>89</v>
      </c>
      <c r="R211" t="s">
        <v>60</v>
      </c>
      <c r="S211" t="s">
        <v>997</v>
      </c>
      <c r="T211" t="s">
        <v>998</v>
      </c>
      <c r="U211" t="s">
        <v>999</v>
      </c>
      <c r="W211">
        <v>5</v>
      </c>
      <c r="X211">
        <v>5</v>
      </c>
      <c r="AE211">
        <v>3</v>
      </c>
      <c r="AI211" t="s">
        <v>52</v>
      </c>
      <c r="AJ211" t="s">
        <v>458</v>
      </c>
      <c r="AK211" t="s">
        <v>52</v>
      </c>
      <c r="AL211" t="str">
        <f>HYPERLINK("https://www.instagram.com/p/BzIat3ahsdj/media/?size=l")</f>
        <v>https://www.instagram.com/p/BzIat3ahsdj/media/?size=l</v>
      </c>
      <c r="AM211" t="s">
        <v>52</v>
      </c>
      <c r="AN211" t="s">
        <v>53</v>
      </c>
    </row>
    <row r="212" spans="1:40">
      <c r="A212" t="s">
        <v>40</v>
      </c>
      <c r="B212" t="s">
        <v>1000</v>
      </c>
      <c r="C212" t="s">
        <v>944</v>
      </c>
      <c r="D212" t="s">
        <v>52</v>
      </c>
      <c r="E212" t="s">
        <v>1001</v>
      </c>
      <c r="F212" t="s">
        <v>45</v>
      </c>
      <c r="G212" t="str">
        <f>HYPERLINK("https://www.instagram.com/p/BzIakU0AyX5")</f>
        <v>https://www.instagram.com/p/BzIakU0AyX5</v>
      </c>
      <c r="H212" t="s">
        <v>46</v>
      </c>
      <c r="I212" t="s">
        <v>1002</v>
      </c>
      <c r="J212" t="str">
        <f>HYPERLINK("http://instagram.com/ivanevin.shop")</f>
        <v>http://instagram.com/ivanevin.shop</v>
      </c>
      <c r="K212">
        <v>28</v>
      </c>
      <c r="L212" t="s">
        <v>651</v>
      </c>
      <c r="N212" t="s">
        <v>59</v>
      </c>
      <c r="O212" t="s">
        <v>1002</v>
      </c>
      <c r="P212" t="str">
        <f>HYPERLINK("http://instagram.com/ivanevin.shop")</f>
        <v>http://instagram.com/ivanevin.shop</v>
      </c>
      <c r="Q212">
        <v>28</v>
      </c>
      <c r="R212" t="s">
        <v>60</v>
      </c>
      <c r="W212">
        <v>5</v>
      </c>
      <c r="X212">
        <v>5</v>
      </c>
      <c r="AE212">
        <v>0</v>
      </c>
      <c r="AI212" t="s">
        <v>108</v>
      </c>
      <c r="AJ212" t="s">
        <v>1003</v>
      </c>
      <c r="AK212" t="s">
        <v>52</v>
      </c>
      <c r="AL212" t="str">
        <f>HYPERLINK("https://www.instagram.com/p/BzIakU0AyX5/media/?size=l")</f>
        <v>https://www.instagram.com/p/BzIakU0AyX5/media/?size=l</v>
      </c>
      <c r="AM212" t="s">
        <v>52</v>
      </c>
      <c r="AN212" t="s">
        <v>53</v>
      </c>
    </row>
    <row r="213" spans="1:40">
      <c r="A213" t="s">
        <v>40</v>
      </c>
      <c r="B213" t="s">
        <v>1004</v>
      </c>
      <c r="C213" t="s">
        <v>1005</v>
      </c>
      <c r="D213" t="s">
        <v>1006</v>
      </c>
      <c r="E213" t="s">
        <v>1007</v>
      </c>
      <c r="F213" t="s">
        <v>45</v>
      </c>
      <c r="G213" t="str">
        <f>HYPERLINK("https://answers.yahoo.com/question/index?qid=20190625053849AAJL2Th#oBVYCO1Px1rGDVM2CaU-s6U8F9Urjya_xxcf_eClYKKYZ3GUrlUWkyg=")</f>
        <v>https://answers.yahoo.com/question/index?qid=20190625053849AAJL2Th#oBVYCO1Px1rGDVM2CaU-s6U8F9Urjya_xxcf_eClYKKYZ3GUrlUWkyg=</v>
      </c>
      <c r="H213" t="s">
        <v>46</v>
      </c>
      <c r="I213" t="s">
        <v>1008</v>
      </c>
      <c r="J213" t="str">
        <f>HYPERLINK("https://answers.yahoo.com/question/index?qid=20190625053849AAJL2Th#oBVYCO1Px1rGDVM2CaU-s6U8F9Urjya_xxcf_eClYKKYZ3GUrlUWkyg=")</f>
        <v>https://answers.yahoo.com/question/index?qid=20190625053849AAJL2Th#oBVYCO1Px1rGDVM2CaU-s6U8F9Urjya_xxcf_eClYKKYZ3GUrlUWkyg=</v>
      </c>
      <c r="N213" t="s">
        <v>1009</v>
      </c>
      <c r="O213" t="s">
        <v>1010</v>
      </c>
      <c r="P213" t="str">
        <f>HYPERLINK("https://answers.yahoo.com/dir/index?link=over&amp;sid=396545231&amp;more=1&amp;s=date")</f>
        <v>https://answers.yahoo.com/dir/index?link=over&amp;sid=396545231&amp;more=1&amp;s=date</v>
      </c>
      <c r="R213" t="s">
        <v>516</v>
      </c>
      <c r="S213" t="s">
        <v>51</v>
      </c>
      <c r="AM213" t="s">
        <v>52</v>
      </c>
      <c r="AN213" t="s">
        <v>53</v>
      </c>
    </row>
    <row r="214" spans="1:40">
      <c r="A214" t="s">
        <v>40</v>
      </c>
      <c r="B214" t="s">
        <v>1011</v>
      </c>
      <c r="C214" t="s">
        <v>1012</v>
      </c>
      <c r="D214" t="s">
        <v>52</v>
      </c>
      <c r="E214" t="s">
        <v>1013</v>
      </c>
      <c r="F214" t="s">
        <v>45</v>
      </c>
      <c r="G214" t="str">
        <f>HYPERLINK("https://twitter.com/30402449/status/1143480167450288128")</f>
        <v>https://twitter.com/30402449/status/1143480167450288128</v>
      </c>
      <c r="H214" t="s">
        <v>46</v>
      </c>
      <c r="I214" t="s">
        <v>1014</v>
      </c>
      <c r="J214" t="str">
        <f>HYPERLINK("http://twitter.com/mkwilliams28")</f>
        <v>http://twitter.com/mkwilliams28</v>
      </c>
      <c r="K214">
        <v>755</v>
      </c>
      <c r="L214" t="s">
        <v>48</v>
      </c>
      <c r="N214" t="s">
        <v>65</v>
      </c>
      <c r="R214" t="s">
        <v>60</v>
      </c>
      <c r="S214" t="s">
        <v>51</v>
      </c>
      <c r="T214" t="s">
        <v>137</v>
      </c>
      <c r="U214" t="s">
        <v>1015</v>
      </c>
      <c r="W214">
        <v>6</v>
      </c>
      <c r="X214">
        <v>6</v>
      </c>
      <c r="AE214">
        <v>1</v>
      </c>
      <c r="AF214">
        <v>0</v>
      </c>
      <c r="AM214" t="s">
        <v>52</v>
      </c>
      <c r="AN214" t="s">
        <v>53</v>
      </c>
    </row>
    <row r="215" spans="1:40">
      <c r="A215" t="s">
        <v>40</v>
      </c>
      <c r="B215" t="s">
        <v>1011</v>
      </c>
      <c r="C215" t="s">
        <v>1016</v>
      </c>
      <c r="D215" t="s">
        <v>52</v>
      </c>
      <c r="E215" t="s">
        <v>1017</v>
      </c>
      <c r="F215" t="s">
        <v>95</v>
      </c>
      <c r="G215" t="str">
        <f>HYPERLINK("https://twitter.com/740809015/status/1143480144880951297")</f>
        <v>https://twitter.com/740809015/status/1143480144880951297</v>
      </c>
      <c r="H215" t="s">
        <v>46</v>
      </c>
      <c r="I215" t="s">
        <v>1018</v>
      </c>
      <c r="J215" t="str">
        <f>HYPERLINK("http://twitter.com/JaniceNebgen")</f>
        <v>http://twitter.com/JaniceNebgen</v>
      </c>
      <c r="K215">
        <v>131</v>
      </c>
      <c r="N215" t="s">
        <v>65</v>
      </c>
      <c r="R215" t="s">
        <v>60</v>
      </c>
      <c r="S215" t="s">
        <v>51</v>
      </c>
      <c r="T215" t="s">
        <v>152</v>
      </c>
      <c r="U215" t="s">
        <v>1019</v>
      </c>
      <c r="W215">
        <v>1</v>
      </c>
      <c r="X215">
        <v>1</v>
      </c>
      <c r="AE215">
        <v>0</v>
      </c>
      <c r="AF215">
        <v>0</v>
      </c>
      <c r="AM215" t="s">
        <v>52</v>
      </c>
      <c r="AN215" t="s">
        <v>53</v>
      </c>
    </row>
    <row r="216" spans="1:40">
      <c r="A216" t="s">
        <v>40</v>
      </c>
      <c r="B216" t="s">
        <v>1020</v>
      </c>
      <c r="C216" t="s">
        <v>1021</v>
      </c>
      <c r="D216" t="s">
        <v>52</v>
      </c>
      <c r="E216" t="s">
        <v>1022</v>
      </c>
      <c r="F216" t="s">
        <v>45</v>
      </c>
      <c r="G216" t="str">
        <f>HYPERLINK("https://twitter.com/898725982416195584/status/1143479329956872193")</f>
        <v>https://twitter.com/898725982416195584/status/1143479329956872193</v>
      </c>
      <c r="H216" t="s">
        <v>46</v>
      </c>
      <c r="I216" t="s">
        <v>1023</v>
      </c>
      <c r="J216" t="str">
        <f>HYPERLINK("http://twitter.com/regina_xnn")</f>
        <v>http://twitter.com/regina_xnn</v>
      </c>
      <c r="K216">
        <v>468</v>
      </c>
      <c r="N216" t="s">
        <v>65</v>
      </c>
      <c r="R216" t="s">
        <v>60</v>
      </c>
      <c r="S216" t="s">
        <v>97</v>
      </c>
      <c r="T216" t="s">
        <v>177</v>
      </c>
      <c r="U216" t="s">
        <v>1024</v>
      </c>
      <c r="W216">
        <v>4</v>
      </c>
      <c r="X216">
        <v>4</v>
      </c>
      <c r="AE216">
        <v>2</v>
      </c>
      <c r="AF216">
        <v>0</v>
      </c>
      <c r="AM216" t="s">
        <v>52</v>
      </c>
      <c r="AN216" t="s">
        <v>53</v>
      </c>
    </row>
    <row r="217" spans="1:40">
      <c r="A217" t="s">
        <v>40</v>
      </c>
      <c r="B217" t="s">
        <v>1025</v>
      </c>
      <c r="C217" t="s">
        <v>1021</v>
      </c>
      <c r="D217" t="s">
        <v>1026</v>
      </c>
      <c r="E217" t="s">
        <v>1027</v>
      </c>
      <c r="F217" t="s">
        <v>45</v>
      </c>
      <c r="G217" t="str">
        <f>HYPERLINK("https://cryptocoinstribune.com/rnc-capital-management-cut-its-position-in-blackrock-blk-by-403088-as-share-value-rose-old-republic-international-has-boosted-holding-in-pepsico-pep-by-1-83-million")</f>
        <v>https://cryptocoinstribune.com/rnc-capital-management-cut-its-position-in-blackrock-blk-by-403088-as-share-value-rose-old-republic-international-has-boosted-holding-in-pepsico-pep-by-1-83-million</v>
      </c>
      <c r="H217" t="s">
        <v>46</v>
      </c>
      <c r="I217" t="s">
        <v>1028</v>
      </c>
      <c r="J217" t="str">
        <f>HYPERLINK("https://cryptocoinstribune.com")</f>
        <v>https://cryptocoinstribune.com</v>
      </c>
      <c r="N217" t="s">
        <v>960</v>
      </c>
      <c r="R217" t="s">
        <v>357</v>
      </c>
      <c r="S217" t="s">
        <v>51</v>
      </c>
      <c r="AI217" t="s">
        <v>52</v>
      </c>
      <c r="AJ217" t="s">
        <v>52</v>
      </c>
      <c r="AK217" t="s">
        <v>52</v>
      </c>
      <c r="AL217" t="str">
        <f>HYPERLINK("https://cryptocoinstribune.com/wp-content/uploads/logos/Logos/PEP.png")</f>
        <v>https://cryptocoinstribune.com/wp-content/uploads/logos/Logos/PEP.png</v>
      </c>
      <c r="AM217" t="s">
        <v>52</v>
      </c>
      <c r="AN217" t="s">
        <v>53</v>
      </c>
    </row>
    <row r="218" spans="1:40">
      <c r="A218" t="s">
        <v>40</v>
      </c>
      <c r="B218" t="s">
        <v>1029</v>
      </c>
      <c r="C218" t="s">
        <v>1021</v>
      </c>
      <c r="D218" t="s">
        <v>52</v>
      </c>
      <c r="E218" t="s">
        <v>599</v>
      </c>
      <c r="F218" t="s">
        <v>131</v>
      </c>
      <c r="G218" t="str">
        <f>HYPERLINK("https://twitter.com/620766610/status/1143478612684754944")</f>
        <v>https://twitter.com/620766610/status/1143478612684754944</v>
      </c>
      <c r="H218" t="s">
        <v>46</v>
      </c>
      <c r="I218" t="s">
        <v>1030</v>
      </c>
      <c r="J218" t="str">
        <f>HYPERLINK("http://twitter.com/iamloqz")</f>
        <v>http://twitter.com/iamloqz</v>
      </c>
      <c r="K218">
        <v>116</v>
      </c>
      <c r="N218" t="s">
        <v>65</v>
      </c>
      <c r="R218" t="s">
        <v>60</v>
      </c>
      <c r="W218">
        <v>0</v>
      </c>
      <c r="X218">
        <v>0</v>
      </c>
      <c r="AE218">
        <v>0</v>
      </c>
      <c r="AI218" t="s">
        <v>108</v>
      </c>
      <c r="AJ218" t="s">
        <v>52</v>
      </c>
      <c r="AK218" t="s">
        <v>601</v>
      </c>
      <c r="AL218" t="str">
        <f>HYPERLINK("https://pbs.twimg.com/ext_tw_video_thumb/1143202185154584581/pu/img/K72qfBH8zIdbiUf-.jpg")</f>
        <v>https://pbs.twimg.com/ext_tw_video_thumb/1143202185154584581/pu/img/K72qfBH8zIdbiUf-.jpg</v>
      </c>
      <c r="AM218" t="s">
        <v>52</v>
      </c>
      <c r="AN218" t="s">
        <v>53</v>
      </c>
    </row>
    <row r="219" spans="1:40">
      <c r="A219" t="s">
        <v>40</v>
      </c>
      <c r="B219" t="s">
        <v>1029</v>
      </c>
      <c r="C219" t="s">
        <v>1031</v>
      </c>
      <c r="D219" t="s">
        <v>52</v>
      </c>
      <c r="E219" t="s">
        <v>1032</v>
      </c>
      <c r="F219" t="s">
        <v>45</v>
      </c>
      <c r="G219" t="str">
        <f>HYPERLINK("https://www.instagram.com/p/BzIXuQkntFd")</f>
        <v>https://www.instagram.com/p/BzIXuQkntFd</v>
      </c>
      <c r="H219" t="s">
        <v>46</v>
      </c>
      <c r="I219" t="s">
        <v>1033</v>
      </c>
      <c r="J219" t="str">
        <f>HYPERLINK("http://instagram.com/idaprester1985")</f>
        <v>http://instagram.com/idaprester1985</v>
      </c>
      <c r="K219">
        <v>20223</v>
      </c>
      <c r="N219" t="s">
        <v>59</v>
      </c>
      <c r="O219" t="s">
        <v>1033</v>
      </c>
      <c r="P219" t="str">
        <f>HYPERLINK("http://instagram.com/idaprester1985")</f>
        <v>http://instagram.com/idaprester1985</v>
      </c>
      <c r="Q219">
        <v>20223</v>
      </c>
      <c r="R219" t="s">
        <v>60</v>
      </c>
      <c r="S219" t="s">
        <v>1034</v>
      </c>
      <c r="U219" t="s">
        <v>1035</v>
      </c>
      <c r="W219">
        <v>506</v>
      </c>
      <c r="X219">
        <v>506</v>
      </c>
      <c r="AE219">
        <v>4</v>
      </c>
      <c r="AI219" t="s">
        <v>108</v>
      </c>
      <c r="AJ219" t="s">
        <v>1036</v>
      </c>
      <c r="AK219" t="s">
        <v>1037</v>
      </c>
      <c r="AL219" t="str">
        <f>HYPERLINK("https://www.instagram.com/p/BzIXuQkntFd/media/?size=l")</f>
        <v>https://www.instagram.com/p/BzIXuQkntFd/media/?size=l</v>
      </c>
      <c r="AM219" t="s">
        <v>52</v>
      </c>
      <c r="AN219" t="s">
        <v>53</v>
      </c>
    </row>
    <row r="220" spans="1:40">
      <c r="A220" t="s">
        <v>40</v>
      </c>
      <c r="B220" t="s">
        <v>1029</v>
      </c>
      <c r="C220" t="s">
        <v>1038</v>
      </c>
      <c r="D220" t="s">
        <v>52</v>
      </c>
      <c r="E220" t="s">
        <v>130</v>
      </c>
      <c r="F220" t="s">
        <v>131</v>
      </c>
      <c r="G220" t="str">
        <f>HYPERLINK("https://twitter.com/1608327685/status/1143478553641721858")</f>
        <v>https://twitter.com/1608327685/status/1143478553641721858</v>
      </c>
      <c r="H220" t="s">
        <v>46</v>
      </c>
      <c r="I220" t="s">
        <v>1039</v>
      </c>
      <c r="J220" t="str">
        <f>HYPERLINK("http://twitter.com/CollyDonkey")</f>
        <v>http://twitter.com/CollyDonkey</v>
      </c>
      <c r="K220">
        <v>458</v>
      </c>
      <c r="N220" t="s">
        <v>65</v>
      </c>
      <c r="R220" t="s">
        <v>60</v>
      </c>
      <c r="S220" t="s">
        <v>97</v>
      </c>
      <c r="T220" t="s">
        <v>177</v>
      </c>
      <c r="U220" t="s">
        <v>1040</v>
      </c>
      <c r="W220">
        <v>0</v>
      </c>
      <c r="X220">
        <v>0</v>
      </c>
      <c r="AE220">
        <v>0</v>
      </c>
      <c r="AI220" t="s">
        <v>108</v>
      </c>
      <c r="AJ220" t="s">
        <v>52</v>
      </c>
      <c r="AK220" t="s">
        <v>52</v>
      </c>
      <c r="AL220" t="str">
        <f>HYPERLINK("https://pbs.twimg.com/media/D9XTkLWW4AAOYnJ.jpg")</f>
        <v>https://pbs.twimg.com/media/D9XTkLWW4AAOYnJ.jpg</v>
      </c>
      <c r="AM220" t="s">
        <v>52</v>
      </c>
      <c r="AN220" t="s">
        <v>53</v>
      </c>
    </row>
    <row r="221" spans="1:40">
      <c r="A221" t="s">
        <v>40</v>
      </c>
      <c r="B221" t="s">
        <v>1041</v>
      </c>
      <c r="C221" t="s">
        <v>1042</v>
      </c>
      <c r="D221" t="s">
        <v>1043</v>
      </c>
      <c r="E221" t="s">
        <v>1044</v>
      </c>
      <c r="F221" t="s">
        <v>45</v>
      </c>
      <c r="G221" t="str">
        <f>HYPERLINK("https://investtribune.com/1-50-eps-expected-for-pepsico-inc-pep-4")</f>
        <v>https://investtribune.com/1-50-eps-expected-for-pepsico-inc-pep-4</v>
      </c>
      <c r="H221" t="s">
        <v>46</v>
      </c>
      <c r="I221" t="s">
        <v>1045</v>
      </c>
      <c r="J221" t="str">
        <f>HYPERLINK("https://investtribune.com/1-50-eps-expected-for-pepsico-inc-pep-4/")</f>
        <v>https://investtribune.com/1-50-eps-expected-for-pepsico-inc-pep-4/</v>
      </c>
      <c r="L221" t="s">
        <v>48</v>
      </c>
      <c r="N221" t="s">
        <v>1046</v>
      </c>
      <c r="R221" t="s">
        <v>357</v>
      </c>
      <c r="S221" t="s">
        <v>51</v>
      </c>
      <c r="AI221" t="s">
        <v>52</v>
      </c>
      <c r="AJ221" t="s">
        <v>52</v>
      </c>
      <c r="AK221" t="s">
        <v>52</v>
      </c>
      <c r="AL221" t="str">
        <f>HYPERLINK("https://investtribune.com/wp-content/uploads/logos/Logos/PEP.png")</f>
        <v>https://investtribune.com/wp-content/uploads/logos/Logos/PEP.png</v>
      </c>
      <c r="AM221" t="s">
        <v>52</v>
      </c>
      <c r="AN221" t="s">
        <v>53</v>
      </c>
    </row>
    <row r="222" spans="1:40">
      <c r="A222" t="s">
        <v>40</v>
      </c>
      <c r="B222" t="s">
        <v>1047</v>
      </c>
      <c r="C222" t="s">
        <v>1048</v>
      </c>
      <c r="D222" t="s">
        <v>52</v>
      </c>
      <c r="E222" t="s">
        <v>130</v>
      </c>
      <c r="F222" t="s">
        <v>131</v>
      </c>
      <c r="G222" t="str">
        <f>HYPERLINK("https://twitter.com/2592702335/status/1143476927262580736")</f>
        <v>https://twitter.com/2592702335/status/1143476927262580736</v>
      </c>
      <c r="H222" t="s">
        <v>46</v>
      </c>
      <c r="I222" t="s">
        <v>1049</v>
      </c>
      <c r="J222" t="str">
        <f>HYPERLINK("http://twitter.com/abbygaylemay")</f>
        <v>http://twitter.com/abbygaylemay</v>
      </c>
      <c r="K222">
        <v>116</v>
      </c>
      <c r="N222" t="s">
        <v>65</v>
      </c>
      <c r="R222" t="s">
        <v>60</v>
      </c>
      <c r="W222">
        <v>0</v>
      </c>
      <c r="X222">
        <v>0</v>
      </c>
      <c r="AE222">
        <v>0</v>
      </c>
      <c r="AI222" t="s">
        <v>108</v>
      </c>
      <c r="AJ222" t="s">
        <v>52</v>
      </c>
      <c r="AK222" t="s">
        <v>52</v>
      </c>
      <c r="AL222" t="str">
        <f>HYPERLINK("https://pbs.twimg.com/media/D9XTkLWW4AAOYnJ.jpg")</f>
        <v>https://pbs.twimg.com/media/D9XTkLWW4AAOYnJ.jpg</v>
      </c>
      <c r="AM222" t="s">
        <v>52</v>
      </c>
      <c r="AN222" t="s">
        <v>53</v>
      </c>
    </row>
    <row r="223" spans="1:40">
      <c r="A223" t="s">
        <v>40</v>
      </c>
      <c r="B223" t="s">
        <v>1050</v>
      </c>
      <c r="C223" t="s">
        <v>1051</v>
      </c>
      <c r="D223" t="s">
        <v>52</v>
      </c>
      <c r="E223" t="s">
        <v>1052</v>
      </c>
      <c r="F223" t="s">
        <v>131</v>
      </c>
      <c r="G223" t="str">
        <f>HYPERLINK("https://twitter.com/933611908091006976/status/1143475968872521728")</f>
        <v>https://twitter.com/933611908091006976/status/1143475968872521728</v>
      </c>
      <c r="H223" t="s">
        <v>46</v>
      </c>
      <c r="I223" t="s">
        <v>1053</v>
      </c>
      <c r="J223" t="str">
        <f>HYPERLINK("http://twitter.com/t4bata_Pao")</f>
        <v>http://twitter.com/t4bata_Pao</v>
      </c>
      <c r="K223">
        <v>49</v>
      </c>
      <c r="N223" t="s">
        <v>65</v>
      </c>
      <c r="R223" t="s">
        <v>60</v>
      </c>
      <c r="S223" t="s">
        <v>432</v>
      </c>
      <c r="T223" t="s">
        <v>433</v>
      </c>
      <c r="W223">
        <v>0</v>
      </c>
      <c r="X223">
        <v>0</v>
      </c>
      <c r="AE223">
        <v>0</v>
      </c>
      <c r="AI223" t="s">
        <v>108</v>
      </c>
      <c r="AJ223" t="s">
        <v>52</v>
      </c>
      <c r="AK223" t="s">
        <v>52</v>
      </c>
      <c r="AL223" t="str">
        <f>HYPERLINK("https://pbs.twimg.com/media/D9jWpkfWkAEv8hR.jpg")</f>
        <v>https://pbs.twimg.com/media/D9jWpkfWkAEv8hR.jpg</v>
      </c>
      <c r="AM223" t="s">
        <v>52</v>
      </c>
      <c r="AN223" t="s">
        <v>53</v>
      </c>
    </row>
    <row r="224" spans="1:40">
      <c r="A224" t="s">
        <v>40</v>
      </c>
      <c r="B224" t="s">
        <v>1054</v>
      </c>
      <c r="C224" t="s">
        <v>1055</v>
      </c>
      <c r="D224" t="s">
        <v>52</v>
      </c>
      <c r="E224" t="s">
        <v>1056</v>
      </c>
      <c r="F224" t="s">
        <v>45</v>
      </c>
      <c r="G224" t="str">
        <f>HYPERLINK("https://twitter.com/951233875/status/1143475681235333120")</f>
        <v>https://twitter.com/951233875/status/1143475681235333120</v>
      </c>
      <c r="H224" t="s">
        <v>46</v>
      </c>
      <c r="I224" t="s">
        <v>1057</v>
      </c>
      <c r="J224" t="str">
        <f>HYPERLINK("http://twitter.com/Gunasuppa")</f>
        <v>http://twitter.com/Gunasuppa</v>
      </c>
      <c r="K224">
        <v>19</v>
      </c>
      <c r="N224" t="s">
        <v>65</v>
      </c>
      <c r="R224" t="s">
        <v>60</v>
      </c>
      <c r="W224">
        <v>0</v>
      </c>
      <c r="X224">
        <v>0</v>
      </c>
      <c r="AE224">
        <v>0</v>
      </c>
      <c r="AF224">
        <v>0</v>
      </c>
      <c r="AM224" t="s">
        <v>52</v>
      </c>
      <c r="AN224" t="s">
        <v>53</v>
      </c>
    </row>
    <row r="225" spans="1:40">
      <c r="A225" t="s">
        <v>40</v>
      </c>
      <c r="B225" t="s">
        <v>1058</v>
      </c>
      <c r="C225" t="s">
        <v>1059</v>
      </c>
      <c r="D225" t="s">
        <v>52</v>
      </c>
      <c r="E225" t="s">
        <v>1060</v>
      </c>
      <c r="F225" t="s">
        <v>131</v>
      </c>
      <c r="G225" t="str">
        <f>HYPERLINK("https://twitter.com/15157939/status/1143474228282494977")</f>
        <v>https://twitter.com/15157939/status/1143474228282494977</v>
      </c>
      <c r="H225" t="s">
        <v>46</v>
      </c>
      <c r="I225" t="s">
        <v>1061</v>
      </c>
      <c r="J225" t="str">
        <f>HYPERLINK("http://twitter.com/lloydrang")</f>
        <v>http://twitter.com/lloydrang</v>
      </c>
      <c r="K225">
        <v>11026</v>
      </c>
      <c r="N225" t="s">
        <v>65</v>
      </c>
      <c r="R225" t="s">
        <v>60</v>
      </c>
      <c r="S225" t="s">
        <v>444</v>
      </c>
      <c r="T225" t="s">
        <v>1062</v>
      </c>
      <c r="W225">
        <v>0</v>
      </c>
      <c r="X225">
        <v>0</v>
      </c>
      <c r="AE225">
        <v>0</v>
      </c>
      <c r="AM225" t="s">
        <v>52</v>
      </c>
      <c r="AN225" t="s">
        <v>53</v>
      </c>
    </row>
    <row r="226" spans="1:40">
      <c r="A226" t="s">
        <v>40</v>
      </c>
      <c r="B226" t="s">
        <v>1063</v>
      </c>
      <c r="C226" t="s">
        <v>1064</v>
      </c>
      <c r="D226" t="s">
        <v>52</v>
      </c>
      <c r="E226" t="s">
        <v>1065</v>
      </c>
      <c r="F226" t="s">
        <v>131</v>
      </c>
      <c r="G226" t="str">
        <f>HYPERLINK("https://twitter.com/1021325410079072256/status/1143473988062056448")</f>
        <v>https://twitter.com/1021325410079072256/status/1143473988062056448</v>
      </c>
      <c r="H226" t="s">
        <v>46</v>
      </c>
      <c r="I226" t="s">
        <v>1066</v>
      </c>
      <c r="J226" t="str">
        <f>HYPERLINK("http://twitter.com/68OSLY")</f>
        <v>http://twitter.com/68OSLY</v>
      </c>
      <c r="K226">
        <v>133</v>
      </c>
      <c r="N226" t="s">
        <v>65</v>
      </c>
      <c r="R226" t="s">
        <v>60</v>
      </c>
      <c r="W226">
        <v>0</v>
      </c>
      <c r="X226">
        <v>0</v>
      </c>
      <c r="AE226">
        <v>0</v>
      </c>
      <c r="AM226" t="s">
        <v>52</v>
      </c>
      <c r="AN226" t="s">
        <v>53</v>
      </c>
    </row>
    <row r="227" spans="1:40">
      <c r="A227" t="s">
        <v>40</v>
      </c>
      <c r="B227" t="s">
        <v>1067</v>
      </c>
      <c r="C227" t="s">
        <v>1068</v>
      </c>
      <c r="D227" t="s">
        <v>52</v>
      </c>
      <c r="E227" t="s">
        <v>1069</v>
      </c>
      <c r="F227" t="s">
        <v>71</v>
      </c>
      <c r="G227" t="str">
        <f>HYPERLINK("https://twitter.com/4335062543/status/1143473798584446976")</f>
        <v>https://twitter.com/4335062543/status/1143473798584446976</v>
      </c>
      <c r="H227" t="s">
        <v>46</v>
      </c>
      <c r="I227" t="s">
        <v>1070</v>
      </c>
      <c r="J227" t="str">
        <f>HYPERLINK("http://twitter.com/canga8876")</f>
        <v>http://twitter.com/canga8876</v>
      </c>
      <c r="K227">
        <v>6709</v>
      </c>
      <c r="N227" t="s">
        <v>65</v>
      </c>
      <c r="R227" t="s">
        <v>60</v>
      </c>
      <c r="S227" t="s">
        <v>1071</v>
      </c>
      <c r="T227" t="s">
        <v>1072</v>
      </c>
      <c r="U227" t="s">
        <v>1073</v>
      </c>
      <c r="W227">
        <v>0</v>
      </c>
      <c r="X227">
        <v>0</v>
      </c>
      <c r="AE227">
        <v>0</v>
      </c>
      <c r="AF227">
        <v>0</v>
      </c>
      <c r="AI227" t="s">
        <v>52</v>
      </c>
      <c r="AJ227" t="s">
        <v>52</v>
      </c>
      <c r="AK227" t="s">
        <v>680</v>
      </c>
      <c r="AL227" t="str">
        <f>HYPERLINK("https://pbs.twimg.com/media/D95uwlHXUAA52Aa.jpg")</f>
        <v>https://pbs.twimg.com/media/D95uwlHXUAA52Aa.jpg</v>
      </c>
      <c r="AM227" t="s">
        <v>52</v>
      </c>
      <c r="AN227" t="s">
        <v>53</v>
      </c>
    </row>
    <row r="228" spans="1:40">
      <c r="A228" t="s">
        <v>40</v>
      </c>
      <c r="B228" t="s">
        <v>1074</v>
      </c>
      <c r="C228" t="s">
        <v>1075</v>
      </c>
      <c r="D228" t="s">
        <v>52</v>
      </c>
      <c r="E228" t="s">
        <v>1076</v>
      </c>
      <c r="F228" t="s">
        <v>95</v>
      </c>
      <c r="G228" t="str">
        <f>HYPERLINK("https://twitter.com/1675715893/status/1143472738205495296")</f>
        <v>https://twitter.com/1675715893/status/1143472738205495296</v>
      </c>
      <c r="H228" t="s">
        <v>46</v>
      </c>
      <c r="I228" t="s">
        <v>1077</v>
      </c>
      <c r="J228" t="str">
        <f>HYPERLINK("http://twitter.com/nyakoou")</f>
        <v>http://twitter.com/nyakoou</v>
      </c>
      <c r="K228">
        <v>1006</v>
      </c>
      <c r="N228" t="s">
        <v>65</v>
      </c>
      <c r="R228" t="s">
        <v>60</v>
      </c>
      <c r="S228" t="s">
        <v>1078</v>
      </c>
      <c r="T228" t="s">
        <v>1079</v>
      </c>
      <c r="U228" t="s">
        <v>1080</v>
      </c>
      <c r="W228">
        <v>0</v>
      </c>
      <c r="X228">
        <v>0</v>
      </c>
      <c r="AE228">
        <v>0</v>
      </c>
      <c r="AF228">
        <v>0</v>
      </c>
      <c r="AM228" t="s">
        <v>52</v>
      </c>
      <c r="AN228" t="s">
        <v>53</v>
      </c>
    </row>
    <row r="229" spans="1:40">
      <c r="A229" t="s">
        <v>40</v>
      </c>
      <c r="B229" t="s">
        <v>1081</v>
      </c>
      <c r="C229" t="s">
        <v>1082</v>
      </c>
      <c r="D229" t="s">
        <v>52</v>
      </c>
      <c r="E229" t="s">
        <v>204</v>
      </c>
      <c r="F229" t="s">
        <v>131</v>
      </c>
      <c r="G229" t="str">
        <f>HYPERLINK("https://twitter.com/711198359332233224/status/1143472641707261952")</f>
        <v>https://twitter.com/711198359332233224/status/1143472641707261952</v>
      </c>
      <c r="H229" t="s">
        <v>46</v>
      </c>
      <c r="I229" t="s">
        <v>1083</v>
      </c>
      <c r="J229" t="str">
        <f>HYPERLINK("http://twitter.com/annahxath")</f>
        <v>http://twitter.com/annahxath</v>
      </c>
      <c r="K229">
        <v>239</v>
      </c>
      <c r="L229" t="s">
        <v>58</v>
      </c>
      <c r="N229" t="s">
        <v>65</v>
      </c>
      <c r="R229" t="s">
        <v>60</v>
      </c>
      <c r="W229">
        <v>0</v>
      </c>
      <c r="X229">
        <v>0</v>
      </c>
      <c r="AE229">
        <v>0</v>
      </c>
      <c r="AM229" t="s">
        <v>52</v>
      </c>
      <c r="AN229" t="s">
        <v>53</v>
      </c>
    </row>
    <row r="230" spans="1:40">
      <c r="A230" t="s">
        <v>40</v>
      </c>
      <c r="B230" t="s">
        <v>1081</v>
      </c>
      <c r="C230" t="s">
        <v>1084</v>
      </c>
      <c r="D230" t="s">
        <v>52</v>
      </c>
      <c r="E230" t="s">
        <v>1065</v>
      </c>
      <c r="F230" t="s">
        <v>45</v>
      </c>
      <c r="G230" t="str">
        <f>HYPERLINK("https://twitter.com/984059516445773824/status/1143472565329059840")</f>
        <v>https://twitter.com/984059516445773824/status/1143472565329059840</v>
      </c>
      <c r="H230" t="s">
        <v>46</v>
      </c>
      <c r="I230" t="s">
        <v>1085</v>
      </c>
      <c r="J230" t="str">
        <f>HYPERLINK("http://twitter.com/stiIesdereks")</f>
        <v>http://twitter.com/stiIesdereks</v>
      </c>
      <c r="K230">
        <v>460</v>
      </c>
      <c r="N230" t="s">
        <v>65</v>
      </c>
      <c r="R230" t="s">
        <v>60</v>
      </c>
      <c r="W230">
        <v>3</v>
      </c>
      <c r="X230">
        <v>3</v>
      </c>
      <c r="AE230">
        <v>1</v>
      </c>
      <c r="AF230">
        <v>1</v>
      </c>
      <c r="AM230" t="s">
        <v>52</v>
      </c>
      <c r="AN230" t="s">
        <v>53</v>
      </c>
    </row>
    <row r="231" spans="1:40">
      <c r="A231" t="s">
        <v>40</v>
      </c>
      <c r="B231" t="s">
        <v>1086</v>
      </c>
      <c r="C231" t="s">
        <v>1087</v>
      </c>
      <c r="D231" t="s">
        <v>52</v>
      </c>
      <c r="E231" t="s">
        <v>1088</v>
      </c>
      <c r="F231" t="s">
        <v>45</v>
      </c>
      <c r="G231" t="str">
        <f>HYPERLINK("https://www.instagram.com/p/BzIUPxvgvpk")</f>
        <v>https://www.instagram.com/p/BzIUPxvgvpk</v>
      </c>
      <c r="H231" t="s">
        <v>46</v>
      </c>
      <c r="I231" t="s">
        <v>1089</v>
      </c>
      <c r="J231" t="str">
        <f>HYPERLINK("http://instagram.com/themacpot")</f>
        <v>http://instagram.com/themacpot</v>
      </c>
      <c r="K231">
        <v>559</v>
      </c>
      <c r="N231" t="s">
        <v>59</v>
      </c>
      <c r="O231" t="s">
        <v>1089</v>
      </c>
      <c r="P231" t="str">
        <f>HYPERLINK("http://instagram.com/themacpot")</f>
        <v>http://instagram.com/themacpot</v>
      </c>
      <c r="Q231">
        <v>559</v>
      </c>
      <c r="R231" t="s">
        <v>60</v>
      </c>
      <c r="S231" t="s">
        <v>97</v>
      </c>
      <c r="T231" t="s">
        <v>177</v>
      </c>
      <c r="U231" t="s">
        <v>1090</v>
      </c>
      <c r="W231">
        <v>13</v>
      </c>
      <c r="X231">
        <v>13</v>
      </c>
      <c r="AE231">
        <v>0</v>
      </c>
      <c r="AI231" t="s">
        <v>52</v>
      </c>
      <c r="AJ231" t="s">
        <v>1091</v>
      </c>
      <c r="AK231" t="s">
        <v>52</v>
      </c>
      <c r="AL231" t="str">
        <f>HYPERLINK("https://www.instagram.com/p/BzIUPxvgvpk/media/?size=l")</f>
        <v>https://www.instagram.com/p/BzIUPxvgvpk/media/?size=l</v>
      </c>
      <c r="AM231" t="s">
        <v>52</v>
      </c>
      <c r="AN231" t="s">
        <v>53</v>
      </c>
    </row>
    <row r="232" spans="1:40">
      <c r="A232" t="s">
        <v>40</v>
      </c>
      <c r="B232" t="s">
        <v>1092</v>
      </c>
      <c r="C232" t="s">
        <v>1093</v>
      </c>
      <c r="D232" t="s">
        <v>52</v>
      </c>
      <c r="E232" t="s">
        <v>1094</v>
      </c>
      <c r="F232" t="s">
        <v>131</v>
      </c>
      <c r="G232" t="str">
        <f>HYPERLINK("https://twitter.com/1092380379607191552/status/1143470571797266432")</f>
        <v>https://twitter.com/1092380379607191552/status/1143470571797266432</v>
      </c>
      <c r="H232" t="s">
        <v>46</v>
      </c>
      <c r="I232" t="s">
        <v>1095</v>
      </c>
      <c r="J232" t="str">
        <f>HYPERLINK("http://twitter.com/kasinduuu")</f>
        <v>http://twitter.com/kasinduuu</v>
      </c>
      <c r="K232">
        <v>728</v>
      </c>
      <c r="N232" t="s">
        <v>65</v>
      </c>
      <c r="R232" t="s">
        <v>60</v>
      </c>
      <c r="W232">
        <v>0</v>
      </c>
      <c r="X232">
        <v>0</v>
      </c>
      <c r="AE232">
        <v>0</v>
      </c>
      <c r="AM232" t="s">
        <v>52</v>
      </c>
      <c r="AN232" t="s">
        <v>53</v>
      </c>
    </row>
    <row r="233" spans="1:40">
      <c r="A233" t="s">
        <v>40</v>
      </c>
      <c r="B233" t="s">
        <v>1096</v>
      </c>
      <c r="C233" t="s">
        <v>1097</v>
      </c>
      <c r="D233" t="s">
        <v>52</v>
      </c>
      <c r="E233" t="s">
        <v>1098</v>
      </c>
      <c r="F233" t="s">
        <v>45</v>
      </c>
      <c r="G233" t="str">
        <f>HYPERLINK("https://www.instagram.com/p/BzITnBGlnaO")</f>
        <v>https://www.instagram.com/p/BzITnBGlnaO</v>
      </c>
      <c r="H233" t="s">
        <v>215</v>
      </c>
      <c r="I233" t="s">
        <v>1099</v>
      </c>
      <c r="J233" t="str">
        <f>HYPERLINK("http://instagram.com/foodbuddyz")</f>
        <v>http://instagram.com/foodbuddyz</v>
      </c>
      <c r="K233">
        <v>65</v>
      </c>
      <c r="N233" t="s">
        <v>59</v>
      </c>
      <c r="O233" t="s">
        <v>1099</v>
      </c>
      <c r="P233" t="str">
        <f>HYPERLINK("http://instagram.com/foodbuddyz")</f>
        <v>http://instagram.com/foodbuddyz</v>
      </c>
      <c r="Q233">
        <v>65</v>
      </c>
      <c r="R233" t="s">
        <v>60</v>
      </c>
      <c r="W233">
        <v>13</v>
      </c>
      <c r="X233">
        <v>13</v>
      </c>
      <c r="AE233">
        <v>0</v>
      </c>
      <c r="AI233" t="s">
        <v>52</v>
      </c>
      <c r="AJ233" t="s">
        <v>1100</v>
      </c>
      <c r="AK233" t="s">
        <v>52</v>
      </c>
      <c r="AL233" t="str">
        <f>HYPERLINK("https://www.instagram.com/p/BzITnBGlnaO/media/?size=l")</f>
        <v>https://www.instagram.com/p/BzITnBGlnaO/media/?size=l</v>
      </c>
      <c r="AM233" t="s">
        <v>52</v>
      </c>
      <c r="AN233" t="s">
        <v>53</v>
      </c>
    </row>
    <row r="234" spans="1:40">
      <c r="A234" t="s">
        <v>40</v>
      </c>
      <c r="B234" t="s">
        <v>1096</v>
      </c>
      <c r="C234" t="s">
        <v>1093</v>
      </c>
      <c r="D234" t="s">
        <v>52</v>
      </c>
      <c r="E234" t="s">
        <v>1101</v>
      </c>
      <c r="F234" t="s">
        <v>95</v>
      </c>
      <c r="G234" t="str">
        <f>HYPERLINK("https://twitter.com/1362997825/status/1143469398675640320")</f>
        <v>https://twitter.com/1362997825/status/1143469398675640320</v>
      </c>
      <c r="H234" t="s">
        <v>46</v>
      </c>
      <c r="I234" t="s">
        <v>1102</v>
      </c>
      <c r="J234" t="str">
        <f>HYPERLINK("http://twitter.com/ArmedRealtor")</f>
        <v>http://twitter.com/ArmedRealtor</v>
      </c>
      <c r="K234">
        <v>2581</v>
      </c>
      <c r="N234" t="s">
        <v>65</v>
      </c>
      <c r="R234" t="s">
        <v>60</v>
      </c>
      <c r="S234" t="s">
        <v>1103</v>
      </c>
      <c r="T234" t="s">
        <v>1104</v>
      </c>
      <c r="U234" t="s">
        <v>1105</v>
      </c>
      <c r="W234">
        <v>8</v>
      </c>
      <c r="X234">
        <v>8</v>
      </c>
      <c r="AE234">
        <v>0</v>
      </c>
      <c r="AF234">
        <v>0</v>
      </c>
      <c r="AI234" t="s">
        <v>52</v>
      </c>
      <c r="AJ234" t="s">
        <v>1106</v>
      </c>
      <c r="AK234" t="s">
        <v>52</v>
      </c>
      <c r="AL234" t="str">
        <f>HYPERLINK("https://pbs.twimg.com/media/D95rWrVWsAABqdi.jpg")</f>
        <v>https://pbs.twimg.com/media/D95rWrVWsAABqdi.jpg</v>
      </c>
      <c r="AM234" t="s">
        <v>52</v>
      </c>
      <c r="AN234" t="s">
        <v>53</v>
      </c>
    </row>
    <row r="235" spans="1:40">
      <c r="A235" t="s">
        <v>40</v>
      </c>
      <c r="B235" t="s">
        <v>1107</v>
      </c>
      <c r="C235" t="s">
        <v>1108</v>
      </c>
      <c r="D235" t="s">
        <v>52</v>
      </c>
      <c r="E235" t="s">
        <v>1109</v>
      </c>
      <c r="F235" t="s">
        <v>95</v>
      </c>
      <c r="G235" t="str">
        <f>HYPERLINK("https://twitter.com/807516458/status/1143467928538570752")</f>
        <v>https://twitter.com/807516458/status/1143467928538570752</v>
      </c>
      <c r="H235" t="s">
        <v>46</v>
      </c>
      <c r="I235" t="s">
        <v>1110</v>
      </c>
      <c r="J235" t="str">
        <f>HYPERLINK("http://twitter.com/YvonneN_KVUE")</f>
        <v>http://twitter.com/YvonneN_KVUE</v>
      </c>
      <c r="K235">
        <v>8410</v>
      </c>
      <c r="L235" t="s">
        <v>58</v>
      </c>
      <c r="N235" t="s">
        <v>65</v>
      </c>
      <c r="R235" t="s">
        <v>60</v>
      </c>
      <c r="S235" t="s">
        <v>51</v>
      </c>
      <c r="T235" t="s">
        <v>152</v>
      </c>
      <c r="U235" t="s">
        <v>424</v>
      </c>
      <c r="W235">
        <v>0</v>
      </c>
      <c r="X235">
        <v>0</v>
      </c>
      <c r="AE235">
        <v>1</v>
      </c>
      <c r="AF235">
        <v>0</v>
      </c>
      <c r="AM235" t="s">
        <v>52</v>
      </c>
      <c r="AN235" t="s">
        <v>53</v>
      </c>
    </row>
    <row r="236" spans="1:40">
      <c r="A236" t="s">
        <v>40</v>
      </c>
      <c r="B236" t="s">
        <v>1111</v>
      </c>
      <c r="C236" t="s">
        <v>1112</v>
      </c>
      <c r="D236" t="s">
        <v>52</v>
      </c>
      <c r="E236" t="s">
        <v>1113</v>
      </c>
      <c r="F236" t="s">
        <v>45</v>
      </c>
      <c r="G236" t="str">
        <f>HYPERLINK("https://www.instagram.com/p/BzISt53gn0B")</f>
        <v>https://www.instagram.com/p/BzISt53gn0B</v>
      </c>
      <c r="H236" t="s">
        <v>46</v>
      </c>
      <c r="I236" t="s">
        <v>1114</v>
      </c>
      <c r="J236" t="str">
        <f>HYPERLINK("http://instagram.com/thatnursehannah")</f>
        <v>http://instagram.com/thatnursehannah</v>
      </c>
      <c r="K236">
        <v>726</v>
      </c>
      <c r="N236" t="s">
        <v>59</v>
      </c>
      <c r="O236" t="s">
        <v>1114</v>
      </c>
      <c r="P236" t="str">
        <f>HYPERLINK("http://instagram.com/thatnursehannah")</f>
        <v>http://instagram.com/thatnursehannah</v>
      </c>
      <c r="Q236">
        <v>726</v>
      </c>
      <c r="R236" t="s">
        <v>60</v>
      </c>
      <c r="W236">
        <v>15</v>
      </c>
      <c r="X236">
        <v>15</v>
      </c>
      <c r="AE236">
        <v>0</v>
      </c>
      <c r="AI236" t="s">
        <v>52</v>
      </c>
      <c r="AJ236" t="s">
        <v>52</v>
      </c>
      <c r="AK236" t="s">
        <v>52</v>
      </c>
      <c r="AL236" t="str">
        <f>HYPERLINK("https://www.instagram.com/p/BzISt53gn0B/media/?size=l")</f>
        <v>https://www.instagram.com/p/BzISt53gn0B/media/?size=l</v>
      </c>
      <c r="AM236" t="s">
        <v>52</v>
      </c>
      <c r="AN236" t="s">
        <v>53</v>
      </c>
    </row>
    <row r="237" spans="1:40">
      <c r="A237" t="s">
        <v>40</v>
      </c>
      <c r="B237" t="s">
        <v>1115</v>
      </c>
      <c r="C237" t="s">
        <v>1116</v>
      </c>
      <c r="D237" t="s">
        <v>52</v>
      </c>
      <c r="E237" t="s">
        <v>1117</v>
      </c>
      <c r="F237" t="s">
        <v>95</v>
      </c>
      <c r="G237" t="str">
        <f>HYPERLINK("https://twitter.com/15175822/status/1143466445696880640")</f>
        <v>https://twitter.com/15175822/status/1143466445696880640</v>
      </c>
      <c r="H237" t="s">
        <v>215</v>
      </c>
      <c r="I237" t="s">
        <v>1118</v>
      </c>
      <c r="J237" t="str">
        <f>HYPERLINK("http://twitter.com/gconnally")</f>
        <v>http://twitter.com/gconnally</v>
      </c>
      <c r="K237">
        <v>128</v>
      </c>
      <c r="L237" t="s">
        <v>58</v>
      </c>
      <c r="N237" t="s">
        <v>65</v>
      </c>
      <c r="R237" t="s">
        <v>60</v>
      </c>
      <c r="S237" t="s">
        <v>51</v>
      </c>
      <c r="T237" t="s">
        <v>152</v>
      </c>
      <c r="U237" t="s">
        <v>424</v>
      </c>
      <c r="W237">
        <v>0</v>
      </c>
      <c r="X237">
        <v>0</v>
      </c>
      <c r="AE237">
        <v>0</v>
      </c>
      <c r="AF237">
        <v>0</v>
      </c>
      <c r="AM237" t="s">
        <v>52</v>
      </c>
      <c r="AN237" t="s">
        <v>53</v>
      </c>
    </row>
    <row r="238" spans="1:40">
      <c r="A238" t="s">
        <v>40</v>
      </c>
      <c r="B238" t="s">
        <v>1119</v>
      </c>
      <c r="C238" t="s">
        <v>1120</v>
      </c>
      <c r="D238" t="s">
        <v>52</v>
      </c>
      <c r="E238" t="s">
        <v>1121</v>
      </c>
      <c r="F238" t="s">
        <v>71</v>
      </c>
      <c r="G238" t="str">
        <f>HYPERLINK("https://twitter.com/219090643/status/1143465850709655552")</f>
        <v>https://twitter.com/219090643/status/1143465850709655552</v>
      </c>
      <c r="H238" t="s">
        <v>46</v>
      </c>
      <c r="I238" t="s">
        <v>1122</v>
      </c>
      <c r="J238" t="str">
        <f>HYPERLINK("http://twitter.com/BryanM_KVUE")</f>
        <v>http://twitter.com/BryanM_KVUE</v>
      </c>
      <c r="K238">
        <v>6245</v>
      </c>
      <c r="L238" t="s">
        <v>48</v>
      </c>
      <c r="N238" t="s">
        <v>65</v>
      </c>
      <c r="R238" t="s">
        <v>60</v>
      </c>
      <c r="S238" t="s">
        <v>51</v>
      </c>
      <c r="T238" t="s">
        <v>152</v>
      </c>
      <c r="U238" t="s">
        <v>424</v>
      </c>
      <c r="W238">
        <v>17</v>
      </c>
      <c r="X238">
        <v>17</v>
      </c>
      <c r="AE238">
        <v>6</v>
      </c>
      <c r="AF238">
        <v>0</v>
      </c>
      <c r="AI238" t="s">
        <v>52</v>
      </c>
      <c r="AJ238" t="s">
        <v>52</v>
      </c>
      <c r="AK238" t="s">
        <v>52</v>
      </c>
      <c r="AL238" t="str">
        <f>HYPERLINK("https://pbs.twimg.com/tweet_video_thumb/D95nCTHW4AAekLc.jpg")</f>
        <v>https://pbs.twimg.com/tweet_video_thumb/D95nCTHW4AAekLc.jpg</v>
      </c>
      <c r="AM238" t="s">
        <v>52</v>
      </c>
      <c r="AN238" t="s">
        <v>53</v>
      </c>
    </row>
    <row r="239" spans="1:40">
      <c r="A239" t="s">
        <v>40</v>
      </c>
      <c r="B239" t="s">
        <v>1123</v>
      </c>
      <c r="C239" t="s">
        <v>1124</v>
      </c>
      <c r="D239" t="s">
        <v>52</v>
      </c>
      <c r="E239" t="s">
        <v>1125</v>
      </c>
      <c r="F239" t="s">
        <v>45</v>
      </c>
      <c r="G239" t="str">
        <f>HYPERLINK("https://twitter.com/2736617494/status/1143464854021271553")</f>
        <v>https://twitter.com/2736617494/status/1143464854021271553</v>
      </c>
      <c r="H239" t="s">
        <v>46</v>
      </c>
      <c r="I239" t="s">
        <v>1126</v>
      </c>
      <c r="J239" t="str">
        <f>HYPERLINK("http://twitter.com/softswinter")</f>
        <v>http://twitter.com/softswinter</v>
      </c>
      <c r="K239">
        <v>1609</v>
      </c>
      <c r="N239" t="s">
        <v>65</v>
      </c>
      <c r="R239" t="s">
        <v>60</v>
      </c>
      <c r="W239">
        <v>0</v>
      </c>
      <c r="X239">
        <v>0</v>
      </c>
      <c r="AE239">
        <v>1</v>
      </c>
      <c r="AF239">
        <v>0</v>
      </c>
      <c r="AI239" t="s">
        <v>52</v>
      </c>
      <c r="AJ239" t="s">
        <v>52</v>
      </c>
      <c r="AK239" t="s">
        <v>341</v>
      </c>
      <c r="AL239" t="str">
        <f>HYPERLINK("https://pbs.twimg.com/media/D95nOVAUcAAS0iv.jpg")</f>
        <v>https://pbs.twimg.com/media/D95nOVAUcAAS0iv.jpg</v>
      </c>
      <c r="AM239" t="s">
        <v>52</v>
      </c>
      <c r="AN239" t="s">
        <v>53</v>
      </c>
    </row>
    <row r="240" spans="1:40">
      <c r="A240" t="s">
        <v>40</v>
      </c>
      <c r="B240" t="s">
        <v>1127</v>
      </c>
      <c r="C240" t="s">
        <v>1120</v>
      </c>
      <c r="D240" t="s">
        <v>1128</v>
      </c>
      <c r="E240" t="s">
        <v>1129</v>
      </c>
      <c r="F240" t="s">
        <v>45</v>
      </c>
      <c r="G240" t="str">
        <f>HYPERLINK("https://www.youtube.com/watch?v=c5Xw38cGbIk")</f>
        <v>https://www.youtube.com/watch?v=c5Xw38cGbIk</v>
      </c>
      <c r="H240" t="s">
        <v>46</v>
      </c>
      <c r="I240" t="s">
        <v>1130</v>
      </c>
      <c r="J240" t="str">
        <f>HYPERLINK("https://www.youtube.com/channel/UC8oz55gwsXhfpNFfzD2kvDg")</f>
        <v>https://www.youtube.com/channel/UC8oz55gwsXhfpNFfzD2kvDg</v>
      </c>
      <c r="K240">
        <v>1</v>
      </c>
      <c r="N240" t="s">
        <v>116</v>
      </c>
      <c r="O240" t="s">
        <v>1130</v>
      </c>
      <c r="P240" t="str">
        <f>HYPERLINK("https://www.youtube.com/channel/UC8oz55gwsXhfpNFfzD2kvDg")</f>
        <v>https://www.youtube.com/channel/UC8oz55gwsXhfpNFfzD2kvDg</v>
      </c>
      <c r="Q240">
        <v>1</v>
      </c>
      <c r="R240" t="s">
        <v>60</v>
      </c>
      <c r="W240">
        <v>1</v>
      </c>
      <c r="X240">
        <v>1</v>
      </c>
      <c r="AD240">
        <v>0</v>
      </c>
      <c r="AE240">
        <v>0</v>
      </c>
      <c r="AG240">
        <v>0</v>
      </c>
      <c r="AI240" t="s">
        <v>52</v>
      </c>
      <c r="AJ240" t="s">
        <v>52</v>
      </c>
      <c r="AK240" t="s">
        <v>52</v>
      </c>
      <c r="AL240" t="str">
        <f>HYPERLINK("https://i.ytimg.com/vi/c5Xw38cGbIk/hqdefault.jpg")</f>
        <v>https://i.ytimg.com/vi/c5Xw38cGbIk/hqdefault.jpg</v>
      </c>
      <c r="AM240" t="s">
        <v>52</v>
      </c>
      <c r="AN240" t="s">
        <v>53</v>
      </c>
    </row>
    <row r="241" spans="1:40">
      <c r="A241" t="s">
        <v>40</v>
      </c>
      <c r="B241" t="s">
        <v>1131</v>
      </c>
      <c r="C241" t="s">
        <v>480</v>
      </c>
      <c r="D241" t="s">
        <v>1132</v>
      </c>
      <c r="E241" t="s">
        <v>1133</v>
      </c>
      <c r="F241" t="s">
        <v>45</v>
      </c>
      <c r="G241" t="str">
        <f>HYPERLINK("https://www.hellopeter.com/mochachos/reviews/bad-food-2781383")</f>
        <v>https://www.hellopeter.com/mochachos/reviews/bad-food-2781383</v>
      </c>
      <c r="H241" t="s">
        <v>91</v>
      </c>
      <c r="I241" t="s">
        <v>1134</v>
      </c>
      <c r="J241" t="str">
        <f>HYPERLINK("https://www.hellopeter.com/mochachos/reviews/bad-food-2781383")</f>
        <v>https://www.hellopeter.com/mochachos/reviews/bad-food-2781383</v>
      </c>
      <c r="N241" t="s">
        <v>1135</v>
      </c>
      <c r="O241" t="s">
        <v>52</v>
      </c>
      <c r="P241" t="str">
        <f>HYPERLINK("https://api-v3.hellopeter.com/reviews?page=12")</f>
        <v>https://api-v3.hellopeter.com/reviews?page=12</v>
      </c>
      <c r="R241" t="s">
        <v>1136</v>
      </c>
      <c r="S241" t="s">
        <v>1071</v>
      </c>
      <c r="AH241">
        <v>1</v>
      </c>
      <c r="AM241" t="s">
        <v>52</v>
      </c>
      <c r="AN241" t="s">
        <v>53</v>
      </c>
    </row>
    <row r="242" spans="1:40">
      <c r="A242" t="s">
        <v>40</v>
      </c>
      <c r="B242" t="s">
        <v>1137</v>
      </c>
      <c r="C242" t="s">
        <v>1138</v>
      </c>
      <c r="D242" t="s">
        <v>52</v>
      </c>
      <c r="E242" t="s">
        <v>1139</v>
      </c>
      <c r="F242" t="s">
        <v>45</v>
      </c>
      <c r="G242" t="str">
        <f>HYPERLINK("https://twitter.com/953710782142926848/status/1143463148839755776")</f>
        <v>https://twitter.com/953710782142926848/status/1143463148839755776</v>
      </c>
      <c r="H242" t="s">
        <v>46</v>
      </c>
      <c r="I242" t="s">
        <v>1140</v>
      </c>
      <c r="J242" t="str">
        <f>HYPERLINK("http://twitter.com/BlueBlairries")</f>
        <v>http://twitter.com/BlueBlairries</v>
      </c>
      <c r="K242">
        <v>3</v>
      </c>
      <c r="N242" t="s">
        <v>65</v>
      </c>
      <c r="R242" t="s">
        <v>60</v>
      </c>
      <c r="W242">
        <v>1</v>
      </c>
      <c r="X242">
        <v>1</v>
      </c>
      <c r="AE242">
        <v>0</v>
      </c>
      <c r="AF242">
        <v>0</v>
      </c>
      <c r="AM242" t="s">
        <v>52</v>
      </c>
      <c r="AN242" t="s">
        <v>53</v>
      </c>
    </row>
    <row r="243" spans="1:40">
      <c r="A243" t="s">
        <v>40</v>
      </c>
      <c r="B243" t="s">
        <v>1137</v>
      </c>
      <c r="C243" t="s">
        <v>794</v>
      </c>
      <c r="D243" t="s">
        <v>1141</v>
      </c>
      <c r="E243" t="s">
        <v>1142</v>
      </c>
      <c r="F243" t="s">
        <v>45</v>
      </c>
      <c r="G243" t="str">
        <f>HYPERLINK("http://www.sisterssavingucents.com/2019/06/harris-teeter-deals-626-72.html")</f>
        <v>http://www.sisterssavingucents.com/2019/06/harris-teeter-deals-626-72.html</v>
      </c>
      <c r="H243" t="s">
        <v>46</v>
      </c>
      <c r="I243" t="s">
        <v>1143</v>
      </c>
      <c r="J243" t="str">
        <f>HYPERLINK("http://www.sisterssavingucents.com/2019/06/harris-teeter-deals-626-72.html")</f>
        <v>http://www.sisterssavingucents.com/2019/06/harris-teeter-deals-626-72.html</v>
      </c>
      <c r="N243" t="s">
        <v>1144</v>
      </c>
      <c r="R243" t="s">
        <v>50</v>
      </c>
      <c r="S243" t="s">
        <v>51</v>
      </c>
      <c r="AM243" t="s">
        <v>52</v>
      </c>
      <c r="AN243" t="s">
        <v>53</v>
      </c>
    </row>
    <row r="244" spans="1:40">
      <c r="A244" t="s">
        <v>40</v>
      </c>
      <c r="B244" t="s">
        <v>1137</v>
      </c>
      <c r="C244" t="s">
        <v>794</v>
      </c>
      <c r="D244" t="s">
        <v>1141</v>
      </c>
      <c r="E244" t="s">
        <v>1142</v>
      </c>
      <c r="F244" t="s">
        <v>45</v>
      </c>
      <c r="G244" t="str">
        <f>HYPERLINK("https://www.sisterssavingucents.com/2019/06/harris-teeter-deals-626-72.html")</f>
        <v>https://www.sisterssavingucents.com/2019/06/harris-teeter-deals-626-72.html</v>
      </c>
      <c r="H244" t="s">
        <v>46</v>
      </c>
      <c r="I244" t="s">
        <v>1143</v>
      </c>
      <c r="J244" t="str">
        <f>HYPERLINK("https://www.sisterssavingucents.com/2019/06/harris-teeter-deals-626-72.html")</f>
        <v>https://www.sisterssavingucents.com/2019/06/harris-teeter-deals-626-72.html</v>
      </c>
      <c r="N244" t="s">
        <v>1144</v>
      </c>
      <c r="R244" t="s">
        <v>50</v>
      </c>
      <c r="S244" t="s">
        <v>51</v>
      </c>
      <c r="AM244" t="s">
        <v>52</v>
      </c>
      <c r="AN244" t="s">
        <v>53</v>
      </c>
    </row>
    <row r="245" spans="1:40">
      <c r="A245" t="s">
        <v>40</v>
      </c>
      <c r="B245" t="s">
        <v>1145</v>
      </c>
      <c r="C245" t="s">
        <v>1146</v>
      </c>
      <c r="D245" t="s">
        <v>1128</v>
      </c>
      <c r="E245" t="s">
        <v>1147</v>
      </c>
      <c r="F245" t="s">
        <v>45</v>
      </c>
      <c r="G245" t="str">
        <f>HYPERLINK("https://www.youtube.com/watch?v=bO1Sk_9dMYs")</f>
        <v>https://www.youtube.com/watch?v=bO1Sk_9dMYs</v>
      </c>
      <c r="H245" t="s">
        <v>46</v>
      </c>
      <c r="I245" t="s">
        <v>1130</v>
      </c>
      <c r="J245" t="str">
        <f>HYPERLINK("https://www.youtube.com/channel/UC8oz55gwsXhfpNFfzD2kvDg")</f>
        <v>https://www.youtube.com/channel/UC8oz55gwsXhfpNFfzD2kvDg</v>
      </c>
      <c r="K245">
        <v>1</v>
      </c>
      <c r="N245" t="s">
        <v>116</v>
      </c>
      <c r="O245" t="s">
        <v>1130</v>
      </c>
      <c r="P245" t="str">
        <f>HYPERLINK("https://www.youtube.com/channel/UC8oz55gwsXhfpNFfzD2kvDg")</f>
        <v>https://www.youtube.com/channel/UC8oz55gwsXhfpNFfzD2kvDg</v>
      </c>
      <c r="Q245">
        <v>1</v>
      </c>
      <c r="R245" t="s">
        <v>60</v>
      </c>
      <c r="W245">
        <v>0</v>
      </c>
      <c r="X245">
        <v>0</v>
      </c>
      <c r="AD245">
        <v>0</v>
      </c>
      <c r="AE245">
        <v>0</v>
      </c>
      <c r="AG245">
        <v>0</v>
      </c>
      <c r="AI245" t="s">
        <v>52</v>
      </c>
      <c r="AJ245" t="s">
        <v>52</v>
      </c>
      <c r="AK245" t="s">
        <v>52</v>
      </c>
      <c r="AL245" t="str">
        <f>HYPERLINK("https://i.ytimg.com/vi/bO1Sk_9dMYs/hqdefault.jpg")</f>
        <v>https://i.ytimg.com/vi/bO1Sk_9dMYs/hqdefault.jpg</v>
      </c>
      <c r="AM245" t="s">
        <v>52</v>
      </c>
      <c r="AN245" t="s">
        <v>53</v>
      </c>
    </row>
    <row r="246" spans="1:40">
      <c r="A246" t="s">
        <v>40</v>
      </c>
      <c r="B246" t="s">
        <v>1145</v>
      </c>
      <c r="C246" t="s">
        <v>1148</v>
      </c>
      <c r="D246" t="s">
        <v>1149</v>
      </c>
      <c r="E246" t="s">
        <v>1150</v>
      </c>
      <c r="F246" t="s">
        <v>95</v>
      </c>
      <c r="G246" t="str">
        <f>HYPERLINK("https://www.youtube.com/watch?v=tkyVDRyvCWE&amp;lc=UgyDPqmlPBowMN7bEKJ4AaABAg")</f>
        <v>https://www.youtube.com/watch?v=tkyVDRyvCWE&amp;lc=UgyDPqmlPBowMN7bEKJ4AaABAg</v>
      </c>
      <c r="H246" t="s">
        <v>46</v>
      </c>
      <c r="I246" t="s">
        <v>1151</v>
      </c>
      <c r="J246" t="str">
        <f>HYPERLINK("https://www.youtube.com/channel/UC2qB4qSL8Y_p3aUD6ps5C5w")</f>
        <v>https://www.youtube.com/channel/UC2qB4qSL8Y_p3aUD6ps5C5w</v>
      </c>
      <c r="K246">
        <v>36</v>
      </c>
      <c r="L246" t="s">
        <v>48</v>
      </c>
      <c r="N246" t="s">
        <v>116</v>
      </c>
      <c r="O246" t="s">
        <v>1152</v>
      </c>
      <c r="P246" t="str">
        <f>HYPERLINK("https://www.youtube.com/channel/UC3gdaplfyzSr2YjHHwxRhPQ")</f>
        <v>https://www.youtube.com/channel/UC3gdaplfyzSr2YjHHwxRhPQ</v>
      </c>
      <c r="Q246">
        <v>111409</v>
      </c>
      <c r="R246" t="s">
        <v>60</v>
      </c>
      <c r="S246" t="s">
        <v>142</v>
      </c>
      <c r="W246">
        <v>1</v>
      </c>
      <c r="X246">
        <v>1</v>
      </c>
      <c r="AE246">
        <v>0</v>
      </c>
      <c r="AM246" t="s">
        <v>52</v>
      </c>
      <c r="AN246" t="s">
        <v>53</v>
      </c>
    </row>
    <row r="247" spans="1:40">
      <c r="A247" t="s">
        <v>40</v>
      </c>
      <c r="B247" t="s">
        <v>1153</v>
      </c>
      <c r="C247" t="s">
        <v>1148</v>
      </c>
      <c r="D247" t="s">
        <v>1149</v>
      </c>
      <c r="E247" t="s">
        <v>1154</v>
      </c>
      <c r="F247" t="s">
        <v>95</v>
      </c>
      <c r="G247" t="str">
        <f>HYPERLINK("https://www.youtube.com/watch?v=tkyVDRyvCWE&amp;lc=UgzsiSbDkl0kZkE_an14AaABAg")</f>
        <v>https://www.youtube.com/watch?v=tkyVDRyvCWE&amp;lc=UgzsiSbDkl0kZkE_an14AaABAg</v>
      </c>
      <c r="H247" t="s">
        <v>46</v>
      </c>
      <c r="I247" t="s">
        <v>1155</v>
      </c>
      <c r="J247" t="str">
        <f>HYPERLINK("https://www.youtube.com/channel/UCBkIkwZ0szjR2jDHzfJ3x7w")</f>
        <v>https://www.youtube.com/channel/UCBkIkwZ0szjR2jDHzfJ3x7w</v>
      </c>
      <c r="K247">
        <v>0</v>
      </c>
      <c r="L247" t="s">
        <v>48</v>
      </c>
      <c r="N247" t="s">
        <v>116</v>
      </c>
      <c r="O247" t="s">
        <v>1152</v>
      </c>
      <c r="P247" t="str">
        <f>HYPERLINK("https://www.youtube.com/channel/UC3gdaplfyzSr2YjHHwxRhPQ")</f>
        <v>https://www.youtube.com/channel/UC3gdaplfyzSr2YjHHwxRhPQ</v>
      </c>
      <c r="Q247">
        <v>111409</v>
      </c>
      <c r="R247" t="s">
        <v>60</v>
      </c>
      <c r="S247" t="s">
        <v>142</v>
      </c>
      <c r="W247">
        <v>0</v>
      </c>
      <c r="X247">
        <v>0</v>
      </c>
      <c r="AE247">
        <v>0</v>
      </c>
      <c r="AM247" t="s">
        <v>52</v>
      </c>
      <c r="AN247" t="s">
        <v>53</v>
      </c>
    </row>
    <row r="248" spans="1:40">
      <c r="A248" t="s">
        <v>40</v>
      </c>
      <c r="B248" t="s">
        <v>1153</v>
      </c>
      <c r="C248" t="s">
        <v>1156</v>
      </c>
      <c r="D248" t="s">
        <v>52</v>
      </c>
      <c r="E248" t="s">
        <v>1157</v>
      </c>
      <c r="F248" t="s">
        <v>131</v>
      </c>
      <c r="G248" t="str">
        <f>HYPERLINK("https://twitter.com/342614530/status/1143461411680595968")</f>
        <v>https://twitter.com/342614530/status/1143461411680595968</v>
      </c>
      <c r="H248" t="s">
        <v>46</v>
      </c>
      <c r="I248" t="s">
        <v>1158</v>
      </c>
      <c r="J248" t="str">
        <f>HYPERLINK("http://twitter.com/HotaruKiryu")</f>
        <v>http://twitter.com/HotaruKiryu</v>
      </c>
      <c r="K248">
        <v>430</v>
      </c>
      <c r="N248" t="s">
        <v>65</v>
      </c>
      <c r="R248" t="s">
        <v>60</v>
      </c>
      <c r="S248" t="s">
        <v>156</v>
      </c>
      <c r="T248" t="s">
        <v>1159</v>
      </c>
      <c r="U248" t="s">
        <v>1160</v>
      </c>
      <c r="W248">
        <v>0</v>
      </c>
      <c r="X248">
        <v>0</v>
      </c>
      <c r="AE248">
        <v>0</v>
      </c>
      <c r="AM248" t="s">
        <v>52</v>
      </c>
      <c r="AN248" t="s">
        <v>53</v>
      </c>
    </row>
    <row r="249" spans="1:40">
      <c r="A249" t="s">
        <v>40</v>
      </c>
      <c r="B249" t="s">
        <v>1153</v>
      </c>
      <c r="C249" t="s">
        <v>1138</v>
      </c>
      <c r="D249" t="s">
        <v>52</v>
      </c>
      <c r="E249" t="s">
        <v>1161</v>
      </c>
      <c r="F249" t="s">
        <v>45</v>
      </c>
      <c r="G249" t="str">
        <f>HYPERLINK("https://www.instagram.com/p/BzIP43UJmWC")</f>
        <v>https://www.instagram.com/p/BzIP43UJmWC</v>
      </c>
      <c r="H249" t="s">
        <v>46</v>
      </c>
      <c r="I249" t="s">
        <v>1162</v>
      </c>
      <c r="J249" t="str">
        <f>HYPERLINK("http://instagram.com/kullovic")</f>
        <v>http://instagram.com/kullovic</v>
      </c>
      <c r="K249">
        <v>733</v>
      </c>
      <c r="N249" t="s">
        <v>59</v>
      </c>
      <c r="O249" t="s">
        <v>1162</v>
      </c>
      <c r="P249" t="str">
        <f>HYPERLINK("http://instagram.com/kullovic")</f>
        <v>http://instagram.com/kullovic</v>
      </c>
      <c r="Q249">
        <v>733</v>
      </c>
      <c r="R249" t="s">
        <v>60</v>
      </c>
      <c r="W249">
        <v>53</v>
      </c>
      <c r="X249">
        <v>53</v>
      </c>
      <c r="AE249">
        <v>0</v>
      </c>
      <c r="AL249" t="str">
        <f>HYPERLINK("https://www.instagram.com/p/BzIP43UJmWC/media/?size=l")</f>
        <v>https://www.instagram.com/p/BzIP43UJmWC/media/?size=l</v>
      </c>
      <c r="AM249" t="s">
        <v>52</v>
      </c>
      <c r="AN249" t="s">
        <v>53</v>
      </c>
    </row>
    <row r="250" spans="1:40">
      <c r="A250" t="s">
        <v>40</v>
      </c>
      <c r="B250" t="s">
        <v>1163</v>
      </c>
      <c r="C250" t="s">
        <v>1164</v>
      </c>
      <c r="D250" t="s">
        <v>52</v>
      </c>
      <c r="E250" t="s">
        <v>1165</v>
      </c>
      <c r="F250" t="s">
        <v>45</v>
      </c>
      <c r="G250" t="str">
        <f>HYPERLINK("https://twitter.com/273183197/status/1143461010407342080")</f>
        <v>https://twitter.com/273183197/status/1143461010407342080</v>
      </c>
      <c r="H250" t="s">
        <v>215</v>
      </c>
      <c r="I250" t="s">
        <v>1166</v>
      </c>
      <c r="J250" t="str">
        <f>HYPERLINK("http://twitter.com/sastover1717")</f>
        <v>http://twitter.com/sastover1717</v>
      </c>
      <c r="K250">
        <v>1321</v>
      </c>
      <c r="N250" t="s">
        <v>65</v>
      </c>
      <c r="R250" t="s">
        <v>60</v>
      </c>
      <c r="W250">
        <v>0</v>
      </c>
      <c r="X250">
        <v>0</v>
      </c>
      <c r="AE250">
        <v>0</v>
      </c>
      <c r="AF250">
        <v>0</v>
      </c>
      <c r="AM250" t="s">
        <v>52</v>
      </c>
      <c r="AN250" t="s">
        <v>53</v>
      </c>
    </row>
    <row r="251" spans="1:40">
      <c r="A251" t="s">
        <v>40</v>
      </c>
      <c r="B251" t="s">
        <v>1163</v>
      </c>
      <c r="C251" t="s">
        <v>1167</v>
      </c>
      <c r="D251" t="s">
        <v>52</v>
      </c>
      <c r="E251" t="s">
        <v>1168</v>
      </c>
      <c r="F251" t="s">
        <v>95</v>
      </c>
      <c r="G251" t="str">
        <f>HYPERLINK("https://twitter.com/831597011556237317/status/1143460980606812160")</f>
        <v>https://twitter.com/831597011556237317/status/1143460980606812160</v>
      </c>
      <c r="H251" t="s">
        <v>46</v>
      </c>
      <c r="I251" t="s">
        <v>1169</v>
      </c>
      <c r="J251" t="str">
        <f>HYPERLINK("http://twitter.com/Cherrysife11")</f>
        <v>http://twitter.com/Cherrysife11</v>
      </c>
      <c r="K251">
        <v>2</v>
      </c>
      <c r="N251" t="s">
        <v>65</v>
      </c>
      <c r="R251" t="s">
        <v>60</v>
      </c>
      <c r="W251">
        <v>0</v>
      </c>
      <c r="X251">
        <v>0</v>
      </c>
      <c r="AE251">
        <v>0</v>
      </c>
      <c r="AF251">
        <v>0</v>
      </c>
      <c r="AM251" t="s">
        <v>52</v>
      </c>
      <c r="AN251" t="s">
        <v>53</v>
      </c>
    </row>
    <row r="252" spans="1:40">
      <c r="A252" t="s">
        <v>40</v>
      </c>
      <c r="B252" t="s">
        <v>1163</v>
      </c>
      <c r="C252" t="s">
        <v>1170</v>
      </c>
      <c r="D252" t="s">
        <v>52</v>
      </c>
      <c r="E252" t="s">
        <v>1171</v>
      </c>
      <c r="F252" t="s">
        <v>45</v>
      </c>
      <c r="G252" t="str">
        <f>HYPERLINK("https://twitter.com/1001455298/status/1143460919814606848")</f>
        <v>https://twitter.com/1001455298/status/1143460919814606848</v>
      </c>
      <c r="H252" t="s">
        <v>46</v>
      </c>
      <c r="I252" t="s">
        <v>1172</v>
      </c>
      <c r="J252" t="str">
        <f>HYPERLINK("http://twitter.com/bubbleglam__")</f>
        <v>http://twitter.com/bubbleglam__</v>
      </c>
      <c r="K252">
        <v>223</v>
      </c>
      <c r="N252" t="s">
        <v>65</v>
      </c>
      <c r="R252" t="s">
        <v>60</v>
      </c>
      <c r="S252" t="s">
        <v>51</v>
      </c>
      <c r="T252" t="s">
        <v>137</v>
      </c>
      <c r="U252" t="s">
        <v>1173</v>
      </c>
      <c r="W252">
        <v>0</v>
      </c>
      <c r="X252">
        <v>0</v>
      </c>
      <c r="AE252">
        <v>0</v>
      </c>
      <c r="AF252">
        <v>0</v>
      </c>
      <c r="AM252" t="s">
        <v>52</v>
      </c>
      <c r="AN252" t="s">
        <v>53</v>
      </c>
    </row>
    <row r="253" spans="1:40">
      <c r="A253" t="s">
        <v>40</v>
      </c>
      <c r="B253" t="s">
        <v>1163</v>
      </c>
      <c r="C253" t="s">
        <v>1164</v>
      </c>
      <c r="D253" t="s">
        <v>52</v>
      </c>
      <c r="E253" t="s">
        <v>1174</v>
      </c>
      <c r="F253" t="s">
        <v>131</v>
      </c>
      <c r="G253" t="str">
        <f>HYPERLINK("https://twitter.com/976234472/status/1143460855218167809")</f>
        <v>https://twitter.com/976234472/status/1143460855218167809</v>
      </c>
      <c r="H253" t="s">
        <v>46</v>
      </c>
      <c r="I253" t="s">
        <v>1175</v>
      </c>
      <c r="J253" t="str">
        <f>HYPERLINK("http://twitter.com/carollake75")</f>
        <v>http://twitter.com/carollake75</v>
      </c>
      <c r="K253">
        <v>41</v>
      </c>
      <c r="N253" t="s">
        <v>65</v>
      </c>
      <c r="R253" t="s">
        <v>60</v>
      </c>
      <c r="W253">
        <v>0</v>
      </c>
      <c r="X253">
        <v>0</v>
      </c>
      <c r="AE253">
        <v>0</v>
      </c>
      <c r="AI253" t="s">
        <v>1176</v>
      </c>
      <c r="AJ253" t="s">
        <v>1177</v>
      </c>
      <c r="AK253" t="s">
        <v>52</v>
      </c>
      <c r="AL253" t="str">
        <f>HYPERLINK("https://pbs.twimg.com/ext_tw_video_thumb/1143268619956056064/pu/img/SLb27Fb_f5FBj8oQ.jpg")</f>
        <v>https://pbs.twimg.com/ext_tw_video_thumb/1143268619956056064/pu/img/SLb27Fb_f5FBj8oQ.jpg</v>
      </c>
      <c r="AM253" t="s">
        <v>52</v>
      </c>
      <c r="AN253" t="s">
        <v>53</v>
      </c>
    </row>
    <row r="254" spans="1:40">
      <c r="A254" t="s">
        <v>40</v>
      </c>
      <c r="B254" t="s">
        <v>1178</v>
      </c>
      <c r="C254" t="s">
        <v>1179</v>
      </c>
      <c r="D254" t="s">
        <v>52</v>
      </c>
      <c r="E254" t="s">
        <v>1180</v>
      </c>
      <c r="F254" t="s">
        <v>131</v>
      </c>
      <c r="G254" t="str">
        <f>HYPERLINK("https://twitter.com/3739840037/status/1143460132363411456")</f>
        <v>https://twitter.com/3739840037/status/1143460132363411456</v>
      </c>
      <c r="H254" t="s">
        <v>46</v>
      </c>
      <c r="I254" t="s">
        <v>1181</v>
      </c>
      <c r="J254" t="str">
        <f>HYPERLINK("http://twitter.com/norlhuda")</f>
        <v>http://twitter.com/norlhuda</v>
      </c>
      <c r="K254">
        <v>2242</v>
      </c>
      <c r="N254" t="s">
        <v>65</v>
      </c>
      <c r="R254" t="s">
        <v>60</v>
      </c>
      <c r="S254" t="s">
        <v>444</v>
      </c>
      <c r="T254" t="s">
        <v>579</v>
      </c>
      <c r="U254" t="s">
        <v>580</v>
      </c>
      <c r="W254">
        <v>0</v>
      </c>
      <c r="X254">
        <v>0</v>
      </c>
      <c r="AE254">
        <v>0</v>
      </c>
      <c r="AI254" t="s">
        <v>108</v>
      </c>
      <c r="AJ254" t="s">
        <v>1182</v>
      </c>
      <c r="AK254" t="s">
        <v>52</v>
      </c>
      <c r="AL254" t="str">
        <f>HYPERLINK("https://pbs.twimg.com/media/D80r9oIWsAArHWa.jpg")</f>
        <v>https://pbs.twimg.com/media/D80r9oIWsAArHWa.jpg</v>
      </c>
      <c r="AM254" t="s">
        <v>52</v>
      </c>
      <c r="AN254" t="s">
        <v>53</v>
      </c>
    </row>
    <row r="255" spans="1:40">
      <c r="A255" t="s">
        <v>40</v>
      </c>
      <c r="B255" t="s">
        <v>1183</v>
      </c>
      <c r="C255" t="s">
        <v>1005</v>
      </c>
      <c r="D255" t="s">
        <v>52</v>
      </c>
      <c r="E255" t="s">
        <v>1184</v>
      </c>
      <c r="F255" t="s">
        <v>45</v>
      </c>
      <c r="G255" t="str">
        <f>HYPERLINK("https://www.instagram.com/p/BzIM5F4n39B")</f>
        <v>https://www.instagram.com/p/BzIM5F4n39B</v>
      </c>
      <c r="H255" t="s">
        <v>215</v>
      </c>
      <c r="I255" t="s">
        <v>52</v>
      </c>
      <c r="J255" t="str">
        <f>HYPERLINK("http://instagram.com/q.mukbang")</f>
        <v>http://instagram.com/q.mukbang</v>
      </c>
      <c r="K255">
        <v>0</v>
      </c>
      <c r="N255" t="s">
        <v>59</v>
      </c>
      <c r="O255" t="s">
        <v>52</v>
      </c>
      <c r="P255" t="str">
        <f>HYPERLINK("http://instagram.com/q.mukbang")</f>
        <v>http://instagram.com/q.mukbang</v>
      </c>
      <c r="Q255">
        <v>0</v>
      </c>
      <c r="R255" t="s">
        <v>60</v>
      </c>
      <c r="W255">
        <v>16</v>
      </c>
      <c r="X255">
        <v>16</v>
      </c>
      <c r="AE255">
        <v>2</v>
      </c>
      <c r="AG255">
        <v>33</v>
      </c>
      <c r="AI255" t="s">
        <v>52</v>
      </c>
      <c r="AJ255" t="s">
        <v>1185</v>
      </c>
      <c r="AK255" t="s">
        <v>52</v>
      </c>
      <c r="AL255" t="str">
        <f>HYPERLINK("https://www.instagram.com/p/BzIM5F4n39B/media/?size=l")</f>
        <v>https://www.instagram.com/p/BzIM5F4n39B/media/?size=l</v>
      </c>
      <c r="AM255" t="s">
        <v>52</v>
      </c>
      <c r="AN255" t="s">
        <v>53</v>
      </c>
    </row>
    <row r="256" spans="1:40">
      <c r="A256" t="s">
        <v>40</v>
      </c>
      <c r="B256" t="s">
        <v>1183</v>
      </c>
      <c r="C256" t="s">
        <v>1186</v>
      </c>
      <c r="D256" t="s">
        <v>52</v>
      </c>
      <c r="E256" t="s">
        <v>204</v>
      </c>
      <c r="F256" t="s">
        <v>131</v>
      </c>
      <c r="G256" t="str">
        <f>HYPERLINK("https://twitter.com/3016555994/status/1143459690665238528")</f>
        <v>https://twitter.com/3016555994/status/1143459690665238528</v>
      </c>
      <c r="H256" t="s">
        <v>46</v>
      </c>
      <c r="I256" t="s">
        <v>1187</v>
      </c>
      <c r="J256" t="str">
        <f>HYPERLINK("http://twitter.com/turambar112")</f>
        <v>http://twitter.com/turambar112</v>
      </c>
      <c r="K256">
        <v>268</v>
      </c>
      <c r="L256" t="s">
        <v>48</v>
      </c>
      <c r="N256" t="s">
        <v>65</v>
      </c>
      <c r="R256" t="s">
        <v>60</v>
      </c>
      <c r="W256">
        <v>0</v>
      </c>
      <c r="X256">
        <v>0</v>
      </c>
      <c r="AE256">
        <v>0</v>
      </c>
      <c r="AM256" t="s">
        <v>52</v>
      </c>
      <c r="AN256" t="s">
        <v>53</v>
      </c>
    </row>
    <row r="257" spans="1:40">
      <c r="A257" t="s">
        <v>40</v>
      </c>
      <c r="B257" t="s">
        <v>1188</v>
      </c>
      <c r="C257" t="s">
        <v>1189</v>
      </c>
      <c r="D257" t="s">
        <v>52</v>
      </c>
      <c r="E257" t="s">
        <v>1190</v>
      </c>
      <c r="F257" t="s">
        <v>131</v>
      </c>
      <c r="G257" t="str">
        <f>HYPERLINK("https://twitter.com/888682246424670208/status/1143458792169979904")</f>
        <v>https://twitter.com/888682246424670208/status/1143458792169979904</v>
      </c>
      <c r="H257" t="s">
        <v>46</v>
      </c>
      <c r="I257" t="s">
        <v>1191</v>
      </c>
      <c r="J257" t="str">
        <f>HYPERLINK("http://twitter.com/stefxkrunt")</f>
        <v>http://twitter.com/stefxkrunt</v>
      </c>
      <c r="K257">
        <v>662</v>
      </c>
      <c r="N257" t="s">
        <v>65</v>
      </c>
      <c r="R257" t="s">
        <v>60</v>
      </c>
      <c r="S257" t="s">
        <v>51</v>
      </c>
      <c r="T257" t="s">
        <v>152</v>
      </c>
      <c r="U257" t="s">
        <v>1192</v>
      </c>
      <c r="W257">
        <v>0</v>
      </c>
      <c r="X257">
        <v>0</v>
      </c>
      <c r="AE257">
        <v>0</v>
      </c>
      <c r="AM257" t="s">
        <v>52</v>
      </c>
      <c r="AN257" t="s">
        <v>53</v>
      </c>
    </row>
    <row r="258" spans="1:40">
      <c r="A258" t="s">
        <v>40</v>
      </c>
      <c r="B258" t="s">
        <v>1188</v>
      </c>
      <c r="C258" t="s">
        <v>1193</v>
      </c>
      <c r="D258" t="s">
        <v>52</v>
      </c>
      <c r="E258" t="s">
        <v>1194</v>
      </c>
      <c r="F258" t="s">
        <v>131</v>
      </c>
      <c r="G258" t="str">
        <f>HYPERLINK("https://twitter.com/3025754623/status/1143458596895596544")</f>
        <v>https://twitter.com/3025754623/status/1143458596895596544</v>
      </c>
      <c r="H258" t="s">
        <v>46</v>
      </c>
      <c r="I258" t="s">
        <v>1195</v>
      </c>
      <c r="J258" t="str">
        <f>HYPERLINK("http://twitter.com/furryhye")</f>
        <v>http://twitter.com/furryhye</v>
      </c>
      <c r="K258">
        <v>141</v>
      </c>
      <c r="N258" t="s">
        <v>65</v>
      </c>
      <c r="R258" t="s">
        <v>60</v>
      </c>
      <c r="W258">
        <v>0</v>
      </c>
      <c r="X258">
        <v>0</v>
      </c>
      <c r="AE258">
        <v>0</v>
      </c>
      <c r="AI258" t="s">
        <v>52</v>
      </c>
      <c r="AJ258" t="s">
        <v>1196</v>
      </c>
      <c r="AK258" t="s">
        <v>52</v>
      </c>
      <c r="AL258" t="str">
        <f>HYPERLINK("https://pbs.twimg.com/media/D9xgk2YXkAAd2ql.jpg")</f>
        <v>https://pbs.twimg.com/media/D9xgk2YXkAAd2ql.jpg</v>
      </c>
      <c r="AM258" t="s">
        <v>52</v>
      </c>
      <c r="AN258" t="s">
        <v>53</v>
      </c>
    </row>
    <row r="259" spans="1:40">
      <c r="A259" t="s">
        <v>40</v>
      </c>
      <c r="B259" t="s">
        <v>1197</v>
      </c>
      <c r="C259" t="s">
        <v>1189</v>
      </c>
      <c r="D259" t="s">
        <v>52</v>
      </c>
      <c r="E259" t="s">
        <v>1198</v>
      </c>
      <c r="F259" t="s">
        <v>95</v>
      </c>
      <c r="G259" t="str">
        <f>HYPERLINK("https://twitter.com/2788310897/status/1143458397716713472")</f>
        <v>https://twitter.com/2788310897/status/1143458397716713472</v>
      </c>
      <c r="H259" t="s">
        <v>46</v>
      </c>
      <c r="I259" t="s">
        <v>1199</v>
      </c>
      <c r="J259" t="str">
        <f>HYPERLINK("http://twitter.com/Kanija09")</f>
        <v>http://twitter.com/Kanija09</v>
      </c>
      <c r="K259">
        <v>653</v>
      </c>
      <c r="N259" t="s">
        <v>65</v>
      </c>
      <c r="R259" t="s">
        <v>60</v>
      </c>
      <c r="S259" t="s">
        <v>142</v>
      </c>
      <c r="T259" t="s">
        <v>1200</v>
      </c>
      <c r="U259" t="s">
        <v>1201</v>
      </c>
      <c r="W259">
        <v>3</v>
      </c>
      <c r="X259">
        <v>3</v>
      </c>
      <c r="AE259">
        <v>0</v>
      </c>
      <c r="AF259">
        <v>0</v>
      </c>
      <c r="AM259" t="s">
        <v>52</v>
      </c>
      <c r="AN259" t="s">
        <v>53</v>
      </c>
    </row>
    <row r="260" spans="1:40">
      <c r="A260" t="s">
        <v>40</v>
      </c>
      <c r="B260" t="s">
        <v>1202</v>
      </c>
      <c r="C260" t="s">
        <v>1203</v>
      </c>
      <c r="D260" t="s">
        <v>52</v>
      </c>
      <c r="E260" t="s">
        <v>599</v>
      </c>
      <c r="F260" t="s">
        <v>131</v>
      </c>
      <c r="G260" t="str">
        <f>HYPERLINK("https://twitter.com/1059040216898428928/status/1143455735143006208")</f>
        <v>https://twitter.com/1059040216898428928/status/1143455735143006208</v>
      </c>
      <c r="H260" t="s">
        <v>46</v>
      </c>
      <c r="I260" t="s">
        <v>1204</v>
      </c>
      <c r="J260" t="str">
        <f>HYPERLINK("http://twitter.com/Xgt7uXAqS44oc5r")</f>
        <v>http://twitter.com/Xgt7uXAqS44oc5r</v>
      </c>
      <c r="K260">
        <v>2</v>
      </c>
      <c r="N260" t="s">
        <v>65</v>
      </c>
      <c r="R260" t="s">
        <v>60</v>
      </c>
      <c r="W260">
        <v>0</v>
      </c>
      <c r="X260">
        <v>0</v>
      </c>
      <c r="AE260">
        <v>0</v>
      </c>
      <c r="AI260" t="s">
        <v>108</v>
      </c>
      <c r="AJ260" t="s">
        <v>52</v>
      </c>
      <c r="AK260" t="s">
        <v>601</v>
      </c>
      <c r="AL260" t="str">
        <f>HYPERLINK("https://pbs.twimg.com/ext_tw_video_thumb/1143202185154584581/pu/img/K72qfBH8zIdbiUf-.jpg")</f>
        <v>https://pbs.twimg.com/ext_tw_video_thumb/1143202185154584581/pu/img/K72qfBH8zIdbiUf-.jpg</v>
      </c>
      <c r="AM260" t="s">
        <v>52</v>
      </c>
      <c r="AN260" t="s">
        <v>53</v>
      </c>
    </row>
    <row r="261" spans="1:40">
      <c r="A261" t="s">
        <v>40</v>
      </c>
      <c r="B261" t="s">
        <v>1205</v>
      </c>
      <c r="C261" t="s">
        <v>1206</v>
      </c>
      <c r="D261" t="s">
        <v>52</v>
      </c>
      <c r="E261" t="s">
        <v>1207</v>
      </c>
      <c r="F261" t="s">
        <v>45</v>
      </c>
      <c r="G261" t="str">
        <f>HYPERLINK("https://twitter.com/1010033664913264640/status/1143455460776919041")</f>
        <v>https://twitter.com/1010033664913264640/status/1143455460776919041</v>
      </c>
      <c r="H261" t="s">
        <v>46</v>
      </c>
      <c r="I261" t="s">
        <v>1208</v>
      </c>
      <c r="J261" t="str">
        <f>HYPERLINK("http://twitter.com/rFreebiesBot")</f>
        <v>http://twitter.com/rFreebiesBot</v>
      </c>
      <c r="K261">
        <v>9</v>
      </c>
      <c r="N261" t="s">
        <v>65</v>
      </c>
      <c r="R261" t="s">
        <v>60</v>
      </c>
      <c r="W261">
        <v>0</v>
      </c>
      <c r="X261">
        <v>0</v>
      </c>
      <c r="AE261">
        <v>0</v>
      </c>
      <c r="AF261">
        <v>0</v>
      </c>
      <c r="AM261" t="s">
        <v>52</v>
      </c>
      <c r="AN261" t="s">
        <v>53</v>
      </c>
    </row>
    <row r="262" spans="1:40">
      <c r="A262" t="s">
        <v>40</v>
      </c>
      <c r="B262" t="s">
        <v>1205</v>
      </c>
      <c r="C262" t="s">
        <v>1209</v>
      </c>
      <c r="D262" t="s">
        <v>52</v>
      </c>
      <c r="E262" t="s">
        <v>1210</v>
      </c>
      <c r="F262" t="s">
        <v>95</v>
      </c>
      <c r="G262" t="str">
        <f>HYPERLINK("https://twitter.com/831841624879726592/status/1143455380254707712")</f>
        <v>https://twitter.com/831841624879726592/status/1143455380254707712</v>
      </c>
      <c r="H262" t="s">
        <v>46</v>
      </c>
      <c r="I262" t="s">
        <v>1211</v>
      </c>
      <c r="J262" t="str">
        <f>HYPERLINK("http://twitter.com/dorathehoodrat")</f>
        <v>http://twitter.com/dorathehoodrat</v>
      </c>
      <c r="K262">
        <v>155</v>
      </c>
      <c r="N262" t="s">
        <v>65</v>
      </c>
      <c r="R262" t="s">
        <v>60</v>
      </c>
      <c r="S262" t="s">
        <v>97</v>
      </c>
      <c r="T262" t="s">
        <v>177</v>
      </c>
      <c r="W262">
        <v>5</v>
      </c>
      <c r="X262">
        <v>5</v>
      </c>
      <c r="AE262">
        <v>2</v>
      </c>
      <c r="AF262">
        <v>0</v>
      </c>
      <c r="AM262" t="s">
        <v>52</v>
      </c>
      <c r="AN262" t="s">
        <v>53</v>
      </c>
    </row>
    <row r="263" spans="1:40">
      <c r="A263" t="s">
        <v>40</v>
      </c>
      <c r="B263" t="s">
        <v>1212</v>
      </c>
      <c r="C263" t="s">
        <v>1203</v>
      </c>
      <c r="D263" t="s">
        <v>52</v>
      </c>
      <c r="E263" t="s">
        <v>204</v>
      </c>
      <c r="F263" t="s">
        <v>131</v>
      </c>
      <c r="G263" t="str">
        <f>HYPERLINK("https://twitter.com/1118994216862883840/status/1143454954708803584")</f>
        <v>https://twitter.com/1118994216862883840/status/1143454954708803584</v>
      </c>
      <c r="H263" t="s">
        <v>46</v>
      </c>
      <c r="I263" t="s">
        <v>1213</v>
      </c>
      <c r="J263" t="str">
        <f>HYPERLINK("http://twitter.com/_choe__")</f>
        <v>http://twitter.com/_choe__</v>
      </c>
      <c r="K263">
        <v>22</v>
      </c>
      <c r="N263" t="s">
        <v>65</v>
      </c>
      <c r="R263" t="s">
        <v>60</v>
      </c>
      <c r="S263" t="s">
        <v>51</v>
      </c>
      <c r="T263" t="s">
        <v>173</v>
      </c>
      <c r="U263" t="s">
        <v>1214</v>
      </c>
      <c r="W263">
        <v>0</v>
      </c>
      <c r="X263">
        <v>0</v>
      </c>
      <c r="AE263">
        <v>0</v>
      </c>
      <c r="AM263" t="s">
        <v>52</v>
      </c>
      <c r="AN263" t="s">
        <v>53</v>
      </c>
    </row>
    <row r="264" spans="1:40">
      <c r="A264" t="s">
        <v>40</v>
      </c>
      <c r="B264" t="s">
        <v>1215</v>
      </c>
      <c r="C264" t="s">
        <v>1216</v>
      </c>
      <c r="D264" t="s">
        <v>52</v>
      </c>
      <c r="E264" t="s">
        <v>130</v>
      </c>
      <c r="F264" t="s">
        <v>131</v>
      </c>
      <c r="G264" t="str">
        <f>HYPERLINK("https://twitter.com/118643370/status/1143454708947980289")</f>
        <v>https://twitter.com/118643370/status/1143454708947980289</v>
      </c>
      <c r="H264" t="s">
        <v>46</v>
      </c>
      <c r="I264" t="s">
        <v>1217</v>
      </c>
      <c r="J264" t="str">
        <f>HYPERLINK("http://twitter.com/bextow")</f>
        <v>http://twitter.com/bextow</v>
      </c>
      <c r="K264">
        <v>2379</v>
      </c>
      <c r="L264" t="s">
        <v>58</v>
      </c>
      <c r="N264" t="s">
        <v>65</v>
      </c>
      <c r="R264" t="s">
        <v>60</v>
      </c>
      <c r="S264" t="s">
        <v>51</v>
      </c>
      <c r="T264" t="s">
        <v>1218</v>
      </c>
      <c r="U264" t="s">
        <v>1219</v>
      </c>
      <c r="W264">
        <v>0</v>
      </c>
      <c r="X264">
        <v>0</v>
      </c>
      <c r="AE264">
        <v>0</v>
      </c>
      <c r="AI264" t="s">
        <v>108</v>
      </c>
      <c r="AJ264" t="s">
        <v>52</v>
      </c>
      <c r="AK264" t="s">
        <v>52</v>
      </c>
      <c r="AL264" t="str">
        <f>HYPERLINK("https://pbs.twimg.com/media/D9XTkLWW4AAOYnJ.jpg")</f>
        <v>https://pbs.twimg.com/media/D9XTkLWW4AAOYnJ.jpg</v>
      </c>
      <c r="AM264" t="s">
        <v>52</v>
      </c>
      <c r="AN264" t="s">
        <v>53</v>
      </c>
    </row>
    <row r="265" spans="1:40">
      <c r="A265" t="s">
        <v>40</v>
      </c>
      <c r="B265" t="s">
        <v>1220</v>
      </c>
      <c r="C265" t="s">
        <v>1221</v>
      </c>
      <c r="D265" t="s">
        <v>52</v>
      </c>
      <c r="E265" t="s">
        <v>1222</v>
      </c>
      <c r="F265" t="s">
        <v>45</v>
      </c>
      <c r="G265" t="str">
        <f>HYPERLINK("https://twitter.com/823113043/status/1143454363802902528")</f>
        <v>https://twitter.com/823113043/status/1143454363802902528</v>
      </c>
      <c r="H265" t="s">
        <v>215</v>
      </c>
      <c r="I265" t="s">
        <v>1223</v>
      </c>
      <c r="J265" t="str">
        <f>HYPERLINK("http://twitter.com/CammyKiKi")</f>
        <v>http://twitter.com/CammyKiKi</v>
      </c>
      <c r="K265">
        <v>103</v>
      </c>
      <c r="N265" t="s">
        <v>65</v>
      </c>
      <c r="R265" t="s">
        <v>60</v>
      </c>
      <c r="S265" t="s">
        <v>51</v>
      </c>
      <c r="T265" t="s">
        <v>263</v>
      </c>
      <c r="U265" t="s">
        <v>352</v>
      </c>
      <c r="W265">
        <v>0</v>
      </c>
      <c r="X265">
        <v>0</v>
      </c>
      <c r="AE265">
        <v>0</v>
      </c>
      <c r="AF265">
        <v>0</v>
      </c>
      <c r="AM265" t="s">
        <v>52</v>
      </c>
      <c r="AN265" t="s">
        <v>53</v>
      </c>
    </row>
    <row r="266" spans="1:40">
      <c r="A266" t="s">
        <v>40</v>
      </c>
      <c r="B266" t="s">
        <v>1224</v>
      </c>
      <c r="C266" t="s">
        <v>1225</v>
      </c>
      <c r="D266" t="s">
        <v>52</v>
      </c>
      <c r="E266" t="s">
        <v>1226</v>
      </c>
      <c r="F266" t="s">
        <v>45</v>
      </c>
      <c r="G266" t="str">
        <f>HYPERLINK("https://twitter.com/925378944932765696/status/1143454175298228229")</f>
        <v>https://twitter.com/925378944932765696/status/1143454175298228229</v>
      </c>
      <c r="H266" t="s">
        <v>91</v>
      </c>
      <c r="I266" t="s">
        <v>1227</v>
      </c>
      <c r="J266" t="str">
        <f>HYPERLINK("http://twitter.com/SmithTraceryBot")</f>
        <v>http://twitter.com/SmithTraceryBot</v>
      </c>
      <c r="K266">
        <v>2</v>
      </c>
      <c r="N266" t="s">
        <v>65</v>
      </c>
      <c r="R266" t="s">
        <v>60</v>
      </c>
      <c r="W266">
        <v>0</v>
      </c>
      <c r="X266">
        <v>0</v>
      </c>
      <c r="AE266">
        <v>0</v>
      </c>
      <c r="AF266">
        <v>0</v>
      </c>
      <c r="AM266" t="s">
        <v>52</v>
      </c>
      <c r="AN266" t="s">
        <v>53</v>
      </c>
    </row>
    <row r="267" spans="1:40">
      <c r="A267" t="s">
        <v>40</v>
      </c>
      <c r="B267" t="s">
        <v>1228</v>
      </c>
      <c r="C267" t="s">
        <v>1221</v>
      </c>
      <c r="D267" t="s">
        <v>52</v>
      </c>
      <c r="E267" t="s">
        <v>1194</v>
      </c>
      <c r="F267" t="s">
        <v>131</v>
      </c>
      <c r="G267" t="str">
        <f>HYPERLINK("https://twitter.com/917734962/status/1143453892040155138")</f>
        <v>https://twitter.com/917734962/status/1143453892040155138</v>
      </c>
      <c r="H267" t="s">
        <v>46</v>
      </c>
      <c r="I267" t="s">
        <v>1229</v>
      </c>
      <c r="J267" t="str">
        <f>HYPERLINK("http://twitter.com/SilencedXD")</f>
        <v>http://twitter.com/SilencedXD</v>
      </c>
      <c r="K267">
        <v>56</v>
      </c>
      <c r="L267" t="s">
        <v>48</v>
      </c>
      <c r="N267" t="s">
        <v>65</v>
      </c>
      <c r="R267" t="s">
        <v>60</v>
      </c>
      <c r="W267">
        <v>0</v>
      </c>
      <c r="X267">
        <v>0</v>
      </c>
      <c r="AE267">
        <v>0</v>
      </c>
      <c r="AI267" t="s">
        <v>52</v>
      </c>
      <c r="AJ267" t="s">
        <v>1196</v>
      </c>
      <c r="AK267" t="s">
        <v>52</v>
      </c>
      <c r="AL267" t="str">
        <f>HYPERLINK("https://pbs.twimg.com/media/D9xgk2YXkAAd2ql.jpg")</f>
        <v>https://pbs.twimg.com/media/D9xgk2YXkAAd2ql.jpg</v>
      </c>
      <c r="AM267" t="s">
        <v>52</v>
      </c>
      <c r="AN267" t="s">
        <v>53</v>
      </c>
    </row>
    <row r="268" spans="1:40">
      <c r="A268" t="s">
        <v>40</v>
      </c>
      <c r="B268" t="s">
        <v>1230</v>
      </c>
      <c r="C268" t="s">
        <v>1221</v>
      </c>
      <c r="D268" t="s">
        <v>52</v>
      </c>
      <c r="E268" t="s">
        <v>1231</v>
      </c>
      <c r="F268" t="s">
        <v>45</v>
      </c>
      <c r="G268" t="str">
        <f>HYPERLINK("https://www.instagram.com/p/BzIL8yuHbfO")</f>
        <v>https://www.instagram.com/p/BzIL8yuHbfO</v>
      </c>
      <c r="H268" t="s">
        <v>46</v>
      </c>
      <c r="I268" t="s">
        <v>1232</v>
      </c>
      <c r="J268" t="str">
        <f>HYPERLINK("http://instagram.com/brokendicks.mp4")</f>
        <v>http://instagram.com/brokendicks.mp4</v>
      </c>
      <c r="K268">
        <v>2479</v>
      </c>
      <c r="N268" t="s">
        <v>59</v>
      </c>
      <c r="O268" t="s">
        <v>1232</v>
      </c>
      <c r="P268" t="str">
        <f>HYPERLINK("http://instagram.com/brokendicks.mp4")</f>
        <v>http://instagram.com/brokendicks.mp4</v>
      </c>
      <c r="Q268">
        <v>2479</v>
      </c>
      <c r="R268" t="s">
        <v>60</v>
      </c>
      <c r="W268">
        <v>16</v>
      </c>
      <c r="X268">
        <v>16</v>
      </c>
      <c r="AE268">
        <v>1</v>
      </c>
      <c r="AG268">
        <v>25</v>
      </c>
      <c r="AI268" t="s">
        <v>52</v>
      </c>
      <c r="AJ268" t="s">
        <v>52</v>
      </c>
      <c r="AK268" t="s">
        <v>52</v>
      </c>
      <c r="AL268" t="str">
        <f>HYPERLINK("https://www.instagram.com/p/BzIL8yuHbfO/media/?size=l")</f>
        <v>https://www.instagram.com/p/BzIL8yuHbfO/media/?size=l</v>
      </c>
      <c r="AM268" t="s">
        <v>52</v>
      </c>
      <c r="AN268" t="s">
        <v>53</v>
      </c>
    </row>
    <row r="269" spans="1:40">
      <c r="A269" t="s">
        <v>40</v>
      </c>
      <c r="B269" t="s">
        <v>1233</v>
      </c>
      <c r="C269" t="s">
        <v>1234</v>
      </c>
      <c r="D269" t="s">
        <v>52</v>
      </c>
      <c r="E269" t="s">
        <v>599</v>
      </c>
      <c r="F269" t="s">
        <v>131</v>
      </c>
      <c r="G269" t="str">
        <f>HYPERLINK("https://twitter.com/1137977897216544768/status/1143450980429836289")</f>
        <v>https://twitter.com/1137977897216544768/status/1143450980429836289</v>
      </c>
      <c r="H269" t="s">
        <v>46</v>
      </c>
      <c r="I269" t="s">
        <v>1235</v>
      </c>
      <c r="J269" t="str">
        <f>HYPERLINK("http://twitter.com/RyanPhoenix1999")</f>
        <v>http://twitter.com/RyanPhoenix1999</v>
      </c>
      <c r="K269">
        <v>1</v>
      </c>
      <c r="L269" t="s">
        <v>48</v>
      </c>
      <c r="N269" t="s">
        <v>65</v>
      </c>
      <c r="R269" t="s">
        <v>60</v>
      </c>
      <c r="S269" t="s">
        <v>51</v>
      </c>
      <c r="T269" t="s">
        <v>380</v>
      </c>
      <c r="U269" t="s">
        <v>380</v>
      </c>
      <c r="W269">
        <v>0</v>
      </c>
      <c r="X269">
        <v>0</v>
      </c>
      <c r="AE269">
        <v>0</v>
      </c>
      <c r="AI269" t="s">
        <v>108</v>
      </c>
      <c r="AJ269" t="s">
        <v>52</v>
      </c>
      <c r="AK269" t="s">
        <v>601</v>
      </c>
      <c r="AL269" t="str">
        <f>HYPERLINK("https://pbs.twimg.com/ext_tw_video_thumb/1143202185154584581/pu/img/K72qfBH8zIdbiUf-.jpg")</f>
        <v>https://pbs.twimg.com/ext_tw_video_thumb/1143202185154584581/pu/img/K72qfBH8zIdbiUf-.jpg</v>
      </c>
      <c r="AM269" t="s">
        <v>52</v>
      </c>
      <c r="AN269" t="s">
        <v>53</v>
      </c>
    </row>
    <row r="270" spans="1:40">
      <c r="A270" t="s">
        <v>40</v>
      </c>
      <c r="B270" t="s">
        <v>1233</v>
      </c>
      <c r="C270" t="s">
        <v>1234</v>
      </c>
      <c r="D270" t="s">
        <v>52</v>
      </c>
      <c r="E270" t="s">
        <v>1236</v>
      </c>
      <c r="F270" t="s">
        <v>95</v>
      </c>
      <c r="G270" t="str">
        <f>HYPERLINK("https://twitter.com/356117314/status/1143450962121646085")</f>
        <v>https://twitter.com/356117314/status/1143450962121646085</v>
      </c>
      <c r="H270" t="s">
        <v>46</v>
      </c>
      <c r="I270" t="s">
        <v>1237</v>
      </c>
      <c r="J270" t="str">
        <f>HYPERLINK("http://twitter.com/JFWmass")</f>
        <v>http://twitter.com/JFWmass</v>
      </c>
      <c r="K270">
        <v>383</v>
      </c>
      <c r="N270" t="s">
        <v>65</v>
      </c>
      <c r="R270" t="s">
        <v>60</v>
      </c>
      <c r="W270">
        <v>0</v>
      </c>
      <c r="X270">
        <v>0</v>
      </c>
      <c r="AE270">
        <v>0</v>
      </c>
      <c r="AF270">
        <v>0</v>
      </c>
      <c r="AM270" t="s">
        <v>52</v>
      </c>
      <c r="AN270" t="s">
        <v>53</v>
      </c>
    </row>
    <row r="271" spans="1:40">
      <c r="A271" t="s">
        <v>40</v>
      </c>
      <c r="B271" t="s">
        <v>1238</v>
      </c>
      <c r="C271" t="s">
        <v>1239</v>
      </c>
      <c r="D271" t="s">
        <v>52</v>
      </c>
      <c r="E271" t="s">
        <v>130</v>
      </c>
      <c r="F271" t="s">
        <v>131</v>
      </c>
      <c r="G271" t="str">
        <f>HYPERLINK("https://twitter.com/44388946/status/1143449628135821312")</f>
        <v>https://twitter.com/44388946/status/1143449628135821312</v>
      </c>
      <c r="H271" t="s">
        <v>46</v>
      </c>
      <c r="I271" t="s">
        <v>1240</v>
      </c>
      <c r="J271" t="str">
        <f>HYPERLINK("http://twitter.com/MooTheMadCow")</f>
        <v>http://twitter.com/MooTheMadCow</v>
      </c>
      <c r="K271">
        <v>1851</v>
      </c>
      <c r="N271" t="s">
        <v>65</v>
      </c>
      <c r="R271" t="s">
        <v>60</v>
      </c>
      <c r="W271">
        <v>0</v>
      </c>
      <c r="X271">
        <v>0</v>
      </c>
      <c r="AE271">
        <v>0</v>
      </c>
      <c r="AI271" t="s">
        <v>108</v>
      </c>
      <c r="AJ271" t="s">
        <v>52</v>
      </c>
      <c r="AK271" t="s">
        <v>52</v>
      </c>
      <c r="AL271" t="str">
        <f>HYPERLINK("https://pbs.twimg.com/media/D9XTkLWW4AAOYnJ.jpg")</f>
        <v>https://pbs.twimg.com/media/D9XTkLWW4AAOYnJ.jpg</v>
      </c>
      <c r="AM271" t="s">
        <v>52</v>
      </c>
      <c r="AN271" t="s">
        <v>53</v>
      </c>
    </row>
    <row r="272" spans="1:40">
      <c r="A272" t="s">
        <v>40</v>
      </c>
      <c r="B272" t="s">
        <v>1241</v>
      </c>
      <c r="C272" t="s">
        <v>1242</v>
      </c>
      <c r="D272" t="s">
        <v>1243</v>
      </c>
      <c r="E272" t="s">
        <v>1244</v>
      </c>
      <c r="F272" t="s">
        <v>45</v>
      </c>
      <c r="G272" t="str">
        <f>HYPERLINK("https://mayfieldrecorder.com/2019/06/25/pepsico-inc-nasdaqpep-shares-bought-by-buckhead-capital-management-llc.html")</f>
        <v>https://mayfieldrecorder.com/2019/06/25/pepsico-inc-nasdaqpep-shares-bought-by-buckhead-capital-management-llc.html</v>
      </c>
      <c r="H272" t="s">
        <v>91</v>
      </c>
      <c r="I272" t="s">
        <v>1245</v>
      </c>
      <c r="J272" t="str">
        <f>HYPERLINK("https://mayfieldrecorder.com/2019/06/25/pepsico-inc-nasdaqpep-shares-bought-by-buckhead-capital-management-llc.html")</f>
        <v>https://mayfieldrecorder.com/2019/06/25/pepsico-inc-nasdaqpep-shares-bought-by-buckhead-capital-management-llc.html</v>
      </c>
      <c r="L272" t="s">
        <v>48</v>
      </c>
      <c r="N272" t="s">
        <v>356</v>
      </c>
      <c r="R272" t="s">
        <v>357</v>
      </c>
      <c r="S272" t="s">
        <v>51</v>
      </c>
      <c r="AM272" t="s">
        <v>52</v>
      </c>
      <c r="AN272" t="s">
        <v>53</v>
      </c>
    </row>
    <row r="273" spans="1:40">
      <c r="A273" t="s">
        <v>40</v>
      </c>
      <c r="B273" t="s">
        <v>1246</v>
      </c>
      <c r="C273" t="s">
        <v>1247</v>
      </c>
      <c r="D273" t="s">
        <v>52</v>
      </c>
      <c r="E273" t="s">
        <v>1248</v>
      </c>
      <c r="F273" t="s">
        <v>45</v>
      </c>
      <c r="G273" t="str">
        <f>HYPERLINK("https://twitter.com/1132390256840364032/status/1143447942268739584")</f>
        <v>https://twitter.com/1132390256840364032/status/1143447942268739584</v>
      </c>
      <c r="H273" t="s">
        <v>46</v>
      </c>
      <c r="I273" t="s">
        <v>1249</v>
      </c>
      <c r="J273" t="str">
        <f>HYPERLINK("http://twitter.com/bullyintolerant")</f>
        <v>http://twitter.com/bullyintolerant</v>
      </c>
      <c r="K273">
        <v>432</v>
      </c>
      <c r="N273" t="s">
        <v>65</v>
      </c>
      <c r="R273" t="s">
        <v>60</v>
      </c>
      <c r="S273" t="s">
        <v>51</v>
      </c>
      <c r="T273" t="s">
        <v>380</v>
      </c>
      <c r="U273" t="s">
        <v>380</v>
      </c>
      <c r="W273">
        <v>1</v>
      </c>
      <c r="X273">
        <v>1</v>
      </c>
      <c r="AE273">
        <v>0</v>
      </c>
      <c r="AF273">
        <v>0</v>
      </c>
      <c r="AI273" t="s">
        <v>52</v>
      </c>
      <c r="AJ273" t="s">
        <v>52</v>
      </c>
      <c r="AK273" t="s">
        <v>52</v>
      </c>
      <c r="AL273" t="str">
        <f>HYPERLINK("https://pbs.twimg.com/tweet_video_thumb/D95X1yDVUAIfmN9.jpg")</f>
        <v>https://pbs.twimg.com/tweet_video_thumb/D95X1yDVUAIfmN9.jpg</v>
      </c>
      <c r="AM273" t="s">
        <v>52</v>
      </c>
      <c r="AN273" t="s">
        <v>53</v>
      </c>
    </row>
    <row r="274" spans="1:40">
      <c r="A274" t="s">
        <v>40</v>
      </c>
      <c r="B274" t="s">
        <v>1246</v>
      </c>
      <c r="C274" t="s">
        <v>1247</v>
      </c>
      <c r="D274" t="s">
        <v>52</v>
      </c>
      <c r="E274" t="s">
        <v>1250</v>
      </c>
      <c r="F274" t="s">
        <v>95</v>
      </c>
      <c r="G274" t="str">
        <f>HYPERLINK("https://twitter.com/74246801/status/1143447940511539200")</f>
        <v>https://twitter.com/74246801/status/1143447940511539200</v>
      </c>
      <c r="H274" t="s">
        <v>46</v>
      </c>
      <c r="I274" t="s">
        <v>1251</v>
      </c>
      <c r="J274" t="str">
        <f>HYPERLINK("http://twitter.com/harryavers")</f>
        <v>http://twitter.com/harryavers</v>
      </c>
      <c r="K274">
        <v>420</v>
      </c>
      <c r="N274" t="s">
        <v>65</v>
      </c>
      <c r="R274" t="s">
        <v>60</v>
      </c>
      <c r="S274" t="s">
        <v>156</v>
      </c>
      <c r="T274" t="s">
        <v>1252</v>
      </c>
      <c r="U274" t="s">
        <v>1252</v>
      </c>
      <c r="W274">
        <v>0</v>
      </c>
      <c r="X274">
        <v>0</v>
      </c>
      <c r="AE274">
        <v>0</v>
      </c>
      <c r="AF274">
        <v>0</v>
      </c>
      <c r="AM274" t="s">
        <v>52</v>
      </c>
      <c r="AN274" t="s">
        <v>53</v>
      </c>
    </row>
    <row r="275" spans="1:40">
      <c r="A275" t="s">
        <v>40</v>
      </c>
      <c r="B275" t="s">
        <v>1246</v>
      </c>
      <c r="C275" t="s">
        <v>1253</v>
      </c>
      <c r="D275" t="s">
        <v>52</v>
      </c>
      <c r="E275" t="s">
        <v>1194</v>
      </c>
      <c r="F275" t="s">
        <v>131</v>
      </c>
      <c r="G275" t="str">
        <f>HYPERLINK("https://twitter.com/584537914/status/1143447844830924800")</f>
        <v>https://twitter.com/584537914/status/1143447844830924800</v>
      </c>
      <c r="H275" t="s">
        <v>46</v>
      </c>
      <c r="I275" t="s">
        <v>1254</v>
      </c>
      <c r="J275" t="str">
        <f>HYPERLINK("http://twitter.com/dacheleee")</f>
        <v>http://twitter.com/dacheleee</v>
      </c>
      <c r="K275">
        <v>550</v>
      </c>
      <c r="N275" t="s">
        <v>65</v>
      </c>
      <c r="R275" t="s">
        <v>60</v>
      </c>
      <c r="W275">
        <v>0</v>
      </c>
      <c r="X275">
        <v>0</v>
      </c>
      <c r="AE275">
        <v>0</v>
      </c>
      <c r="AI275" t="s">
        <v>52</v>
      </c>
      <c r="AJ275" t="s">
        <v>1196</v>
      </c>
      <c r="AK275" t="s">
        <v>52</v>
      </c>
      <c r="AL275" t="str">
        <f>HYPERLINK("https://pbs.twimg.com/media/D9xgk2YXkAAd2ql.jpg")</f>
        <v>https://pbs.twimg.com/media/D9xgk2YXkAAd2ql.jpg</v>
      </c>
      <c r="AM275" t="s">
        <v>52</v>
      </c>
      <c r="AN275" t="s">
        <v>53</v>
      </c>
    </row>
    <row r="276" spans="1:40">
      <c r="A276" t="s">
        <v>40</v>
      </c>
      <c r="B276" t="s">
        <v>1246</v>
      </c>
      <c r="C276" t="s">
        <v>1255</v>
      </c>
      <c r="D276" t="s">
        <v>52</v>
      </c>
      <c r="E276" t="s">
        <v>130</v>
      </c>
      <c r="F276" t="s">
        <v>131</v>
      </c>
      <c r="G276" t="str">
        <f>HYPERLINK("https://twitter.com/897853218/status/1143447805287161858")</f>
        <v>https://twitter.com/897853218/status/1143447805287161858</v>
      </c>
      <c r="H276" t="s">
        <v>46</v>
      </c>
      <c r="I276" t="s">
        <v>1256</v>
      </c>
      <c r="J276" t="str">
        <f>HYPERLINK("http://twitter.com/prj001")</f>
        <v>http://twitter.com/prj001</v>
      </c>
      <c r="K276">
        <v>326</v>
      </c>
      <c r="L276" t="s">
        <v>48</v>
      </c>
      <c r="N276" t="s">
        <v>65</v>
      </c>
      <c r="R276" t="s">
        <v>60</v>
      </c>
      <c r="S276" t="s">
        <v>97</v>
      </c>
      <c r="T276" t="s">
        <v>177</v>
      </c>
      <c r="U276" t="s">
        <v>1257</v>
      </c>
      <c r="W276">
        <v>0</v>
      </c>
      <c r="X276">
        <v>0</v>
      </c>
      <c r="AE276">
        <v>0</v>
      </c>
      <c r="AI276" t="s">
        <v>108</v>
      </c>
      <c r="AJ276" t="s">
        <v>52</v>
      </c>
      <c r="AK276" t="s">
        <v>52</v>
      </c>
      <c r="AL276" t="str">
        <f>HYPERLINK("https://pbs.twimg.com/media/D9XTkLWW4AAOYnJ.jpg")</f>
        <v>https://pbs.twimg.com/media/D9XTkLWW4AAOYnJ.jpg</v>
      </c>
      <c r="AM276" t="s">
        <v>52</v>
      </c>
      <c r="AN276" t="s">
        <v>53</v>
      </c>
    </row>
    <row r="277" spans="1:40">
      <c r="A277" t="s">
        <v>40</v>
      </c>
      <c r="B277" t="s">
        <v>1258</v>
      </c>
      <c r="C277" t="s">
        <v>1247</v>
      </c>
      <c r="D277" t="s">
        <v>52</v>
      </c>
      <c r="E277" t="s">
        <v>1259</v>
      </c>
      <c r="F277" t="s">
        <v>95</v>
      </c>
      <c r="G277" t="str">
        <f>HYPERLINK("https://twitter.com/4854553439/status/1143447049666514944")</f>
        <v>https://twitter.com/4854553439/status/1143447049666514944</v>
      </c>
      <c r="H277" t="s">
        <v>46</v>
      </c>
      <c r="I277" t="s">
        <v>1260</v>
      </c>
      <c r="J277" t="str">
        <f>HYPERLINK("http://twitter.com/British_Bill_")</f>
        <v>http://twitter.com/British_Bill_</v>
      </c>
      <c r="K277">
        <v>12</v>
      </c>
      <c r="N277" t="s">
        <v>65</v>
      </c>
      <c r="R277" t="s">
        <v>60</v>
      </c>
      <c r="S277" t="s">
        <v>97</v>
      </c>
      <c r="T277" t="s">
        <v>177</v>
      </c>
      <c r="U277" t="s">
        <v>395</v>
      </c>
      <c r="W277">
        <v>1</v>
      </c>
      <c r="X277">
        <v>1</v>
      </c>
      <c r="AE277">
        <v>0</v>
      </c>
      <c r="AF277">
        <v>0</v>
      </c>
      <c r="AM277" t="s">
        <v>52</v>
      </c>
      <c r="AN277" t="s">
        <v>53</v>
      </c>
    </row>
    <row r="278" spans="1:40">
      <c r="A278" t="s">
        <v>40</v>
      </c>
      <c r="B278" t="s">
        <v>1261</v>
      </c>
      <c r="C278" t="s">
        <v>767</v>
      </c>
      <c r="D278" t="s">
        <v>1262</v>
      </c>
      <c r="E278" t="s">
        <v>1263</v>
      </c>
      <c r="F278" t="s">
        <v>45</v>
      </c>
      <c r="G278" t="str">
        <f>HYPERLINK("https://www.reddit.com/r/insaneparents/comments/c4tkm4/reupload_cause_the_first_one_wasnt_censored/?sort=new#thing_t1_erzhd3n")</f>
        <v>https://www.reddit.com/r/insaneparents/comments/c4tkm4/reupload_cause_the_first_one_wasnt_censored/?sort=new#thing_t1_erzhd3n</v>
      </c>
      <c r="H278" t="s">
        <v>46</v>
      </c>
      <c r="I278" t="s">
        <v>1264</v>
      </c>
      <c r="J278" t="str">
        <f>HYPERLINK("https://www.reddit.com/r/insaneparents/comments/c4tkm4/reupload_cause_the_first_one_wasnt_censored/?sort=new#thing_t1_erzhd3n")</f>
        <v>https://www.reddit.com/r/insaneparents/comments/c4tkm4/reupload_cause_the_first_one_wasnt_censored/?sort=new#thing_t1_erzhd3n</v>
      </c>
      <c r="N278" t="s">
        <v>545</v>
      </c>
      <c r="O278" t="s">
        <v>1265</v>
      </c>
      <c r="P278" t="str">
        <f>HYPERLINK("https://www.reddit.com/r/awfuleverything/")</f>
        <v>https://www.reddit.com/r/awfuleverything/</v>
      </c>
      <c r="R278" t="s">
        <v>516</v>
      </c>
      <c r="S278" t="s">
        <v>51</v>
      </c>
      <c r="AM278" t="s">
        <v>52</v>
      </c>
      <c r="AN278" t="s">
        <v>53</v>
      </c>
    </row>
    <row r="279" spans="1:40">
      <c r="A279" t="s">
        <v>40</v>
      </c>
      <c r="B279" t="s">
        <v>1261</v>
      </c>
      <c r="C279" t="s">
        <v>1266</v>
      </c>
      <c r="D279" t="s">
        <v>1267</v>
      </c>
      <c r="E279" t="s">
        <v>1268</v>
      </c>
      <c r="F279" t="s">
        <v>45</v>
      </c>
      <c r="G279" t="str">
        <f>HYPERLINK("https://medium.com/strategem/if-you-want-your-product-failing-extend-your-name-on-it-b9280fecfb60")</f>
        <v>https://medium.com/strategem/if-you-want-your-product-failing-extend-your-name-on-it-b9280fecfb60</v>
      </c>
      <c r="H279" t="s">
        <v>46</v>
      </c>
      <c r="I279" t="s">
        <v>1269</v>
      </c>
      <c r="J279" t="str">
        <f>HYPERLINK("https://medium.com/strategem/if-you-want-your-product-failing-extend-your-name-on-it-b9280fecfb60")</f>
        <v>https://medium.com/strategem/if-you-want-your-product-failing-extend-your-name-on-it-b9280fecfb60</v>
      </c>
      <c r="L279" t="s">
        <v>48</v>
      </c>
      <c r="N279" t="s">
        <v>1270</v>
      </c>
      <c r="R279" t="s">
        <v>50</v>
      </c>
      <c r="S279" t="s">
        <v>51</v>
      </c>
      <c r="AM279" t="s">
        <v>52</v>
      </c>
      <c r="AN279" t="s">
        <v>53</v>
      </c>
    </row>
    <row r="280" spans="1:40">
      <c r="A280" t="s">
        <v>40</v>
      </c>
      <c r="B280" t="s">
        <v>1271</v>
      </c>
      <c r="C280" t="s">
        <v>1272</v>
      </c>
      <c r="D280" t="s">
        <v>1273</v>
      </c>
      <c r="E280" t="s">
        <v>1274</v>
      </c>
      <c r="F280" t="s">
        <v>45</v>
      </c>
      <c r="G280" t="str">
        <f>HYPERLINK("https://www.youtube.com/watch?v=W-2ukcW_KD4")</f>
        <v>https://www.youtube.com/watch?v=W-2ukcW_KD4</v>
      </c>
      <c r="H280" t="s">
        <v>46</v>
      </c>
      <c r="I280" t="s">
        <v>1275</v>
      </c>
      <c r="J280" t="str">
        <f>HYPERLINK("https://www.youtube.com/channel/UCwoO3oRC3Hf8-YU7M83Iqdw")</f>
        <v>https://www.youtube.com/channel/UCwoO3oRC3Hf8-YU7M83Iqdw</v>
      </c>
      <c r="K280">
        <v>37</v>
      </c>
      <c r="L280" t="s">
        <v>58</v>
      </c>
      <c r="N280" t="s">
        <v>116</v>
      </c>
      <c r="O280" t="s">
        <v>1275</v>
      </c>
      <c r="P280" t="str">
        <f>HYPERLINK("https://www.youtube.com/channel/UCwoO3oRC3Hf8-YU7M83Iqdw")</f>
        <v>https://www.youtube.com/channel/UCwoO3oRC3Hf8-YU7M83Iqdw</v>
      </c>
      <c r="Q280">
        <v>37</v>
      </c>
      <c r="R280" t="s">
        <v>60</v>
      </c>
      <c r="S280" t="s">
        <v>774</v>
      </c>
      <c r="W280">
        <v>0</v>
      </c>
      <c r="X280">
        <v>0</v>
      </c>
      <c r="AE280">
        <v>0</v>
      </c>
      <c r="AG280">
        <v>1</v>
      </c>
      <c r="AI280" t="s">
        <v>108</v>
      </c>
      <c r="AJ280" t="s">
        <v>716</v>
      </c>
      <c r="AK280" t="s">
        <v>52</v>
      </c>
      <c r="AL280" t="str">
        <f>HYPERLINK("https://i.ytimg.com/vi/W-2ukcW_KD4/maxresdefault.jpg")</f>
        <v>https://i.ytimg.com/vi/W-2ukcW_KD4/maxresdefault.jpg</v>
      </c>
      <c r="AM280" t="s">
        <v>52</v>
      </c>
      <c r="AN280" t="s">
        <v>53</v>
      </c>
    </row>
    <row r="281" spans="1:40">
      <c r="A281" t="s">
        <v>40</v>
      </c>
      <c r="B281" t="s">
        <v>1276</v>
      </c>
      <c r="C281" t="s">
        <v>1277</v>
      </c>
      <c r="D281" t="s">
        <v>1278</v>
      </c>
      <c r="E281" t="s">
        <v>1279</v>
      </c>
      <c r="F281" t="s">
        <v>45</v>
      </c>
      <c r="G281" t="str">
        <f>HYPERLINK("https://lasvegassun.com/news/2019/jun/25/legal-weeds-a-growing-danger-to-dogs-so-keep-your")</f>
        <v>https://lasvegassun.com/news/2019/jun/25/legal-weeds-a-growing-danger-to-dogs-so-keep-your</v>
      </c>
      <c r="H281" t="s">
        <v>46</v>
      </c>
      <c r="I281" t="s">
        <v>1280</v>
      </c>
      <c r="J281" t="str">
        <f>HYPERLINK("https://lasvegassun.com/news/2019/jun/25/legal-weeds-a-growing-danger-to-dogs-so-keep-your/")</f>
        <v>https://lasvegassun.com/news/2019/jun/25/legal-weeds-a-growing-danger-to-dogs-so-keep-your/</v>
      </c>
      <c r="L281" t="s">
        <v>58</v>
      </c>
      <c r="N281" t="s">
        <v>1281</v>
      </c>
      <c r="R281" t="s">
        <v>357</v>
      </c>
      <c r="S281" t="s">
        <v>51</v>
      </c>
      <c r="AM281" t="s">
        <v>52</v>
      </c>
      <c r="AN281" t="s">
        <v>53</v>
      </c>
    </row>
    <row r="282" spans="1:40">
      <c r="A282" t="s">
        <v>40</v>
      </c>
      <c r="B282" t="s">
        <v>1282</v>
      </c>
      <c r="C282" t="s">
        <v>1283</v>
      </c>
      <c r="D282" t="s">
        <v>52</v>
      </c>
      <c r="E282" t="s">
        <v>1284</v>
      </c>
      <c r="F282" t="s">
        <v>45</v>
      </c>
      <c r="G282" t="str">
        <f>HYPERLINK("https://www.instagram.com/p/BzIIzPBAJhI")</f>
        <v>https://www.instagram.com/p/BzIIzPBAJhI</v>
      </c>
      <c r="H282" t="s">
        <v>46</v>
      </c>
      <c r="I282" t="s">
        <v>1285</v>
      </c>
      <c r="J282" t="str">
        <f>HYPERLINK("http://instagram.com/em_brooke_29")</f>
        <v>http://instagram.com/em_brooke_29</v>
      </c>
      <c r="K282">
        <v>348</v>
      </c>
      <c r="N282" t="s">
        <v>59</v>
      </c>
      <c r="O282" t="s">
        <v>1285</v>
      </c>
      <c r="P282" t="str">
        <f>HYPERLINK("http://instagram.com/em_brooke_29")</f>
        <v>http://instagram.com/em_brooke_29</v>
      </c>
      <c r="Q282">
        <v>348</v>
      </c>
      <c r="R282" t="s">
        <v>60</v>
      </c>
      <c r="W282">
        <v>16</v>
      </c>
      <c r="X282">
        <v>16</v>
      </c>
      <c r="AE282">
        <v>0</v>
      </c>
      <c r="AI282" t="s">
        <v>52</v>
      </c>
      <c r="AJ282" t="s">
        <v>1286</v>
      </c>
      <c r="AK282" t="s">
        <v>52</v>
      </c>
      <c r="AL282" t="str">
        <f>HYPERLINK("https://www.instagram.com/p/BzIIzPBAJhI/media/?size=l")</f>
        <v>https://www.instagram.com/p/BzIIzPBAJhI/media/?size=l</v>
      </c>
      <c r="AM282" t="s">
        <v>52</v>
      </c>
      <c r="AN282" t="s">
        <v>53</v>
      </c>
    </row>
    <row r="283" spans="1:40">
      <c r="A283" t="s">
        <v>40</v>
      </c>
      <c r="B283" t="s">
        <v>1287</v>
      </c>
      <c r="C283" t="s">
        <v>1288</v>
      </c>
      <c r="D283" t="s">
        <v>970</v>
      </c>
      <c r="E283" t="s">
        <v>1289</v>
      </c>
      <c r="F283" t="s">
        <v>45</v>
      </c>
      <c r="G283" t="str">
        <f>HYPERLINK("https://www.reddit.com/r/gaming/comments/c4s7ll/our_highschool_lan_parties_2004/?sort=new#thing_t1_erzh1h7")</f>
        <v>https://www.reddit.com/r/gaming/comments/c4s7ll/our_highschool_lan_parties_2004/?sort=new#thing_t1_erzh1h7</v>
      </c>
      <c r="H283" t="s">
        <v>46</v>
      </c>
      <c r="I283" t="s">
        <v>1290</v>
      </c>
      <c r="J283" t="str">
        <f>HYPERLINK("https://www.reddit.com/r/gaming/comments/c4s7ll/our_highschool_lan_parties_2004/?sort=new#thing_t1_erzh1h7")</f>
        <v>https://www.reddit.com/r/gaming/comments/c4s7ll/our_highschool_lan_parties_2004/?sort=new#thing_t1_erzh1h7</v>
      </c>
      <c r="N283" t="s">
        <v>545</v>
      </c>
      <c r="O283" t="s">
        <v>52</v>
      </c>
      <c r="P283" t="str">
        <f>HYPERLINK("https://www.reddit.com/r/Pikabu/")</f>
        <v>https://www.reddit.com/r/Pikabu/</v>
      </c>
      <c r="R283" t="s">
        <v>516</v>
      </c>
      <c r="S283" t="s">
        <v>51</v>
      </c>
      <c r="AM283" t="s">
        <v>52</v>
      </c>
      <c r="AN283" t="s">
        <v>53</v>
      </c>
    </row>
    <row r="284" spans="1:40">
      <c r="A284" t="s">
        <v>40</v>
      </c>
      <c r="B284" t="s">
        <v>1291</v>
      </c>
      <c r="C284" t="s">
        <v>1292</v>
      </c>
      <c r="D284" t="s">
        <v>52</v>
      </c>
      <c r="E284" t="s">
        <v>1293</v>
      </c>
      <c r="F284" t="s">
        <v>71</v>
      </c>
      <c r="G284" t="str">
        <f>HYPERLINK("https://twitter.com/932206257150283777/status/1143445341422936067")</f>
        <v>https://twitter.com/932206257150283777/status/1143445341422936067</v>
      </c>
      <c r="H284" t="s">
        <v>46</v>
      </c>
      <c r="I284" t="s">
        <v>1294</v>
      </c>
      <c r="J284" t="str">
        <f>HYPERLINK("http://twitter.com/calvin_lalela")</f>
        <v>http://twitter.com/calvin_lalela</v>
      </c>
      <c r="K284">
        <v>15105</v>
      </c>
      <c r="N284" t="s">
        <v>65</v>
      </c>
      <c r="R284" t="s">
        <v>60</v>
      </c>
      <c r="S284" t="s">
        <v>1071</v>
      </c>
      <c r="T284" t="s">
        <v>1072</v>
      </c>
      <c r="U284" t="s">
        <v>1295</v>
      </c>
      <c r="W284">
        <v>0</v>
      </c>
      <c r="X284">
        <v>0</v>
      </c>
      <c r="AE284">
        <v>0</v>
      </c>
      <c r="AF284">
        <v>0</v>
      </c>
      <c r="AM284" t="s">
        <v>52</v>
      </c>
      <c r="AN284" t="s">
        <v>53</v>
      </c>
    </row>
    <row r="285" spans="1:40">
      <c r="A285" t="s">
        <v>40</v>
      </c>
      <c r="B285" t="s">
        <v>1291</v>
      </c>
      <c r="C285" t="s">
        <v>1296</v>
      </c>
      <c r="D285" t="s">
        <v>52</v>
      </c>
      <c r="E285" t="s">
        <v>1297</v>
      </c>
      <c r="F285" t="s">
        <v>45</v>
      </c>
      <c r="G285" t="str">
        <f>HYPERLINK("https://twitter.com/122786539/status/1143445293372825601")</f>
        <v>https://twitter.com/122786539/status/1143445293372825601</v>
      </c>
      <c r="H285" t="s">
        <v>215</v>
      </c>
      <c r="I285" t="s">
        <v>1298</v>
      </c>
      <c r="J285" t="str">
        <f>HYPERLINK("http://twitter.com/bookdev")</f>
        <v>http://twitter.com/bookdev</v>
      </c>
      <c r="K285">
        <v>22</v>
      </c>
      <c r="N285" t="s">
        <v>65</v>
      </c>
      <c r="R285" t="s">
        <v>60</v>
      </c>
      <c r="W285">
        <v>0</v>
      </c>
      <c r="X285">
        <v>0</v>
      </c>
      <c r="AE285">
        <v>0</v>
      </c>
      <c r="AF285">
        <v>0</v>
      </c>
      <c r="AM285" t="s">
        <v>52</v>
      </c>
      <c r="AN285" t="s">
        <v>53</v>
      </c>
    </row>
    <row r="286" spans="1:40">
      <c r="A286" t="s">
        <v>40</v>
      </c>
      <c r="B286" t="s">
        <v>1299</v>
      </c>
      <c r="C286" t="s">
        <v>1300</v>
      </c>
      <c r="D286" t="s">
        <v>52</v>
      </c>
      <c r="E286" t="s">
        <v>1301</v>
      </c>
      <c r="F286" t="s">
        <v>45</v>
      </c>
      <c r="G286" t="str">
        <f>HYPERLINK("https://www.instagram.com/p/BzIIf2BH6F1")</f>
        <v>https://www.instagram.com/p/BzIIf2BH6F1</v>
      </c>
      <c r="H286" t="s">
        <v>215</v>
      </c>
      <c r="I286" t="s">
        <v>1302</v>
      </c>
      <c r="J286" t="str">
        <f>HYPERLINK("http://instagram.com/klairebear247")</f>
        <v>http://instagram.com/klairebear247</v>
      </c>
      <c r="K286">
        <v>30</v>
      </c>
      <c r="N286" t="s">
        <v>59</v>
      </c>
      <c r="O286" t="s">
        <v>1302</v>
      </c>
      <c r="P286" t="str">
        <f>HYPERLINK("http://instagram.com/klairebear247")</f>
        <v>http://instagram.com/klairebear247</v>
      </c>
      <c r="Q286">
        <v>30</v>
      </c>
      <c r="R286" t="s">
        <v>60</v>
      </c>
      <c r="W286">
        <v>6</v>
      </c>
      <c r="X286">
        <v>6</v>
      </c>
      <c r="AE286">
        <v>0</v>
      </c>
      <c r="AI286" t="s">
        <v>52</v>
      </c>
      <c r="AJ286" t="s">
        <v>52</v>
      </c>
      <c r="AK286" t="s">
        <v>52</v>
      </c>
      <c r="AL286" t="str">
        <f>HYPERLINK("https://www.instagram.com/p/BzIIf2BH6F1/media/?size=l")</f>
        <v>https://www.instagram.com/p/BzIIf2BH6F1/media/?size=l</v>
      </c>
      <c r="AM286" t="s">
        <v>52</v>
      </c>
      <c r="AN286" t="s">
        <v>53</v>
      </c>
    </row>
    <row r="287" spans="1:40">
      <c r="A287" t="s">
        <v>40</v>
      </c>
      <c r="B287" t="s">
        <v>1299</v>
      </c>
      <c r="C287" t="s">
        <v>1296</v>
      </c>
      <c r="D287" t="s">
        <v>52</v>
      </c>
      <c r="E287" t="s">
        <v>1303</v>
      </c>
      <c r="F287" t="s">
        <v>131</v>
      </c>
      <c r="G287" t="str">
        <f>HYPERLINK("https://twitter.com/1087433604915879936/status/1143445041165131776")</f>
        <v>https://twitter.com/1087433604915879936/status/1143445041165131776</v>
      </c>
      <c r="H287" t="s">
        <v>46</v>
      </c>
      <c r="I287" t="s">
        <v>1304</v>
      </c>
      <c r="J287" t="str">
        <f>HYPERLINK("http://twitter.com/kidcouturexx")</f>
        <v>http://twitter.com/kidcouturexx</v>
      </c>
      <c r="K287">
        <v>10</v>
      </c>
      <c r="N287" t="s">
        <v>65</v>
      </c>
      <c r="R287" t="s">
        <v>60</v>
      </c>
      <c r="W287">
        <v>0</v>
      </c>
      <c r="X287">
        <v>0</v>
      </c>
      <c r="AE287">
        <v>0</v>
      </c>
      <c r="AI287" t="s">
        <v>52</v>
      </c>
      <c r="AJ287" t="s">
        <v>52</v>
      </c>
      <c r="AK287" t="s">
        <v>52</v>
      </c>
      <c r="AL287" t="str">
        <f>HYPERLINK("https://pbs.twimg.com/ext_tw_video_thumb/1143301186499620864/pu/img/vVYg1kv0gi_W70XX.jpg")</f>
        <v>https://pbs.twimg.com/ext_tw_video_thumb/1143301186499620864/pu/img/vVYg1kv0gi_W70XX.jpg</v>
      </c>
      <c r="AM287" t="s">
        <v>52</v>
      </c>
      <c r="AN287" t="s">
        <v>53</v>
      </c>
    </row>
    <row r="288" spans="1:40">
      <c r="A288" t="s">
        <v>40</v>
      </c>
      <c r="B288" t="s">
        <v>1305</v>
      </c>
      <c r="C288" t="s">
        <v>1288</v>
      </c>
      <c r="D288" t="s">
        <v>970</v>
      </c>
      <c r="E288" t="s">
        <v>1306</v>
      </c>
      <c r="F288" t="s">
        <v>45</v>
      </c>
      <c r="G288" t="str">
        <f>HYPERLINK("https://www.reddit.com/r/gaming/comments/c4s7ll/our_highschool_lan_parties_2004/?sort=new#thing_t1_erzgtzr")</f>
        <v>https://www.reddit.com/r/gaming/comments/c4s7ll/our_highschool_lan_parties_2004/?sort=new#thing_t1_erzgtzr</v>
      </c>
      <c r="H288" t="s">
        <v>46</v>
      </c>
      <c r="I288" t="s">
        <v>1307</v>
      </c>
      <c r="J288" t="str">
        <f>HYPERLINK("https://www.reddit.com/r/gaming/comments/c4s7ll/our_highschool_lan_parties_2004/?sort=new#thing_t1_erzgtzr")</f>
        <v>https://www.reddit.com/r/gaming/comments/c4s7ll/our_highschool_lan_parties_2004/?sort=new#thing_t1_erzgtzr</v>
      </c>
      <c r="N288" t="s">
        <v>545</v>
      </c>
      <c r="O288" t="s">
        <v>52</v>
      </c>
      <c r="P288" t="str">
        <f>HYPERLINK("https://www.reddit.com/r/Pikabu/")</f>
        <v>https://www.reddit.com/r/Pikabu/</v>
      </c>
      <c r="R288" t="s">
        <v>516</v>
      </c>
      <c r="S288" t="s">
        <v>51</v>
      </c>
      <c r="AM288" t="s">
        <v>52</v>
      </c>
      <c r="AN288" t="s">
        <v>53</v>
      </c>
    </row>
    <row r="289" spans="1:40">
      <c r="A289" t="s">
        <v>40</v>
      </c>
      <c r="B289" t="s">
        <v>1308</v>
      </c>
      <c r="C289" t="s">
        <v>1296</v>
      </c>
      <c r="D289" t="s">
        <v>52</v>
      </c>
      <c r="E289" t="s">
        <v>204</v>
      </c>
      <c r="F289" t="s">
        <v>131</v>
      </c>
      <c r="G289" t="str">
        <f>HYPERLINK("https://twitter.com/1097345149632475137/status/1143444145584975872")</f>
        <v>https://twitter.com/1097345149632475137/status/1143444145584975872</v>
      </c>
      <c r="H289" t="s">
        <v>46</v>
      </c>
      <c r="I289" t="s">
        <v>1309</v>
      </c>
      <c r="J289" t="str">
        <f>HYPERLINK("http://twitter.com/soft4mj")</f>
        <v>http://twitter.com/soft4mj</v>
      </c>
      <c r="K289">
        <v>128</v>
      </c>
      <c r="N289" t="s">
        <v>65</v>
      </c>
      <c r="R289" t="s">
        <v>60</v>
      </c>
      <c r="S289" t="s">
        <v>1310</v>
      </c>
      <c r="T289" t="s">
        <v>1311</v>
      </c>
      <c r="U289" t="s">
        <v>1312</v>
      </c>
      <c r="W289">
        <v>0</v>
      </c>
      <c r="X289">
        <v>0</v>
      </c>
      <c r="AE289">
        <v>0</v>
      </c>
      <c r="AM289" t="s">
        <v>52</v>
      </c>
      <c r="AN289" t="s">
        <v>53</v>
      </c>
    </row>
    <row r="290" spans="1:40">
      <c r="A290" t="s">
        <v>40</v>
      </c>
      <c r="B290" t="s">
        <v>1308</v>
      </c>
      <c r="C290" t="s">
        <v>1313</v>
      </c>
      <c r="D290" t="s">
        <v>52</v>
      </c>
      <c r="E290" t="s">
        <v>1314</v>
      </c>
      <c r="F290" t="s">
        <v>45</v>
      </c>
      <c r="G290" t="str">
        <f>HYPERLINK("https://www.instagram.com/p/BzIICV-l8sy")</f>
        <v>https://www.instagram.com/p/BzIICV-l8sy</v>
      </c>
      <c r="H290" t="s">
        <v>46</v>
      </c>
      <c r="I290" t="s">
        <v>1315</v>
      </c>
      <c r="J290" t="str">
        <f>HYPERLINK("http://instagram.com/sertkayaoglu3427")</f>
        <v>http://instagram.com/sertkayaoglu3427</v>
      </c>
      <c r="K290">
        <v>10</v>
      </c>
      <c r="N290" t="s">
        <v>59</v>
      </c>
      <c r="O290" t="s">
        <v>1315</v>
      </c>
      <c r="P290" t="str">
        <f>HYPERLINK("http://instagram.com/sertkayaoglu3427")</f>
        <v>http://instagram.com/sertkayaoglu3427</v>
      </c>
      <c r="Q290">
        <v>10</v>
      </c>
      <c r="R290" t="s">
        <v>60</v>
      </c>
      <c r="W290">
        <v>8</v>
      </c>
      <c r="X290">
        <v>8</v>
      </c>
      <c r="AE290">
        <v>0</v>
      </c>
      <c r="AI290" t="s">
        <v>52</v>
      </c>
      <c r="AJ290" t="s">
        <v>1316</v>
      </c>
      <c r="AK290" t="s">
        <v>1317</v>
      </c>
      <c r="AL290" t="str">
        <f>HYPERLINK("https://www.instagram.com/p/BzIICV-l8sy/media/?size=l")</f>
        <v>https://www.instagram.com/p/BzIICV-l8sy/media/?size=l</v>
      </c>
      <c r="AM290" t="s">
        <v>52</v>
      </c>
      <c r="AN290" t="s">
        <v>53</v>
      </c>
    </row>
    <row r="291" spans="1:40">
      <c r="A291" t="s">
        <v>40</v>
      </c>
      <c r="B291" t="s">
        <v>1318</v>
      </c>
      <c r="C291" t="s">
        <v>1319</v>
      </c>
      <c r="D291" t="s">
        <v>52</v>
      </c>
      <c r="E291" t="s">
        <v>1320</v>
      </c>
      <c r="F291" t="s">
        <v>45</v>
      </c>
      <c r="G291" t="str">
        <f>HYPERLINK("https://twitter.com/752566612314746881/status/1143443779283820544")</f>
        <v>https://twitter.com/752566612314746881/status/1143443779283820544</v>
      </c>
      <c r="H291" t="s">
        <v>46</v>
      </c>
      <c r="I291" t="s">
        <v>1321</v>
      </c>
      <c r="J291" t="str">
        <f>HYPERLINK("http://twitter.com/ridvandem1r")</f>
        <v>http://twitter.com/ridvandem1r</v>
      </c>
      <c r="K291">
        <v>59</v>
      </c>
      <c r="L291" t="s">
        <v>48</v>
      </c>
      <c r="N291" t="s">
        <v>65</v>
      </c>
      <c r="R291" t="s">
        <v>60</v>
      </c>
      <c r="S291" t="s">
        <v>1322</v>
      </c>
      <c r="T291" t="s">
        <v>1323</v>
      </c>
      <c r="U291" t="s">
        <v>1323</v>
      </c>
      <c r="W291">
        <v>2</v>
      </c>
      <c r="X291">
        <v>2</v>
      </c>
      <c r="AE291">
        <v>0</v>
      </c>
      <c r="AF291">
        <v>0</v>
      </c>
      <c r="AM291" t="s">
        <v>52</v>
      </c>
      <c r="AN291" t="s">
        <v>53</v>
      </c>
    </row>
    <row r="292" spans="1:40">
      <c r="A292" t="s">
        <v>40</v>
      </c>
      <c r="B292" t="s">
        <v>1324</v>
      </c>
      <c r="C292" t="s">
        <v>1325</v>
      </c>
      <c r="D292" t="s">
        <v>52</v>
      </c>
      <c r="E292" t="s">
        <v>1326</v>
      </c>
      <c r="F292" t="s">
        <v>45</v>
      </c>
      <c r="G292" t="str">
        <f>HYPERLINK("https://twitter.com/727204731949604864/status/1143443370582433792")</f>
        <v>https://twitter.com/727204731949604864/status/1143443370582433792</v>
      </c>
      <c r="H292" t="s">
        <v>46</v>
      </c>
      <c r="I292" t="s">
        <v>1327</v>
      </c>
      <c r="J292" t="str">
        <f>HYPERLINK("http://twitter.com/Poo2D2")</f>
        <v>http://twitter.com/Poo2D2</v>
      </c>
      <c r="K292">
        <v>51</v>
      </c>
      <c r="L292" t="s">
        <v>48</v>
      </c>
      <c r="N292" t="s">
        <v>65</v>
      </c>
      <c r="R292" t="s">
        <v>60</v>
      </c>
      <c r="S292" t="s">
        <v>51</v>
      </c>
      <c r="T292" t="s">
        <v>678</v>
      </c>
      <c r="U292" t="s">
        <v>1328</v>
      </c>
      <c r="W292">
        <v>1</v>
      </c>
      <c r="X292">
        <v>1</v>
      </c>
      <c r="AE292">
        <v>0</v>
      </c>
      <c r="AF292">
        <v>0</v>
      </c>
      <c r="AM292" t="s">
        <v>52</v>
      </c>
      <c r="AN292" t="s">
        <v>53</v>
      </c>
    </row>
    <row r="293" spans="1:40">
      <c r="A293" t="s">
        <v>40</v>
      </c>
      <c r="B293" t="s">
        <v>1329</v>
      </c>
      <c r="C293" t="s">
        <v>1319</v>
      </c>
      <c r="D293" t="s">
        <v>52</v>
      </c>
      <c r="E293" t="s">
        <v>1330</v>
      </c>
      <c r="F293" t="s">
        <v>45</v>
      </c>
      <c r="G293" t="str">
        <f>HYPERLINK("https://twitter.com/497093120/status/1143443102461583360")</f>
        <v>https://twitter.com/497093120/status/1143443102461583360</v>
      </c>
      <c r="H293" t="s">
        <v>91</v>
      </c>
      <c r="I293" t="s">
        <v>1331</v>
      </c>
      <c r="J293" t="str">
        <f>HYPERLINK("http://twitter.com/DeclanDrum")</f>
        <v>http://twitter.com/DeclanDrum</v>
      </c>
      <c r="K293">
        <v>1067</v>
      </c>
      <c r="N293" t="s">
        <v>65</v>
      </c>
      <c r="R293" t="s">
        <v>60</v>
      </c>
      <c r="S293" t="s">
        <v>97</v>
      </c>
      <c r="T293" t="s">
        <v>1332</v>
      </c>
      <c r="W293">
        <v>0</v>
      </c>
      <c r="X293">
        <v>0</v>
      </c>
      <c r="AE293">
        <v>0</v>
      </c>
      <c r="AF293">
        <v>0</v>
      </c>
      <c r="AM293" t="s">
        <v>52</v>
      </c>
      <c r="AN293" t="s">
        <v>53</v>
      </c>
    </row>
    <row r="294" spans="1:40">
      <c r="A294" t="s">
        <v>40</v>
      </c>
      <c r="B294" t="s">
        <v>1333</v>
      </c>
      <c r="C294" t="s">
        <v>1313</v>
      </c>
      <c r="D294" t="s">
        <v>52</v>
      </c>
      <c r="E294" t="s">
        <v>130</v>
      </c>
      <c r="F294" t="s">
        <v>131</v>
      </c>
      <c r="G294" t="str">
        <f>HYPERLINK("https://twitter.com/44108580/status/1143442557810204673")</f>
        <v>https://twitter.com/44108580/status/1143442557810204673</v>
      </c>
      <c r="H294" t="s">
        <v>46</v>
      </c>
      <c r="I294" t="s">
        <v>1334</v>
      </c>
      <c r="J294" t="str">
        <f>HYPERLINK("http://twitter.com/SP12XX")</f>
        <v>http://twitter.com/SP12XX</v>
      </c>
      <c r="K294">
        <v>2925</v>
      </c>
      <c r="N294" t="s">
        <v>65</v>
      </c>
      <c r="R294" t="s">
        <v>60</v>
      </c>
      <c r="S294" t="s">
        <v>97</v>
      </c>
      <c r="T294" t="s">
        <v>177</v>
      </c>
      <c r="U294" t="s">
        <v>395</v>
      </c>
      <c r="W294">
        <v>0</v>
      </c>
      <c r="X294">
        <v>0</v>
      </c>
      <c r="AE294">
        <v>0</v>
      </c>
      <c r="AI294" t="s">
        <v>108</v>
      </c>
      <c r="AJ294" t="s">
        <v>52</v>
      </c>
      <c r="AK294" t="s">
        <v>52</v>
      </c>
      <c r="AL294" t="str">
        <f>HYPERLINK("https://pbs.twimg.com/media/D9XTkLWW4AAOYnJ.jpg")</f>
        <v>https://pbs.twimg.com/media/D9XTkLWW4AAOYnJ.jpg</v>
      </c>
      <c r="AM294" t="s">
        <v>52</v>
      </c>
      <c r="AN294" t="s">
        <v>53</v>
      </c>
    </row>
    <row r="295" spans="1:40">
      <c r="A295" t="s">
        <v>40</v>
      </c>
      <c r="B295" t="s">
        <v>1335</v>
      </c>
      <c r="C295" t="s">
        <v>1336</v>
      </c>
      <c r="D295" t="s">
        <v>52</v>
      </c>
      <c r="E295" t="s">
        <v>1337</v>
      </c>
      <c r="F295" t="s">
        <v>95</v>
      </c>
      <c r="G295" t="str">
        <f>HYPERLINK("https://twitter.com/1138076094022787072/status/1143442185343447041")</f>
        <v>https://twitter.com/1138076094022787072/status/1143442185343447041</v>
      </c>
      <c r="H295" t="s">
        <v>46</v>
      </c>
      <c r="I295" t="s">
        <v>1338</v>
      </c>
      <c r="J295" t="str">
        <f>HYPERLINK("http://twitter.com/phosyik")</f>
        <v>http://twitter.com/phosyik</v>
      </c>
      <c r="K295">
        <v>16</v>
      </c>
      <c r="L295" t="s">
        <v>58</v>
      </c>
      <c r="N295" t="s">
        <v>65</v>
      </c>
      <c r="R295" t="s">
        <v>60</v>
      </c>
      <c r="S295" t="s">
        <v>97</v>
      </c>
      <c r="T295" t="s">
        <v>177</v>
      </c>
      <c r="U295" t="s">
        <v>195</v>
      </c>
      <c r="W295">
        <v>0</v>
      </c>
      <c r="X295">
        <v>0</v>
      </c>
      <c r="AE295">
        <v>0</v>
      </c>
      <c r="AF295">
        <v>0</v>
      </c>
      <c r="AM295" t="s">
        <v>52</v>
      </c>
      <c r="AN295" t="s">
        <v>53</v>
      </c>
    </row>
    <row r="296" spans="1:40">
      <c r="A296" t="s">
        <v>40</v>
      </c>
      <c r="B296" t="s">
        <v>1335</v>
      </c>
      <c r="C296" t="s">
        <v>950</v>
      </c>
      <c r="D296" t="s">
        <v>1339</v>
      </c>
      <c r="E296" t="s">
        <v>1340</v>
      </c>
      <c r="F296" t="s">
        <v>45</v>
      </c>
      <c r="G296" t="str">
        <f>HYPERLINK("https://www.youtube.com/watch?v=zLePG1m2oHw")</f>
        <v>https://www.youtube.com/watch?v=zLePG1m2oHw</v>
      </c>
      <c r="H296" t="s">
        <v>46</v>
      </c>
      <c r="I296" t="s">
        <v>1341</v>
      </c>
      <c r="J296" t="str">
        <f>HYPERLINK("https://www.youtube.com/channel/UC_B-4FUuUHL7f51hOGBh-Zg")</f>
        <v>https://www.youtube.com/channel/UC_B-4FUuUHL7f51hOGBh-Zg</v>
      </c>
      <c r="K296">
        <v>152</v>
      </c>
      <c r="N296" t="s">
        <v>116</v>
      </c>
      <c r="O296" t="s">
        <v>1341</v>
      </c>
      <c r="P296" t="str">
        <f>HYPERLINK("https://www.youtube.com/channel/UC_B-4FUuUHL7f51hOGBh-Zg")</f>
        <v>https://www.youtube.com/channel/UC_B-4FUuUHL7f51hOGBh-Zg</v>
      </c>
      <c r="Q296">
        <v>152</v>
      </c>
      <c r="R296" t="s">
        <v>60</v>
      </c>
      <c r="W296">
        <v>3</v>
      </c>
      <c r="X296">
        <v>3</v>
      </c>
      <c r="AD296">
        <v>0</v>
      </c>
      <c r="AE296">
        <v>2</v>
      </c>
      <c r="AG296">
        <v>20</v>
      </c>
      <c r="AI296" t="s">
        <v>108</v>
      </c>
      <c r="AJ296" t="s">
        <v>52</v>
      </c>
      <c r="AK296" t="s">
        <v>52</v>
      </c>
      <c r="AL296" t="str">
        <f>HYPERLINK("https://i.ytimg.com/vi/zLePG1m2oHw/maxresdefault.jpg")</f>
        <v>https://i.ytimg.com/vi/zLePG1m2oHw/maxresdefault.jpg</v>
      </c>
      <c r="AM296" t="s">
        <v>52</v>
      </c>
      <c r="AN296" t="s">
        <v>53</v>
      </c>
    </row>
    <row r="297" spans="1:40">
      <c r="A297" t="s">
        <v>40</v>
      </c>
      <c r="B297" t="s">
        <v>1335</v>
      </c>
      <c r="C297" t="s">
        <v>1288</v>
      </c>
      <c r="D297" t="s">
        <v>970</v>
      </c>
      <c r="E297" t="s">
        <v>1342</v>
      </c>
      <c r="F297" t="s">
        <v>45</v>
      </c>
      <c r="G297" t="str">
        <f>HYPERLINK("https://www.reddit.com/r/gaming/comments/c4s7ll/our_highschool_lan_parties_2004/?sort=new#thing_t1_erzg5qd")</f>
        <v>https://www.reddit.com/r/gaming/comments/c4s7ll/our_highschool_lan_parties_2004/?sort=new#thing_t1_erzg5qd</v>
      </c>
      <c r="H297" t="s">
        <v>46</v>
      </c>
      <c r="I297" t="s">
        <v>1343</v>
      </c>
      <c r="J297" t="str">
        <f>HYPERLINK("https://www.reddit.com/r/gaming/comments/c4s7ll/our_highschool_lan_parties_2004/?sort=new#thing_t1_erzg5qd")</f>
        <v>https://www.reddit.com/r/gaming/comments/c4s7ll/our_highschool_lan_parties_2004/?sort=new#thing_t1_erzg5qd</v>
      </c>
      <c r="N297" t="s">
        <v>545</v>
      </c>
      <c r="O297" t="s">
        <v>52</v>
      </c>
      <c r="P297" t="str">
        <f>HYPERLINK("https://www.reddit.com/r/Pikabu/")</f>
        <v>https://www.reddit.com/r/Pikabu/</v>
      </c>
      <c r="R297" t="s">
        <v>516</v>
      </c>
      <c r="S297" t="s">
        <v>51</v>
      </c>
      <c r="AM297" t="s">
        <v>52</v>
      </c>
      <c r="AN297" t="s">
        <v>53</v>
      </c>
    </row>
    <row r="298" spans="1:40">
      <c r="A298" t="s">
        <v>40</v>
      </c>
      <c r="B298" t="s">
        <v>1344</v>
      </c>
      <c r="C298" t="s">
        <v>1345</v>
      </c>
      <c r="D298" t="s">
        <v>52</v>
      </c>
      <c r="E298" t="s">
        <v>1346</v>
      </c>
      <c r="F298" t="s">
        <v>45</v>
      </c>
      <c r="G298" t="str">
        <f>HYPERLINK("https://twitter.com/1138076094022787072/status/1143441900688556032")</f>
        <v>https://twitter.com/1138076094022787072/status/1143441900688556032</v>
      </c>
      <c r="H298" t="s">
        <v>46</v>
      </c>
      <c r="I298" t="s">
        <v>1338</v>
      </c>
      <c r="J298" t="str">
        <f>HYPERLINK("http://twitter.com/phosyik")</f>
        <v>http://twitter.com/phosyik</v>
      </c>
      <c r="K298">
        <v>16</v>
      </c>
      <c r="L298" t="s">
        <v>58</v>
      </c>
      <c r="N298" t="s">
        <v>65</v>
      </c>
      <c r="R298" t="s">
        <v>60</v>
      </c>
      <c r="S298" t="s">
        <v>97</v>
      </c>
      <c r="T298" t="s">
        <v>177</v>
      </c>
      <c r="U298" t="s">
        <v>195</v>
      </c>
      <c r="W298">
        <v>1</v>
      </c>
      <c r="X298">
        <v>1</v>
      </c>
      <c r="AE298">
        <v>1</v>
      </c>
      <c r="AF298">
        <v>0</v>
      </c>
      <c r="AM298" t="s">
        <v>52</v>
      </c>
      <c r="AN298" t="s">
        <v>53</v>
      </c>
    </row>
    <row r="299" spans="1:40">
      <c r="A299" t="s">
        <v>40</v>
      </c>
      <c r="B299" t="s">
        <v>1344</v>
      </c>
      <c r="C299" t="s">
        <v>1347</v>
      </c>
      <c r="D299" t="s">
        <v>52</v>
      </c>
      <c r="E299" t="s">
        <v>1348</v>
      </c>
      <c r="F299" t="s">
        <v>95</v>
      </c>
      <c r="G299" t="str">
        <f>HYPERLINK("https://twitter.com/2205613334/status/1143441762284986368")</f>
        <v>https://twitter.com/2205613334/status/1143441762284986368</v>
      </c>
      <c r="H299" t="s">
        <v>46</v>
      </c>
      <c r="I299" t="s">
        <v>1349</v>
      </c>
      <c r="J299" t="str">
        <f>HYPERLINK("http://twitter.com/GiddyGoons")</f>
        <v>http://twitter.com/GiddyGoons</v>
      </c>
      <c r="K299">
        <v>805</v>
      </c>
      <c r="N299" t="s">
        <v>65</v>
      </c>
      <c r="R299" t="s">
        <v>60</v>
      </c>
      <c r="S299" t="s">
        <v>1350</v>
      </c>
      <c r="T299" t="s">
        <v>1351</v>
      </c>
      <c r="U299" t="s">
        <v>1352</v>
      </c>
      <c r="W299">
        <v>0</v>
      </c>
      <c r="X299">
        <v>0</v>
      </c>
      <c r="AE299">
        <v>0</v>
      </c>
      <c r="AF299">
        <v>0</v>
      </c>
      <c r="AM299" t="s">
        <v>52</v>
      </c>
      <c r="AN299" t="s">
        <v>53</v>
      </c>
    </row>
    <row r="300" spans="1:40">
      <c r="A300" t="s">
        <v>40</v>
      </c>
      <c r="B300" t="s">
        <v>1353</v>
      </c>
      <c r="C300" t="s">
        <v>1354</v>
      </c>
      <c r="D300" t="s">
        <v>52</v>
      </c>
      <c r="E300" t="s">
        <v>1194</v>
      </c>
      <c r="F300" t="s">
        <v>131</v>
      </c>
      <c r="G300" t="str">
        <f>HYPERLINK("https://twitter.com/4842415714/status/1143441688171433984")</f>
        <v>https://twitter.com/4842415714/status/1143441688171433984</v>
      </c>
      <c r="H300" t="s">
        <v>46</v>
      </c>
      <c r="I300" t="s">
        <v>1355</v>
      </c>
      <c r="J300" t="str">
        <f>HYPERLINK("http://twitter.com/VFlores118")</f>
        <v>http://twitter.com/VFlores118</v>
      </c>
      <c r="K300">
        <v>95</v>
      </c>
      <c r="L300" t="s">
        <v>48</v>
      </c>
      <c r="N300" t="s">
        <v>65</v>
      </c>
      <c r="R300" t="s">
        <v>60</v>
      </c>
      <c r="S300" t="s">
        <v>226</v>
      </c>
      <c r="T300" t="s">
        <v>1356</v>
      </c>
      <c r="U300" t="s">
        <v>1357</v>
      </c>
      <c r="W300">
        <v>0</v>
      </c>
      <c r="X300">
        <v>0</v>
      </c>
      <c r="AE300">
        <v>0</v>
      </c>
      <c r="AI300" t="s">
        <v>52</v>
      </c>
      <c r="AJ300" t="s">
        <v>1196</v>
      </c>
      <c r="AK300" t="s">
        <v>52</v>
      </c>
      <c r="AL300" t="str">
        <f>HYPERLINK("https://pbs.twimg.com/media/D9xgk2YXkAAd2ql.jpg")</f>
        <v>https://pbs.twimg.com/media/D9xgk2YXkAAd2ql.jpg</v>
      </c>
      <c r="AM300" t="s">
        <v>52</v>
      </c>
      <c r="AN300" t="s">
        <v>53</v>
      </c>
    </row>
    <row r="301" spans="1:40">
      <c r="A301" t="s">
        <v>40</v>
      </c>
      <c r="B301" t="s">
        <v>1353</v>
      </c>
      <c r="C301" t="s">
        <v>1354</v>
      </c>
      <c r="D301" t="s">
        <v>52</v>
      </c>
      <c r="E301" t="s">
        <v>1180</v>
      </c>
      <c r="F301" t="s">
        <v>131</v>
      </c>
      <c r="G301" t="str">
        <f>HYPERLINK("https://twitter.com/2205613334/status/1143441636912959488")</f>
        <v>https://twitter.com/2205613334/status/1143441636912959488</v>
      </c>
      <c r="H301" t="s">
        <v>46</v>
      </c>
      <c r="I301" t="s">
        <v>1349</v>
      </c>
      <c r="J301" t="str">
        <f>HYPERLINK("http://twitter.com/GiddyGoons")</f>
        <v>http://twitter.com/GiddyGoons</v>
      </c>
      <c r="K301">
        <v>805</v>
      </c>
      <c r="N301" t="s">
        <v>65</v>
      </c>
      <c r="R301" t="s">
        <v>60</v>
      </c>
      <c r="S301" t="s">
        <v>1350</v>
      </c>
      <c r="T301" t="s">
        <v>1351</v>
      </c>
      <c r="U301" t="s">
        <v>1352</v>
      </c>
      <c r="W301">
        <v>0</v>
      </c>
      <c r="X301">
        <v>0</v>
      </c>
      <c r="AE301">
        <v>0</v>
      </c>
      <c r="AI301" t="s">
        <v>108</v>
      </c>
      <c r="AJ301" t="s">
        <v>1182</v>
      </c>
      <c r="AK301" t="s">
        <v>52</v>
      </c>
      <c r="AL301" t="str">
        <f>HYPERLINK("https://pbs.twimg.com/media/D80r9oIWsAArHWa.jpg")</f>
        <v>https://pbs.twimg.com/media/D80r9oIWsAArHWa.jpg</v>
      </c>
      <c r="AM301" t="s">
        <v>52</v>
      </c>
      <c r="AN301" t="s">
        <v>53</v>
      </c>
    </row>
    <row r="302" spans="1:40">
      <c r="A302" t="s">
        <v>40</v>
      </c>
      <c r="B302" t="s">
        <v>1358</v>
      </c>
      <c r="C302" t="s">
        <v>1319</v>
      </c>
      <c r="D302" t="s">
        <v>1359</v>
      </c>
      <c r="E302" t="s">
        <v>1360</v>
      </c>
      <c r="F302" t="s">
        <v>45</v>
      </c>
      <c r="G302" t="str">
        <f>HYPERLINK("https://www.youtube.com/watch?v=R7GvctH6tNI")</f>
        <v>https://www.youtube.com/watch?v=R7GvctH6tNI</v>
      </c>
      <c r="H302" t="s">
        <v>46</v>
      </c>
      <c r="I302" t="s">
        <v>1361</v>
      </c>
      <c r="J302" t="str">
        <f>HYPERLINK("https://www.youtube.com/channel/UCW5b1Ssbeh0ZhL119YA_QnA")</f>
        <v>https://www.youtube.com/channel/UCW5b1Ssbeh0ZhL119YA_QnA</v>
      </c>
      <c r="K302">
        <v>56</v>
      </c>
      <c r="N302" t="s">
        <v>116</v>
      </c>
      <c r="O302" t="s">
        <v>1361</v>
      </c>
      <c r="P302" t="str">
        <f>HYPERLINK("https://www.youtube.com/channel/UCW5b1Ssbeh0ZhL119YA_QnA")</f>
        <v>https://www.youtube.com/channel/UCW5b1Ssbeh0ZhL119YA_QnA</v>
      </c>
      <c r="Q302">
        <v>56</v>
      </c>
      <c r="R302" t="s">
        <v>60</v>
      </c>
      <c r="W302">
        <v>1</v>
      </c>
      <c r="X302">
        <v>1</v>
      </c>
      <c r="AD302">
        <v>0</v>
      </c>
      <c r="AE302">
        <v>0</v>
      </c>
      <c r="AG302">
        <v>1</v>
      </c>
      <c r="AI302" t="s">
        <v>52</v>
      </c>
      <c r="AJ302" t="s">
        <v>121</v>
      </c>
      <c r="AK302" t="s">
        <v>52</v>
      </c>
      <c r="AL302" t="str">
        <f>HYPERLINK("https://i.ytimg.com/vi/R7GvctH6tNI/hqdefault.jpg")</f>
        <v>https://i.ytimg.com/vi/R7GvctH6tNI/hqdefault.jpg</v>
      </c>
      <c r="AM302" t="s">
        <v>52</v>
      </c>
      <c r="AN302" t="s">
        <v>53</v>
      </c>
    </row>
    <row r="303" spans="1:40">
      <c r="A303" t="s">
        <v>40</v>
      </c>
      <c r="B303" t="s">
        <v>1362</v>
      </c>
      <c r="C303" t="s">
        <v>1363</v>
      </c>
      <c r="D303" t="s">
        <v>52</v>
      </c>
      <c r="E303" t="s">
        <v>1364</v>
      </c>
      <c r="F303" t="s">
        <v>95</v>
      </c>
      <c r="G303" t="str">
        <f>HYPERLINK("https://twitter.com/51851392/status/1143439912051642369")</f>
        <v>https://twitter.com/51851392/status/1143439912051642369</v>
      </c>
      <c r="H303" t="s">
        <v>46</v>
      </c>
      <c r="I303" t="s">
        <v>1365</v>
      </c>
      <c r="J303" t="str">
        <f>HYPERLINK("http://twitter.com/minilynn3")</f>
        <v>http://twitter.com/minilynn3</v>
      </c>
      <c r="K303">
        <v>630</v>
      </c>
      <c r="N303" t="s">
        <v>65</v>
      </c>
      <c r="R303" t="s">
        <v>60</v>
      </c>
      <c r="S303" t="s">
        <v>97</v>
      </c>
      <c r="T303" t="s">
        <v>177</v>
      </c>
      <c r="U303" t="s">
        <v>1366</v>
      </c>
      <c r="W303">
        <v>0</v>
      </c>
      <c r="X303">
        <v>0</v>
      </c>
      <c r="AE303">
        <v>0</v>
      </c>
      <c r="AF303">
        <v>0</v>
      </c>
      <c r="AM303" t="s">
        <v>52</v>
      </c>
      <c r="AN303" t="s">
        <v>53</v>
      </c>
    </row>
    <row r="304" spans="1:40">
      <c r="A304" t="s">
        <v>40</v>
      </c>
      <c r="B304" t="s">
        <v>1367</v>
      </c>
      <c r="C304" t="s">
        <v>1368</v>
      </c>
      <c r="D304" t="s">
        <v>52</v>
      </c>
      <c r="E304" t="s">
        <v>1369</v>
      </c>
      <c r="F304" t="s">
        <v>45</v>
      </c>
      <c r="G304" t="str">
        <f>HYPERLINK("https://www.instagram.com/p/BzIFJk0gI8o")</f>
        <v>https://www.instagram.com/p/BzIFJk0gI8o</v>
      </c>
      <c r="H304" t="s">
        <v>46</v>
      </c>
      <c r="I304" t="s">
        <v>1370</v>
      </c>
      <c r="J304" t="str">
        <f>HYPERLINK("http://instagram.com/_raising_humans_")</f>
        <v>http://instagram.com/_raising_humans_</v>
      </c>
      <c r="K304">
        <v>109</v>
      </c>
      <c r="N304" t="s">
        <v>59</v>
      </c>
      <c r="O304" t="s">
        <v>1370</v>
      </c>
      <c r="P304" t="str">
        <f>HYPERLINK("http://instagram.com/_raising_humans_")</f>
        <v>http://instagram.com/_raising_humans_</v>
      </c>
      <c r="Q304">
        <v>109</v>
      </c>
      <c r="R304" t="s">
        <v>60</v>
      </c>
      <c r="W304">
        <v>9</v>
      </c>
      <c r="X304">
        <v>9</v>
      </c>
      <c r="AE304">
        <v>4</v>
      </c>
      <c r="AI304" t="s">
        <v>108</v>
      </c>
      <c r="AJ304" t="s">
        <v>52</v>
      </c>
      <c r="AK304" t="s">
        <v>52</v>
      </c>
      <c r="AL304" t="str">
        <f>HYPERLINK("https://www.instagram.com/p/BzIFJk0gI8o/media/?size=l")</f>
        <v>https://www.instagram.com/p/BzIFJk0gI8o/media/?size=l</v>
      </c>
      <c r="AM304" t="s">
        <v>52</v>
      </c>
      <c r="AN304" t="s">
        <v>53</v>
      </c>
    </row>
    <row r="305" spans="1:40">
      <c r="A305" t="s">
        <v>40</v>
      </c>
      <c r="B305" t="s">
        <v>1371</v>
      </c>
      <c r="C305" t="s">
        <v>1372</v>
      </c>
      <c r="D305" t="s">
        <v>52</v>
      </c>
      <c r="E305" t="s">
        <v>204</v>
      </c>
      <c r="F305" t="s">
        <v>131</v>
      </c>
      <c r="G305" t="str">
        <f>HYPERLINK("https://twitter.com/975111829822361600/status/1143437317077635073")</f>
        <v>https://twitter.com/975111829822361600/status/1143437317077635073</v>
      </c>
      <c r="H305" t="s">
        <v>46</v>
      </c>
      <c r="I305" t="s">
        <v>1373</v>
      </c>
      <c r="J305" t="str">
        <f>HYPERLINK("http://twitter.com/cowchimmy")</f>
        <v>http://twitter.com/cowchimmy</v>
      </c>
      <c r="K305">
        <v>29</v>
      </c>
      <c r="N305" t="s">
        <v>65</v>
      </c>
      <c r="R305" t="s">
        <v>60</v>
      </c>
      <c r="S305" t="s">
        <v>437</v>
      </c>
      <c r="T305" t="s">
        <v>1374</v>
      </c>
      <c r="U305" t="s">
        <v>1375</v>
      </c>
      <c r="W305">
        <v>0</v>
      </c>
      <c r="X305">
        <v>0</v>
      </c>
      <c r="AE305">
        <v>0</v>
      </c>
      <c r="AM305" t="s">
        <v>52</v>
      </c>
      <c r="AN305" t="s">
        <v>53</v>
      </c>
    </row>
    <row r="306" spans="1:40">
      <c r="A306" t="s">
        <v>40</v>
      </c>
      <c r="B306" t="s">
        <v>1376</v>
      </c>
      <c r="C306" t="s">
        <v>1377</v>
      </c>
      <c r="D306" t="s">
        <v>1378</v>
      </c>
      <c r="E306" t="s">
        <v>1379</v>
      </c>
      <c r="F306" t="s">
        <v>45</v>
      </c>
      <c r="G306" t="str">
        <f>HYPERLINK("https://www.youtube.com/watch?v=rny1qUwdr2g")</f>
        <v>https://www.youtube.com/watch?v=rny1qUwdr2g</v>
      </c>
      <c r="H306" t="s">
        <v>46</v>
      </c>
      <c r="I306" t="s">
        <v>1380</v>
      </c>
      <c r="J306" t="str">
        <f>HYPERLINK("https://www.youtube.com/channel/UCwP_ekXh6cOw39KkKfzkIMQ")</f>
        <v>https://www.youtube.com/channel/UCwP_ekXh6cOw39KkKfzkIMQ</v>
      </c>
      <c r="K306">
        <v>1</v>
      </c>
      <c r="N306" t="s">
        <v>116</v>
      </c>
      <c r="O306" t="s">
        <v>1380</v>
      </c>
      <c r="P306" t="str">
        <f>HYPERLINK("https://www.youtube.com/channel/UCwP_ekXh6cOw39KkKfzkIMQ")</f>
        <v>https://www.youtube.com/channel/UCwP_ekXh6cOw39KkKfzkIMQ</v>
      </c>
      <c r="Q306">
        <v>1</v>
      </c>
      <c r="R306" t="s">
        <v>60</v>
      </c>
      <c r="W306">
        <v>0</v>
      </c>
      <c r="X306">
        <v>0</v>
      </c>
      <c r="AD306">
        <v>0</v>
      </c>
      <c r="AE306">
        <v>0</v>
      </c>
      <c r="AG306">
        <v>0</v>
      </c>
      <c r="AI306" t="s">
        <v>52</v>
      </c>
      <c r="AJ306" t="s">
        <v>52</v>
      </c>
      <c r="AK306" t="s">
        <v>680</v>
      </c>
      <c r="AL306" t="str">
        <f>HYPERLINK("https://i.ytimg.com/vi/rny1qUwdr2g/sddefault.jpg")</f>
        <v>https://i.ytimg.com/vi/rny1qUwdr2g/sddefault.jpg</v>
      </c>
      <c r="AM306" t="s">
        <v>52</v>
      </c>
      <c r="AN306" t="s">
        <v>53</v>
      </c>
    </row>
    <row r="307" spans="1:40">
      <c r="A307" t="s">
        <v>40</v>
      </c>
      <c r="B307" t="s">
        <v>1376</v>
      </c>
      <c r="C307" t="s">
        <v>1381</v>
      </c>
      <c r="D307" t="s">
        <v>52</v>
      </c>
      <c r="E307" t="s">
        <v>1382</v>
      </c>
      <c r="F307" t="s">
        <v>45</v>
      </c>
      <c r="G307" t="str">
        <f>HYPERLINK("https://www.instagram.com/p/BzIEJQoHR56")</f>
        <v>https://www.instagram.com/p/BzIEJQoHR56</v>
      </c>
      <c r="H307" t="s">
        <v>46</v>
      </c>
      <c r="I307" t="s">
        <v>1383</v>
      </c>
      <c r="J307" t="str">
        <f>HYPERLINK("http://instagram.com/donavin_jaylon_jiggy_green")</f>
        <v>http://instagram.com/donavin_jaylon_jiggy_green</v>
      </c>
      <c r="K307">
        <v>75</v>
      </c>
      <c r="N307" t="s">
        <v>59</v>
      </c>
      <c r="O307" t="s">
        <v>1383</v>
      </c>
      <c r="P307" t="str">
        <f>HYPERLINK("http://instagram.com/donavin_jaylon_jiggy_green")</f>
        <v>http://instagram.com/donavin_jaylon_jiggy_green</v>
      </c>
      <c r="Q307">
        <v>75</v>
      </c>
      <c r="R307" t="s">
        <v>60</v>
      </c>
      <c r="W307">
        <v>10</v>
      </c>
      <c r="X307">
        <v>10</v>
      </c>
      <c r="AE307">
        <v>0</v>
      </c>
      <c r="AG307">
        <v>20</v>
      </c>
      <c r="AI307" t="s">
        <v>52</v>
      </c>
      <c r="AJ307" t="s">
        <v>52</v>
      </c>
      <c r="AK307" t="s">
        <v>680</v>
      </c>
      <c r="AL307" t="str">
        <f>HYPERLINK("https://www.instagram.com/p/BzIEJQoHR56/media/?size=l")</f>
        <v>https://www.instagram.com/p/BzIEJQoHR56/media/?size=l</v>
      </c>
      <c r="AM307" t="s">
        <v>52</v>
      </c>
      <c r="AN307" t="s">
        <v>53</v>
      </c>
    </row>
    <row r="308" spans="1:40">
      <c r="A308" t="s">
        <v>40</v>
      </c>
      <c r="B308" t="s">
        <v>1376</v>
      </c>
      <c r="C308" t="s">
        <v>1384</v>
      </c>
      <c r="D308" t="s">
        <v>52</v>
      </c>
      <c r="E308" t="s">
        <v>1385</v>
      </c>
      <c r="F308" t="s">
        <v>45</v>
      </c>
      <c r="G308" t="str">
        <f>HYPERLINK("https://twitter.com/763496772471631872/status/1143436988634189824")</f>
        <v>https://twitter.com/763496772471631872/status/1143436988634189824</v>
      </c>
      <c r="H308" t="s">
        <v>46</v>
      </c>
      <c r="I308" t="s">
        <v>1386</v>
      </c>
      <c r="J308" t="str">
        <f>HYPERLINK("http://twitter.com/timmydoesgfx")</f>
        <v>http://twitter.com/timmydoesgfx</v>
      </c>
      <c r="K308">
        <v>16</v>
      </c>
      <c r="N308" t="s">
        <v>65</v>
      </c>
      <c r="R308" t="s">
        <v>60</v>
      </c>
      <c r="W308">
        <v>0</v>
      </c>
      <c r="X308">
        <v>0</v>
      </c>
      <c r="AE308">
        <v>0</v>
      </c>
      <c r="AF308">
        <v>0</v>
      </c>
      <c r="AM308" t="s">
        <v>52</v>
      </c>
      <c r="AN308" t="s">
        <v>53</v>
      </c>
    </row>
    <row r="309" spans="1:40">
      <c r="A309" t="s">
        <v>40</v>
      </c>
      <c r="B309" t="s">
        <v>1387</v>
      </c>
      <c r="C309" t="s">
        <v>1388</v>
      </c>
      <c r="D309" t="s">
        <v>52</v>
      </c>
      <c r="E309" t="s">
        <v>1389</v>
      </c>
      <c r="F309" t="s">
        <v>131</v>
      </c>
      <c r="G309" t="str">
        <f>HYPERLINK("https://twitter.com/1076813958747770880/status/1143436667400986625")</f>
        <v>https://twitter.com/1076813958747770880/status/1143436667400986625</v>
      </c>
      <c r="H309" t="s">
        <v>46</v>
      </c>
      <c r="I309" t="s">
        <v>1390</v>
      </c>
      <c r="J309" t="str">
        <f>HYPERLINK("http://twitter.com/kxYu5rVrqxsoarj")</f>
        <v>http://twitter.com/kxYu5rVrqxsoarj</v>
      </c>
      <c r="K309">
        <v>167</v>
      </c>
      <c r="N309" t="s">
        <v>65</v>
      </c>
      <c r="R309" t="s">
        <v>60</v>
      </c>
      <c r="W309">
        <v>0</v>
      </c>
      <c r="X309">
        <v>0</v>
      </c>
      <c r="AE309">
        <v>0</v>
      </c>
      <c r="AI309" t="s">
        <v>52</v>
      </c>
      <c r="AJ309" t="s">
        <v>1196</v>
      </c>
      <c r="AK309" t="s">
        <v>52</v>
      </c>
      <c r="AL309" t="str">
        <f>HYPERLINK("https://pbs.twimg.com/media/D9xgk2YXkAAd2ql.jpg")</f>
        <v>https://pbs.twimg.com/media/D9xgk2YXkAAd2ql.jpg</v>
      </c>
      <c r="AM309" t="s">
        <v>52</v>
      </c>
      <c r="AN309" t="s">
        <v>53</v>
      </c>
    </row>
    <row r="310" spans="1:40">
      <c r="A310" t="s">
        <v>40</v>
      </c>
      <c r="B310" t="s">
        <v>1391</v>
      </c>
      <c r="C310" t="s">
        <v>1372</v>
      </c>
      <c r="D310" t="s">
        <v>52</v>
      </c>
      <c r="E310" t="s">
        <v>204</v>
      </c>
      <c r="F310" t="s">
        <v>131</v>
      </c>
      <c r="G310" t="str">
        <f>HYPERLINK("https://twitter.com/105415476/status/1143436595024019456")</f>
        <v>https://twitter.com/105415476/status/1143436595024019456</v>
      </c>
      <c r="H310" t="s">
        <v>46</v>
      </c>
      <c r="I310" t="s">
        <v>1392</v>
      </c>
      <c r="J310" t="str">
        <f>HYPERLINK("http://twitter.com/VerboseVillain")</f>
        <v>http://twitter.com/VerboseVillain</v>
      </c>
      <c r="K310">
        <v>215</v>
      </c>
      <c r="N310" t="s">
        <v>65</v>
      </c>
      <c r="R310" t="s">
        <v>60</v>
      </c>
      <c r="S310" t="s">
        <v>387</v>
      </c>
      <c r="T310" t="s">
        <v>1393</v>
      </c>
      <c r="U310" t="s">
        <v>1394</v>
      </c>
      <c r="W310">
        <v>0</v>
      </c>
      <c r="X310">
        <v>0</v>
      </c>
      <c r="AE310">
        <v>0</v>
      </c>
      <c r="AM310" t="s">
        <v>52</v>
      </c>
      <c r="AN310" t="s">
        <v>53</v>
      </c>
    </row>
    <row r="311" spans="1:40">
      <c r="A311" t="s">
        <v>40</v>
      </c>
      <c r="B311" t="s">
        <v>1391</v>
      </c>
      <c r="C311" t="s">
        <v>1395</v>
      </c>
      <c r="D311" t="s">
        <v>52</v>
      </c>
      <c r="E311" t="s">
        <v>1396</v>
      </c>
      <c r="F311" t="s">
        <v>95</v>
      </c>
      <c r="G311" t="str">
        <f>HYPERLINK("https://twitter.com/768503568995418112/status/1143436501113610240")</f>
        <v>https://twitter.com/768503568995418112/status/1143436501113610240</v>
      </c>
      <c r="H311" t="s">
        <v>46</v>
      </c>
      <c r="I311" t="s">
        <v>1397</v>
      </c>
      <c r="J311" t="str">
        <f>HYPERLINK("http://twitter.com/duashines")</f>
        <v>http://twitter.com/duashines</v>
      </c>
      <c r="K311">
        <v>2807</v>
      </c>
      <c r="L311" t="s">
        <v>58</v>
      </c>
      <c r="N311" t="s">
        <v>65</v>
      </c>
      <c r="R311" t="s">
        <v>60</v>
      </c>
      <c r="S311" t="s">
        <v>156</v>
      </c>
      <c r="T311" t="s">
        <v>1398</v>
      </c>
      <c r="U311" t="s">
        <v>1399</v>
      </c>
      <c r="W311">
        <v>0</v>
      </c>
      <c r="X311">
        <v>0</v>
      </c>
      <c r="AE311">
        <v>0</v>
      </c>
      <c r="AF311">
        <v>0</v>
      </c>
      <c r="AI311" t="s">
        <v>108</v>
      </c>
      <c r="AJ311" t="s">
        <v>1182</v>
      </c>
      <c r="AK311" t="s">
        <v>52</v>
      </c>
      <c r="AL311" t="str">
        <f>HYPERLINK("https://pbs.twimg.com/media/D80r9oIWsAArHWa.jpg")</f>
        <v>https://pbs.twimg.com/media/D80r9oIWsAArHWa.jpg</v>
      </c>
      <c r="AM311" t="s">
        <v>52</v>
      </c>
      <c r="AN311" t="s">
        <v>53</v>
      </c>
    </row>
    <row r="312" spans="1:40">
      <c r="A312" t="s">
        <v>40</v>
      </c>
      <c r="B312" t="s">
        <v>1400</v>
      </c>
      <c r="C312" t="s">
        <v>1401</v>
      </c>
      <c r="D312" t="s">
        <v>52</v>
      </c>
      <c r="E312" t="s">
        <v>204</v>
      </c>
      <c r="F312" t="s">
        <v>131</v>
      </c>
      <c r="G312" t="str">
        <f>HYPERLINK("https://twitter.com/959539350307594240/status/1143436376597291011")</f>
        <v>https://twitter.com/959539350307594240/status/1143436376597291011</v>
      </c>
      <c r="H312" t="s">
        <v>46</v>
      </c>
      <c r="I312" t="s">
        <v>1402</v>
      </c>
      <c r="J312" t="str">
        <f>HYPERLINK("http://twitter.com/watermark_m")</f>
        <v>http://twitter.com/watermark_m</v>
      </c>
      <c r="K312">
        <v>148</v>
      </c>
      <c r="N312" t="s">
        <v>65</v>
      </c>
      <c r="R312" t="s">
        <v>60</v>
      </c>
      <c r="S312" t="s">
        <v>1403</v>
      </c>
      <c r="T312" t="s">
        <v>1404</v>
      </c>
      <c r="U312" t="s">
        <v>1405</v>
      </c>
      <c r="W312">
        <v>0</v>
      </c>
      <c r="X312">
        <v>0</v>
      </c>
      <c r="AE312">
        <v>0</v>
      </c>
      <c r="AM312" t="s">
        <v>52</v>
      </c>
      <c r="AN312" t="s">
        <v>53</v>
      </c>
    </row>
    <row r="313" spans="1:40">
      <c r="A313" t="s">
        <v>40</v>
      </c>
      <c r="B313" t="s">
        <v>1400</v>
      </c>
      <c r="C313" t="s">
        <v>1406</v>
      </c>
      <c r="D313" t="s">
        <v>970</v>
      </c>
      <c r="E313" t="s">
        <v>1407</v>
      </c>
      <c r="F313" t="s">
        <v>45</v>
      </c>
      <c r="G313" t="str">
        <f>HYPERLINK("https://www.reddit.com/r/gaming/comments/c4s7ll/our_highschool_lan_parties_2004/?sort=new#thing_t1_erzelmz")</f>
        <v>https://www.reddit.com/r/gaming/comments/c4s7ll/our_highschool_lan_parties_2004/?sort=new#thing_t1_erzelmz</v>
      </c>
      <c r="H313" t="s">
        <v>46</v>
      </c>
      <c r="I313" t="s">
        <v>1408</v>
      </c>
      <c r="J313" t="str">
        <f>HYPERLINK("https://www.reddit.com/r/gaming/comments/c4s7ll/our_highschool_lan_parties_2004/?sort=new#thing_t1_erzelmz")</f>
        <v>https://www.reddit.com/r/gaming/comments/c4s7ll/our_highschool_lan_parties_2004/?sort=new#thing_t1_erzelmz</v>
      </c>
      <c r="N313" t="s">
        <v>545</v>
      </c>
      <c r="O313" t="s">
        <v>52</v>
      </c>
      <c r="P313" t="str">
        <f>HYPERLINK("https://www.reddit.com/r/Pikabu/")</f>
        <v>https://www.reddit.com/r/Pikabu/</v>
      </c>
      <c r="R313" t="s">
        <v>516</v>
      </c>
      <c r="S313" t="s">
        <v>51</v>
      </c>
      <c r="AM313" t="s">
        <v>52</v>
      </c>
      <c r="AN313" t="s">
        <v>53</v>
      </c>
    </row>
    <row r="314" spans="1:40">
      <c r="A314" t="s">
        <v>40</v>
      </c>
      <c r="B314" t="s">
        <v>1409</v>
      </c>
      <c r="C314" t="s">
        <v>1410</v>
      </c>
      <c r="D314" t="s">
        <v>52</v>
      </c>
      <c r="E314" t="s">
        <v>1411</v>
      </c>
      <c r="F314" t="s">
        <v>131</v>
      </c>
      <c r="G314" t="str">
        <f>HYPERLINK("https://twitter.com/762076191901626368/status/1143436005841575936")</f>
        <v>https://twitter.com/762076191901626368/status/1143436005841575936</v>
      </c>
      <c r="H314" t="s">
        <v>46</v>
      </c>
      <c r="I314" t="s">
        <v>1412</v>
      </c>
      <c r="J314" t="str">
        <f>HYPERLINK("http://twitter.com/jurtj0bain")</f>
        <v>http://twitter.com/jurtj0bain</v>
      </c>
      <c r="K314">
        <v>597</v>
      </c>
      <c r="L314" t="s">
        <v>48</v>
      </c>
      <c r="N314" t="s">
        <v>65</v>
      </c>
      <c r="R314" t="s">
        <v>60</v>
      </c>
      <c r="S314" t="s">
        <v>1403</v>
      </c>
      <c r="T314" t="s">
        <v>1413</v>
      </c>
      <c r="U314" t="s">
        <v>1414</v>
      </c>
      <c r="W314">
        <v>0</v>
      </c>
      <c r="X314">
        <v>0</v>
      </c>
      <c r="AE314">
        <v>0</v>
      </c>
      <c r="AM314" t="s">
        <v>52</v>
      </c>
      <c r="AN314" t="s">
        <v>53</v>
      </c>
    </row>
    <row r="315" spans="1:40">
      <c r="A315" t="s">
        <v>40</v>
      </c>
      <c r="B315" t="s">
        <v>1409</v>
      </c>
      <c r="C315" t="s">
        <v>1410</v>
      </c>
      <c r="D315" t="s">
        <v>52</v>
      </c>
      <c r="E315" t="s">
        <v>1194</v>
      </c>
      <c r="F315" t="s">
        <v>131</v>
      </c>
      <c r="G315" t="str">
        <f>HYPERLINK("https://twitter.com/985543027/status/1143435992231284736")</f>
        <v>https://twitter.com/985543027/status/1143435992231284736</v>
      </c>
      <c r="H315" t="s">
        <v>46</v>
      </c>
      <c r="I315" t="s">
        <v>1415</v>
      </c>
      <c r="J315" t="str">
        <f>HYPERLINK("http://twitter.com/BuiltUpAWorld")</f>
        <v>http://twitter.com/BuiltUpAWorld</v>
      </c>
      <c r="K315">
        <v>655</v>
      </c>
      <c r="N315" t="s">
        <v>65</v>
      </c>
      <c r="R315" t="s">
        <v>60</v>
      </c>
      <c r="W315">
        <v>0</v>
      </c>
      <c r="X315">
        <v>0</v>
      </c>
      <c r="AE315">
        <v>0</v>
      </c>
      <c r="AI315" t="s">
        <v>52</v>
      </c>
      <c r="AJ315" t="s">
        <v>1196</v>
      </c>
      <c r="AK315" t="s">
        <v>52</v>
      </c>
      <c r="AL315" t="str">
        <f>HYPERLINK("https://pbs.twimg.com/media/D9xgk2YXkAAd2ql.jpg")</f>
        <v>https://pbs.twimg.com/media/D9xgk2YXkAAd2ql.jpg</v>
      </c>
      <c r="AM315" t="s">
        <v>52</v>
      </c>
      <c r="AN315" t="s">
        <v>53</v>
      </c>
    </row>
    <row r="316" spans="1:40">
      <c r="A316" t="s">
        <v>40</v>
      </c>
      <c r="B316" t="s">
        <v>1416</v>
      </c>
      <c r="C316" t="s">
        <v>1401</v>
      </c>
      <c r="D316" t="s">
        <v>52</v>
      </c>
      <c r="E316" t="s">
        <v>1417</v>
      </c>
      <c r="F316" t="s">
        <v>71</v>
      </c>
      <c r="G316" t="str">
        <f>HYPERLINK("https://twitter.com/1105350412515844096/status/1143435238447702016")</f>
        <v>https://twitter.com/1105350412515844096/status/1143435238447702016</v>
      </c>
      <c r="H316" t="s">
        <v>91</v>
      </c>
      <c r="I316" t="s">
        <v>1418</v>
      </c>
      <c r="J316" t="str">
        <f>HYPERLINK("http://twitter.com/Tev_Angelo9")</f>
        <v>http://twitter.com/Tev_Angelo9</v>
      </c>
      <c r="K316">
        <v>118</v>
      </c>
      <c r="L316" t="s">
        <v>48</v>
      </c>
      <c r="N316" t="s">
        <v>65</v>
      </c>
      <c r="R316" t="s">
        <v>60</v>
      </c>
      <c r="S316" t="s">
        <v>97</v>
      </c>
      <c r="T316" t="s">
        <v>98</v>
      </c>
      <c r="U316" t="s">
        <v>1419</v>
      </c>
      <c r="W316">
        <v>2</v>
      </c>
      <c r="X316">
        <v>2</v>
      </c>
      <c r="AE316">
        <v>0</v>
      </c>
      <c r="AF316">
        <v>1</v>
      </c>
      <c r="AI316" t="s">
        <v>52</v>
      </c>
      <c r="AJ316" t="s">
        <v>659</v>
      </c>
      <c r="AK316" t="s">
        <v>52</v>
      </c>
      <c r="AL316" t="str">
        <f>HYPERLINK("https://pbs.twimg.com/ext_tw_video_thumb/1143433499396980737/pu/img/pdekKNrLBtJdpvHf.jpg")</f>
        <v>https://pbs.twimg.com/ext_tw_video_thumb/1143433499396980737/pu/img/pdekKNrLBtJdpvHf.jpg</v>
      </c>
      <c r="AM316" t="s">
        <v>52</v>
      </c>
      <c r="AN316" t="s">
        <v>53</v>
      </c>
    </row>
    <row r="317" spans="1:40">
      <c r="A317" t="s">
        <v>40</v>
      </c>
      <c r="B317" t="s">
        <v>1420</v>
      </c>
      <c r="C317" t="s">
        <v>1421</v>
      </c>
      <c r="D317" t="s">
        <v>52</v>
      </c>
      <c r="E317" t="s">
        <v>1422</v>
      </c>
      <c r="F317" t="s">
        <v>131</v>
      </c>
      <c r="G317" t="str">
        <f>HYPERLINK("https://twitter.com/894485484876963841/status/1143435126006640640")</f>
        <v>https://twitter.com/894485484876963841/status/1143435126006640640</v>
      </c>
      <c r="H317" t="s">
        <v>91</v>
      </c>
      <c r="I317" t="s">
        <v>1423</v>
      </c>
      <c r="J317" t="str">
        <f>HYPERLINK("http://twitter.com/RyeSlaps")</f>
        <v>http://twitter.com/RyeSlaps</v>
      </c>
      <c r="K317">
        <v>592</v>
      </c>
      <c r="N317" t="s">
        <v>65</v>
      </c>
      <c r="R317" t="s">
        <v>60</v>
      </c>
      <c r="S317" t="s">
        <v>701</v>
      </c>
      <c r="T317" t="s">
        <v>1424</v>
      </c>
      <c r="U317" t="s">
        <v>1425</v>
      </c>
      <c r="W317">
        <v>0</v>
      </c>
      <c r="X317">
        <v>0</v>
      </c>
      <c r="AE317">
        <v>0</v>
      </c>
      <c r="AI317" t="s">
        <v>52</v>
      </c>
      <c r="AJ317" t="s">
        <v>659</v>
      </c>
      <c r="AK317" t="s">
        <v>52</v>
      </c>
      <c r="AL317" t="str">
        <f>HYPERLINK("https://pbs.twimg.com/ext_tw_video_thumb/1143433499396980737/pu/img/pdekKNrLBtJdpvHf.jpg")</f>
        <v>https://pbs.twimg.com/ext_tw_video_thumb/1143433499396980737/pu/img/pdekKNrLBtJdpvHf.jpg</v>
      </c>
      <c r="AM317" t="s">
        <v>52</v>
      </c>
      <c r="AN317" t="s">
        <v>53</v>
      </c>
    </row>
    <row r="318" spans="1:40">
      <c r="A318" t="s">
        <v>40</v>
      </c>
      <c r="B318" t="s">
        <v>1420</v>
      </c>
      <c r="C318" t="s">
        <v>1426</v>
      </c>
      <c r="D318" t="s">
        <v>52</v>
      </c>
      <c r="E318" t="s">
        <v>1427</v>
      </c>
      <c r="F318" t="s">
        <v>45</v>
      </c>
      <c r="G318" t="str">
        <f>HYPERLINK("https://www.instagram.com/p/BzID3OjJHYO")</f>
        <v>https://www.instagram.com/p/BzID3OjJHYO</v>
      </c>
      <c r="H318" t="s">
        <v>46</v>
      </c>
      <c r="I318" t="s">
        <v>1428</v>
      </c>
      <c r="J318" t="str">
        <f>HYPERLINK("http://instagram.com/shoplovenz")</f>
        <v>http://instagram.com/shoplovenz</v>
      </c>
      <c r="K318">
        <v>207</v>
      </c>
      <c r="N318" t="s">
        <v>59</v>
      </c>
      <c r="O318" t="s">
        <v>1428</v>
      </c>
      <c r="P318" t="str">
        <f>HYPERLINK("http://instagram.com/shoplovenz")</f>
        <v>http://instagram.com/shoplovenz</v>
      </c>
      <c r="Q318">
        <v>207</v>
      </c>
      <c r="R318" t="s">
        <v>60</v>
      </c>
      <c r="W318">
        <v>6</v>
      </c>
      <c r="X318">
        <v>6</v>
      </c>
      <c r="AE318">
        <v>0</v>
      </c>
      <c r="AI318" t="s">
        <v>108</v>
      </c>
      <c r="AJ318" t="s">
        <v>1429</v>
      </c>
      <c r="AK318" t="s">
        <v>52</v>
      </c>
      <c r="AL318" t="str">
        <f>HYPERLINK("https://www.instagram.com/p/BzID3OjJHYO/media/?size=l")</f>
        <v>https://www.instagram.com/p/BzID3OjJHYO/media/?size=l</v>
      </c>
      <c r="AM318" t="s">
        <v>52</v>
      </c>
      <c r="AN318" t="s">
        <v>53</v>
      </c>
    </row>
    <row r="319" spans="1:40">
      <c r="A319" t="s">
        <v>40</v>
      </c>
      <c r="B319" t="s">
        <v>1430</v>
      </c>
      <c r="C319" t="s">
        <v>1242</v>
      </c>
      <c r="D319" t="s">
        <v>1431</v>
      </c>
      <c r="E319" t="s">
        <v>1432</v>
      </c>
      <c r="F319" t="s">
        <v>45</v>
      </c>
      <c r="G319" t="str">
        <f>HYPERLINK("https://techknowbits.com/2019/06/25/sapphire-star-partners-lp-trims-stake-in-pepsico-inc-nasdaqpep.html")</f>
        <v>https://techknowbits.com/2019/06/25/sapphire-star-partners-lp-trims-stake-in-pepsico-inc-nasdaqpep.html</v>
      </c>
      <c r="H319" t="s">
        <v>91</v>
      </c>
      <c r="I319" t="s">
        <v>1433</v>
      </c>
      <c r="J319" t="str">
        <f>HYPERLINK("https://techknowbits.com/2019/06/25/sapphire-star-partners-lp-trims-stake-in-pepsico-inc-nasdaqpep.html")</f>
        <v>https://techknowbits.com/2019/06/25/sapphire-star-partners-lp-trims-stake-in-pepsico-inc-nasdaqpep.html</v>
      </c>
      <c r="L319" t="s">
        <v>58</v>
      </c>
      <c r="N319" t="s">
        <v>49</v>
      </c>
      <c r="R319" t="s">
        <v>50</v>
      </c>
      <c r="S319" t="s">
        <v>51</v>
      </c>
      <c r="AM319" t="s">
        <v>52</v>
      </c>
      <c r="AN319" t="s">
        <v>53</v>
      </c>
    </row>
    <row r="320" spans="1:40">
      <c r="A320" t="s">
        <v>40</v>
      </c>
      <c r="B320" t="s">
        <v>1434</v>
      </c>
      <c r="C320" t="s">
        <v>1426</v>
      </c>
      <c r="D320" t="s">
        <v>52</v>
      </c>
      <c r="E320" t="s">
        <v>1435</v>
      </c>
      <c r="F320" t="s">
        <v>45</v>
      </c>
      <c r="G320" t="str">
        <f>HYPERLINK("https://www.instagram.com/p/BzIDce4Fza2")</f>
        <v>https://www.instagram.com/p/BzIDce4Fza2</v>
      </c>
      <c r="H320" t="s">
        <v>46</v>
      </c>
      <c r="I320" t="s">
        <v>1436</v>
      </c>
      <c r="J320" t="str">
        <f>HYPERLINK("http://instagram.com/gerdasando")</f>
        <v>http://instagram.com/gerdasando</v>
      </c>
      <c r="K320">
        <v>73</v>
      </c>
      <c r="N320" t="s">
        <v>59</v>
      </c>
      <c r="O320" t="s">
        <v>1436</v>
      </c>
      <c r="P320" t="str">
        <f>HYPERLINK("http://instagram.com/gerdasando")</f>
        <v>http://instagram.com/gerdasando</v>
      </c>
      <c r="Q320">
        <v>73</v>
      </c>
      <c r="R320" t="s">
        <v>60</v>
      </c>
      <c r="W320">
        <v>14</v>
      </c>
      <c r="X320">
        <v>14</v>
      </c>
      <c r="AE320">
        <v>0</v>
      </c>
      <c r="AI320" t="s">
        <v>52</v>
      </c>
      <c r="AJ320" t="s">
        <v>52</v>
      </c>
      <c r="AK320" t="s">
        <v>52</v>
      </c>
      <c r="AL320" t="str">
        <f>HYPERLINK("https://www.instagram.com/p/BzIDce4Fza2/media/?size=l")</f>
        <v>https://www.instagram.com/p/BzIDce4Fza2/media/?size=l</v>
      </c>
      <c r="AM320" t="s">
        <v>52</v>
      </c>
      <c r="AN320" t="s">
        <v>53</v>
      </c>
    </row>
    <row r="321" spans="1:40">
      <c r="A321" t="s">
        <v>40</v>
      </c>
      <c r="B321" t="s">
        <v>1437</v>
      </c>
      <c r="C321" t="s">
        <v>1426</v>
      </c>
      <c r="D321" t="s">
        <v>52</v>
      </c>
      <c r="E321" t="s">
        <v>1438</v>
      </c>
      <c r="F321" t="s">
        <v>45</v>
      </c>
      <c r="G321" t="str">
        <f>HYPERLINK("https://www.instagram.com/p/BzIDTmfnYyv")</f>
        <v>https://www.instagram.com/p/BzIDTmfnYyv</v>
      </c>
      <c r="H321" t="s">
        <v>215</v>
      </c>
      <c r="I321" t="s">
        <v>1439</v>
      </c>
      <c r="J321" t="str">
        <f>HYPERLINK("http://instagram.com/dinahartoyo")</f>
        <v>http://instagram.com/dinahartoyo</v>
      </c>
      <c r="K321">
        <v>1710</v>
      </c>
      <c r="L321" t="s">
        <v>58</v>
      </c>
      <c r="N321" t="s">
        <v>59</v>
      </c>
      <c r="O321" t="s">
        <v>1439</v>
      </c>
      <c r="P321" t="str">
        <f>HYPERLINK("http://instagram.com/dinahartoyo")</f>
        <v>http://instagram.com/dinahartoyo</v>
      </c>
      <c r="Q321">
        <v>1710</v>
      </c>
      <c r="R321" t="s">
        <v>60</v>
      </c>
      <c r="W321">
        <v>13</v>
      </c>
      <c r="X321">
        <v>13</v>
      </c>
      <c r="AE321">
        <v>2</v>
      </c>
      <c r="AI321" t="s">
        <v>108</v>
      </c>
      <c r="AJ321" t="s">
        <v>321</v>
      </c>
      <c r="AK321" t="s">
        <v>52</v>
      </c>
      <c r="AL321" t="str">
        <f>HYPERLINK("https://www.instagram.com/p/BzIDTmfnYyv/media/?size=l")</f>
        <v>https://www.instagram.com/p/BzIDTmfnYyv/media/?size=l</v>
      </c>
      <c r="AM321" t="s">
        <v>52</v>
      </c>
      <c r="AN321" t="s">
        <v>53</v>
      </c>
    </row>
    <row r="322" spans="1:40">
      <c r="A322" t="s">
        <v>40</v>
      </c>
      <c r="B322" t="s">
        <v>1440</v>
      </c>
      <c r="C322" t="s">
        <v>1441</v>
      </c>
      <c r="D322" t="s">
        <v>52</v>
      </c>
      <c r="E322" t="s">
        <v>1422</v>
      </c>
      <c r="F322" t="s">
        <v>45</v>
      </c>
      <c r="G322" t="str">
        <f>HYPERLINK("https://twitter.com/3007033564/status/1143433579688579072")</f>
        <v>https://twitter.com/3007033564/status/1143433579688579072</v>
      </c>
      <c r="H322" t="s">
        <v>91</v>
      </c>
      <c r="I322" t="s">
        <v>1442</v>
      </c>
      <c r="J322" t="str">
        <f>HYPERLINK("http://twitter.com/VexxyYouSoSexxy")</f>
        <v>http://twitter.com/VexxyYouSoSexxy</v>
      </c>
      <c r="K322">
        <v>860</v>
      </c>
      <c r="N322" t="s">
        <v>65</v>
      </c>
      <c r="R322" t="s">
        <v>60</v>
      </c>
      <c r="S322" t="s">
        <v>51</v>
      </c>
      <c r="T322" t="s">
        <v>137</v>
      </c>
      <c r="U322" t="s">
        <v>1015</v>
      </c>
      <c r="W322">
        <v>10</v>
      </c>
      <c r="X322">
        <v>10</v>
      </c>
      <c r="AE322">
        <v>2</v>
      </c>
      <c r="AF322">
        <v>4</v>
      </c>
      <c r="AI322" t="s">
        <v>52</v>
      </c>
      <c r="AJ322" t="s">
        <v>659</v>
      </c>
      <c r="AK322" t="s">
        <v>52</v>
      </c>
      <c r="AL322" t="str">
        <f>HYPERLINK("https://pbs.twimg.com/ext_tw_video_thumb/1143433499396980737/pu/img/pdekKNrLBtJdpvHf.jpg")</f>
        <v>https://pbs.twimg.com/ext_tw_video_thumb/1143433499396980737/pu/img/pdekKNrLBtJdpvHf.jpg</v>
      </c>
      <c r="AM322" t="s">
        <v>52</v>
      </c>
      <c r="AN322" t="s">
        <v>53</v>
      </c>
    </row>
    <row r="323" spans="1:40">
      <c r="A323" t="s">
        <v>40</v>
      </c>
      <c r="B323" t="s">
        <v>1440</v>
      </c>
      <c r="C323" t="s">
        <v>1441</v>
      </c>
      <c r="D323" t="s">
        <v>52</v>
      </c>
      <c r="E323" t="s">
        <v>1443</v>
      </c>
      <c r="F323" t="s">
        <v>45</v>
      </c>
      <c r="G323" t="str">
        <f>HYPERLINK("https://twitter.com/41141547/status/1143433576597188608")</f>
        <v>https://twitter.com/41141547/status/1143433576597188608</v>
      </c>
      <c r="H323" t="s">
        <v>215</v>
      </c>
      <c r="I323" t="s">
        <v>1444</v>
      </c>
      <c r="J323" t="str">
        <f>HYPERLINK("http://twitter.com/Louisabacio")</f>
        <v>http://twitter.com/Louisabacio</v>
      </c>
      <c r="K323">
        <v>10204</v>
      </c>
      <c r="L323" t="s">
        <v>58</v>
      </c>
      <c r="N323" t="s">
        <v>65</v>
      </c>
      <c r="R323" t="s">
        <v>60</v>
      </c>
      <c r="S323" t="s">
        <v>592</v>
      </c>
      <c r="T323" t="s">
        <v>1445</v>
      </c>
      <c r="U323" t="s">
        <v>1446</v>
      </c>
      <c r="W323">
        <v>1</v>
      </c>
      <c r="X323">
        <v>1</v>
      </c>
      <c r="AE323">
        <v>1</v>
      </c>
      <c r="AF323">
        <v>0</v>
      </c>
      <c r="AM323" t="s">
        <v>52</v>
      </c>
      <c r="AN323" t="s">
        <v>53</v>
      </c>
    </row>
    <row r="324" spans="1:40">
      <c r="A324" t="s">
        <v>40</v>
      </c>
      <c r="B324" t="s">
        <v>1440</v>
      </c>
      <c r="C324" t="s">
        <v>1441</v>
      </c>
      <c r="D324" t="s">
        <v>52</v>
      </c>
      <c r="E324" t="s">
        <v>1447</v>
      </c>
      <c r="F324" t="s">
        <v>45</v>
      </c>
      <c r="G324" t="str">
        <f>HYPERLINK("https://twitter.com/131948409/status/1143433572092731397")</f>
        <v>https://twitter.com/131948409/status/1143433572092731397</v>
      </c>
      <c r="H324" t="s">
        <v>46</v>
      </c>
      <c r="I324" t="s">
        <v>1448</v>
      </c>
      <c r="J324" t="str">
        <f>HYPERLINK("http://twitter.com/keliciadgaf")</f>
        <v>http://twitter.com/keliciadgaf</v>
      </c>
      <c r="K324">
        <v>161</v>
      </c>
      <c r="N324" t="s">
        <v>65</v>
      </c>
      <c r="R324" t="s">
        <v>60</v>
      </c>
      <c r="W324">
        <v>0</v>
      </c>
      <c r="X324">
        <v>0</v>
      </c>
      <c r="AE324">
        <v>0</v>
      </c>
      <c r="AF324">
        <v>0</v>
      </c>
      <c r="AM324" t="s">
        <v>52</v>
      </c>
      <c r="AN324" t="s">
        <v>53</v>
      </c>
    </row>
    <row r="325" spans="1:40">
      <c r="A325" t="s">
        <v>40</v>
      </c>
      <c r="B325" t="s">
        <v>1440</v>
      </c>
      <c r="C325" t="s">
        <v>1449</v>
      </c>
      <c r="D325" t="s">
        <v>52</v>
      </c>
      <c r="E325" t="s">
        <v>1450</v>
      </c>
      <c r="F325" t="s">
        <v>45</v>
      </c>
      <c r="G325" t="str">
        <f>HYPERLINK("https://twitter.com/914590483845992450/status/1143433565176287234")</f>
        <v>https://twitter.com/914590483845992450/status/1143433565176287234</v>
      </c>
      <c r="H325" t="s">
        <v>46</v>
      </c>
      <c r="I325" t="s">
        <v>1451</v>
      </c>
      <c r="J325" t="str">
        <f>HYPERLINK("http://twitter.com/angelcaiss")</f>
        <v>http://twitter.com/angelcaiss</v>
      </c>
      <c r="K325">
        <v>218</v>
      </c>
      <c r="N325" t="s">
        <v>65</v>
      </c>
      <c r="R325" t="s">
        <v>60</v>
      </c>
      <c r="S325" t="s">
        <v>1452</v>
      </c>
      <c r="U325" t="s">
        <v>1453</v>
      </c>
      <c r="W325">
        <v>8</v>
      </c>
      <c r="X325">
        <v>8</v>
      </c>
      <c r="AE325">
        <v>1</v>
      </c>
      <c r="AF325">
        <v>0</v>
      </c>
      <c r="AM325" t="s">
        <v>52</v>
      </c>
      <c r="AN325" t="s">
        <v>53</v>
      </c>
    </row>
    <row r="326" spans="1:40">
      <c r="A326" t="s">
        <v>40</v>
      </c>
      <c r="B326" t="s">
        <v>1440</v>
      </c>
      <c r="C326" t="s">
        <v>1449</v>
      </c>
      <c r="D326" t="s">
        <v>52</v>
      </c>
      <c r="E326" t="s">
        <v>1194</v>
      </c>
      <c r="F326" t="s">
        <v>131</v>
      </c>
      <c r="G326" t="str">
        <f>HYPERLINK("https://twitter.com/3439024847/status/1143433475439112192")</f>
        <v>https://twitter.com/3439024847/status/1143433475439112192</v>
      </c>
      <c r="H326" t="s">
        <v>46</v>
      </c>
      <c r="I326" t="s">
        <v>1454</v>
      </c>
      <c r="J326" t="str">
        <f>HYPERLINK("http://twitter.com/Aullidodelob0")</f>
        <v>http://twitter.com/Aullidodelob0</v>
      </c>
      <c r="K326">
        <v>172</v>
      </c>
      <c r="N326" t="s">
        <v>65</v>
      </c>
      <c r="R326" t="s">
        <v>60</v>
      </c>
      <c r="S326" t="s">
        <v>142</v>
      </c>
      <c r="T326" t="s">
        <v>1455</v>
      </c>
      <c r="U326" t="s">
        <v>1456</v>
      </c>
      <c r="W326">
        <v>0</v>
      </c>
      <c r="X326">
        <v>0</v>
      </c>
      <c r="AE326">
        <v>0</v>
      </c>
      <c r="AI326" t="s">
        <v>52</v>
      </c>
      <c r="AJ326" t="s">
        <v>1196</v>
      </c>
      <c r="AK326" t="s">
        <v>52</v>
      </c>
      <c r="AL326" t="str">
        <f>HYPERLINK("https://pbs.twimg.com/media/D9xgk2YXkAAd2ql.jpg")</f>
        <v>https://pbs.twimg.com/media/D9xgk2YXkAAd2ql.jpg</v>
      </c>
      <c r="AM326" t="s">
        <v>52</v>
      </c>
      <c r="AN326" t="s">
        <v>53</v>
      </c>
    </row>
    <row r="327" spans="1:40">
      <c r="A327" t="s">
        <v>40</v>
      </c>
      <c r="B327" t="s">
        <v>1457</v>
      </c>
      <c r="C327" t="s">
        <v>1458</v>
      </c>
      <c r="D327" t="s">
        <v>52</v>
      </c>
      <c r="E327" t="s">
        <v>204</v>
      </c>
      <c r="F327" t="s">
        <v>131</v>
      </c>
      <c r="G327" t="str">
        <f>HYPERLINK("https://twitter.com/2585367631/status/1143432963075428352")</f>
        <v>https://twitter.com/2585367631/status/1143432963075428352</v>
      </c>
      <c r="H327" t="s">
        <v>46</v>
      </c>
      <c r="I327" t="s">
        <v>1459</v>
      </c>
      <c r="J327" t="str">
        <f>HYPERLINK("http://twitter.com/thominyourside")</f>
        <v>http://twitter.com/thominyourside</v>
      </c>
      <c r="K327">
        <v>83</v>
      </c>
      <c r="N327" t="s">
        <v>65</v>
      </c>
      <c r="R327" t="s">
        <v>60</v>
      </c>
      <c r="W327">
        <v>0</v>
      </c>
      <c r="X327">
        <v>0</v>
      </c>
      <c r="AE327">
        <v>0</v>
      </c>
      <c r="AM327" t="s">
        <v>52</v>
      </c>
      <c r="AN327" t="s">
        <v>53</v>
      </c>
    </row>
    <row r="328" spans="1:40">
      <c r="A328" t="s">
        <v>40</v>
      </c>
      <c r="B328" t="s">
        <v>1457</v>
      </c>
      <c r="C328" t="s">
        <v>1460</v>
      </c>
      <c r="D328" t="s">
        <v>52</v>
      </c>
      <c r="E328" t="s">
        <v>1461</v>
      </c>
      <c r="F328" t="s">
        <v>45</v>
      </c>
      <c r="G328" t="str">
        <f>HYPERLINK("https://www.instagram.com/p/BzIC86GHC5B")</f>
        <v>https://www.instagram.com/p/BzIC86GHC5B</v>
      </c>
      <c r="H328" t="s">
        <v>46</v>
      </c>
      <c r="I328" t="s">
        <v>1462</v>
      </c>
      <c r="J328" t="str">
        <f>HYPERLINK("http://instagram.com/mohammad_comic_fan")</f>
        <v>http://instagram.com/mohammad_comic_fan</v>
      </c>
      <c r="K328">
        <v>2854</v>
      </c>
      <c r="N328" t="s">
        <v>59</v>
      </c>
      <c r="O328" t="s">
        <v>1462</v>
      </c>
      <c r="P328" t="str">
        <f>HYPERLINK("http://instagram.com/mohammad_comic_fan")</f>
        <v>http://instagram.com/mohammad_comic_fan</v>
      </c>
      <c r="Q328">
        <v>2854</v>
      </c>
      <c r="R328" t="s">
        <v>60</v>
      </c>
      <c r="W328">
        <v>79</v>
      </c>
      <c r="X328">
        <v>79</v>
      </c>
      <c r="AE328">
        <v>1</v>
      </c>
      <c r="AI328" t="s">
        <v>108</v>
      </c>
      <c r="AJ328" t="s">
        <v>52</v>
      </c>
      <c r="AK328" t="s">
        <v>52</v>
      </c>
      <c r="AL328" t="str">
        <f>HYPERLINK("https://www.instagram.com/p/BzIC86GHC5B/media/?size=l")</f>
        <v>https://www.instagram.com/p/BzIC86GHC5B/media/?size=l</v>
      </c>
      <c r="AM328" t="s">
        <v>52</v>
      </c>
      <c r="AN328" t="s">
        <v>53</v>
      </c>
    </row>
    <row r="329" spans="1:40">
      <c r="A329" t="s">
        <v>40</v>
      </c>
      <c r="B329" t="s">
        <v>1463</v>
      </c>
      <c r="C329" t="s">
        <v>1464</v>
      </c>
      <c r="D329" t="s">
        <v>52</v>
      </c>
      <c r="E329" t="s">
        <v>130</v>
      </c>
      <c r="F329" t="s">
        <v>131</v>
      </c>
      <c r="G329" t="str">
        <f>HYPERLINK("https://twitter.com/307513477/status/1143432492264939520")</f>
        <v>https://twitter.com/307513477/status/1143432492264939520</v>
      </c>
      <c r="H329" t="s">
        <v>46</v>
      </c>
      <c r="I329" t="s">
        <v>1465</v>
      </c>
      <c r="J329" t="str">
        <f>HYPERLINK("http://twitter.com/ImogenEdwards1")</f>
        <v>http://twitter.com/ImogenEdwards1</v>
      </c>
      <c r="K329">
        <v>50</v>
      </c>
      <c r="N329" t="s">
        <v>65</v>
      </c>
      <c r="R329" t="s">
        <v>60</v>
      </c>
      <c r="W329">
        <v>0</v>
      </c>
      <c r="X329">
        <v>0</v>
      </c>
      <c r="AE329">
        <v>0</v>
      </c>
      <c r="AI329" t="s">
        <v>108</v>
      </c>
      <c r="AJ329" t="s">
        <v>52</v>
      </c>
      <c r="AK329" t="s">
        <v>52</v>
      </c>
      <c r="AL329" t="str">
        <f>HYPERLINK("https://pbs.twimg.com/media/D9XTkLWW4AAOYnJ.jpg")</f>
        <v>https://pbs.twimg.com/media/D9XTkLWW4AAOYnJ.jpg</v>
      </c>
      <c r="AM329" t="s">
        <v>52</v>
      </c>
      <c r="AN329" t="s">
        <v>53</v>
      </c>
    </row>
    <row r="330" spans="1:40">
      <c r="A330" t="s">
        <v>40</v>
      </c>
      <c r="B330" t="s">
        <v>1466</v>
      </c>
      <c r="C330" t="s">
        <v>1467</v>
      </c>
      <c r="D330" t="s">
        <v>52</v>
      </c>
      <c r="E330" t="s">
        <v>1468</v>
      </c>
      <c r="F330" t="s">
        <v>95</v>
      </c>
      <c r="G330" t="str">
        <f>HYPERLINK("https://twitter.com/1555916372/status/1143432154883514368")</f>
        <v>https://twitter.com/1555916372/status/1143432154883514368</v>
      </c>
      <c r="H330" t="s">
        <v>46</v>
      </c>
      <c r="I330" t="s">
        <v>1469</v>
      </c>
      <c r="J330" t="str">
        <f>HYPERLINK("http://twitter.com/yburyug")</f>
        <v>http://twitter.com/yburyug</v>
      </c>
      <c r="K330">
        <v>1018</v>
      </c>
      <c r="N330" t="s">
        <v>65</v>
      </c>
      <c r="R330" t="s">
        <v>60</v>
      </c>
      <c r="S330" t="s">
        <v>51</v>
      </c>
      <c r="T330" t="s">
        <v>380</v>
      </c>
      <c r="U330" t="s">
        <v>380</v>
      </c>
      <c r="W330">
        <v>0</v>
      </c>
      <c r="X330">
        <v>0</v>
      </c>
      <c r="AE330">
        <v>2</v>
      </c>
      <c r="AF330">
        <v>0</v>
      </c>
      <c r="AM330" t="s">
        <v>52</v>
      </c>
      <c r="AN330" t="s">
        <v>53</v>
      </c>
    </row>
    <row r="331" spans="1:40">
      <c r="A331" t="s">
        <v>40</v>
      </c>
      <c r="B331" t="s">
        <v>1470</v>
      </c>
      <c r="C331" t="s">
        <v>1471</v>
      </c>
      <c r="D331" t="s">
        <v>52</v>
      </c>
      <c r="E331" t="s">
        <v>204</v>
      </c>
      <c r="F331" t="s">
        <v>131</v>
      </c>
      <c r="G331" t="str">
        <f>HYPERLINK("https://twitter.com/3057174825/status/1143431912268058624")</f>
        <v>https://twitter.com/3057174825/status/1143431912268058624</v>
      </c>
      <c r="H331" t="s">
        <v>46</v>
      </c>
      <c r="I331" t="s">
        <v>1472</v>
      </c>
      <c r="J331" t="str">
        <f>HYPERLINK("http://twitter.com/akolnoix")</f>
        <v>http://twitter.com/akolnoix</v>
      </c>
      <c r="K331">
        <v>666</v>
      </c>
      <c r="N331" t="s">
        <v>65</v>
      </c>
      <c r="R331" t="s">
        <v>60</v>
      </c>
      <c r="W331">
        <v>0</v>
      </c>
      <c r="X331">
        <v>0</v>
      </c>
      <c r="AE331">
        <v>0</v>
      </c>
      <c r="AM331" t="s">
        <v>52</v>
      </c>
      <c r="AN331" t="s">
        <v>53</v>
      </c>
    </row>
    <row r="332" spans="1:40">
      <c r="A332" t="s">
        <v>40</v>
      </c>
      <c r="B332" t="s">
        <v>1473</v>
      </c>
      <c r="C332" t="s">
        <v>1464</v>
      </c>
      <c r="D332" t="s">
        <v>52</v>
      </c>
      <c r="E332" t="s">
        <v>1194</v>
      </c>
      <c r="F332" t="s">
        <v>131</v>
      </c>
      <c r="G332" t="str">
        <f>HYPERLINK("https://twitter.com/77637534/status/1143431805611065344")</f>
        <v>https://twitter.com/77637534/status/1143431805611065344</v>
      </c>
      <c r="H332" t="s">
        <v>46</v>
      </c>
      <c r="I332" t="s">
        <v>1474</v>
      </c>
      <c r="J332" t="str">
        <f>HYPERLINK("http://twitter.com/xkelzbelz0103x")</f>
        <v>http://twitter.com/xkelzbelz0103x</v>
      </c>
      <c r="K332">
        <v>196</v>
      </c>
      <c r="N332" t="s">
        <v>65</v>
      </c>
      <c r="R332" t="s">
        <v>60</v>
      </c>
      <c r="S332" t="s">
        <v>639</v>
      </c>
      <c r="T332" t="s">
        <v>1475</v>
      </c>
      <c r="U332" t="s">
        <v>1476</v>
      </c>
      <c r="W332">
        <v>0</v>
      </c>
      <c r="X332">
        <v>0</v>
      </c>
      <c r="AE332">
        <v>0</v>
      </c>
      <c r="AI332" t="s">
        <v>52</v>
      </c>
      <c r="AJ332" t="s">
        <v>1196</v>
      </c>
      <c r="AK332" t="s">
        <v>52</v>
      </c>
      <c r="AL332" t="str">
        <f>HYPERLINK("https://pbs.twimg.com/media/D9xgk2YXkAAd2ql.jpg")</f>
        <v>https://pbs.twimg.com/media/D9xgk2YXkAAd2ql.jpg</v>
      </c>
      <c r="AM332" t="s">
        <v>52</v>
      </c>
      <c r="AN332" t="s">
        <v>53</v>
      </c>
    </row>
    <row r="333" spans="1:40">
      <c r="A333" t="s">
        <v>40</v>
      </c>
      <c r="B333" t="s">
        <v>1473</v>
      </c>
      <c r="C333" t="s">
        <v>1464</v>
      </c>
      <c r="D333" t="s">
        <v>52</v>
      </c>
      <c r="E333" t="s">
        <v>1194</v>
      </c>
      <c r="F333" t="s">
        <v>131</v>
      </c>
      <c r="G333" t="str">
        <f>HYPERLINK("https://twitter.com/204602270/status/1143431802528423936")</f>
        <v>https://twitter.com/204602270/status/1143431802528423936</v>
      </c>
      <c r="H333" t="s">
        <v>46</v>
      </c>
      <c r="I333" t="s">
        <v>1477</v>
      </c>
      <c r="J333" t="str">
        <f>HYPERLINK("http://twitter.com/2_s4d")</f>
        <v>http://twitter.com/2_s4d</v>
      </c>
      <c r="K333">
        <v>142</v>
      </c>
      <c r="N333" t="s">
        <v>65</v>
      </c>
      <c r="R333" t="s">
        <v>60</v>
      </c>
      <c r="W333">
        <v>0</v>
      </c>
      <c r="X333">
        <v>0</v>
      </c>
      <c r="AE333">
        <v>0</v>
      </c>
      <c r="AI333" t="s">
        <v>52</v>
      </c>
      <c r="AJ333" t="s">
        <v>1196</v>
      </c>
      <c r="AK333" t="s">
        <v>52</v>
      </c>
      <c r="AL333" t="str">
        <f>HYPERLINK("https://pbs.twimg.com/media/D9xgk2YXkAAd2ql.jpg")</f>
        <v>https://pbs.twimg.com/media/D9xgk2YXkAAd2ql.jpg</v>
      </c>
      <c r="AM333" t="s">
        <v>52</v>
      </c>
      <c r="AN333" t="s">
        <v>53</v>
      </c>
    </row>
    <row r="334" spans="1:40">
      <c r="A334" t="s">
        <v>40</v>
      </c>
      <c r="B334" t="s">
        <v>1473</v>
      </c>
      <c r="C334" t="s">
        <v>1471</v>
      </c>
      <c r="D334" t="s">
        <v>52</v>
      </c>
      <c r="E334" t="s">
        <v>204</v>
      </c>
      <c r="F334" t="s">
        <v>131</v>
      </c>
      <c r="G334" t="str">
        <f>HYPERLINK("https://twitter.com/3014415414/status/1143431681111515138")</f>
        <v>https://twitter.com/3014415414/status/1143431681111515138</v>
      </c>
      <c r="H334" t="s">
        <v>46</v>
      </c>
      <c r="I334" t="s">
        <v>1478</v>
      </c>
      <c r="J334" t="str">
        <f>HYPERLINK("http://twitter.com/slugwaifu")</f>
        <v>http://twitter.com/slugwaifu</v>
      </c>
      <c r="K334">
        <v>76</v>
      </c>
      <c r="N334" t="s">
        <v>65</v>
      </c>
      <c r="R334" t="s">
        <v>60</v>
      </c>
      <c r="W334">
        <v>0</v>
      </c>
      <c r="X334">
        <v>0</v>
      </c>
      <c r="AE334">
        <v>0</v>
      </c>
      <c r="AM334" t="s">
        <v>52</v>
      </c>
      <c r="AN334" t="s">
        <v>53</v>
      </c>
    </row>
    <row r="335" spans="1:40">
      <c r="A335" t="s">
        <v>40</v>
      </c>
      <c r="B335" t="s">
        <v>1473</v>
      </c>
      <c r="C335" t="s">
        <v>1479</v>
      </c>
      <c r="D335" t="s">
        <v>52</v>
      </c>
      <c r="E335" t="s">
        <v>204</v>
      </c>
      <c r="F335" t="s">
        <v>131</v>
      </c>
      <c r="G335" t="str">
        <f>HYPERLINK("https://twitter.com/723325802218160128/status/1143431651856461824")</f>
        <v>https://twitter.com/723325802218160128/status/1143431651856461824</v>
      </c>
      <c r="H335" t="s">
        <v>46</v>
      </c>
      <c r="I335" t="s">
        <v>1480</v>
      </c>
      <c r="J335" t="str">
        <f>HYPERLINK("http://twitter.com/chirithee")</f>
        <v>http://twitter.com/chirithee</v>
      </c>
      <c r="K335">
        <v>892</v>
      </c>
      <c r="N335" t="s">
        <v>65</v>
      </c>
      <c r="R335" t="s">
        <v>60</v>
      </c>
      <c r="W335">
        <v>0</v>
      </c>
      <c r="X335">
        <v>0</v>
      </c>
      <c r="AE335">
        <v>0</v>
      </c>
      <c r="AM335" t="s">
        <v>52</v>
      </c>
      <c r="AN335" t="s">
        <v>53</v>
      </c>
    </row>
    <row r="336" spans="1:40">
      <c r="A336" t="s">
        <v>40</v>
      </c>
      <c r="B336" t="s">
        <v>1481</v>
      </c>
      <c r="C336" t="s">
        <v>1471</v>
      </c>
      <c r="D336" t="s">
        <v>52</v>
      </c>
      <c r="E336" t="s">
        <v>1482</v>
      </c>
      <c r="F336" t="s">
        <v>95</v>
      </c>
      <c r="G336" t="str">
        <f>HYPERLINK("https://twitter.com/1555916372/status/1143431481299283968")</f>
        <v>https://twitter.com/1555916372/status/1143431481299283968</v>
      </c>
      <c r="H336" t="s">
        <v>46</v>
      </c>
      <c r="I336" t="s">
        <v>1469</v>
      </c>
      <c r="J336" t="str">
        <f>HYPERLINK("http://twitter.com/yburyug")</f>
        <v>http://twitter.com/yburyug</v>
      </c>
      <c r="K336">
        <v>1018</v>
      </c>
      <c r="N336" t="s">
        <v>65</v>
      </c>
      <c r="R336" t="s">
        <v>60</v>
      </c>
      <c r="S336" t="s">
        <v>51</v>
      </c>
      <c r="T336" t="s">
        <v>380</v>
      </c>
      <c r="U336" t="s">
        <v>380</v>
      </c>
      <c r="W336">
        <v>2</v>
      </c>
      <c r="X336">
        <v>2</v>
      </c>
      <c r="AE336">
        <v>1</v>
      </c>
      <c r="AF336">
        <v>0</v>
      </c>
      <c r="AM336" t="s">
        <v>52</v>
      </c>
      <c r="AN336" t="s">
        <v>53</v>
      </c>
    </row>
    <row r="337" spans="1:40">
      <c r="A337" t="s">
        <v>40</v>
      </c>
      <c r="B337" t="s">
        <v>1483</v>
      </c>
      <c r="C337" t="s">
        <v>1484</v>
      </c>
      <c r="D337" t="s">
        <v>52</v>
      </c>
      <c r="E337" t="s">
        <v>1485</v>
      </c>
      <c r="F337" t="s">
        <v>95</v>
      </c>
      <c r="G337" t="str">
        <f>HYPERLINK("https://twitter.com/813511224600170496/status/1143430656279699458")</f>
        <v>https://twitter.com/813511224600170496/status/1143430656279699458</v>
      </c>
      <c r="H337" t="s">
        <v>46</v>
      </c>
      <c r="I337" t="s">
        <v>1486</v>
      </c>
      <c r="J337" t="str">
        <f>HYPERLINK("http://twitter.com/thefrozenfew2")</f>
        <v>http://twitter.com/thefrozenfew2</v>
      </c>
      <c r="K337">
        <v>742</v>
      </c>
      <c r="N337" t="s">
        <v>65</v>
      </c>
      <c r="R337" t="s">
        <v>60</v>
      </c>
      <c r="S337" t="s">
        <v>51</v>
      </c>
      <c r="T337" t="s">
        <v>1487</v>
      </c>
      <c r="U337" t="s">
        <v>1488</v>
      </c>
      <c r="W337">
        <v>1</v>
      </c>
      <c r="X337">
        <v>1</v>
      </c>
      <c r="AE337">
        <v>1</v>
      </c>
      <c r="AF337">
        <v>0</v>
      </c>
      <c r="AM337" t="s">
        <v>52</v>
      </c>
      <c r="AN337" t="s">
        <v>53</v>
      </c>
    </row>
    <row r="338" spans="1:40">
      <c r="A338" t="s">
        <v>40</v>
      </c>
      <c r="B338" t="s">
        <v>1489</v>
      </c>
      <c r="C338" t="s">
        <v>1490</v>
      </c>
      <c r="D338" t="s">
        <v>52</v>
      </c>
      <c r="E338" t="s">
        <v>1491</v>
      </c>
      <c r="F338" t="s">
        <v>45</v>
      </c>
      <c r="G338" t="str">
        <f>HYPERLINK("https://twitter.com/1093368188455317504/status/1143430306654855168")</f>
        <v>https://twitter.com/1093368188455317504/status/1143430306654855168</v>
      </c>
      <c r="H338" t="s">
        <v>46</v>
      </c>
      <c r="I338" t="s">
        <v>1492</v>
      </c>
      <c r="J338" t="str">
        <f>HYPERLINK("http://twitter.com/nigby1")</f>
        <v>http://twitter.com/nigby1</v>
      </c>
      <c r="K338">
        <v>0</v>
      </c>
      <c r="N338" t="s">
        <v>65</v>
      </c>
      <c r="R338" t="s">
        <v>60</v>
      </c>
      <c r="W338">
        <v>0</v>
      </c>
      <c r="X338">
        <v>0</v>
      </c>
      <c r="AE338">
        <v>0</v>
      </c>
      <c r="AF338">
        <v>0</v>
      </c>
      <c r="AM338" t="s">
        <v>52</v>
      </c>
      <c r="AN338" t="s">
        <v>53</v>
      </c>
    </row>
    <row r="339" spans="1:40">
      <c r="A339" t="s">
        <v>40</v>
      </c>
      <c r="B339" t="s">
        <v>1493</v>
      </c>
      <c r="C339" t="s">
        <v>1494</v>
      </c>
      <c r="D339" t="s">
        <v>52</v>
      </c>
      <c r="E339" t="s">
        <v>1495</v>
      </c>
      <c r="F339" t="s">
        <v>95</v>
      </c>
      <c r="G339" t="str">
        <f>HYPERLINK("https://twitter.com/17988923/status/1143429757666619392")</f>
        <v>https://twitter.com/17988923/status/1143429757666619392</v>
      </c>
      <c r="H339" t="s">
        <v>46</v>
      </c>
      <c r="I339" t="s">
        <v>1496</v>
      </c>
      <c r="J339" t="str">
        <f>HYPERLINK("http://twitter.com/PassionPopSoc")</f>
        <v>http://twitter.com/PassionPopSoc</v>
      </c>
      <c r="K339">
        <v>194</v>
      </c>
      <c r="N339" t="s">
        <v>65</v>
      </c>
      <c r="R339" t="s">
        <v>60</v>
      </c>
      <c r="S339" t="s">
        <v>444</v>
      </c>
      <c r="T339" t="s">
        <v>1062</v>
      </c>
      <c r="U339" t="s">
        <v>1497</v>
      </c>
      <c r="W339">
        <v>2</v>
      </c>
      <c r="X339">
        <v>2</v>
      </c>
      <c r="AE339">
        <v>0</v>
      </c>
      <c r="AF339">
        <v>0</v>
      </c>
      <c r="AM339" t="s">
        <v>52</v>
      </c>
      <c r="AN339" t="s">
        <v>53</v>
      </c>
    </row>
    <row r="340" spans="1:40">
      <c r="A340" t="s">
        <v>40</v>
      </c>
      <c r="B340" t="s">
        <v>1498</v>
      </c>
      <c r="C340" t="s">
        <v>1499</v>
      </c>
      <c r="D340" t="s">
        <v>52</v>
      </c>
      <c r="E340" t="s">
        <v>1500</v>
      </c>
      <c r="F340" t="s">
        <v>71</v>
      </c>
      <c r="G340" t="str">
        <f>HYPERLINK("https://twitter.com/1103781694598012931/status/1143429238810431490")</f>
        <v>https://twitter.com/1103781694598012931/status/1143429238810431490</v>
      </c>
      <c r="H340" t="s">
        <v>46</v>
      </c>
      <c r="I340" t="s">
        <v>1501</v>
      </c>
      <c r="J340" t="str">
        <f>HYPERLINK("http://twitter.com/crossbonezfreaq")</f>
        <v>http://twitter.com/crossbonezfreaq</v>
      </c>
      <c r="K340">
        <v>1232</v>
      </c>
      <c r="N340" t="s">
        <v>65</v>
      </c>
      <c r="R340" t="s">
        <v>60</v>
      </c>
      <c r="W340">
        <v>0</v>
      </c>
      <c r="X340">
        <v>0</v>
      </c>
      <c r="AE340">
        <v>0</v>
      </c>
      <c r="AF340">
        <v>0</v>
      </c>
      <c r="AI340" t="s">
        <v>52</v>
      </c>
      <c r="AJ340" t="s">
        <v>52</v>
      </c>
      <c r="AK340" t="s">
        <v>52</v>
      </c>
      <c r="AL340" t="str">
        <f>HYPERLINK("https://pbs.twimg.com/media/D931w5HXoAENDHw.jpg")</f>
        <v>https://pbs.twimg.com/media/D931w5HXoAENDHw.jpg</v>
      </c>
      <c r="AM340" t="s">
        <v>52</v>
      </c>
      <c r="AN340" t="s">
        <v>53</v>
      </c>
    </row>
    <row r="341" spans="1:40">
      <c r="A341" t="s">
        <v>40</v>
      </c>
      <c r="B341" t="s">
        <v>1498</v>
      </c>
      <c r="C341" t="s">
        <v>1502</v>
      </c>
      <c r="D341" t="s">
        <v>1503</v>
      </c>
      <c r="E341" t="s">
        <v>1504</v>
      </c>
      <c r="F341" t="s">
        <v>45</v>
      </c>
      <c r="G341" t="str">
        <f>HYPERLINK("https://community.babycenter.com/post/a73870997/breakfast-lunch-dinner-ideas#c2588334687")</f>
        <v>https://community.babycenter.com/post/a73870997/breakfast-lunch-dinner-ideas#c2588334687</v>
      </c>
      <c r="H341" t="s">
        <v>46</v>
      </c>
      <c r="I341" t="s">
        <v>1505</v>
      </c>
      <c r="J341" t="str">
        <f>HYPERLINK("https://community.babycenter.com/post/a73870997/breakfast-lunch-dinner-ideas#c2588334687")</f>
        <v>https://community.babycenter.com/post/a73870997/breakfast-lunch-dinner-ideas#c2588334687</v>
      </c>
      <c r="N341" t="s">
        <v>1506</v>
      </c>
      <c r="O341" t="s">
        <v>1507</v>
      </c>
      <c r="P341" t="str">
        <f>HYPERLINK("https://community.babycenter.com/groups/a6770296/september_2019_birth_club")</f>
        <v>https://community.babycenter.com/groups/a6770296/september_2019_birth_club</v>
      </c>
      <c r="R341" t="s">
        <v>516</v>
      </c>
      <c r="S341" t="s">
        <v>51</v>
      </c>
      <c r="AM341" t="s">
        <v>52</v>
      </c>
      <c r="AN341" t="s">
        <v>53</v>
      </c>
    </row>
    <row r="342" spans="1:40">
      <c r="A342" t="s">
        <v>40</v>
      </c>
      <c r="B342" t="s">
        <v>1508</v>
      </c>
      <c r="C342" t="s">
        <v>1509</v>
      </c>
      <c r="D342" t="s">
        <v>52</v>
      </c>
      <c r="E342" t="s">
        <v>1510</v>
      </c>
      <c r="F342" t="s">
        <v>131</v>
      </c>
      <c r="G342" t="str">
        <f>HYPERLINK("https://twitter.com/1021213055919828993/status/1143428867555778560")</f>
        <v>https://twitter.com/1021213055919828993/status/1143428867555778560</v>
      </c>
      <c r="H342" t="s">
        <v>46</v>
      </c>
      <c r="I342" t="s">
        <v>1511</v>
      </c>
      <c r="J342" t="str">
        <f>HYPERLINK("http://twitter.com/JustClaudia3")</f>
        <v>http://twitter.com/JustClaudia3</v>
      </c>
      <c r="K342">
        <v>17824</v>
      </c>
      <c r="N342" t="s">
        <v>65</v>
      </c>
      <c r="R342" t="s">
        <v>60</v>
      </c>
      <c r="S342" t="s">
        <v>51</v>
      </c>
      <c r="W342">
        <v>0</v>
      </c>
      <c r="X342">
        <v>0</v>
      </c>
      <c r="AE342">
        <v>0</v>
      </c>
      <c r="AM342" t="s">
        <v>52</v>
      </c>
      <c r="AN342" t="s">
        <v>53</v>
      </c>
    </row>
    <row r="343" spans="1:40">
      <c r="A343" t="s">
        <v>40</v>
      </c>
      <c r="B343" t="s">
        <v>1512</v>
      </c>
      <c r="C343" t="s">
        <v>1242</v>
      </c>
      <c r="D343" t="s">
        <v>1513</v>
      </c>
      <c r="E343" t="s">
        <v>1514</v>
      </c>
      <c r="F343" t="s">
        <v>45</v>
      </c>
      <c r="G343" t="str">
        <f>HYPERLINK("https://www.youtube.com/watch?v=oBa_k9SQpxc")</f>
        <v>https://www.youtube.com/watch?v=oBa_k9SQpxc</v>
      </c>
      <c r="H343" t="s">
        <v>46</v>
      </c>
      <c r="I343" t="s">
        <v>1515</v>
      </c>
      <c r="J343" t="str">
        <f>HYPERLINK("https://www.youtube.com/channel/UCj4Y_pTLSjBIsLLkUNbi27w")</f>
        <v>https://www.youtube.com/channel/UCj4Y_pTLSjBIsLLkUNbi27w</v>
      </c>
      <c r="K343">
        <v>3162</v>
      </c>
      <c r="N343" t="s">
        <v>116</v>
      </c>
      <c r="O343" t="s">
        <v>1515</v>
      </c>
      <c r="P343" t="str">
        <f>HYPERLINK("https://www.youtube.com/channel/UCj4Y_pTLSjBIsLLkUNbi27w")</f>
        <v>https://www.youtube.com/channel/UCj4Y_pTLSjBIsLLkUNbi27w</v>
      </c>
      <c r="Q343">
        <v>3162</v>
      </c>
      <c r="R343" t="s">
        <v>60</v>
      </c>
      <c r="S343" t="s">
        <v>592</v>
      </c>
      <c r="W343">
        <v>0</v>
      </c>
      <c r="X343">
        <v>0</v>
      </c>
      <c r="AD343">
        <v>0</v>
      </c>
      <c r="AE343">
        <v>0</v>
      </c>
      <c r="AG343">
        <v>6</v>
      </c>
      <c r="AI343" t="s">
        <v>52</v>
      </c>
      <c r="AJ343" t="s">
        <v>1516</v>
      </c>
      <c r="AK343" t="s">
        <v>1517</v>
      </c>
      <c r="AL343" t="str">
        <f>HYPERLINK("https://i.ytimg.com/vi/oBa_k9SQpxc/maxresdefault.jpg")</f>
        <v>https://i.ytimg.com/vi/oBa_k9SQpxc/maxresdefault.jpg</v>
      </c>
      <c r="AM343" t="s">
        <v>52</v>
      </c>
      <c r="AN343" t="s">
        <v>53</v>
      </c>
    </row>
    <row r="344" spans="1:40">
      <c r="A344" t="s">
        <v>40</v>
      </c>
      <c r="B344" t="s">
        <v>1518</v>
      </c>
      <c r="C344" t="s">
        <v>1519</v>
      </c>
      <c r="D344" t="s">
        <v>52</v>
      </c>
      <c r="E344" t="s">
        <v>204</v>
      </c>
      <c r="F344" t="s">
        <v>131</v>
      </c>
      <c r="G344" t="str">
        <f>HYPERLINK("https://twitter.com/2174255804/status/1143428404118786048")</f>
        <v>https://twitter.com/2174255804/status/1143428404118786048</v>
      </c>
      <c r="H344" t="s">
        <v>46</v>
      </c>
      <c r="I344" t="s">
        <v>1520</v>
      </c>
      <c r="J344" t="str">
        <f>HYPERLINK("http://twitter.com/drunkenotter_")</f>
        <v>http://twitter.com/drunkenotter_</v>
      </c>
      <c r="K344">
        <v>76</v>
      </c>
      <c r="N344" t="s">
        <v>65</v>
      </c>
      <c r="R344" t="s">
        <v>60</v>
      </c>
      <c r="S344" t="s">
        <v>1521</v>
      </c>
      <c r="W344">
        <v>0</v>
      </c>
      <c r="X344">
        <v>0</v>
      </c>
      <c r="AE344">
        <v>0</v>
      </c>
      <c r="AM344" t="s">
        <v>52</v>
      </c>
      <c r="AN344" t="s">
        <v>53</v>
      </c>
    </row>
    <row r="345" spans="1:40">
      <c r="A345" t="s">
        <v>40</v>
      </c>
      <c r="B345" t="s">
        <v>1518</v>
      </c>
      <c r="C345" t="s">
        <v>1479</v>
      </c>
      <c r="D345" t="s">
        <v>52</v>
      </c>
      <c r="E345" t="s">
        <v>1522</v>
      </c>
      <c r="F345" t="s">
        <v>45</v>
      </c>
      <c r="G345" t="str">
        <f>HYPERLINK("https://www.instagram.com/p/BzIA5dlgPtH")</f>
        <v>https://www.instagram.com/p/BzIA5dlgPtH</v>
      </c>
      <c r="H345" t="s">
        <v>46</v>
      </c>
      <c r="I345" t="s">
        <v>1523</v>
      </c>
      <c r="J345" t="str">
        <f>HYPERLINK("http://instagram.com/glamourwithchristine")</f>
        <v>http://instagram.com/glamourwithchristine</v>
      </c>
      <c r="K345">
        <v>163</v>
      </c>
      <c r="L345" t="s">
        <v>58</v>
      </c>
      <c r="N345" t="s">
        <v>59</v>
      </c>
      <c r="O345" t="s">
        <v>1523</v>
      </c>
      <c r="P345" t="str">
        <f>HYPERLINK("http://instagram.com/glamourwithchristine")</f>
        <v>http://instagram.com/glamourwithchristine</v>
      </c>
      <c r="Q345">
        <v>163</v>
      </c>
      <c r="R345" t="s">
        <v>60</v>
      </c>
      <c r="S345" t="s">
        <v>1524</v>
      </c>
      <c r="T345" t="s">
        <v>1525</v>
      </c>
      <c r="U345" t="s">
        <v>1526</v>
      </c>
      <c r="W345">
        <v>11</v>
      </c>
      <c r="X345">
        <v>11</v>
      </c>
      <c r="AE345">
        <v>2</v>
      </c>
      <c r="AI345" t="s">
        <v>52</v>
      </c>
      <c r="AJ345" t="s">
        <v>52</v>
      </c>
      <c r="AK345" t="s">
        <v>52</v>
      </c>
      <c r="AL345" t="str">
        <f>HYPERLINK("https://www.instagram.com/p/BzIA5dlgPtH/media/?size=l")</f>
        <v>https://www.instagram.com/p/BzIA5dlgPtH/media/?size=l</v>
      </c>
      <c r="AM345" t="s">
        <v>52</v>
      </c>
      <c r="AN345" t="s">
        <v>53</v>
      </c>
    </row>
    <row r="346" spans="1:40">
      <c r="A346" t="s">
        <v>40</v>
      </c>
      <c r="B346" t="s">
        <v>1527</v>
      </c>
      <c r="C346" t="s">
        <v>1242</v>
      </c>
      <c r="D346" t="s">
        <v>52</v>
      </c>
      <c r="E346" t="s">
        <v>1528</v>
      </c>
      <c r="F346" t="s">
        <v>45</v>
      </c>
      <c r="G346" t="str">
        <f>HYPERLINK("https://twitter.com/302411934/status/1143428226846318593")</f>
        <v>https://twitter.com/302411934/status/1143428226846318593</v>
      </c>
      <c r="H346" t="s">
        <v>215</v>
      </c>
      <c r="I346" t="s">
        <v>1529</v>
      </c>
      <c r="J346" t="str">
        <f>HYPERLINK("http://twitter.com/Autodestrukzion")</f>
        <v>http://twitter.com/Autodestrukzion</v>
      </c>
      <c r="K346">
        <v>120</v>
      </c>
      <c r="N346" t="s">
        <v>65</v>
      </c>
      <c r="R346" t="s">
        <v>60</v>
      </c>
      <c r="S346" t="s">
        <v>1530</v>
      </c>
      <c r="T346" t="s">
        <v>1531</v>
      </c>
      <c r="U346" t="s">
        <v>1532</v>
      </c>
      <c r="W346">
        <v>0</v>
      </c>
      <c r="X346">
        <v>0</v>
      </c>
      <c r="AE346">
        <v>0</v>
      </c>
      <c r="AF346">
        <v>0</v>
      </c>
      <c r="AM346" t="s">
        <v>52</v>
      </c>
      <c r="AN346" t="s">
        <v>53</v>
      </c>
    </row>
    <row r="347" spans="1:40">
      <c r="A347" t="s">
        <v>40</v>
      </c>
      <c r="B347" t="s">
        <v>1533</v>
      </c>
      <c r="C347" t="s">
        <v>407</v>
      </c>
      <c r="D347" t="s">
        <v>52</v>
      </c>
      <c r="E347" t="s">
        <v>1534</v>
      </c>
      <c r="F347" t="s">
        <v>45</v>
      </c>
      <c r="G347" t="str">
        <f>HYPERLINK("https://www.instagram.com/p/BzIAoJLiH2S")</f>
        <v>https://www.instagram.com/p/BzIAoJLiH2S</v>
      </c>
      <c r="H347" t="s">
        <v>215</v>
      </c>
      <c r="I347" t="s">
        <v>1535</v>
      </c>
      <c r="J347" t="str">
        <f>HYPERLINK("http://instagram.com/isalyne")</f>
        <v>http://instagram.com/isalyne</v>
      </c>
      <c r="K347">
        <v>347</v>
      </c>
      <c r="N347" t="s">
        <v>59</v>
      </c>
      <c r="O347" t="s">
        <v>1535</v>
      </c>
      <c r="P347" t="str">
        <f>HYPERLINK("http://instagram.com/isalyne")</f>
        <v>http://instagram.com/isalyne</v>
      </c>
      <c r="Q347">
        <v>347</v>
      </c>
      <c r="R347" t="s">
        <v>60</v>
      </c>
      <c r="W347">
        <v>14</v>
      </c>
      <c r="X347">
        <v>14</v>
      </c>
      <c r="AE347">
        <v>0</v>
      </c>
      <c r="AI347" t="s">
        <v>108</v>
      </c>
      <c r="AJ347" t="s">
        <v>1536</v>
      </c>
      <c r="AK347" t="s">
        <v>52</v>
      </c>
      <c r="AL347" t="str">
        <f>HYPERLINK("https://www.instagram.com/p/BzIAoJLiH2S/media/?size=l")</f>
        <v>https://www.instagram.com/p/BzIAoJLiH2S/media/?size=l</v>
      </c>
      <c r="AM347" t="s">
        <v>52</v>
      </c>
      <c r="AN347" t="s">
        <v>53</v>
      </c>
    </row>
    <row r="348" spans="1:40">
      <c r="A348" t="s">
        <v>40</v>
      </c>
      <c r="B348" t="s">
        <v>1537</v>
      </c>
      <c r="C348" t="s">
        <v>1538</v>
      </c>
      <c r="D348" t="s">
        <v>52</v>
      </c>
      <c r="E348" t="s">
        <v>1539</v>
      </c>
      <c r="F348" t="s">
        <v>45</v>
      </c>
      <c r="G348" t="str">
        <f>HYPERLINK("https://www.instagram.com/p/BzIAgOVlBs7")</f>
        <v>https://www.instagram.com/p/BzIAgOVlBs7</v>
      </c>
      <c r="H348" t="s">
        <v>46</v>
      </c>
      <c r="I348" t="s">
        <v>1540</v>
      </c>
      <c r="J348" t="str">
        <f>HYPERLINK("http://instagram.com/mitchellluchterhand")</f>
        <v>http://instagram.com/mitchellluchterhand</v>
      </c>
      <c r="K348">
        <v>170</v>
      </c>
      <c r="L348" t="s">
        <v>48</v>
      </c>
      <c r="N348" t="s">
        <v>59</v>
      </c>
      <c r="O348" t="s">
        <v>1540</v>
      </c>
      <c r="P348" t="str">
        <f>HYPERLINK("http://instagram.com/mitchellluchterhand")</f>
        <v>http://instagram.com/mitchellluchterhand</v>
      </c>
      <c r="Q348">
        <v>170</v>
      </c>
      <c r="R348" t="s">
        <v>60</v>
      </c>
      <c r="S348" t="s">
        <v>774</v>
      </c>
      <c r="T348" t="s">
        <v>1541</v>
      </c>
      <c r="U348" t="s">
        <v>1542</v>
      </c>
      <c r="W348">
        <v>34</v>
      </c>
      <c r="X348">
        <v>34</v>
      </c>
      <c r="AE348">
        <v>7</v>
      </c>
      <c r="AI348" t="s">
        <v>108</v>
      </c>
      <c r="AJ348" t="s">
        <v>52</v>
      </c>
      <c r="AK348" t="s">
        <v>581</v>
      </c>
      <c r="AL348" t="str">
        <f>HYPERLINK("https://www.instagram.com/p/BzIAgOVlBs7/media/?size=l")</f>
        <v>https://www.instagram.com/p/BzIAgOVlBs7/media/?size=l</v>
      </c>
      <c r="AM348" t="s">
        <v>52</v>
      </c>
      <c r="AN348" t="s">
        <v>53</v>
      </c>
    </row>
    <row r="349" spans="1:40">
      <c r="A349" t="s">
        <v>40</v>
      </c>
      <c r="B349" t="s">
        <v>1543</v>
      </c>
      <c r="C349" t="s">
        <v>421</v>
      </c>
      <c r="D349" t="s">
        <v>52</v>
      </c>
      <c r="E349" t="s">
        <v>1544</v>
      </c>
      <c r="F349" t="s">
        <v>45</v>
      </c>
      <c r="G349" t="str">
        <f>HYPERLINK("https://www.instagram.com/p/BzIAUgNBYkc")</f>
        <v>https://www.instagram.com/p/BzIAUgNBYkc</v>
      </c>
      <c r="H349" t="s">
        <v>46</v>
      </c>
      <c r="I349" t="s">
        <v>52</v>
      </c>
      <c r="J349" t="str">
        <f>HYPERLINK("http://instagram.com/bounceout.jayy")</f>
        <v>http://instagram.com/bounceout.jayy</v>
      </c>
      <c r="K349">
        <v>1548</v>
      </c>
      <c r="L349" t="s">
        <v>651</v>
      </c>
      <c r="N349" t="s">
        <v>59</v>
      </c>
      <c r="O349" t="s">
        <v>52</v>
      </c>
      <c r="P349" t="str">
        <f>HYPERLINK("http://instagram.com/bounceout.jayy")</f>
        <v>http://instagram.com/bounceout.jayy</v>
      </c>
      <c r="Q349">
        <v>1548</v>
      </c>
      <c r="R349" t="s">
        <v>60</v>
      </c>
      <c r="W349">
        <v>10</v>
      </c>
      <c r="X349">
        <v>10</v>
      </c>
      <c r="AE349">
        <v>1</v>
      </c>
      <c r="AI349" t="s">
        <v>108</v>
      </c>
      <c r="AJ349" t="s">
        <v>1545</v>
      </c>
      <c r="AK349" t="s">
        <v>52</v>
      </c>
      <c r="AL349" t="str">
        <f>HYPERLINK("https://www.instagram.com/p/BzIAUgNBYkc/media/?size=l")</f>
        <v>https://www.instagram.com/p/BzIAUgNBYkc/media/?size=l</v>
      </c>
      <c r="AM349" t="s">
        <v>52</v>
      </c>
      <c r="AN349" t="s">
        <v>53</v>
      </c>
    </row>
    <row r="350" spans="1:40">
      <c r="A350" t="s">
        <v>40</v>
      </c>
      <c r="B350" t="s">
        <v>1546</v>
      </c>
      <c r="C350" t="s">
        <v>1547</v>
      </c>
      <c r="D350" t="s">
        <v>52</v>
      </c>
      <c r="E350" t="s">
        <v>130</v>
      </c>
      <c r="F350" t="s">
        <v>131</v>
      </c>
      <c r="G350" t="str">
        <f>HYPERLINK("https://twitter.com/29994495/status/1143426769887879168")</f>
        <v>https://twitter.com/29994495/status/1143426769887879168</v>
      </c>
      <c r="H350" t="s">
        <v>46</v>
      </c>
      <c r="I350" t="s">
        <v>1548</v>
      </c>
      <c r="J350" t="str">
        <f>HYPERLINK("http://twitter.com/manonfirenow")</f>
        <v>http://twitter.com/manonfirenow</v>
      </c>
      <c r="K350">
        <v>733</v>
      </c>
      <c r="L350" t="s">
        <v>48</v>
      </c>
      <c r="N350" t="s">
        <v>65</v>
      </c>
      <c r="R350" t="s">
        <v>60</v>
      </c>
      <c r="S350" t="s">
        <v>97</v>
      </c>
      <c r="T350" t="s">
        <v>177</v>
      </c>
      <c r="U350" t="s">
        <v>395</v>
      </c>
      <c r="W350">
        <v>0</v>
      </c>
      <c r="X350">
        <v>0</v>
      </c>
      <c r="AE350">
        <v>0</v>
      </c>
      <c r="AI350" t="s">
        <v>108</v>
      </c>
      <c r="AJ350" t="s">
        <v>52</v>
      </c>
      <c r="AK350" t="s">
        <v>52</v>
      </c>
      <c r="AL350" t="str">
        <f>HYPERLINK("https://pbs.twimg.com/media/D9XTkLWW4AAOYnJ.jpg")</f>
        <v>https://pbs.twimg.com/media/D9XTkLWW4AAOYnJ.jpg</v>
      </c>
      <c r="AM350" t="s">
        <v>52</v>
      </c>
      <c r="AN350" t="s">
        <v>53</v>
      </c>
    </row>
    <row r="351" spans="1:40">
      <c r="A351" t="s">
        <v>40</v>
      </c>
      <c r="B351" t="s">
        <v>1549</v>
      </c>
      <c r="C351" t="s">
        <v>1550</v>
      </c>
      <c r="D351" t="s">
        <v>52</v>
      </c>
      <c r="E351" t="s">
        <v>599</v>
      </c>
      <c r="F351" t="s">
        <v>131</v>
      </c>
      <c r="G351" t="str">
        <f>HYPERLINK("https://twitter.com/1042837366459846656/status/1143426222858428416")</f>
        <v>https://twitter.com/1042837366459846656/status/1143426222858428416</v>
      </c>
      <c r="H351" t="s">
        <v>46</v>
      </c>
      <c r="I351" t="s">
        <v>1551</v>
      </c>
      <c r="J351" t="str">
        <f>HYPERLINK("http://twitter.com/NYCWallSpider")</f>
        <v>http://twitter.com/NYCWallSpider</v>
      </c>
      <c r="K351">
        <v>587</v>
      </c>
      <c r="N351" t="s">
        <v>65</v>
      </c>
      <c r="R351" t="s">
        <v>60</v>
      </c>
      <c r="W351">
        <v>0</v>
      </c>
      <c r="X351">
        <v>0</v>
      </c>
      <c r="AE351">
        <v>0</v>
      </c>
      <c r="AI351" t="s">
        <v>108</v>
      </c>
      <c r="AJ351" t="s">
        <v>52</v>
      </c>
      <c r="AK351" t="s">
        <v>601</v>
      </c>
      <c r="AL351" t="str">
        <f>HYPERLINK("https://pbs.twimg.com/ext_tw_video_thumb/1143202185154584581/pu/img/K72qfBH8zIdbiUf-.jpg")</f>
        <v>https://pbs.twimg.com/ext_tw_video_thumb/1143202185154584581/pu/img/K72qfBH8zIdbiUf-.jpg</v>
      </c>
      <c r="AM351" t="s">
        <v>52</v>
      </c>
      <c r="AN351" t="s">
        <v>53</v>
      </c>
    </row>
    <row r="352" spans="1:40">
      <c r="A352" t="s">
        <v>40</v>
      </c>
      <c r="B352" t="s">
        <v>1549</v>
      </c>
      <c r="C352" t="s">
        <v>1552</v>
      </c>
      <c r="D352" t="s">
        <v>52</v>
      </c>
      <c r="E352" t="s">
        <v>1553</v>
      </c>
      <c r="F352" t="s">
        <v>95</v>
      </c>
      <c r="G352" t="str">
        <f>HYPERLINK("https://twitter.com/1321582657/status/1143426183465336833")</f>
        <v>https://twitter.com/1321582657/status/1143426183465336833</v>
      </c>
      <c r="H352" t="s">
        <v>46</v>
      </c>
      <c r="I352" t="s">
        <v>1554</v>
      </c>
      <c r="J352" t="str">
        <f>HYPERLINK("http://twitter.com/pftwcriss")</f>
        <v>http://twitter.com/pftwcriss</v>
      </c>
      <c r="K352">
        <v>1481</v>
      </c>
      <c r="N352" t="s">
        <v>65</v>
      </c>
      <c r="R352" t="s">
        <v>60</v>
      </c>
      <c r="W352">
        <v>2</v>
      </c>
      <c r="X352">
        <v>2</v>
      </c>
      <c r="AE352">
        <v>0</v>
      </c>
      <c r="AF352">
        <v>0</v>
      </c>
      <c r="AM352" t="s">
        <v>52</v>
      </c>
      <c r="AN352" t="s">
        <v>53</v>
      </c>
    </row>
    <row r="353" spans="1:40">
      <c r="A353" t="s">
        <v>40</v>
      </c>
      <c r="B353" t="s">
        <v>1555</v>
      </c>
      <c r="C353" t="s">
        <v>1556</v>
      </c>
      <c r="D353" t="s">
        <v>52</v>
      </c>
      <c r="E353" t="s">
        <v>1557</v>
      </c>
      <c r="F353" t="s">
        <v>95</v>
      </c>
      <c r="G353" t="str">
        <f>HYPERLINK("https://twitter.com/941180888/status/1143426090825900032")</f>
        <v>https://twitter.com/941180888/status/1143426090825900032</v>
      </c>
      <c r="H353" t="s">
        <v>46</v>
      </c>
      <c r="I353" t="s">
        <v>1558</v>
      </c>
      <c r="J353" t="str">
        <f>HYPERLINK("http://twitter.com/SandraFortune1")</f>
        <v>http://twitter.com/SandraFortune1</v>
      </c>
      <c r="K353">
        <v>275</v>
      </c>
      <c r="L353" t="s">
        <v>58</v>
      </c>
      <c r="N353" t="s">
        <v>65</v>
      </c>
      <c r="R353" t="s">
        <v>60</v>
      </c>
      <c r="S353" t="s">
        <v>97</v>
      </c>
      <c r="T353" t="s">
        <v>177</v>
      </c>
      <c r="U353" t="s">
        <v>1559</v>
      </c>
      <c r="W353">
        <v>0</v>
      </c>
      <c r="X353">
        <v>0</v>
      </c>
      <c r="AE353">
        <v>0</v>
      </c>
      <c r="AF353">
        <v>0</v>
      </c>
      <c r="AM353" t="s">
        <v>52</v>
      </c>
      <c r="AN353" t="s">
        <v>53</v>
      </c>
    </row>
    <row r="354" spans="1:40">
      <c r="A354" t="s">
        <v>40</v>
      </c>
      <c r="B354" t="s">
        <v>1555</v>
      </c>
      <c r="C354" t="s">
        <v>1560</v>
      </c>
      <c r="D354" t="s">
        <v>52</v>
      </c>
      <c r="E354" t="s">
        <v>130</v>
      </c>
      <c r="F354" t="s">
        <v>131</v>
      </c>
      <c r="G354" t="str">
        <f>HYPERLINK("https://twitter.com/941180888/status/1143426054150901760")</f>
        <v>https://twitter.com/941180888/status/1143426054150901760</v>
      </c>
      <c r="H354" t="s">
        <v>46</v>
      </c>
      <c r="I354" t="s">
        <v>1558</v>
      </c>
      <c r="J354" t="str">
        <f>HYPERLINK("http://twitter.com/SandraFortune1")</f>
        <v>http://twitter.com/SandraFortune1</v>
      </c>
      <c r="K354">
        <v>275</v>
      </c>
      <c r="L354" t="s">
        <v>58</v>
      </c>
      <c r="N354" t="s">
        <v>65</v>
      </c>
      <c r="R354" t="s">
        <v>60</v>
      </c>
      <c r="S354" t="s">
        <v>97</v>
      </c>
      <c r="T354" t="s">
        <v>177</v>
      </c>
      <c r="U354" t="s">
        <v>1559</v>
      </c>
      <c r="W354">
        <v>0</v>
      </c>
      <c r="X354">
        <v>0</v>
      </c>
      <c r="AE354">
        <v>0</v>
      </c>
      <c r="AI354" t="s">
        <v>108</v>
      </c>
      <c r="AJ354" t="s">
        <v>52</v>
      </c>
      <c r="AK354" t="s">
        <v>52</v>
      </c>
      <c r="AL354" t="str">
        <f>HYPERLINK("https://pbs.twimg.com/media/D9XTkLWW4AAOYnJ.jpg")</f>
        <v>https://pbs.twimg.com/media/D9XTkLWW4AAOYnJ.jpg</v>
      </c>
      <c r="AM354" t="s">
        <v>52</v>
      </c>
      <c r="AN354" t="s">
        <v>53</v>
      </c>
    </row>
    <row r="355" spans="1:40">
      <c r="A355" t="s">
        <v>40</v>
      </c>
      <c r="B355" t="s">
        <v>1561</v>
      </c>
      <c r="C355" t="s">
        <v>1562</v>
      </c>
      <c r="D355" t="s">
        <v>970</v>
      </c>
      <c r="E355" t="s">
        <v>1563</v>
      </c>
      <c r="F355" t="s">
        <v>45</v>
      </c>
      <c r="G355" t="str">
        <f>HYPERLINK("https://www.reddit.com/r/gaming/comments/c4s7ll/our_highschool_lan_parties_2004/?sort=new#thing_t1_erzbgv2")</f>
        <v>https://www.reddit.com/r/gaming/comments/c4s7ll/our_highschool_lan_parties_2004/?sort=new#thing_t1_erzbgv2</v>
      </c>
      <c r="H355" t="s">
        <v>46</v>
      </c>
      <c r="I355" t="s">
        <v>1564</v>
      </c>
      <c r="J355" t="str">
        <f>HYPERLINK("https://www.reddit.com/r/gaming/comments/c4s7ll/our_highschool_lan_parties_2004/?sort=new#thing_t1_erzbgv2")</f>
        <v>https://www.reddit.com/r/gaming/comments/c4s7ll/our_highschool_lan_parties_2004/?sort=new#thing_t1_erzbgv2</v>
      </c>
      <c r="N355" t="s">
        <v>545</v>
      </c>
      <c r="O355" t="s">
        <v>973</v>
      </c>
      <c r="P355" t="str">
        <f>HYPERLINK("https://www.reddit.com/hot")</f>
        <v>https://www.reddit.com/hot</v>
      </c>
      <c r="R355" t="s">
        <v>516</v>
      </c>
      <c r="S355" t="s">
        <v>51</v>
      </c>
      <c r="AM355" t="s">
        <v>52</v>
      </c>
      <c r="AN355" t="s">
        <v>53</v>
      </c>
    </row>
    <row r="356" spans="1:40">
      <c r="A356" t="s">
        <v>40</v>
      </c>
      <c r="B356" t="s">
        <v>1565</v>
      </c>
      <c r="C356" t="s">
        <v>1566</v>
      </c>
      <c r="D356" t="s">
        <v>52</v>
      </c>
      <c r="E356" t="s">
        <v>1567</v>
      </c>
      <c r="F356" t="s">
        <v>45</v>
      </c>
      <c r="G356" t="str">
        <f>HYPERLINK("https://twitter.com/1048459436316971008/status/1143425157660389378")</f>
        <v>https://twitter.com/1048459436316971008/status/1143425157660389378</v>
      </c>
      <c r="H356" t="s">
        <v>215</v>
      </c>
      <c r="I356" t="s">
        <v>1568</v>
      </c>
      <c r="J356" t="str">
        <f>HYPERLINK("http://twitter.com/Hallloweed")</f>
        <v>http://twitter.com/Hallloweed</v>
      </c>
      <c r="K356">
        <v>6</v>
      </c>
      <c r="N356" t="s">
        <v>65</v>
      </c>
      <c r="R356" t="s">
        <v>60</v>
      </c>
      <c r="W356">
        <v>0</v>
      </c>
      <c r="X356">
        <v>0</v>
      </c>
      <c r="AE356">
        <v>0</v>
      </c>
      <c r="AF356">
        <v>0</v>
      </c>
      <c r="AM356" t="s">
        <v>52</v>
      </c>
      <c r="AN356" t="s">
        <v>53</v>
      </c>
    </row>
    <row r="357" spans="1:40">
      <c r="A357" t="s">
        <v>40</v>
      </c>
      <c r="B357" t="s">
        <v>1569</v>
      </c>
      <c r="C357" t="s">
        <v>1562</v>
      </c>
      <c r="D357" t="s">
        <v>970</v>
      </c>
      <c r="E357" t="s">
        <v>1570</v>
      </c>
      <c r="F357" t="s">
        <v>45</v>
      </c>
      <c r="G357" t="str">
        <f>HYPERLINK("https://www.reddit.com/r/gaming/comments/c4s7ll/our_highschool_lan_parties_2004/?sort=new#thing_t1_erzb9ho")</f>
        <v>https://www.reddit.com/r/gaming/comments/c4s7ll/our_highschool_lan_parties_2004/?sort=new#thing_t1_erzb9ho</v>
      </c>
      <c r="H357" t="s">
        <v>46</v>
      </c>
      <c r="I357" t="s">
        <v>1571</v>
      </c>
      <c r="J357" t="str">
        <f>HYPERLINK("https://www.reddit.com/r/gaming/comments/c4s7ll/our_highschool_lan_parties_2004/?sort=new#thing_t1_erzb9ho")</f>
        <v>https://www.reddit.com/r/gaming/comments/c4s7ll/our_highschool_lan_parties_2004/?sort=new#thing_t1_erzb9ho</v>
      </c>
      <c r="N357" t="s">
        <v>545</v>
      </c>
      <c r="O357" t="s">
        <v>973</v>
      </c>
      <c r="P357" t="str">
        <f>HYPERLINK("https://www.reddit.com/hot")</f>
        <v>https://www.reddit.com/hot</v>
      </c>
      <c r="R357" t="s">
        <v>516</v>
      </c>
      <c r="S357" t="s">
        <v>51</v>
      </c>
      <c r="AM357" t="s">
        <v>52</v>
      </c>
      <c r="AN357" t="s">
        <v>53</v>
      </c>
    </row>
    <row r="358" spans="1:40">
      <c r="A358" t="s">
        <v>40</v>
      </c>
      <c r="B358" t="s">
        <v>1572</v>
      </c>
      <c r="C358" t="s">
        <v>1547</v>
      </c>
      <c r="D358" t="s">
        <v>52</v>
      </c>
      <c r="E358" t="s">
        <v>1573</v>
      </c>
      <c r="F358" t="s">
        <v>45</v>
      </c>
      <c r="G358" t="str">
        <f>HYPERLINK("https://www.instagram.com/p/BzH_F4BBr4k")</f>
        <v>https://www.instagram.com/p/BzH_F4BBr4k</v>
      </c>
      <c r="H358" t="s">
        <v>46</v>
      </c>
      <c r="I358" t="s">
        <v>1574</v>
      </c>
      <c r="J358" t="str">
        <f>HYPERLINK("http://instagram.com/beckylhatton")</f>
        <v>http://instagram.com/beckylhatton</v>
      </c>
      <c r="K358">
        <v>979</v>
      </c>
      <c r="N358" t="s">
        <v>59</v>
      </c>
      <c r="O358" t="s">
        <v>1574</v>
      </c>
      <c r="P358" t="str">
        <f>HYPERLINK("http://instagram.com/beckylhatton")</f>
        <v>http://instagram.com/beckylhatton</v>
      </c>
      <c r="Q358">
        <v>979</v>
      </c>
      <c r="R358" t="s">
        <v>60</v>
      </c>
      <c r="W358">
        <v>8</v>
      </c>
      <c r="X358">
        <v>8</v>
      </c>
      <c r="AE358">
        <v>0</v>
      </c>
      <c r="AI358" t="s">
        <v>52</v>
      </c>
      <c r="AJ358" t="s">
        <v>1575</v>
      </c>
      <c r="AK358" t="s">
        <v>52</v>
      </c>
      <c r="AL358" t="str">
        <f>HYPERLINK("https://www.instagram.com/p/BzH_F4BBr4k/media/?size=l")</f>
        <v>https://www.instagram.com/p/BzH_F4BBr4k/media/?size=l</v>
      </c>
      <c r="AM358" t="s">
        <v>52</v>
      </c>
      <c r="AN358" t="s">
        <v>53</v>
      </c>
    </row>
    <row r="359" spans="1:40">
      <c r="A359" t="s">
        <v>40</v>
      </c>
      <c r="B359" t="s">
        <v>1572</v>
      </c>
      <c r="C359" t="s">
        <v>1576</v>
      </c>
      <c r="D359" t="s">
        <v>52</v>
      </c>
      <c r="E359" t="s">
        <v>204</v>
      </c>
      <c r="F359" t="s">
        <v>131</v>
      </c>
      <c r="G359" t="str">
        <f>HYPERLINK("https://twitter.com/959792527/status/1143424367012933632")</f>
        <v>https://twitter.com/959792527/status/1143424367012933632</v>
      </c>
      <c r="H359" t="s">
        <v>46</v>
      </c>
      <c r="I359" t="s">
        <v>1577</v>
      </c>
      <c r="J359" t="str">
        <f>HYPERLINK("http://twitter.com/spookUUUU")</f>
        <v>http://twitter.com/spookUUUU</v>
      </c>
      <c r="K359">
        <v>204</v>
      </c>
      <c r="N359" t="s">
        <v>65</v>
      </c>
      <c r="R359" t="s">
        <v>60</v>
      </c>
      <c r="W359">
        <v>0</v>
      </c>
      <c r="X359">
        <v>0</v>
      </c>
      <c r="AE359">
        <v>0</v>
      </c>
      <c r="AM359" t="s">
        <v>52</v>
      </c>
      <c r="AN359" t="s">
        <v>53</v>
      </c>
    </row>
    <row r="360" spans="1:40">
      <c r="A360" t="s">
        <v>40</v>
      </c>
      <c r="B360" t="s">
        <v>1578</v>
      </c>
      <c r="C360" t="s">
        <v>1579</v>
      </c>
      <c r="D360" t="s">
        <v>52</v>
      </c>
      <c r="E360" t="s">
        <v>130</v>
      </c>
      <c r="F360" t="s">
        <v>131</v>
      </c>
      <c r="G360" t="str">
        <f>HYPERLINK("https://twitter.com/92488389/status/1143424145776107522")</f>
        <v>https://twitter.com/92488389/status/1143424145776107522</v>
      </c>
      <c r="H360" t="s">
        <v>46</v>
      </c>
      <c r="I360" t="s">
        <v>1580</v>
      </c>
      <c r="J360" t="str">
        <f>HYPERLINK("http://twitter.com/shell7619")</f>
        <v>http://twitter.com/shell7619</v>
      </c>
      <c r="K360">
        <v>1526</v>
      </c>
      <c r="N360" t="s">
        <v>65</v>
      </c>
      <c r="R360" t="s">
        <v>60</v>
      </c>
      <c r="S360" t="s">
        <v>97</v>
      </c>
      <c r="T360" t="s">
        <v>177</v>
      </c>
      <c r="U360" t="s">
        <v>1581</v>
      </c>
      <c r="W360">
        <v>0</v>
      </c>
      <c r="X360">
        <v>0</v>
      </c>
      <c r="AE360">
        <v>0</v>
      </c>
      <c r="AI360" t="s">
        <v>108</v>
      </c>
      <c r="AJ360" t="s">
        <v>52</v>
      </c>
      <c r="AK360" t="s">
        <v>52</v>
      </c>
      <c r="AL360" t="str">
        <f>HYPERLINK("https://pbs.twimg.com/media/D9XTkLWW4AAOYnJ.jpg")</f>
        <v>https://pbs.twimg.com/media/D9XTkLWW4AAOYnJ.jpg</v>
      </c>
      <c r="AM360" t="s">
        <v>52</v>
      </c>
      <c r="AN360" t="s">
        <v>53</v>
      </c>
    </row>
    <row r="361" spans="1:40">
      <c r="A361" t="s">
        <v>40</v>
      </c>
      <c r="B361" t="s">
        <v>1582</v>
      </c>
      <c r="C361" t="s">
        <v>1193</v>
      </c>
      <c r="D361" t="s">
        <v>1583</v>
      </c>
      <c r="E361" t="s">
        <v>1584</v>
      </c>
      <c r="F361" t="s">
        <v>45</v>
      </c>
      <c r="G361" t="str">
        <f>HYPERLINK("https://www.ign.com/boards/threads/seems-like-many-people-are-putting-their-fingers-into-their-mouths-and-i-don’t-get-it.455375857")</f>
        <v>https://www.ign.com/boards/threads/seems-like-many-people-are-putting-their-fingers-into-their-mouths-and-i-don’t-get-it.455375857</v>
      </c>
      <c r="H361" t="s">
        <v>215</v>
      </c>
      <c r="I361" t="s">
        <v>1585</v>
      </c>
      <c r="J361" t="str">
        <f>HYPERLINK("https://www.ign.com/boards/threads/seems-like-many-people-are-putting-their-fingers-into-their-mouths-and-i-don%E2%80%99t-get-it.455375857/")</f>
        <v>https://www.ign.com/boards/threads/seems-like-many-people-are-putting-their-fingers-into-their-mouths-and-i-don%E2%80%99t-get-it.455375857/</v>
      </c>
      <c r="N361" t="s">
        <v>1586</v>
      </c>
      <c r="O361" t="s">
        <v>1587</v>
      </c>
      <c r="P361" t="str">
        <f>HYPERLINK("http://www.ign.com/boards/forums/-/index.rss")</f>
        <v>http://www.ign.com/boards/forums/-/index.rss</v>
      </c>
      <c r="R361" t="s">
        <v>516</v>
      </c>
      <c r="S361" t="s">
        <v>51</v>
      </c>
      <c r="AM361" t="s">
        <v>52</v>
      </c>
      <c r="AN361" t="s">
        <v>53</v>
      </c>
    </row>
    <row r="362" spans="1:40">
      <c r="A362" t="s">
        <v>40</v>
      </c>
      <c r="B362" t="s">
        <v>1588</v>
      </c>
      <c r="C362" t="s">
        <v>1589</v>
      </c>
      <c r="D362" t="s">
        <v>52</v>
      </c>
      <c r="E362" t="s">
        <v>1590</v>
      </c>
      <c r="F362" t="s">
        <v>131</v>
      </c>
      <c r="G362" t="str">
        <f>HYPERLINK("https://twitter.com/1098964223961583616/status/1143423311302529024")</f>
        <v>https://twitter.com/1098964223961583616/status/1143423311302529024</v>
      </c>
      <c r="H362" t="s">
        <v>46</v>
      </c>
      <c r="I362" t="s">
        <v>1591</v>
      </c>
      <c r="J362" t="str">
        <f>HYPERLINK("http://twitter.com/MenorD3_")</f>
        <v>http://twitter.com/MenorD3_</v>
      </c>
      <c r="K362">
        <v>127</v>
      </c>
      <c r="N362" t="s">
        <v>65</v>
      </c>
      <c r="R362" t="s">
        <v>60</v>
      </c>
      <c r="S362" t="s">
        <v>1592</v>
      </c>
      <c r="T362" t="s">
        <v>1593</v>
      </c>
      <c r="U362" t="s">
        <v>1594</v>
      </c>
      <c r="W362">
        <v>0</v>
      </c>
      <c r="X362">
        <v>0</v>
      </c>
      <c r="AE362">
        <v>0</v>
      </c>
      <c r="AM362" t="s">
        <v>52</v>
      </c>
      <c r="AN362" t="s">
        <v>53</v>
      </c>
    </row>
    <row r="363" spans="1:40">
      <c r="A363" t="s">
        <v>40</v>
      </c>
      <c r="B363" t="s">
        <v>1588</v>
      </c>
      <c r="C363" t="s">
        <v>1242</v>
      </c>
      <c r="D363" t="s">
        <v>1595</v>
      </c>
      <c r="E363" t="s">
        <v>1596</v>
      </c>
      <c r="F363" t="s">
        <v>45</v>
      </c>
      <c r="G363" t="str">
        <f>HYPERLINK("https://mayfieldrecorder.com/2019/06/25/bahl-gaynor-inc-has-229-76-million-holdings-in-pepsico-inc-nasdaqpep.html")</f>
        <v>https://mayfieldrecorder.com/2019/06/25/bahl-gaynor-inc-has-229-76-million-holdings-in-pepsico-inc-nasdaqpep.html</v>
      </c>
      <c r="H363" t="s">
        <v>46</v>
      </c>
      <c r="I363" t="s">
        <v>1597</v>
      </c>
      <c r="J363" t="str">
        <f>HYPERLINK("https://mayfieldrecorder.com/2019/06/25/bahl-gaynor-inc-has-229-76-million-holdings-in-pepsico-inc-nasdaqpep.html")</f>
        <v>https://mayfieldrecorder.com/2019/06/25/bahl-gaynor-inc-has-229-76-million-holdings-in-pepsico-inc-nasdaqpep.html</v>
      </c>
      <c r="L363" t="s">
        <v>48</v>
      </c>
      <c r="N363" t="s">
        <v>356</v>
      </c>
      <c r="R363" t="s">
        <v>357</v>
      </c>
      <c r="S363" t="s">
        <v>51</v>
      </c>
      <c r="AM363" t="s">
        <v>52</v>
      </c>
      <c r="AN363" t="s">
        <v>53</v>
      </c>
    </row>
    <row r="364" spans="1:40">
      <c r="A364" t="s">
        <v>40</v>
      </c>
      <c r="B364" t="s">
        <v>1588</v>
      </c>
      <c r="C364" t="s">
        <v>1242</v>
      </c>
      <c r="D364" t="s">
        <v>1598</v>
      </c>
      <c r="E364" t="s">
        <v>1599</v>
      </c>
      <c r="F364" t="s">
        <v>45</v>
      </c>
      <c r="G364" t="str">
        <f>HYPERLINK("https://mayfieldrecorder.com/2019/06/25/pepsico-inc-nasdaqpep-holdings-trimmed-by-aviva-plc.html")</f>
        <v>https://mayfieldrecorder.com/2019/06/25/pepsico-inc-nasdaqpep-holdings-trimmed-by-aviva-plc.html</v>
      </c>
      <c r="H364" t="s">
        <v>91</v>
      </c>
      <c r="I364" t="s">
        <v>1597</v>
      </c>
      <c r="J364" t="str">
        <f>HYPERLINK("https://mayfieldrecorder.com/2019/06/25/pepsico-inc-nasdaqpep-holdings-trimmed-by-aviva-plc.html")</f>
        <v>https://mayfieldrecorder.com/2019/06/25/pepsico-inc-nasdaqpep-holdings-trimmed-by-aviva-plc.html</v>
      </c>
      <c r="L364" t="s">
        <v>48</v>
      </c>
      <c r="N364" t="s">
        <v>356</v>
      </c>
      <c r="R364" t="s">
        <v>357</v>
      </c>
      <c r="S364" t="s">
        <v>51</v>
      </c>
      <c r="AM364" t="s">
        <v>52</v>
      </c>
      <c r="AN364" t="s">
        <v>53</v>
      </c>
    </row>
    <row r="365" spans="1:40">
      <c r="A365" t="s">
        <v>40</v>
      </c>
      <c r="B365" t="s">
        <v>1600</v>
      </c>
      <c r="C365" t="s">
        <v>1562</v>
      </c>
      <c r="D365" t="s">
        <v>970</v>
      </c>
      <c r="E365" t="s">
        <v>1601</v>
      </c>
      <c r="F365" t="s">
        <v>45</v>
      </c>
      <c r="G365" t="str">
        <f>HYPERLINK("https://www.reddit.com/r/gaming/comments/c4s7ll/our_highschool_lan_parties_2004/?sort=new#thing_t1_erzaqbx")</f>
        <v>https://www.reddit.com/r/gaming/comments/c4s7ll/our_highschool_lan_parties_2004/?sort=new#thing_t1_erzaqbx</v>
      </c>
      <c r="H365" t="s">
        <v>46</v>
      </c>
      <c r="I365" t="s">
        <v>1602</v>
      </c>
      <c r="J365" t="str">
        <f>HYPERLINK("https://www.reddit.com/r/gaming/comments/c4s7ll/our_highschool_lan_parties_2004/?sort=new#thing_t1_erzaqbx")</f>
        <v>https://www.reddit.com/r/gaming/comments/c4s7ll/our_highschool_lan_parties_2004/?sort=new#thing_t1_erzaqbx</v>
      </c>
      <c r="N365" t="s">
        <v>545</v>
      </c>
      <c r="O365" t="s">
        <v>973</v>
      </c>
      <c r="P365" t="str">
        <f>HYPERLINK("https://www.reddit.com/hot")</f>
        <v>https://www.reddit.com/hot</v>
      </c>
      <c r="R365" t="s">
        <v>516</v>
      </c>
      <c r="S365" t="s">
        <v>51</v>
      </c>
      <c r="AM365" t="s">
        <v>52</v>
      </c>
      <c r="AN365" t="s">
        <v>53</v>
      </c>
    </row>
    <row r="366" spans="1:40">
      <c r="A366" t="s">
        <v>40</v>
      </c>
      <c r="B366" t="s">
        <v>1603</v>
      </c>
      <c r="C366" t="s">
        <v>1604</v>
      </c>
      <c r="D366" t="s">
        <v>52</v>
      </c>
      <c r="E366" t="s">
        <v>1605</v>
      </c>
      <c r="F366" t="s">
        <v>71</v>
      </c>
      <c r="G366" t="str">
        <f>HYPERLINK("https://twitter.com/914865794978390016/status/1143422600892297219")</f>
        <v>https://twitter.com/914865794978390016/status/1143422600892297219</v>
      </c>
      <c r="H366" t="s">
        <v>215</v>
      </c>
      <c r="I366" t="s">
        <v>1606</v>
      </c>
      <c r="J366" t="str">
        <f>HYPERLINK("http://twitter.com/Hxppie_Sxwag")</f>
        <v>http://twitter.com/Hxppie_Sxwag</v>
      </c>
      <c r="K366">
        <v>500</v>
      </c>
      <c r="N366" t="s">
        <v>65</v>
      </c>
      <c r="R366" t="s">
        <v>60</v>
      </c>
      <c r="W366">
        <v>0</v>
      </c>
      <c r="X366">
        <v>0</v>
      </c>
      <c r="AE366">
        <v>0</v>
      </c>
      <c r="AF366">
        <v>0</v>
      </c>
      <c r="AM366" t="s">
        <v>52</v>
      </c>
      <c r="AN366" t="s">
        <v>53</v>
      </c>
    </row>
    <row r="367" spans="1:40">
      <c r="A367" t="s">
        <v>40</v>
      </c>
      <c r="B367" t="s">
        <v>1607</v>
      </c>
      <c r="C367" t="s">
        <v>1608</v>
      </c>
      <c r="D367" t="s">
        <v>52</v>
      </c>
      <c r="E367" t="s">
        <v>1609</v>
      </c>
      <c r="F367" t="s">
        <v>45</v>
      </c>
      <c r="G367" t="str">
        <f>HYPERLINK("https://www.instagram.com/p/BzH-LOLJ7NC")</f>
        <v>https://www.instagram.com/p/BzH-LOLJ7NC</v>
      </c>
      <c r="H367" t="s">
        <v>46</v>
      </c>
      <c r="I367" t="s">
        <v>1610</v>
      </c>
      <c r="J367" t="str">
        <f>HYPERLINK("http://instagram.com/ludo_the_wolf")</f>
        <v>http://instagram.com/ludo_the_wolf</v>
      </c>
      <c r="K367">
        <v>1644</v>
      </c>
      <c r="N367" t="s">
        <v>59</v>
      </c>
      <c r="O367" t="s">
        <v>1610</v>
      </c>
      <c r="P367" t="str">
        <f>HYPERLINK("http://instagram.com/ludo_the_wolf")</f>
        <v>http://instagram.com/ludo_the_wolf</v>
      </c>
      <c r="Q367">
        <v>1644</v>
      </c>
      <c r="R367" t="s">
        <v>60</v>
      </c>
      <c r="W367">
        <v>329</v>
      </c>
      <c r="X367">
        <v>329</v>
      </c>
      <c r="AE367">
        <v>14</v>
      </c>
      <c r="AI367" t="s">
        <v>108</v>
      </c>
      <c r="AJ367" t="s">
        <v>458</v>
      </c>
      <c r="AK367" t="s">
        <v>52</v>
      </c>
      <c r="AL367" t="str">
        <f>HYPERLINK("https://www.instagram.com/p/BzH-LOLJ7NC/media/?size=l")</f>
        <v>https://www.instagram.com/p/BzH-LOLJ7NC/media/?size=l</v>
      </c>
      <c r="AM367" t="s">
        <v>52</v>
      </c>
      <c r="AN367" t="s">
        <v>53</v>
      </c>
    </row>
    <row r="368" spans="1:40">
      <c r="A368" t="s">
        <v>40</v>
      </c>
      <c r="B368" t="s">
        <v>1611</v>
      </c>
      <c r="C368" t="s">
        <v>1612</v>
      </c>
      <c r="D368" t="s">
        <v>52</v>
      </c>
      <c r="E368" t="s">
        <v>1613</v>
      </c>
      <c r="F368" t="s">
        <v>95</v>
      </c>
      <c r="G368" t="str">
        <f>HYPERLINK("https://twitter.com/983581822671081472/status/1143421549078339589")</f>
        <v>https://twitter.com/983581822671081472/status/1143421549078339589</v>
      </c>
      <c r="H368" t="s">
        <v>215</v>
      </c>
      <c r="I368" t="s">
        <v>1614</v>
      </c>
      <c r="J368" t="str">
        <f>HYPERLINK("http://twitter.com/charlie11502974")</f>
        <v>http://twitter.com/charlie11502974</v>
      </c>
      <c r="K368">
        <v>5</v>
      </c>
      <c r="N368" t="s">
        <v>65</v>
      </c>
      <c r="R368" t="s">
        <v>60</v>
      </c>
      <c r="S368" t="s">
        <v>437</v>
      </c>
      <c r="T368" t="s">
        <v>528</v>
      </c>
      <c r="U368" t="s">
        <v>529</v>
      </c>
      <c r="W368">
        <v>0</v>
      </c>
      <c r="X368">
        <v>0</v>
      </c>
      <c r="AE368">
        <v>0</v>
      </c>
      <c r="AF368">
        <v>0</v>
      </c>
      <c r="AM368" t="s">
        <v>52</v>
      </c>
      <c r="AN368" t="s">
        <v>53</v>
      </c>
    </row>
    <row r="369" spans="1:40">
      <c r="A369" t="s">
        <v>40</v>
      </c>
      <c r="B369" t="s">
        <v>1611</v>
      </c>
      <c r="C369" t="s">
        <v>1604</v>
      </c>
      <c r="D369" t="s">
        <v>52</v>
      </c>
      <c r="E369" t="s">
        <v>599</v>
      </c>
      <c r="F369" t="s">
        <v>131</v>
      </c>
      <c r="G369" t="str">
        <f>HYPERLINK("https://twitter.com/1027041341795000325/status/1143421532275802112")</f>
        <v>https://twitter.com/1027041341795000325/status/1143421532275802112</v>
      </c>
      <c r="H369" t="s">
        <v>46</v>
      </c>
      <c r="I369" t="s">
        <v>1615</v>
      </c>
      <c r="J369" t="str">
        <f>HYPERLINK("http://twitter.com/bonobono1609")</f>
        <v>http://twitter.com/bonobono1609</v>
      </c>
      <c r="K369">
        <v>88</v>
      </c>
      <c r="N369" t="s">
        <v>65</v>
      </c>
      <c r="R369" t="s">
        <v>60</v>
      </c>
      <c r="W369">
        <v>0</v>
      </c>
      <c r="X369">
        <v>0</v>
      </c>
      <c r="AE369">
        <v>0</v>
      </c>
      <c r="AI369" t="s">
        <v>108</v>
      </c>
      <c r="AJ369" t="s">
        <v>52</v>
      </c>
      <c r="AK369" t="s">
        <v>601</v>
      </c>
      <c r="AL369" t="str">
        <f>HYPERLINK("https://pbs.twimg.com/ext_tw_video_thumb/1143202185154584581/pu/img/K72qfBH8zIdbiUf-.jpg")</f>
        <v>https://pbs.twimg.com/ext_tw_video_thumb/1143202185154584581/pu/img/K72qfBH8zIdbiUf-.jpg</v>
      </c>
      <c r="AM369" t="s">
        <v>52</v>
      </c>
      <c r="AN369" t="s">
        <v>53</v>
      </c>
    </row>
    <row r="370" spans="1:40">
      <c r="A370" t="s">
        <v>40</v>
      </c>
      <c r="B370" t="s">
        <v>1611</v>
      </c>
      <c r="C370" t="s">
        <v>1616</v>
      </c>
      <c r="D370" t="s">
        <v>52</v>
      </c>
      <c r="E370" t="s">
        <v>1617</v>
      </c>
      <c r="F370" t="s">
        <v>45</v>
      </c>
      <c r="G370" t="str">
        <f>HYPERLINK("https://www.instagram.com/p/BzH9sOtFpYZ")</f>
        <v>https://www.instagram.com/p/BzH9sOtFpYZ</v>
      </c>
      <c r="H370" t="s">
        <v>46</v>
      </c>
      <c r="I370" t="s">
        <v>1618</v>
      </c>
      <c r="J370" t="str">
        <f>HYPERLINK("http://instagram.com/aldila_snack")</f>
        <v>http://instagram.com/aldila_snack</v>
      </c>
      <c r="K370">
        <v>209</v>
      </c>
      <c r="L370" t="s">
        <v>651</v>
      </c>
      <c r="N370" t="s">
        <v>59</v>
      </c>
      <c r="O370" t="s">
        <v>1618</v>
      </c>
      <c r="P370" t="str">
        <f>HYPERLINK("http://instagram.com/aldila_snack")</f>
        <v>http://instagram.com/aldila_snack</v>
      </c>
      <c r="Q370">
        <v>209</v>
      </c>
      <c r="R370" t="s">
        <v>60</v>
      </c>
      <c r="W370">
        <v>8</v>
      </c>
      <c r="X370">
        <v>8</v>
      </c>
      <c r="AE370">
        <v>0</v>
      </c>
      <c r="AI370" t="s">
        <v>52</v>
      </c>
      <c r="AJ370" t="s">
        <v>1619</v>
      </c>
      <c r="AK370" t="s">
        <v>52</v>
      </c>
      <c r="AL370" t="str">
        <f>HYPERLINK("https://www.instagram.com/p/BzH9sOtFpYZ/media/?size=l")</f>
        <v>https://www.instagram.com/p/BzH9sOtFpYZ/media/?size=l</v>
      </c>
      <c r="AM370" t="s">
        <v>52</v>
      </c>
      <c r="AN370" t="s">
        <v>53</v>
      </c>
    </row>
    <row r="371" spans="1:40">
      <c r="A371" t="s">
        <v>40</v>
      </c>
      <c r="B371" t="s">
        <v>1620</v>
      </c>
      <c r="C371" t="s">
        <v>1621</v>
      </c>
      <c r="D371" t="s">
        <v>52</v>
      </c>
      <c r="E371" t="s">
        <v>1622</v>
      </c>
      <c r="F371" t="s">
        <v>45</v>
      </c>
      <c r="G371" t="str">
        <f>HYPERLINK("https://vk.com/wall270729363_21765")</f>
        <v>https://vk.com/wall270729363_21765</v>
      </c>
      <c r="H371" t="s">
        <v>46</v>
      </c>
      <c r="I371" t="s">
        <v>1623</v>
      </c>
      <c r="J371" t="str">
        <f>HYPERLINK("http://vk.com/id270729363")</f>
        <v>http://vk.com/id270729363</v>
      </c>
      <c r="K371">
        <v>191</v>
      </c>
      <c r="L371" t="s">
        <v>58</v>
      </c>
      <c r="M371">
        <v>30</v>
      </c>
      <c r="N371" t="s">
        <v>1624</v>
      </c>
      <c r="O371" t="s">
        <v>1623</v>
      </c>
      <c r="P371" t="str">
        <f>HYPERLINK("http://vk.com/id270729363")</f>
        <v>http://vk.com/id270729363</v>
      </c>
      <c r="Q371">
        <v>191</v>
      </c>
      <c r="R371" t="s">
        <v>60</v>
      </c>
      <c r="S371" t="s">
        <v>51</v>
      </c>
      <c r="T371" t="s">
        <v>173</v>
      </c>
      <c r="U371" t="s">
        <v>1625</v>
      </c>
      <c r="W371">
        <v>0</v>
      </c>
      <c r="X371">
        <v>0</v>
      </c>
      <c r="AE371">
        <v>0</v>
      </c>
      <c r="AF371">
        <v>0</v>
      </c>
      <c r="AG371">
        <v>2</v>
      </c>
      <c r="AI371" t="s">
        <v>52</v>
      </c>
      <c r="AJ371" t="s">
        <v>52</v>
      </c>
      <c r="AK371" t="s">
        <v>52</v>
      </c>
      <c r="AL371" t="str">
        <f>HYPERLINK("https://pp.userapi.com/c855324/v855324065/7cb47/Amkb3tOr2_o.jpg")</f>
        <v>https://pp.userapi.com/c855324/v855324065/7cb47/Amkb3tOr2_o.jpg</v>
      </c>
      <c r="AM371" t="s">
        <v>52</v>
      </c>
      <c r="AN371" t="s">
        <v>53</v>
      </c>
    </row>
    <row r="372" spans="1:40">
      <c r="A372" t="s">
        <v>40</v>
      </c>
      <c r="B372" t="s">
        <v>1626</v>
      </c>
      <c r="C372" t="s">
        <v>1627</v>
      </c>
      <c r="D372" t="s">
        <v>52</v>
      </c>
      <c r="E372" t="s">
        <v>1628</v>
      </c>
      <c r="F372" t="s">
        <v>45</v>
      </c>
      <c r="G372" t="str">
        <f>HYPERLINK("https://www.instagram.com/p/BzH9XklhlOW")</f>
        <v>https://www.instagram.com/p/BzH9XklhlOW</v>
      </c>
      <c r="H372" t="s">
        <v>46</v>
      </c>
      <c r="I372" t="s">
        <v>1629</v>
      </c>
      <c r="J372" t="str">
        <f>HYPERLINK("http://instagram.com/sisiseethesea")</f>
        <v>http://instagram.com/sisiseethesea</v>
      </c>
      <c r="K372">
        <v>434</v>
      </c>
      <c r="N372" t="s">
        <v>59</v>
      </c>
      <c r="O372" t="s">
        <v>1629</v>
      </c>
      <c r="P372" t="str">
        <f>HYPERLINK("http://instagram.com/sisiseethesea")</f>
        <v>http://instagram.com/sisiseethesea</v>
      </c>
      <c r="Q372">
        <v>434</v>
      </c>
      <c r="R372" t="s">
        <v>60</v>
      </c>
      <c r="W372">
        <v>23</v>
      </c>
      <c r="X372">
        <v>23</v>
      </c>
      <c r="AE372">
        <v>4</v>
      </c>
      <c r="AI372" t="s">
        <v>52</v>
      </c>
      <c r="AJ372" t="s">
        <v>52</v>
      </c>
      <c r="AK372" t="s">
        <v>1630</v>
      </c>
      <c r="AL372" t="str">
        <f>HYPERLINK("https://www.instagram.com/p/BzH9XklhlOW/media/?size=l")</f>
        <v>https://www.instagram.com/p/BzH9XklhlOW/media/?size=l</v>
      </c>
      <c r="AM372" t="s">
        <v>52</v>
      </c>
      <c r="AN372" t="s">
        <v>53</v>
      </c>
    </row>
    <row r="373" spans="1:40">
      <c r="A373" t="s">
        <v>40</v>
      </c>
      <c r="B373" t="s">
        <v>1626</v>
      </c>
      <c r="C373" t="s">
        <v>1179</v>
      </c>
      <c r="D373" t="s">
        <v>1631</v>
      </c>
      <c r="E373" t="s">
        <v>1632</v>
      </c>
      <c r="F373" t="s">
        <v>45</v>
      </c>
      <c r="G373" t="str">
        <f>HYPERLINK("https://apkhook.com/taco-bell-post-falls.html")</f>
        <v>https://apkhook.com/taco-bell-post-falls.html</v>
      </c>
      <c r="H373" t="s">
        <v>46</v>
      </c>
      <c r="N373" t="s">
        <v>1633</v>
      </c>
      <c r="R373" t="s">
        <v>50</v>
      </c>
      <c r="S373" t="s">
        <v>51</v>
      </c>
      <c r="AM373" t="s">
        <v>52</v>
      </c>
      <c r="AN373" t="s">
        <v>53</v>
      </c>
    </row>
    <row r="374" spans="1:40">
      <c r="A374" t="s">
        <v>40</v>
      </c>
      <c r="B374" t="s">
        <v>1626</v>
      </c>
      <c r="C374" t="s">
        <v>1179</v>
      </c>
      <c r="D374" t="s">
        <v>1634</v>
      </c>
      <c r="E374" t="s">
        <v>1635</v>
      </c>
      <c r="F374" t="s">
        <v>45</v>
      </c>
      <c r="G374" t="str">
        <f>HYPERLINK("https://apkhook.com/lgbt-doritos.html")</f>
        <v>https://apkhook.com/lgbt-doritos.html</v>
      </c>
      <c r="H374" t="s">
        <v>46</v>
      </c>
      <c r="N374" t="s">
        <v>1633</v>
      </c>
      <c r="R374" t="s">
        <v>50</v>
      </c>
      <c r="S374" t="s">
        <v>51</v>
      </c>
      <c r="AM374" t="s">
        <v>52</v>
      </c>
      <c r="AN374" t="s">
        <v>53</v>
      </c>
    </row>
    <row r="375" spans="1:40">
      <c r="A375" t="s">
        <v>40</v>
      </c>
      <c r="B375" t="s">
        <v>1626</v>
      </c>
      <c r="C375" t="s">
        <v>1005</v>
      </c>
      <c r="D375" t="s">
        <v>1636</v>
      </c>
      <c r="E375" t="s">
        <v>1637</v>
      </c>
      <c r="F375" t="s">
        <v>45</v>
      </c>
      <c r="G375" t="str">
        <f>HYPERLINK("https://apkhook.com/euiv-expansions.html")</f>
        <v>https://apkhook.com/euiv-expansions.html</v>
      </c>
      <c r="H375" t="s">
        <v>46</v>
      </c>
      <c r="N375" t="s">
        <v>1633</v>
      </c>
      <c r="R375" t="s">
        <v>50</v>
      </c>
      <c r="S375" t="s">
        <v>51</v>
      </c>
      <c r="AM375" t="s">
        <v>52</v>
      </c>
      <c r="AN375" t="s">
        <v>53</v>
      </c>
    </row>
    <row r="376" spans="1:40">
      <c r="A376" t="s">
        <v>40</v>
      </c>
      <c r="B376" t="s">
        <v>1638</v>
      </c>
      <c r="C376" t="s">
        <v>1639</v>
      </c>
      <c r="D376" t="s">
        <v>1640</v>
      </c>
      <c r="E376" t="s">
        <v>1641</v>
      </c>
      <c r="F376" t="s">
        <v>45</v>
      </c>
      <c r="G376" t="str">
        <f>HYPERLINK("https://www.youtube.com/watch?v=bz6Ctt4bCB4")</f>
        <v>https://www.youtube.com/watch?v=bz6Ctt4bCB4</v>
      </c>
      <c r="H376" t="s">
        <v>46</v>
      </c>
      <c r="I376" t="s">
        <v>1642</v>
      </c>
      <c r="J376" t="str">
        <f>HYPERLINK("https://www.youtube.com/channel/UC3grHQAJFNVHO8VYjI87ugQ")</f>
        <v>https://www.youtube.com/channel/UC3grHQAJFNVHO8VYjI87ugQ</v>
      </c>
      <c r="K376">
        <v>11</v>
      </c>
      <c r="N376" t="s">
        <v>116</v>
      </c>
      <c r="O376" t="s">
        <v>1642</v>
      </c>
      <c r="P376" t="str">
        <f>HYPERLINK("https://www.youtube.com/channel/UC3grHQAJFNVHO8VYjI87ugQ")</f>
        <v>https://www.youtube.com/channel/UC3grHQAJFNVHO8VYjI87ugQ</v>
      </c>
      <c r="Q376">
        <v>11</v>
      </c>
      <c r="R376" t="s">
        <v>60</v>
      </c>
      <c r="S376" t="s">
        <v>1643</v>
      </c>
      <c r="T376" t="s">
        <v>1644</v>
      </c>
      <c r="U376" t="s">
        <v>1645</v>
      </c>
      <c r="W376">
        <v>1</v>
      </c>
      <c r="X376">
        <v>1</v>
      </c>
      <c r="AD376">
        <v>0</v>
      </c>
      <c r="AE376">
        <v>0</v>
      </c>
      <c r="AG376">
        <v>4</v>
      </c>
      <c r="AI376" t="s">
        <v>52</v>
      </c>
      <c r="AJ376" t="s">
        <v>52</v>
      </c>
      <c r="AK376" t="s">
        <v>52</v>
      </c>
      <c r="AL376" t="str">
        <f>HYPERLINK("https://i.ytimg.com/vi/bz6Ctt4bCB4/hqdefault.jpg")</f>
        <v>https://i.ytimg.com/vi/bz6Ctt4bCB4/hqdefault.jpg</v>
      </c>
      <c r="AM376" t="s">
        <v>52</v>
      </c>
      <c r="AN376" t="s">
        <v>53</v>
      </c>
    </row>
    <row r="377" spans="1:40">
      <c r="A377" t="s">
        <v>40</v>
      </c>
      <c r="B377" t="s">
        <v>1646</v>
      </c>
      <c r="C377" t="s">
        <v>1639</v>
      </c>
      <c r="D377" t="s">
        <v>52</v>
      </c>
      <c r="E377" t="s">
        <v>1647</v>
      </c>
      <c r="F377" t="s">
        <v>131</v>
      </c>
      <c r="G377" t="str">
        <f>HYPERLINK("https://twitter.com/988277756/status/1143420037241409536")</f>
        <v>https://twitter.com/988277756/status/1143420037241409536</v>
      </c>
      <c r="H377" t="s">
        <v>215</v>
      </c>
      <c r="I377" t="s">
        <v>1648</v>
      </c>
      <c r="J377" t="str">
        <f>HYPERLINK("http://twitter.com/Masego_Mabua")</f>
        <v>http://twitter.com/Masego_Mabua</v>
      </c>
      <c r="K377">
        <v>2486</v>
      </c>
      <c r="N377" t="s">
        <v>65</v>
      </c>
      <c r="R377" t="s">
        <v>60</v>
      </c>
      <c r="S377" t="s">
        <v>1071</v>
      </c>
      <c r="T377" t="s">
        <v>1072</v>
      </c>
      <c r="U377" t="s">
        <v>1295</v>
      </c>
      <c r="W377">
        <v>0</v>
      </c>
      <c r="X377">
        <v>0</v>
      </c>
      <c r="AE377">
        <v>0</v>
      </c>
      <c r="AM377" t="s">
        <v>52</v>
      </c>
      <c r="AN377" t="s">
        <v>53</v>
      </c>
    </row>
    <row r="378" spans="1:40">
      <c r="A378" t="s">
        <v>40</v>
      </c>
      <c r="B378" t="s">
        <v>1646</v>
      </c>
      <c r="C378" t="s">
        <v>1649</v>
      </c>
      <c r="D378" t="s">
        <v>52</v>
      </c>
      <c r="E378" t="s">
        <v>1650</v>
      </c>
      <c r="F378" t="s">
        <v>131</v>
      </c>
      <c r="G378" t="str">
        <f>HYPERLINK("https://twitter.com/767177116785840128/status/1143419946694782977")</f>
        <v>https://twitter.com/767177116785840128/status/1143419946694782977</v>
      </c>
      <c r="H378" t="s">
        <v>46</v>
      </c>
      <c r="I378" t="s">
        <v>52</v>
      </c>
      <c r="J378" t="str">
        <f>HYPERLINK("http://twitter.com/edgarpiceno1")</f>
        <v>http://twitter.com/edgarpiceno1</v>
      </c>
      <c r="K378">
        <v>136</v>
      </c>
      <c r="N378" t="s">
        <v>65</v>
      </c>
      <c r="R378" t="s">
        <v>60</v>
      </c>
      <c r="W378">
        <v>0</v>
      </c>
      <c r="X378">
        <v>0</v>
      </c>
      <c r="AE378">
        <v>0</v>
      </c>
      <c r="AM378" t="s">
        <v>52</v>
      </c>
      <c r="AN378" t="s">
        <v>53</v>
      </c>
    </row>
    <row r="379" spans="1:40">
      <c r="A379" t="s">
        <v>40</v>
      </c>
      <c r="B379" t="s">
        <v>1651</v>
      </c>
      <c r="C379" t="s">
        <v>1652</v>
      </c>
      <c r="D379" t="s">
        <v>52</v>
      </c>
      <c r="E379" t="s">
        <v>1653</v>
      </c>
      <c r="F379" t="s">
        <v>45</v>
      </c>
      <c r="G379" t="str">
        <f>HYPERLINK("https://twitter.com/3428181433/status/1143419804759527426")</f>
        <v>https://twitter.com/3428181433/status/1143419804759527426</v>
      </c>
      <c r="H379" t="s">
        <v>46</v>
      </c>
      <c r="I379" t="s">
        <v>1654</v>
      </c>
      <c r="J379" t="str">
        <f>HYPERLINK("http://twitter.com/summerlarva")</f>
        <v>http://twitter.com/summerlarva</v>
      </c>
      <c r="K379">
        <v>576</v>
      </c>
      <c r="N379" t="s">
        <v>65</v>
      </c>
      <c r="R379" t="s">
        <v>60</v>
      </c>
      <c r="W379">
        <v>0</v>
      </c>
      <c r="X379">
        <v>0</v>
      </c>
      <c r="AE379">
        <v>0</v>
      </c>
      <c r="AF379">
        <v>0</v>
      </c>
      <c r="AM379" t="s">
        <v>52</v>
      </c>
      <c r="AN379" t="s">
        <v>53</v>
      </c>
    </row>
    <row r="380" spans="1:40">
      <c r="A380" t="s">
        <v>40</v>
      </c>
      <c r="B380" t="s">
        <v>1651</v>
      </c>
      <c r="C380" t="s">
        <v>1639</v>
      </c>
      <c r="D380" t="s">
        <v>52</v>
      </c>
      <c r="E380" t="s">
        <v>1655</v>
      </c>
      <c r="F380" t="s">
        <v>131</v>
      </c>
      <c r="G380" t="str">
        <f>HYPERLINK("https://twitter.com/342523906/status/1143419786933805057")</f>
        <v>https://twitter.com/342523906/status/1143419786933805057</v>
      </c>
      <c r="H380" t="s">
        <v>46</v>
      </c>
      <c r="I380" t="s">
        <v>1656</v>
      </c>
      <c r="J380" t="str">
        <f>HYPERLINK("http://twitter.com/AMMOTENFOLD")</f>
        <v>http://twitter.com/AMMOTENFOLD</v>
      </c>
      <c r="K380">
        <v>940</v>
      </c>
      <c r="N380" t="s">
        <v>65</v>
      </c>
      <c r="R380" t="s">
        <v>60</v>
      </c>
      <c r="S380" t="s">
        <v>51</v>
      </c>
      <c r="T380" t="s">
        <v>1657</v>
      </c>
      <c r="U380" t="s">
        <v>1658</v>
      </c>
      <c r="W380">
        <v>0</v>
      </c>
      <c r="X380">
        <v>0</v>
      </c>
      <c r="AE380">
        <v>0</v>
      </c>
      <c r="AM380" t="s">
        <v>52</v>
      </c>
      <c r="AN380" t="s">
        <v>53</v>
      </c>
    </row>
    <row r="381" spans="1:40">
      <c r="A381" t="s">
        <v>40</v>
      </c>
      <c r="B381" t="s">
        <v>1651</v>
      </c>
      <c r="C381" t="s">
        <v>1639</v>
      </c>
      <c r="D381" t="s">
        <v>52</v>
      </c>
      <c r="E381" t="s">
        <v>1659</v>
      </c>
      <c r="F381" t="s">
        <v>45</v>
      </c>
      <c r="G381" t="str">
        <f>HYPERLINK("https://twitter.com/336968220/status/1143419728339361797")</f>
        <v>https://twitter.com/336968220/status/1143419728339361797</v>
      </c>
      <c r="H381" t="s">
        <v>46</v>
      </c>
      <c r="I381" t="s">
        <v>1660</v>
      </c>
      <c r="J381" t="str">
        <f>HYPERLINK("http://twitter.com/MindyLinvell")</f>
        <v>http://twitter.com/MindyLinvell</v>
      </c>
      <c r="K381">
        <v>930</v>
      </c>
      <c r="L381" t="s">
        <v>58</v>
      </c>
      <c r="N381" t="s">
        <v>65</v>
      </c>
      <c r="R381" t="s">
        <v>60</v>
      </c>
      <c r="S381" t="s">
        <v>51</v>
      </c>
      <c r="T381" t="s">
        <v>1661</v>
      </c>
      <c r="U381" t="s">
        <v>1662</v>
      </c>
      <c r="W381">
        <v>1</v>
      </c>
      <c r="X381">
        <v>1</v>
      </c>
      <c r="AE381">
        <v>0</v>
      </c>
      <c r="AF381">
        <v>0</v>
      </c>
      <c r="AM381" t="s">
        <v>52</v>
      </c>
      <c r="AN381" t="s">
        <v>53</v>
      </c>
    </row>
    <row r="382" spans="1:40">
      <c r="A382" t="s">
        <v>40</v>
      </c>
      <c r="B382" t="s">
        <v>1651</v>
      </c>
      <c r="C382" t="s">
        <v>1663</v>
      </c>
      <c r="D382" t="s">
        <v>1664</v>
      </c>
      <c r="E382" t="s">
        <v>1665</v>
      </c>
      <c r="F382" t="s">
        <v>45</v>
      </c>
      <c r="G382" t="str">
        <f>HYPERLINK("https://www.youtube.com/watch?v=MaACot9I3i0")</f>
        <v>https://www.youtube.com/watch?v=MaACot9I3i0</v>
      </c>
      <c r="H382" t="s">
        <v>46</v>
      </c>
      <c r="I382" t="s">
        <v>1666</v>
      </c>
      <c r="J382" t="str">
        <f>HYPERLINK("https://www.youtube.com/channel/UCqSLMWfRZ5cPj8ZUr9M-Oog")</f>
        <v>https://www.youtube.com/channel/UCqSLMWfRZ5cPj8ZUr9M-Oog</v>
      </c>
      <c r="K382">
        <v>5</v>
      </c>
      <c r="L382" t="s">
        <v>48</v>
      </c>
      <c r="N382" t="s">
        <v>116</v>
      </c>
      <c r="O382" t="s">
        <v>1666</v>
      </c>
      <c r="P382" t="str">
        <f>HYPERLINK("https://www.youtube.com/channel/UCqSLMWfRZ5cPj8ZUr9M-Oog")</f>
        <v>https://www.youtube.com/channel/UCqSLMWfRZ5cPj8ZUr9M-Oog</v>
      </c>
      <c r="Q382">
        <v>5</v>
      </c>
      <c r="R382" t="s">
        <v>60</v>
      </c>
      <c r="W382">
        <v>3</v>
      </c>
      <c r="X382">
        <v>3</v>
      </c>
      <c r="AD382">
        <v>0</v>
      </c>
      <c r="AE382">
        <v>2</v>
      </c>
      <c r="AG382">
        <v>31</v>
      </c>
      <c r="AI382" t="s">
        <v>52</v>
      </c>
      <c r="AJ382" t="s">
        <v>52</v>
      </c>
      <c r="AK382" t="s">
        <v>52</v>
      </c>
      <c r="AL382" t="str">
        <f>HYPERLINK("https://i.ytimg.com/vi/MaACot9I3i0/sddefault.jpg")</f>
        <v>https://i.ytimg.com/vi/MaACot9I3i0/sddefault.jpg</v>
      </c>
      <c r="AM382" t="s">
        <v>52</v>
      </c>
      <c r="AN382" t="s">
        <v>53</v>
      </c>
    </row>
    <row r="383" spans="1:40">
      <c r="A383" t="s">
        <v>40</v>
      </c>
      <c r="B383" t="s">
        <v>1651</v>
      </c>
      <c r="C383" t="s">
        <v>1663</v>
      </c>
      <c r="D383" t="s">
        <v>52</v>
      </c>
      <c r="E383" t="s">
        <v>1667</v>
      </c>
      <c r="F383" t="s">
        <v>45</v>
      </c>
      <c r="G383" t="str">
        <f>HYPERLINK("https://twitter.com/20483422/status/1143419658843725824")</f>
        <v>https://twitter.com/20483422/status/1143419658843725824</v>
      </c>
      <c r="H383" t="s">
        <v>215</v>
      </c>
      <c r="I383" t="s">
        <v>1668</v>
      </c>
      <c r="J383" t="str">
        <f>HYPERLINK("http://twitter.com/epiktistes")</f>
        <v>http://twitter.com/epiktistes</v>
      </c>
      <c r="K383">
        <v>1038</v>
      </c>
      <c r="L383" t="s">
        <v>48</v>
      </c>
      <c r="N383" t="s">
        <v>65</v>
      </c>
      <c r="R383" t="s">
        <v>60</v>
      </c>
      <c r="S383" t="s">
        <v>51</v>
      </c>
      <c r="T383" t="s">
        <v>1669</v>
      </c>
      <c r="U383" t="s">
        <v>1670</v>
      </c>
      <c r="W383">
        <v>1</v>
      </c>
      <c r="X383">
        <v>1</v>
      </c>
      <c r="AE383">
        <v>0</v>
      </c>
      <c r="AF383">
        <v>0</v>
      </c>
      <c r="AM383" t="s">
        <v>52</v>
      </c>
      <c r="AN383" t="s">
        <v>53</v>
      </c>
    </row>
    <row r="384" spans="1:40">
      <c r="A384" t="s">
        <v>40</v>
      </c>
      <c r="B384" t="s">
        <v>1651</v>
      </c>
      <c r="C384" t="s">
        <v>1671</v>
      </c>
      <c r="D384" t="s">
        <v>52</v>
      </c>
      <c r="E384" t="s">
        <v>1672</v>
      </c>
      <c r="F384" t="s">
        <v>131</v>
      </c>
      <c r="G384" t="str">
        <f>HYPERLINK("https://twitter.com/997698440304852992/status/1143419627894005760")</f>
        <v>https://twitter.com/997698440304852992/status/1143419627894005760</v>
      </c>
      <c r="H384" t="s">
        <v>215</v>
      </c>
      <c r="I384" t="s">
        <v>1673</v>
      </c>
      <c r="J384" t="str">
        <f>HYPERLINK("http://twitter.com/imise154")</f>
        <v>http://twitter.com/imise154</v>
      </c>
      <c r="K384">
        <v>699</v>
      </c>
      <c r="L384" t="s">
        <v>48</v>
      </c>
      <c r="N384" t="s">
        <v>65</v>
      </c>
      <c r="R384" t="s">
        <v>60</v>
      </c>
      <c r="W384">
        <v>0</v>
      </c>
      <c r="X384">
        <v>0</v>
      </c>
      <c r="AE384">
        <v>0</v>
      </c>
      <c r="AM384" t="s">
        <v>52</v>
      </c>
      <c r="AN384" t="s">
        <v>53</v>
      </c>
    </row>
    <row r="385" spans="1:40">
      <c r="A385" t="s">
        <v>40</v>
      </c>
      <c r="B385" t="s">
        <v>1674</v>
      </c>
      <c r="C385" t="s">
        <v>1675</v>
      </c>
      <c r="D385" t="s">
        <v>52</v>
      </c>
      <c r="E385" t="s">
        <v>130</v>
      </c>
      <c r="F385" t="s">
        <v>131</v>
      </c>
      <c r="G385" t="str">
        <f>HYPERLINK("https://twitter.com/207171218/status/1143418602298728448")</f>
        <v>https://twitter.com/207171218/status/1143418602298728448</v>
      </c>
      <c r="H385" t="s">
        <v>46</v>
      </c>
      <c r="I385" t="s">
        <v>1676</v>
      </c>
      <c r="J385" t="str">
        <f>HYPERLINK("http://twitter.com/ailsa7")</f>
        <v>http://twitter.com/ailsa7</v>
      </c>
      <c r="K385">
        <v>839</v>
      </c>
      <c r="N385" t="s">
        <v>65</v>
      </c>
      <c r="R385" t="s">
        <v>60</v>
      </c>
      <c r="S385" t="s">
        <v>97</v>
      </c>
      <c r="T385" t="s">
        <v>98</v>
      </c>
      <c r="U385" t="s">
        <v>1677</v>
      </c>
      <c r="W385">
        <v>0</v>
      </c>
      <c r="X385">
        <v>0</v>
      </c>
      <c r="AE385">
        <v>0</v>
      </c>
      <c r="AI385" t="s">
        <v>108</v>
      </c>
      <c r="AJ385" t="s">
        <v>52</v>
      </c>
      <c r="AK385" t="s">
        <v>52</v>
      </c>
      <c r="AL385" t="str">
        <f>HYPERLINK("https://pbs.twimg.com/media/D9XTkLWW4AAOYnJ.jpg")</f>
        <v>https://pbs.twimg.com/media/D9XTkLWW4AAOYnJ.jpg</v>
      </c>
      <c r="AM385" t="s">
        <v>52</v>
      </c>
      <c r="AN385" t="s">
        <v>53</v>
      </c>
    </row>
    <row r="386" spans="1:40">
      <c r="A386" t="s">
        <v>40</v>
      </c>
      <c r="B386" t="s">
        <v>1674</v>
      </c>
      <c r="C386" t="s">
        <v>1678</v>
      </c>
      <c r="D386" t="s">
        <v>52</v>
      </c>
      <c r="E386" t="s">
        <v>599</v>
      </c>
      <c r="F386" t="s">
        <v>131</v>
      </c>
      <c r="G386" t="str">
        <f>HYPERLINK("https://twitter.com/298433035/status/1143418557411164161")</f>
        <v>https://twitter.com/298433035/status/1143418557411164161</v>
      </c>
      <c r="H386" t="s">
        <v>46</v>
      </c>
      <c r="I386" t="s">
        <v>1679</v>
      </c>
      <c r="J386" t="str">
        <f>HYPERLINK("http://twitter.com/yeelin930802")</f>
        <v>http://twitter.com/yeelin930802</v>
      </c>
      <c r="K386">
        <v>65</v>
      </c>
      <c r="N386" t="s">
        <v>65</v>
      </c>
      <c r="R386" t="s">
        <v>60</v>
      </c>
      <c r="W386">
        <v>0</v>
      </c>
      <c r="X386">
        <v>0</v>
      </c>
      <c r="AE386">
        <v>0</v>
      </c>
      <c r="AI386" t="s">
        <v>108</v>
      </c>
      <c r="AJ386" t="s">
        <v>52</v>
      </c>
      <c r="AK386" t="s">
        <v>601</v>
      </c>
      <c r="AL386" t="str">
        <f>HYPERLINK("https://pbs.twimg.com/ext_tw_video_thumb/1143202185154584581/pu/img/K72qfBH8zIdbiUf-.jpg")</f>
        <v>https://pbs.twimg.com/ext_tw_video_thumb/1143202185154584581/pu/img/K72qfBH8zIdbiUf-.jpg</v>
      </c>
      <c r="AM386" t="s">
        <v>52</v>
      </c>
      <c r="AN386" t="s">
        <v>53</v>
      </c>
    </row>
    <row r="387" spans="1:40">
      <c r="A387" t="s">
        <v>40</v>
      </c>
      <c r="B387" t="s">
        <v>1680</v>
      </c>
      <c r="C387" t="s">
        <v>1681</v>
      </c>
      <c r="D387" t="s">
        <v>52</v>
      </c>
      <c r="E387" t="s">
        <v>1682</v>
      </c>
      <c r="F387" t="s">
        <v>71</v>
      </c>
      <c r="G387" t="str">
        <f>HYPERLINK("https://twitter.com/2350879406/status/1143418541036703744")</f>
        <v>https://twitter.com/2350879406/status/1143418541036703744</v>
      </c>
      <c r="H387" t="s">
        <v>46</v>
      </c>
      <c r="I387" t="s">
        <v>1683</v>
      </c>
      <c r="J387" t="str">
        <f>HYPERLINK("http://twitter.com/he_moan_nettie")</f>
        <v>http://twitter.com/he_moan_nettie</v>
      </c>
      <c r="K387">
        <v>1546</v>
      </c>
      <c r="N387" t="s">
        <v>65</v>
      </c>
      <c r="R387" t="s">
        <v>60</v>
      </c>
      <c r="W387">
        <v>0</v>
      </c>
      <c r="X387">
        <v>0</v>
      </c>
      <c r="AE387">
        <v>1</v>
      </c>
      <c r="AF387">
        <v>0</v>
      </c>
      <c r="AM387" t="s">
        <v>52</v>
      </c>
      <c r="AN387" t="s">
        <v>53</v>
      </c>
    </row>
    <row r="388" spans="1:40">
      <c r="A388" t="s">
        <v>40</v>
      </c>
      <c r="B388" t="s">
        <v>1684</v>
      </c>
      <c r="C388" t="s">
        <v>1675</v>
      </c>
      <c r="D388" t="s">
        <v>52</v>
      </c>
      <c r="E388" t="s">
        <v>350</v>
      </c>
      <c r="F388" t="s">
        <v>45</v>
      </c>
      <c r="G388" t="str">
        <f>HYPERLINK("https://twitter.com/904547275556478977/status/1143417362865106944")</f>
        <v>https://twitter.com/904547275556478977/status/1143417362865106944</v>
      </c>
      <c r="H388" t="s">
        <v>46</v>
      </c>
      <c r="I388" t="s">
        <v>1685</v>
      </c>
      <c r="J388" t="str">
        <f>HYPERLINK("http://twitter.com/RealEvakz")</f>
        <v>http://twitter.com/RealEvakz</v>
      </c>
      <c r="K388">
        <v>296</v>
      </c>
      <c r="N388" t="s">
        <v>65</v>
      </c>
      <c r="R388" t="s">
        <v>60</v>
      </c>
      <c r="W388">
        <v>5</v>
      </c>
      <c r="X388">
        <v>5</v>
      </c>
      <c r="AE388">
        <v>2</v>
      </c>
      <c r="AF388">
        <v>1</v>
      </c>
      <c r="AM388" t="s">
        <v>52</v>
      </c>
      <c r="AN388" t="s">
        <v>53</v>
      </c>
    </row>
    <row r="389" spans="1:40">
      <c r="A389" t="s">
        <v>40</v>
      </c>
      <c r="B389" t="s">
        <v>1686</v>
      </c>
      <c r="C389" t="s">
        <v>1687</v>
      </c>
      <c r="D389" t="s">
        <v>52</v>
      </c>
      <c r="E389" t="s">
        <v>1688</v>
      </c>
      <c r="F389" t="s">
        <v>95</v>
      </c>
      <c r="G389" t="str">
        <f>HYPERLINK("https://twitter.com/960707651569991680/status/1143417239858626560")</f>
        <v>https://twitter.com/960707651569991680/status/1143417239858626560</v>
      </c>
      <c r="H389" t="s">
        <v>46</v>
      </c>
      <c r="I389" t="s">
        <v>1689</v>
      </c>
      <c r="J389" t="str">
        <f>HYPERLINK("http://twitter.com/jiemean")</f>
        <v>http://twitter.com/jiemean</v>
      </c>
      <c r="K389">
        <v>599</v>
      </c>
      <c r="N389" t="s">
        <v>65</v>
      </c>
      <c r="R389" t="s">
        <v>60</v>
      </c>
      <c r="S389" t="s">
        <v>298</v>
      </c>
      <c r="W389">
        <v>0</v>
      </c>
      <c r="X389">
        <v>0</v>
      </c>
      <c r="AE389">
        <v>0</v>
      </c>
      <c r="AF389">
        <v>0</v>
      </c>
      <c r="AM389" t="s">
        <v>52</v>
      </c>
      <c r="AN389" t="s">
        <v>53</v>
      </c>
    </row>
    <row r="390" spans="1:40">
      <c r="A390" t="s">
        <v>40</v>
      </c>
      <c r="B390" t="s">
        <v>1686</v>
      </c>
      <c r="C390" t="s">
        <v>1562</v>
      </c>
      <c r="D390" t="s">
        <v>970</v>
      </c>
      <c r="E390" t="s">
        <v>1690</v>
      </c>
      <c r="F390" t="s">
        <v>45</v>
      </c>
      <c r="G390" t="str">
        <f>HYPERLINK("https://www.reddit.com/r/gaming/comments/c4s7ll/our_highschool_lan_parties_2004/?sort=new#thing_t1_erz8z34")</f>
        <v>https://www.reddit.com/r/gaming/comments/c4s7ll/our_highschool_lan_parties_2004/?sort=new#thing_t1_erz8z34</v>
      </c>
      <c r="H390" t="s">
        <v>46</v>
      </c>
      <c r="I390" t="s">
        <v>1691</v>
      </c>
      <c r="J390" t="str">
        <f>HYPERLINK("https://www.reddit.com/r/gaming/comments/c4s7ll/our_highschool_lan_parties_2004/?sort=new#thing_t1_erz8z34")</f>
        <v>https://www.reddit.com/r/gaming/comments/c4s7ll/our_highschool_lan_parties_2004/?sort=new#thing_t1_erz8z34</v>
      </c>
      <c r="N390" t="s">
        <v>545</v>
      </c>
      <c r="O390" t="s">
        <v>973</v>
      </c>
      <c r="P390" t="str">
        <f>HYPERLINK("https://www.reddit.com/hot")</f>
        <v>https://www.reddit.com/hot</v>
      </c>
      <c r="R390" t="s">
        <v>516</v>
      </c>
      <c r="S390" t="s">
        <v>51</v>
      </c>
      <c r="AM390" t="s">
        <v>52</v>
      </c>
      <c r="AN390" t="s">
        <v>53</v>
      </c>
    </row>
    <row r="391" spans="1:40">
      <c r="A391" t="s">
        <v>40</v>
      </c>
      <c r="B391" t="s">
        <v>1686</v>
      </c>
      <c r="C391" t="s">
        <v>1562</v>
      </c>
      <c r="D391" t="s">
        <v>970</v>
      </c>
      <c r="E391" t="s">
        <v>1692</v>
      </c>
      <c r="F391" t="s">
        <v>45</v>
      </c>
      <c r="G391" t="str">
        <f>HYPERLINK("https://www.reddit.com/r/gaming/comments/c4s7ll/our_highschool_lan_parties_2004/?sort=new#thing_t1_erz8ya9")</f>
        <v>https://www.reddit.com/r/gaming/comments/c4s7ll/our_highschool_lan_parties_2004/?sort=new#thing_t1_erz8ya9</v>
      </c>
      <c r="H391" t="s">
        <v>46</v>
      </c>
      <c r="I391" t="s">
        <v>1693</v>
      </c>
      <c r="J391" t="str">
        <f>HYPERLINK("https://www.reddit.com/r/gaming/comments/c4s7ll/our_highschool_lan_parties_2004/?sort=new#thing_t1_erz8ya9")</f>
        <v>https://www.reddit.com/r/gaming/comments/c4s7ll/our_highschool_lan_parties_2004/?sort=new#thing_t1_erz8ya9</v>
      </c>
      <c r="N391" t="s">
        <v>545</v>
      </c>
      <c r="O391" t="s">
        <v>973</v>
      </c>
      <c r="P391" t="str">
        <f>HYPERLINK("https://www.reddit.com/hot")</f>
        <v>https://www.reddit.com/hot</v>
      </c>
      <c r="R391" t="s">
        <v>516</v>
      </c>
      <c r="S391" t="s">
        <v>51</v>
      </c>
      <c r="AM391" t="s">
        <v>52</v>
      </c>
      <c r="AN391" t="s">
        <v>53</v>
      </c>
    </row>
    <row r="392" spans="1:40">
      <c r="A392" t="s">
        <v>40</v>
      </c>
      <c r="B392" t="s">
        <v>1694</v>
      </c>
      <c r="C392" t="s">
        <v>1695</v>
      </c>
      <c r="D392" t="s">
        <v>52</v>
      </c>
      <c r="E392" t="s">
        <v>1696</v>
      </c>
      <c r="F392" t="s">
        <v>45</v>
      </c>
      <c r="G392" t="str">
        <f>HYPERLINK("https://twitter.com/3976500017/status/1143416913634242560")</f>
        <v>https://twitter.com/3976500017/status/1143416913634242560</v>
      </c>
      <c r="H392" t="s">
        <v>46</v>
      </c>
      <c r="I392" t="s">
        <v>1697</v>
      </c>
      <c r="J392" t="str">
        <f>HYPERLINK("http://twitter.com/memerbot404")</f>
        <v>http://twitter.com/memerbot404</v>
      </c>
      <c r="K392">
        <v>12</v>
      </c>
      <c r="L392" t="s">
        <v>48</v>
      </c>
      <c r="N392" t="s">
        <v>65</v>
      </c>
      <c r="R392" t="s">
        <v>60</v>
      </c>
      <c r="S392" t="s">
        <v>774</v>
      </c>
      <c r="W392">
        <v>0</v>
      </c>
      <c r="X392">
        <v>0</v>
      </c>
      <c r="AE392">
        <v>0</v>
      </c>
      <c r="AF392">
        <v>0</v>
      </c>
      <c r="AM392" t="s">
        <v>52</v>
      </c>
      <c r="AN392" t="s">
        <v>53</v>
      </c>
    </row>
    <row r="393" spans="1:40">
      <c r="A393" t="s">
        <v>40</v>
      </c>
      <c r="B393" t="s">
        <v>1698</v>
      </c>
      <c r="C393" t="s">
        <v>1699</v>
      </c>
      <c r="D393" t="s">
        <v>52</v>
      </c>
      <c r="E393" t="s">
        <v>1700</v>
      </c>
      <c r="F393" t="s">
        <v>45</v>
      </c>
      <c r="G393" t="str">
        <f>HYPERLINK("https://www.instagram.com/p/BzH7i5tiEmz")</f>
        <v>https://www.instagram.com/p/BzH7i5tiEmz</v>
      </c>
      <c r="H393" t="s">
        <v>46</v>
      </c>
      <c r="I393" t="s">
        <v>1701</v>
      </c>
      <c r="J393" t="str">
        <f>HYPERLINK("http://instagram.com/jojobilly.s")</f>
        <v>http://instagram.com/jojobilly.s</v>
      </c>
      <c r="K393">
        <v>479</v>
      </c>
      <c r="N393" t="s">
        <v>59</v>
      </c>
      <c r="O393" t="s">
        <v>1701</v>
      </c>
      <c r="P393" t="str">
        <f>HYPERLINK("http://instagram.com/jojobilly.s")</f>
        <v>http://instagram.com/jojobilly.s</v>
      </c>
      <c r="Q393">
        <v>479</v>
      </c>
      <c r="R393" t="s">
        <v>60</v>
      </c>
      <c r="S393" t="s">
        <v>97</v>
      </c>
      <c r="T393" t="s">
        <v>177</v>
      </c>
      <c r="U393" t="s">
        <v>395</v>
      </c>
      <c r="W393">
        <v>14</v>
      </c>
      <c r="X393">
        <v>14</v>
      </c>
      <c r="AE393">
        <v>2</v>
      </c>
      <c r="AI393" t="s">
        <v>52</v>
      </c>
      <c r="AJ393" t="s">
        <v>1702</v>
      </c>
      <c r="AK393" t="s">
        <v>1703</v>
      </c>
      <c r="AL393" t="str">
        <f>HYPERLINK("https://www.instagram.com/p/BzH7i5tiEmz/media/?size=l")</f>
        <v>https://www.instagram.com/p/BzH7i5tiEmz/media/?size=l</v>
      </c>
      <c r="AM393" t="s">
        <v>52</v>
      </c>
      <c r="AN393" t="s">
        <v>53</v>
      </c>
    </row>
    <row r="394" spans="1:40">
      <c r="A394" t="s">
        <v>40</v>
      </c>
      <c r="B394" t="s">
        <v>1704</v>
      </c>
      <c r="C394" t="s">
        <v>1705</v>
      </c>
      <c r="D394" t="s">
        <v>1706</v>
      </c>
      <c r="E394" t="s">
        <v>1706</v>
      </c>
      <c r="F394" t="s">
        <v>45</v>
      </c>
      <c r="G394" t="str">
        <f>HYPERLINK("https://www.youtube.com/watch?v=Rlb0ulZmpss")</f>
        <v>https://www.youtube.com/watch?v=Rlb0ulZmpss</v>
      </c>
      <c r="H394" t="s">
        <v>91</v>
      </c>
      <c r="I394" t="s">
        <v>1707</v>
      </c>
      <c r="J394" t="str">
        <f>HYPERLINK("https://www.youtube.com/channel/UCnUualYGElskJgkNuTKJQvg")</f>
        <v>https://www.youtube.com/channel/UCnUualYGElskJgkNuTKJQvg</v>
      </c>
      <c r="K394">
        <v>9</v>
      </c>
      <c r="N394" t="s">
        <v>116</v>
      </c>
      <c r="O394" t="s">
        <v>1707</v>
      </c>
      <c r="P394" t="str">
        <f>HYPERLINK("https://www.youtube.com/channel/UCnUualYGElskJgkNuTKJQvg")</f>
        <v>https://www.youtube.com/channel/UCnUualYGElskJgkNuTKJQvg</v>
      </c>
      <c r="Q394">
        <v>9</v>
      </c>
      <c r="R394" t="s">
        <v>60</v>
      </c>
      <c r="W394">
        <v>1</v>
      </c>
      <c r="X394">
        <v>1</v>
      </c>
      <c r="AD394">
        <v>0</v>
      </c>
      <c r="AE394">
        <v>0</v>
      </c>
      <c r="AG394">
        <v>2</v>
      </c>
      <c r="AI394" t="s">
        <v>108</v>
      </c>
      <c r="AJ394" t="s">
        <v>52</v>
      </c>
      <c r="AK394" t="s">
        <v>52</v>
      </c>
      <c r="AL394" t="str">
        <f>HYPERLINK("https://i.ytimg.com/vi/Rlb0ulZmpss/maxresdefault.jpg")</f>
        <v>https://i.ytimg.com/vi/Rlb0ulZmpss/maxresdefault.jpg</v>
      </c>
      <c r="AM394" t="s">
        <v>52</v>
      </c>
      <c r="AN394" t="s">
        <v>53</v>
      </c>
    </row>
    <row r="395" spans="1:40">
      <c r="A395" t="s">
        <v>40</v>
      </c>
      <c r="B395" t="s">
        <v>1704</v>
      </c>
      <c r="C395" t="s">
        <v>1562</v>
      </c>
      <c r="D395" t="s">
        <v>970</v>
      </c>
      <c r="E395" t="s">
        <v>1708</v>
      </c>
      <c r="F395" t="s">
        <v>45</v>
      </c>
      <c r="G395" t="str">
        <f>HYPERLINK("https://www.reddit.com/r/gaming/comments/c4s7ll/our_highschool_lan_parties_2004/?sort=new#thing_t1_erz8q07")</f>
        <v>https://www.reddit.com/r/gaming/comments/c4s7ll/our_highschool_lan_parties_2004/?sort=new#thing_t1_erz8q07</v>
      </c>
      <c r="H395" t="s">
        <v>46</v>
      </c>
      <c r="I395" t="s">
        <v>1709</v>
      </c>
      <c r="J395" t="str">
        <f>HYPERLINK("https://www.reddit.com/r/gaming/comments/c4s7ll/our_highschool_lan_parties_2004/?sort=new#thing_t1_erz8q07")</f>
        <v>https://www.reddit.com/r/gaming/comments/c4s7ll/our_highschool_lan_parties_2004/?sort=new#thing_t1_erz8q07</v>
      </c>
      <c r="N395" t="s">
        <v>545</v>
      </c>
      <c r="O395" t="s">
        <v>973</v>
      </c>
      <c r="P395" t="str">
        <f>HYPERLINK("https://www.reddit.com/hot")</f>
        <v>https://www.reddit.com/hot</v>
      </c>
      <c r="R395" t="s">
        <v>516</v>
      </c>
      <c r="S395" t="s">
        <v>51</v>
      </c>
      <c r="AM395" t="s">
        <v>52</v>
      </c>
      <c r="AN395" t="s">
        <v>53</v>
      </c>
    </row>
    <row r="396" spans="1:40">
      <c r="A396" t="s">
        <v>40</v>
      </c>
      <c r="B396" t="s">
        <v>1710</v>
      </c>
      <c r="C396" t="s">
        <v>1699</v>
      </c>
      <c r="D396" t="s">
        <v>52</v>
      </c>
      <c r="E396" t="s">
        <v>1647</v>
      </c>
      <c r="F396" t="s">
        <v>45</v>
      </c>
      <c r="G396" t="str">
        <f>HYPERLINK("https://twitter.com/948942673150468097/status/1143415370914680832")</f>
        <v>https://twitter.com/948942673150468097/status/1143415370914680832</v>
      </c>
      <c r="H396" t="s">
        <v>215</v>
      </c>
      <c r="I396" t="s">
        <v>1711</v>
      </c>
      <c r="J396" t="str">
        <f>HYPERLINK("http://twitter.com/LordEihcra")</f>
        <v>http://twitter.com/LordEihcra</v>
      </c>
      <c r="K396">
        <v>8079</v>
      </c>
      <c r="N396" t="s">
        <v>65</v>
      </c>
      <c r="R396" t="s">
        <v>60</v>
      </c>
      <c r="S396" t="s">
        <v>51</v>
      </c>
      <c r="T396" t="s">
        <v>152</v>
      </c>
      <c r="U396" t="s">
        <v>1712</v>
      </c>
      <c r="W396">
        <v>1</v>
      </c>
      <c r="X396">
        <v>1</v>
      </c>
      <c r="AE396">
        <v>1</v>
      </c>
      <c r="AF396">
        <v>1</v>
      </c>
      <c r="AM396" t="s">
        <v>52</v>
      </c>
      <c r="AN396" t="s">
        <v>53</v>
      </c>
    </row>
    <row r="397" spans="1:40">
      <c r="A397" t="s">
        <v>40</v>
      </c>
      <c r="B397" t="s">
        <v>1713</v>
      </c>
      <c r="C397" t="s">
        <v>1562</v>
      </c>
      <c r="D397" t="s">
        <v>970</v>
      </c>
      <c r="E397" t="s">
        <v>1714</v>
      </c>
      <c r="F397" t="s">
        <v>45</v>
      </c>
      <c r="G397" t="str">
        <f>HYPERLINK("https://www.reddit.com/r/gaming/comments/c4s7ll/our_highschool_lan_parties_2004/?sort=new#thing_t1_erz8cxd")</f>
        <v>https://www.reddit.com/r/gaming/comments/c4s7ll/our_highschool_lan_parties_2004/?sort=new#thing_t1_erz8cxd</v>
      </c>
      <c r="H397" t="s">
        <v>46</v>
      </c>
      <c r="I397" t="s">
        <v>1715</v>
      </c>
      <c r="J397" t="str">
        <f>HYPERLINK("https://www.reddit.com/r/gaming/comments/c4s7ll/our_highschool_lan_parties_2004/?sort=new#thing_t1_erz8cxd")</f>
        <v>https://www.reddit.com/r/gaming/comments/c4s7ll/our_highschool_lan_parties_2004/?sort=new#thing_t1_erz8cxd</v>
      </c>
      <c r="N397" t="s">
        <v>545</v>
      </c>
      <c r="O397" t="s">
        <v>973</v>
      </c>
      <c r="P397" t="str">
        <f>HYPERLINK("https://www.reddit.com/hot")</f>
        <v>https://www.reddit.com/hot</v>
      </c>
      <c r="R397" t="s">
        <v>516</v>
      </c>
      <c r="S397" t="s">
        <v>51</v>
      </c>
      <c r="AM397" t="s">
        <v>52</v>
      </c>
      <c r="AN397" t="s">
        <v>53</v>
      </c>
    </row>
    <row r="398" spans="1:40">
      <c r="A398" t="s">
        <v>40</v>
      </c>
      <c r="B398" t="s">
        <v>1716</v>
      </c>
      <c r="C398" t="s">
        <v>1562</v>
      </c>
      <c r="D398" t="s">
        <v>970</v>
      </c>
      <c r="E398" t="s">
        <v>1717</v>
      </c>
      <c r="F398" t="s">
        <v>45</v>
      </c>
      <c r="G398" t="str">
        <f>HYPERLINK("https://www.reddit.com/r/gaming/comments/c4s7ll/our_highschool_lan_parties_2004/?sort=new#thing_t1_erz88a3")</f>
        <v>https://www.reddit.com/r/gaming/comments/c4s7ll/our_highschool_lan_parties_2004/?sort=new#thing_t1_erz88a3</v>
      </c>
      <c r="H398" t="s">
        <v>46</v>
      </c>
      <c r="I398" t="s">
        <v>1718</v>
      </c>
      <c r="J398" t="str">
        <f>HYPERLINK("https://www.reddit.com/r/gaming/comments/c4s7ll/our_highschool_lan_parties_2004/?sort=new#thing_t1_erz88a3")</f>
        <v>https://www.reddit.com/r/gaming/comments/c4s7ll/our_highschool_lan_parties_2004/?sort=new#thing_t1_erz88a3</v>
      </c>
      <c r="N398" t="s">
        <v>545</v>
      </c>
      <c r="O398" t="s">
        <v>973</v>
      </c>
      <c r="P398" t="str">
        <f>HYPERLINK("https://www.reddit.com/hot")</f>
        <v>https://www.reddit.com/hot</v>
      </c>
      <c r="R398" t="s">
        <v>516</v>
      </c>
      <c r="S398" t="s">
        <v>51</v>
      </c>
      <c r="AM398" t="s">
        <v>52</v>
      </c>
      <c r="AN398" t="s">
        <v>53</v>
      </c>
    </row>
    <row r="399" spans="1:40">
      <c r="A399" t="s">
        <v>40</v>
      </c>
      <c r="B399" t="s">
        <v>1719</v>
      </c>
      <c r="C399" t="s">
        <v>1675</v>
      </c>
      <c r="D399" t="s">
        <v>1720</v>
      </c>
      <c r="E399" t="s">
        <v>1720</v>
      </c>
      <c r="F399" t="s">
        <v>45</v>
      </c>
      <c r="G399" t="str">
        <f>HYPERLINK("https://www.youtube.com/watch?v=K0snRvzjkBc")</f>
        <v>https://www.youtube.com/watch?v=K0snRvzjkBc</v>
      </c>
      <c r="H399" t="s">
        <v>46</v>
      </c>
      <c r="I399" t="s">
        <v>1721</v>
      </c>
      <c r="J399" t="str">
        <f>HYPERLINK("https://www.youtube.com/channel/UCmyifAcqFWqs6Bkc5yLYePg")</f>
        <v>https://www.youtube.com/channel/UCmyifAcqFWqs6Bkc5yLYePg</v>
      </c>
      <c r="K399">
        <v>6</v>
      </c>
      <c r="N399" t="s">
        <v>116</v>
      </c>
      <c r="O399" t="s">
        <v>1721</v>
      </c>
      <c r="P399" t="str">
        <f>HYPERLINK("https://www.youtube.com/channel/UCmyifAcqFWqs6Bkc5yLYePg")</f>
        <v>https://www.youtube.com/channel/UCmyifAcqFWqs6Bkc5yLYePg</v>
      </c>
      <c r="Q399">
        <v>6</v>
      </c>
      <c r="R399" t="s">
        <v>60</v>
      </c>
      <c r="W399">
        <v>0</v>
      </c>
      <c r="X399">
        <v>0</v>
      </c>
      <c r="AD399">
        <v>0</v>
      </c>
      <c r="AE399">
        <v>0</v>
      </c>
      <c r="AG399">
        <v>0</v>
      </c>
      <c r="AI399" t="s">
        <v>52</v>
      </c>
      <c r="AJ399" t="s">
        <v>52</v>
      </c>
      <c r="AK399" t="s">
        <v>52</v>
      </c>
      <c r="AL399" t="str">
        <f>HYPERLINK("https://i.ytimg.com/vi/K0snRvzjkBc/hqdefault.jpg")</f>
        <v>https://i.ytimg.com/vi/K0snRvzjkBc/hqdefault.jpg</v>
      </c>
      <c r="AM399" t="s">
        <v>52</v>
      </c>
      <c r="AN399" t="s">
        <v>53</v>
      </c>
    </row>
    <row r="400" spans="1:40">
      <c r="A400" t="s">
        <v>40</v>
      </c>
      <c r="B400" t="s">
        <v>1719</v>
      </c>
      <c r="C400" t="s">
        <v>1722</v>
      </c>
      <c r="D400" t="s">
        <v>52</v>
      </c>
      <c r="E400" t="s">
        <v>1723</v>
      </c>
      <c r="F400" t="s">
        <v>45</v>
      </c>
      <c r="G400" t="str">
        <f>HYPERLINK("https://twitter.com/1143048832994951168/status/1143413371070570497")</f>
        <v>https://twitter.com/1143048832994951168/status/1143413371070570497</v>
      </c>
      <c r="H400" t="s">
        <v>46</v>
      </c>
      <c r="I400" t="s">
        <v>1724</v>
      </c>
      <c r="J400" t="str">
        <f>HYPERLINK("http://twitter.com/unb3ljevcbl3")</f>
        <v>http://twitter.com/unb3ljevcbl3</v>
      </c>
      <c r="K400">
        <v>5</v>
      </c>
      <c r="L400" t="s">
        <v>48</v>
      </c>
      <c r="N400" t="s">
        <v>65</v>
      </c>
      <c r="R400" t="s">
        <v>60</v>
      </c>
      <c r="W400">
        <v>4</v>
      </c>
      <c r="X400">
        <v>4</v>
      </c>
      <c r="AE400">
        <v>2</v>
      </c>
      <c r="AF400">
        <v>0</v>
      </c>
      <c r="AM400" t="s">
        <v>52</v>
      </c>
      <c r="AN400" t="s">
        <v>53</v>
      </c>
    </row>
    <row r="401" spans="1:40">
      <c r="A401" t="s">
        <v>40</v>
      </c>
      <c r="B401" t="s">
        <v>1725</v>
      </c>
      <c r="C401" t="s">
        <v>1726</v>
      </c>
      <c r="D401" t="s">
        <v>52</v>
      </c>
      <c r="E401" t="s">
        <v>1194</v>
      </c>
      <c r="F401" t="s">
        <v>131</v>
      </c>
      <c r="G401" t="str">
        <f>HYPERLINK("https://twitter.com/3861490107/status/1143412993159520258")</f>
        <v>https://twitter.com/3861490107/status/1143412993159520258</v>
      </c>
      <c r="H401" t="s">
        <v>46</v>
      </c>
      <c r="I401" t="s">
        <v>1727</v>
      </c>
      <c r="J401" t="str">
        <f>HYPERLINK("http://twitter.com/Despairmancer")</f>
        <v>http://twitter.com/Despairmancer</v>
      </c>
      <c r="K401">
        <v>40</v>
      </c>
      <c r="N401" t="s">
        <v>65</v>
      </c>
      <c r="R401" t="s">
        <v>60</v>
      </c>
      <c r="S401" t="s">
        <v>1728</v>
      </c>
      <c r="W401">
        <v>0</v>
      </c>
      <c r="X401">
        <v>0</v>
      </c>
      <c r="AE401">
        <v>0</v>
      </c>
      <c r="AI401" t="s">
        <v>52</v>
      </c>
      <c r="AJ401" t="s">
        <v>1196</v>
      </c>
      <c r="AK401" t="s">
        <v>52</v>
      </c>
      <c r="AL401" t="str">
        <f>HYPERLINK("https://pbs.twimg.com/media/D9xgk2YXkAAd2ql.jpg")</f>
        <v>https://pbs.twimg.com/media/D9xgk2YXkAAd2ql.jpg</v>
      </c>
      <c r="AM401" t="s">
        <v>52</v>
      </c>
      <c r="AN401" t="s">
        <v>53</v>
      </c>
    </row>
    <row r="402" spans="1:40">
      <c r="A402" t="s">
        <v>40</v>
      </c>
      <c r="B402" t="s">
        <v>1725</v>
      </c>
      <c r="C402" t="s">
        <v>1729</v>
      </c>
      <c r="D402" t="s">
        <v>52</v>
      </c>
      <c r="E402" t="s">
        <v>1730</v>
      </c>
      <c r="F402" t="s">
        <v>45</v>
      </c>
      <c r="G402" t="str">
        <f>HYPERLINK("https://www.instagram.com/p/BzH50DRh2Cb")</f>
        <v>https://www.instagram.com/p/BzH50DRh2Cb</v>
      </c>
      <c r="H402" t="s">
        <v>215</v>
      </c>
      <c r="I402" t="s">
        <v>1731</v>
      </c>
      <c r="J402" t="str">
        <f>HYPERLINK("http://instagram.com/tommy.skelly")</f>
        <v>http://instagram.com/tommy.skelly</v>
      </c>
      <c r="K402">
        <v>1177</v>
      </c>
      <c r="N402" t="s">
        <v>59</v>
      </c>
      <c r="O402" t="s">
        <v>1731</v>
      </c>
      <c r="P402" t="str">
        <f>HYPERLINK("http://instagram.com/tommy.skelly")</f>
        <v>http://instagram.com/tommy.skelly</v>
      </c>
      <c r="Q402">
        <v>1177</v>
      </c>
      <c r="R402" t="s">
        <v>60</v>
      </c>
      <c r="W402">
        <v>134</v>
      </c>
      <c r="X402">
        <v>134</v>
      </c>
      <c r="AE402">
        <v>2</v>
      </c>
      <c r="AI402" t="s">
        <v>52</v>
      </c>
      <c r="AJ402" t="s">
        <v>52</v>
      </c>
      <c r="AK402" t="s">
        <v>52</v>
      </c>
      <c r="AL402" t="str">
        <f>HYPERLINK("https://www.instagram.com/p/BzH50DRh2Cb/media/?size=l")</f>
        <v>https://www.instagram.com/p/BzH50DRh2Cb/media/?size=l</v>
      </c>
      <c r="AM402" t="s">
        <v>52</v>
      </c>
      <c r="AN402" t="s">
        <v>53</v>
      </c>
    </row>
    <row r="403" spans="1:40">
      <c r="A403" t="s">
        <v>40</v>
      </c>
      <c r="B403" t="s">
        <v>1732</v>
      </c>
      <c r="C403" t="s">
        <v>1733</v>
      </c>
      <c r="D403" t="s">
        <v>52</v>
      </c>
      <c r="E403" t="s">
        <v>1194</v>
      </c>
      <c r="F403" t="s">
        <v>131</v>
      </c>
      <c r="G403" t="str">
        <f>HYPERLINK("https://twitter.com/920117928/status/1143412551952130048")</f>
        <v>https://twitter.com/920117928/status/1143412551952130048</v>
      </c>
      <c r="H403" t="s">
        <v>46</v>
      </c>
      <c r="I403" t="s">
        <v>1734</v>
      </c>
      <c r="J403" t="str">
        <f>HYPERLINK("http://twitter.com/hhectoromar")</f>
        <v>http://twitter.com/hhectoromar</v>
      </c>
      <c r="K403">
        <v>424</v>
      </c>
      <c r="N403" t="s">
        <v>65</v>
      </c>
      <c r="R403" t="s">
        <v>60</v>
      </c>
      <c r="W403">
        <v>0</v>
      </c>
      <c r="X403">
        <v>0</v>
      </c>
      <c r="AE403">
        <v>0</v>
      </c>
      <c r="AI403" t="s">
        <v>52</v>
      </c>
      <c r="AJ403" t="s">
        <v>1196</v>
      </c>
      <c r="AK403" t="s">
        <v>52</v>
      </c>
      <c r="AL403" t="str">
        <f>HYPERLINK("https://pbs.twimg.com/media/D9xgk2YXkAAd2ql.jpg")</f>
        <v>https://pbs.twimg.com/media/D9xgk2YXkAAd2ql.jpg</v>
      </c>
      <c r="AM403" t="s">
        <v>52</v>
      </c>
      <c r="AN403" t="s">
        <v>53</v>
      </c>
    </row>
    <row r="404" spans="1:40">
      <c r="A404" t="s">
        <v>40</v>
      </c>
      <c r="B404" t="s">
        <v>1735</v>
      </c>
      <c r="C404" t="s">
        <v>1736</v>
      </c>
      <c r="D404" t="s">
        <v>1737</v>
      </c>
      <c r="E404" t="s">
        <v>1738</v>
      </c>
      <c r="F404" t="s">
        <v>45</v>
      </c>
      <c r="G404" t="str">
        <f>HYPERLINK("https://babab.net/artikel/short-instagram-captions-poll-questions.html")</f>
        <v>https://babab.net/artikel/short-instagram-captions-poll-questions.html</v>
      </c>
      <c r="H404" t="s">
        <v>215</v>
      </c>
      <c r="I404" t="s">
        <v>1739</v>
      </c>
      <c r="J404" t="str">
        <f>HYPERLINK("https://babab.net")</f>
        <v>https://babab.net</v>
      </c>
      <c r="N404" t="s">
        <v>1740</v>
      </c>
      <c r="R404" t="s">
        <v>357</v>
      </c>
      <c r="S404" t="s">
        <v>1741</v>
      </c>
      <c r="AM404" t="s">
        <v>52</v>
      </c>
      <c r="AN404" t="s">
        <v>53</v>
      </c>
    </row>
    <row r="405" spans="1:40">
      <c r="A405" t="s">
        <v>40</v>
      </c>
      <c r="B405" t="s">
        <v>1735</v>
      </c>
      <c r="C405" t="s">
        <v>1736</v>
      </c>
      <c r="D405" t="s">
        <v>1737</v>
      </c>
      <c r="E405" t="s">
        <v>1738</v>
      </c>
      <c r="F405" t="s">
        <v>45</v>
      </c>
      <c r="G405" t="str">
        <f>HYPERLINK("http://babab.net/artikel/short-instagram-captions-poll-questions.html")</f>
        <v>http://babab.net/artikel/short-instagram-captions-poll-questions.html</v>
      </c>
      <c r="H405" t="s">
        <v>215</v>
      </c>
      <c r="I405" t="s">
        <v>1739</v>
      </c>
      <c r="J405" t="str">
        <f>HYPERLINK("https://babab.net")</f>
        <v>https://babab.net</v>
      </c>
      <c r="N405" t="s">
        <v>1740</v>
      </c>
      <c r="R405" t="s">
        <v>357</v>
      </c>
      <c r="S405" t="s">
        <v>1741</v>
      </c>
      <c r="AM405" t="s">
        <v>52</v>
      </c>
      <c r="AN405" t="s">
        <v>53</v>
      </c>
    </row>
    <row r="406" spans="1:40">
      <c r="A406" t="s">
        <v>40</v>
      </c>
      <c r="B406" t="s">
        <v>1742</v>
      </c>
      <c r="C406" t="s">
        <v>1736</v>
      </c>
      <c r="D406" t="s">
        <v>52</v>
      </c>
      <c r="E406" t="s">
        <v>1743</v>
      </c>
      <c r="F406" t="s">
        <v>71</v>
      </c>
      <c r="G406" t="str">
        <f>HYPERLINK("https://twitter.com/1125546546295123971/status/1143410184473026560")</f>
        <v>https://twitter.com/1125546546295123971/status/1143410184473026560</v>
      </c>
      <c r="H406" t="s">
        <v>46</v>
      </c>
      <c r="I406" t="s">
        <v>52</v>
      </c>
      <c r="J406" t="str">
        <f>HYPERLINK("http://twitter.com/qualitylu")</f>
        <v>http://twitter.com/qualitylu</v>
      </c>
      <c r="K406">
        <v>528</v>
      </c>
      <c r="N406" t="s">
        <v>65</v>
      </c>
      <c r="R406" t="s">
        <v>60</v>
      </c>
      <c r="S406" t="s">
        <v>226</v>
      </c>
      <c r="T406" t="s">
        <v>1744</v>
      </c>
      <c r="U406" t="s">
        <v>1745</v>
      </c>
      <c r="W406">
        <v>1</v>
      </c>
      <c r="X406">
        <v>1</v>
      </c>
      <c r="AE406">
        <v>1</v>
      </c>
      <c r="AF406">
        <v>0</v>
      </c>
      <c r="AM406" t="s">
        <v>52</v>
      </c>
      <c r="AN406" t="s">
        <v>53</v>
      </c>
    </row>
    <row r="407" spans="1:40">
      <c r="A407" t="s">
        <v>40</v>
      </c>
      <c r="B407" t="s">
        <v>1746</v>
      </c>
      <c r="C407" t="s">
        <v>1747</v>
      </c>
      <c r="D407" t="s">
        <v>52</v>
      </c>
      <c r="E407" t="s">
        <v>1748</v>
      </c>
      <c r="F407" t="s">
        <v>45</v>
      </c>
      <c r="G407" t="str">
        <f>HYPERLINK("https://www.instagram.com/p/BzH4aFHjEBD")</f>
        <v>https://www.instagram.com/p/BzH4aFHjEBD</v>
      </c>
      <c r="H407" t="s">
        <v>46</v>
      </c>
      <c r="I407" t="s">
        <v>1749</v>
      </c>
      <c r="J407" t="str">
        <f>HYPERLINK("http://instagram.com/seedoeatreview")</f>
        <v>http://instagram.com/seedoeatreview</v>
      </c>
      <c r="K407">
        <v>522</v>
      </c>
      <c r="N407" t="s">
        <v>59</v>
      </c>
      <c r="O407" t="s">
        <v>1749</v>
      </c>
      <c r="P407" t="str">
        <f>HYPERLINK("http://instagram.com/seedoeatreview")</f>
        <v>http://instagram.com/seedoeatreview</v>
      </c>
      <c r="Q407">
        <v>522</v>
      </c>
      <c r="R407" t="s">
        <v>60</v>
      </c>
      <c r="W407">
        <v>21</v>
      </c>
      <c r="X407">
        <v>21</v>
      </c>
      <c r="AE407">
        <v>1</v>
      </c>
      <c r="AI407" t="s">
        <v>108</v>
      </c>
      <c r="AJ407" t="s">
        <v>1750</v>
      </c>
      <c r="AK407" t="s">
        <v>52</v>
      </c>
      <c r="AL407" t="str">
        <f>HYPERLINK("https://www.instagram.com/p/BzH4aFHjEBD/media/?size=l")</f>
        <v>https://www.instagram.com/p/BzH4aFHjEBD/media/?size=l</v>
      </c>
      <c r="AM407" t="s">
        <v>52</v>
      </c>
      <c r="AN407" t="s">
        <v>53</v>
      </c>
    </row>
    <row r="408" spans="1:40">
      <c r="A408" t="s">
        <v>40</v>
      </c>
      <c r="B408" t="s">
        <v>1751</v>
      </c>
      <c r="C408" t="s">
        <v>1752</v>
      </c>
      <c r="D408" t="s">
        <v>108</v>
      </c>
      <c r="E408" t="s">
        <v>108</v>
      </c>
      <c r="F408" t="s">
        <v>45</v>
      </c>
      <c r="G408" t="str">
        <f>HYPERLINK("https://www.youtube.com/watch?v=VvMenTgOeRI")</f>
        <v>https://www.youtube.com/watch?v=VvMenTgOeRI</v>
      </c>
      <c r="H408" t="s">
        <v>215</v>
      </c>
      <c r="I408" t="s">
        <v>1753</v>
      </c>
      <c r="J408" t="str">
        <f>HYPERLINK("https://www.youtube.com/channel/UCkySgNbqCuyoh99_0vaWGFA")</f>
        <v>https://www.youtube.com/channel/UCkySgNbqCuyoh99_0vaWGFA</v>
      </c>
      <c r="K408">
        <v>12</v>
      </c>
      <c r="N408" t="s">
        <v>116</v>
      </c>
      <c r="O408" t="s">
        <v>1753</v>
      </c>
      <c r="P408" t="str">
        <f>HYPERLINK("https://www.youtube.com/channel/UCkySgNbqCuyoh99_0vaWGFA")</f>
        <v>https://www.youtube.com/channel/UCkySgNbqCuyoh99_0vaWGFA</v>
      </c>
      <c r="Q408">
        <v>12</v>
      </c>
      <c r="R408" t="s">
        <v>60</v>
      </c>
      <c r="W408">
        <v>1</v>
      </c>
      <c r="X408">
        <v>1</v>
      </c>
      <c r="AD408">
        <v>0</v>
      </c>
      <c r="AE408">
        <v>0</v>
      </c>
      <c r="AG408">
        <v>3</v>
      </c>
      <c r="AI408" t="s">
        <v>52</v>
      </c>
      <c r="AJ408" t="s">
        <v>1106</v>
      </c>
      <c r="AK408" t="s">
        <v>52</v>
      </c>
      <c r="AL408" t="str">
        <f>HYPERLINK("https://i.ytimg.com/vi/VvMenTgOeRI/sddefault.jpg")</f>
        <v>https://i.ytimg.com/vi/VvMenTgOeRI/sddefault.jpg</v>
      </c>
      <c r="AM408" t="s">
        <v>52</v>
      </c>
      <c r="AN408" t="s">
        <v>53</v>
      </c>
    </row>
    <row r="409" spans="1:40">
      <c r="A409" t="s">
        <v>40</v>
      </c>
      <c r="B409" t="s">
        <v>1751</v>
      </c>
      <c r="C409" t="s">
        <v>1562</v>
      </c>
      <c r="D409" t="s">
        <v>970</v>
      </c>
      <c r="E409" t="s">
        <v>108</v>
      </c>
      <c r="F409" t="s">
        <v>45</v>
      </c>
      <c r="G409" t="str">
        <f>HYPERLINK("https://www.reddit.com/r/gaming/comments/c4s7ll/our_highschool_lan_parties_2004/?sort=new#thing_t1_erz6ist")</f>
        <v>https://www.reddit.com/r/gaming/comments/c4s7ll/our_highschool_lan_parties_2004/?sort=new#thing_t1_erz6ist</v>
      </c>
      <c r="H409" t="s">
        <v>215</v>
      </c>
      <c r="I409" t="s">
        <v>1754</v>
      </c>
      <c r="J409" t="str">
        <f>HYPERLINK("https://www.reddit.com/r/gaming/comments/c4s7ll/our_highschool_lan_parties_2004/?sort=new#thing_t1_erz6ist")</f>
        <v>https://www.reddit.com/r/gaming/comments/c4s7ll/our_highschool_lan_parties_2004/?sort=new#thing_t1_erz6ist</v>
      </c>
      <c r="N409" t="s">
        <v>545</v>
      </c>
      <c r="O409" t="s">
        <v>973</v>
      </c>
      <c r="P409" t="str">
        <f>HYPERLINK("https://www.reddit.com/hot")</f>
        <v>https://www.reddit.com/hot</v>
      </c>
      <c r="R409" t="s">
        <v>516</v>
      </c>
      <c r="S409" t="s">
        <v>51</v>
      </c>
      <c r="AM409" t="s">
        <v>52</v>
      </c>
      <c r="AN409" t="s">
        <v>53</v>
      </c>
    </row>
    <row r="410" spans="1:40">
      <c r="A410" t="s">
        <v>40</v>
      </c>
      <c r="B410" t="s">
        <v>1755</v>
      </c>
      <c r="C410" t="s">
        <v>1756</v>
      </c>
      <c r="D410" t="s">
        <v>52</v>
      </c>
      <c r="E410" t="s">
        <v>130</v>
      </c>
      <c r="F410" t="s">
        <v>131</v>
      </c>
      <c r="G410" t="str">
        <f>HYPERLINK("https://twitter.com/22285393/status/1143409087725613056")</f>
        <v>https://twitter.com/22285393/status/1143409087725613056</v>
      </c>
      <c r="H410" t="s">
        <v>46</v>
      </c>
      <c r="I410" t="s">
        <v>1757</v>
      </c>
      <c r="J410" t="str">
        <f>HYPERLINK("http://twitter.com/SusieWilkinson")</f>
        <v>http://twitter.com/SusieWilkinson</v>
      </c>
      <c r="K410">
        <v>771</v>
      </c>
      <c r="L410" t="s">
        <v>58</v>
      </c>
      <c r="N410" t="s">
        <v>65</v>
      </c>
      <c r="R410" t="s">
        <v>60</v>
      </c>
      <c r="S410" t="s">
        <v>97</v>
      </c>
      <c r="T410" t="s">
        <v>177</v>
      </c>
      <c r="U410" t="s">
        <v>1758</v>
      </c>
      <c r="W410">
        <v>0</v>
      </c>
      <c r="X410">
        <v>0</v>
      </c>
      <c r="AE410">
        <v>0</v>
      </c>
      <c r="AI410" t="s">
        <v>108</v>
      </c>
      <c r="AJ410" t="s">
        <v>52</v>
      </c>
      <c r="AK410" t="s">
        <v>52</v>
      </c>
      <c r="AL410" t="str">
        <f>HYPERLINK("https://pbs.twimg.com/media/D9XTkLWW4AAOYnJ.jpg")</f>
        <v>https://pbs.twimg.com/media/D9XTkLWW4AAOYnJ.jpg</v>
      </c>
      <c r="AM410" t="s">
        <v>52</v>
      </c>
      <c r="AN410" t="s">
        <v>53</v>
      </c>
    </row>
    <row r="411" spans="1:40">
      <c r="A411" t="s">
        <v>40</v>
      </c>
      <c r="B411" t="s">
        <v>1759</v>
      </c>
      <c r="C411" t="s">
        <v>1760</v>
      </c>
      <c r="D411" t="s">
        <v>52</v>
      </c>
      <c r="E411" t="s">
        <v>1761</v>
      </c>
      <c r="F411" t="s">
        <v>71</v>
      </c>
      <c r="G411" t="str">
        <f>HYPERLINK("https://twitter.com/389163716/status/1143408602394365953")</f>
        <v>https://twitter.com/389163716/status/1143408602394365953</v>
      </c>
      <c r="H411" t="s">
        <v>46</v>
      </c>
      <c r="I411" t="s">
        <v>1762</v>
      </c>
      <c r="J411" t="str">
        <f>HYPERLINK("http://twitter.com/JonSSB")</f>
        <v>http://twitter.com/JonSSB</v>
      </c>
      <c r="K411">
        <v>201</v>
      </c>
      <c r="L411" t="s">
        <v>48</v>
      </c>
      <c r="N411" t="s">
        <v>65</v>
      </c>
      <c r="R411" t="s">
        <v>60</v>
      </c>
      <c r="S411" t="s">
        <v>51</v>
      </c>
      <c r="T411" t="s">
        <v>380</v>
      </c>
      <c r="U411" t="s">
        <v>380</v>
      </c>
      <c r="W411">
        <v>0</v>
      </c>
      <c r="X411">
        <v>0</v>
      </c>
      <c r="AE411">
        <v>0</v>
      </c>
      <c r="AF411">
        <v>0</v>
      </c>
      <c r="AI411" t="s">
        <v>52</v>
      </c>
      <c r="AJ411" t="s">
        <v>1763</v>
      </c>
      <c r="AK411" t="s">
        <v>52</v>
      </c>
      <c r="AL411" t="str">
        <f>HYPERLINK("https://pbs.twimg.com/media/D93p_j4U0AAb1u4.jpg")</f>
        <v>https://pbs.twimg.com/media/D93p_j4U0AAb1u4.jpg</v>
      </c>
      <c r="AM411" t="s">
        <v>52</v>
      </c>
      <c r="AN411" t="s">
        <v>53</v>
      </c>
    </row>
    <row r="412" spans="1:40">
      <c r="A412" t="s">
        <v>40</v>
      </c>
      <c r="B412" t="s">
        <v>1759</v>
      </c>
      <c r="C412" t="s">
        <v>1562</v>
      </c>
      <c r="D412" t="s">
        <v>970</v>
      </c>
      <c r="E412" t="s">
        <v>1764</v>
      </c>
      <c r="F412" t="s">
        <v>45</v>
      </c>
      <c r="G412" t="str">
        <f>HYPERLINK("https://www.reddit.com/r/gaming/comments/c4s7ll/our_highschool_lan_parties_2004/?sort=new#thing_t1_erz6aqu")</f>
        <v>https://www.reddit.com/r/gaming/comments/c4s7ll/our_highschool_lan_parties_2004/?sort=new#thing_t1_erz6aqu</v>
      </c>
      <c r="H412" t="s">
        <v>46</v>
      </c>
      <c r="I412" t="s">
        <v>1765</v>
      </c>
      <c r="J412" t="str">
        <f>HYPERLINK("https://www.reddit.com/r/gaming/comments/c4s7ll/our_highschool_lan_parties_2004/?sort=new#thing_t1_erz6aqu")</f>
        <v>https://www.reddit.com/r/gaming/comments/c4s7ll/our_highschool_lan_parties_2004/?sort=new#thing_t1_erz6aqu</v>
      </c>
      <c r="N412" t="s">
        <v>545</v>
      </c>
      <c r="O412" t="s">
        <v>973</v>
      </c>
      <c r="P412" t="str">
        <f>HYPERLINK("https://www.reddit.com/hot")</f>
        <v>https://www.reddit.com/hot</v>
      </c>
      <c r="R412" t="s">
        <v>516</v>
      </c>
      <c r="S412" t="s">
        <v>51</v>
      </c>
      <c r="AM412" t="s">
        <v>52</v>
      </c>
      <c r="AN412" t="s">
        <v>53</v>
      </c>
    </row>
    <row r="413" spans="1:40">
      <c r="A413" t="s">
        <v>40</v>
      </c>
      <c r="B413" t="s">
        <v>1766</v>
      </c>
      <c r="C413" t="s">
        <v>1767</v>
      </c>
      <c r="D413" t="s">
        <v>52</v>
      </c>
      <c r="E413" t="s">
        <v>1768</v>
      </c>
      <c r="F413" t="s">
        <v>95</v>
      </c>
      <c r="G413" t="str">
        <f>HYPERLINK("https://twitter.com/625973432/status/1143408197157474304")</f>
        <v>https://twitter.com/625973432/status/1143408197157474304</v>
      </c>
      <c r="H413" t="s">
        <v>46</v>
      </c>
      <c r="I413" t="s">
        <v>1769</v>
      </c>
      <c r="J413" t="str">
        <f>HYPERLINK("http://twitter.com/sonotthatcool")</f>
        <v>http://twitter.com/sonotthatcool</v>
      </c>
      <c r="K413">
        <v>194</v>
      </c>
      <c r="N413" t="s">
        <v>65</v>
      </c>
      <c r="R413" t="s">
        <v>60</v>
      </c>
      <c r="S413" t="s">
        <v>1770</v>
      </c>
      <c r="T413" t="s">
        <v>1771</v>
      </c>
      <c r="U413" t="s">
        <v>1772</v>
      </c>
      <c r="W413">
        <v>0</v>
      </c>
      <c r="X413">
        <v>0</v>
      </c>
      <c r="AE413">
        <v>0</v>
      </c>
      <c r="AF413">
        <v>0</v>
      </c>
      <c r="AM413" t="s">
        <v>52</v>
      </c>
      <c r="AN413" t="s">
        <v>53</v>
      </c>
    </row>
    <row r="414" spans="1:40">
      <c r="A414" t="s">
        <v>40</v>
      </c>
      <c r="B414" t="s">
        <v>1766</v>
      </c>
      <c r="C414" t="s">
        <v>1760</v>
      </c>
      <c r="D414" t="s">
        <v>52</v>
      </c>
      <c r="E414" t="s">
        <v>1194</v>
      </c>
      <c r="F414" t="s">
        <v>131</v>
      </c>
      <c r="G414" t="str">
        <f>HYPERLINK("https://twitter.com/1085613034859646976/status/1143408132598771712")</f>
        <v>https://twitter.com/1085613034859646976/status/1143408132598771712</v>
      </c>
      <c r="H414" t="s">
        <v>46</v>
      </c>
      <c r="I414" t="s">
        <v>1773</v>
      </c>
      <c r="J414" t="str">
        <f>HYPERLINK("http://twitter.com/AzhenGuy")</f>
        <v>http://twitter.com/AzhenGuy</v>
      </c>
      <c r="K414">
        <v>10</v>
      </c>
      <c r="N414" t="s">
        <v>65</v>
      </c>
      <c r="R414" t="s">
        <v>60</v>
      </c>
      <c r="S414" t="s">
        <v>1774</v>
      </c>
      <c r="T414" t="s">
        <v>1775</v>
      </c>
      <c r="U414" t="s">
        <v>1776</v>
      </c>
      <c r="W414">
        <v>0</v>
      </c>
      <c r="X414">
        <v>0</v>
      </c>
      <c r="AE414">
        <v>0</v>
      </c>
      <c r="AI414" t="s">
        <v>52</v>
      </c>
      <c r="AJ414" t="s">
        <v>1196</v>
      </c>
      <c r="AK414" t="s">
        <v>52</v>
      </c>
      <c r="AL414" t="str">
        <f>HYPERLINK("https://pbs.twimg.com/media/D9xgk2YXkAAd2ql.jpg")</f>
        <v>https://pbs.twimg.com/media/D9xgk2YXkAAd2ql.jpg</v>
      </c>
      <c r="AM414" t="s">
        <v>52</v>
      </c>
      <c r="AN414" t="s">
        <v>53</v>
      </c>
    </row>
    <row r="415" spans="1:40">
      <c r="A415" t="s">
        <v>40</v>
      </c>
      <c r="B415" t="s">
        <v>1766</v>
      </c>
      <c r="C415" t="s">
        <v>1777</v>
      </c>
      <c r="D415" t="s">
        <v>52</v>
      </c>
      <c r="E415" t="s">
        <v>1778</v>
      </c>
      <c r="F415" t="s">
        <v>95</v>
      </c>
      <c r="G415" t="str">
        <f>HYPERLINK("https://twitter.com/1262506884/status/1143408090626215936")</f>
        <v>https://twitter.com/1262506884/status/1143408090626215936</v>
      </c>
      <c r="H415" t="s">
        <v>46</v>
      </c>
      <c r="I415" t="s">
        <v>1779</v>
      </c>
      <c r="J415" t="str">
        <f>HYPERLINK("http://twitter.com/Torkins88")</f>
        <v>http://twitter.com/Torkins88</v>
      </c>
      <c r="K415">
        <v>421</v>
      </c>
      <c r="N415" t="s">
        <v>65</v>
      </c>
      <c r="R415" t="s">
        <v>60</v>
      </c>
      <c r="S415" t="s">
        <v>51</v>
      </c>
      <c r="T415" t="s">
        <v>1487</v>
      </c>
      <c r="W415">
        <v>2</v>
      </c>
      <c r="X415">
        <v>2</v>
      </c>
      <c r="AE415">
        <v>1</v>
      </c>
      <c r="AF415">
        <v>0</v>
      </c>
      <c r="AI415" t="s">
        <v>52</v>
      </c>
      <c r="AJ415" t="s">
        <v>52</v>
      </c>
      <c r="AK415" t="s">
        <v>52</v>
      </c>
      <c r="AL415" t="str">
        <f>HYPERLINK("https://pbs.twimg.com/tweet_video_thumb/D94zluVVAAElH4x.jpg")</f>
        <v>https://pbs.twimg.com/tweet_video_thumb/D94zluVVAAElH4x.jpg</v>
      </c>
      <c r="AM415" t="s">
        <v>52</v>
      </c>
      <c r="AN415" t="s">
        <v>53</v>
      </c>
    </row>
    <row r="416" spans="1:40">
      <c r="A416" t="s">
        <v>40</v>
      </c>
      <c r="B416" t="s">
        <v>1780</v>
      </c>
      <c r="C416" t="s">
        <v>1781</v>
      </c>
      <c r="D416" t="s">
        <v>52</v>
      </c>
      <c r="E416" t="s">
        <v>599</v>
      </c>
      <c r="F416" t="s">
        <v>131</v>
      </c>
      <c r="G416" t="str">
        <f>HYPERLINK("https://twitter.com/1098650130/status/1143407972665548800")</f>
        <v>https://twitter.com/1098650130/status/1143407972665548800</v>
      </c>
      <c r="H416" t="s">
        <v>46</v>
      </c>
      <c r="I416" t="s">
        <v>1782</v>
      </c>
      <c r="J416" t="str">
        <f>HYPERLINK("http://twitter.com/TheoAW")</f>
        <v>http://twitter.com/TheoAW</v>
      </c>
      <c r="K416">
        <v>1657</v>
      </c>
      <c r="N416" t="s">
        <v>65</v>
      </c>
      <c r="R416" t="s">
        <v>60</v>
      </c>
      <c r="S416" t="s">
        <v>51</v>
      </c>
      <c r="T416" t="s">
        <v>380</v>
      </c>
      <c r="U416" t="s">
        <v>380</v>
      </c>
      <c r="W416">
        <v>0</v>
      </c>
      <c r="X416">
        <v>0</v>
      </c>
      <c r="AE416">
        <v>0</v>
      </c>
      <c r="AI416" t="s">
        <v>108</v>
      </c>
      <c r="AJ416" t="s">
        <v>52</v>
      </c>
      <c r="AK416" t="s">
        <v>601</v>
      </c>
      <c r="AL416" t="str">
        <f>HYPERLINK("https://pbs.twimg.com/ext_tw_video_thumb/1143202185154584581/pu/img/K72qfBH8zIdbiUf-.jpg")</f>
        <v>https://pbs.twimg.com/ext_tw_video_thumb/1143202185154584581/pu/img/K72qfBH8zIdbiUf-.jpg</v>
      </c>
      <c r="AM416" t="s">
        <v>52</v>
      </c>
      <c r="AN416" t="s">
        <v>53</v>
      </c>
    </row>
    <row r="417" spans="1:40">
      <c r="A417" t="s">
        <v>40</v>
      </c>
      <c r="B417" t="s">
        <v>1780</v>
      </c>
      <c r="C417" t="s">
        <v>1781</v>
      </c>
      <c r="D417" t="s">
        <v>52</v>
      </c>
      <c r="E417" t="s">
        <v>1783</v>
      </c>
      <c r="F417" t="s">
        <v>95</v>
      </c>
      <c r="G417" t="str">
        <f>HYPERLINK("https://twitter.com/1143083212790468608/status/1143407949886480385")</f>
        <v>https://twitter.com/1143083212790468608/status/1143407949886480385</v>
      </c>
      <c r="H417" t="s">
        <v>46</v>
      </c>
      <c r="I417" t="s">
        <v>1784</v>
      </c>
      <c r="J417" t="str">
        <f>HYPERLINK("http://twitter.com/Christineasf_")</f>
        <v>http://twitter.com/Christineasf_</v>
      </c>
      <c r="K417">
        <v>61</v>
      </c>
      <c r="N417" t="s">
        <v>65</v>
      </c>
      <c r="R417" t="s">
        <v>60</v>
      </c>
      <c r="S417" t="s">
        <v>51</v>
      </c>
      <c r="T417" t="s">
        <v>1785</v>
      </c>
      <c r="U417" t="s">
        <v>1786</v>
      </c>
      <c r="W417">
        <v>0</v>
      </c>
      <c r="X417">
        <v>0</v>
      </c>
      <c r="AE417">
        <v>0</v>
      </c>
      <c r="AF417">
        <v>0</v>
      </c>
      <c r="AM417" t="s">
        <v>52</v>
      </c>
      <c r="AN417" t="s">
        <v>53</v>
      </c>
    </row>
    <row r="418" spans="1:40">
      <c r="A418" t="s">
        <v>40</v>
      </c>
      <c r="B418" t="s">
        <v>1787</v>
      </c>
      <c r="C418" t="s">
        <v>1788</v>
      </c>
      <c r="D418" t="s">
        <v>52</v>
      </c>
      <c r="E418" t="s">
        <v>204</v>
      </c>
      <c r="F418" t="s">
        <v>131</v>
      </c>
      <c r="G418" t="str">
        <f>HYPERLINK("https://twitter.com/1103515520115134464/status/1143407649360420864")</f>
        <v>https://twitter.com/1103515520115134464/status/1143407649360420864</v>
      </c>
      <c r="H418" t="s">
        <v>46</v>
      </c>
      <c r="I418" t="s">
        <v>1789</v>
      </c>
      <c r="J418" t="str">
        <f>HYPERLINK("http://twitter.com/jurassic_morgan")</f>
        <v>http://twitter.com/jurassic_morgan</v>
      </c>
      <c r="K418">
        <v>86</v>
      </c>
      <c r="N418" t="s">
        <v>65</v>
      </c>
      <c r="R418" t="s">
        <v>60</v>
      </c>
      <c r="S418" t="s">
        <v>51</v>
      </c>
      <c r="T418" t="s">
        <v>152</v>
      </c>
      <c r="W418">
        <v>0</v>
      </c>
      <c r="X418">
        <v>0</v>
      </c>
      <c r="AE418">
        <v>0</v>
      </c>
      <c r="AM418" t="s">
        <v>52</v>
      </c>
      <c r="AN418" t="s">
        <v>53</v>
      </c>
    </row>
    <row r="419" spans="1:40">
      <c r="A419" t="s">
        <v>40</v>
      </c>
      <c r="B419" t="s">
        <v>1787</v>
      </c>
      <c r="C419" t="s">
        <v>1225</v>
      </c>
      <c r="D419" t="s">
        <v>52</v>
      </c>
      <c r="E419" t="s">
        <v>1790</v>
      </c>
      <c r="F419" t="s">
        <v>45</v>
      </c>
      <c r="G419" t="str">
        <f>HYPERLINK("https://www.facebook.com/194551740585258/posts/3008893892484348")</f>
        <v>https://www.facebook.com/194551740585258/posts/3008893892484348</v>
      </c>
      <c r="H419" t="s">
        <v>46</v>
      </c>
      <c r="I419" t="s">
        <v>1791</v>
      </c>
      <c r="J419" t="str">
        <f>HYPERLINK("https://www.facebook.com/194551740585258")</f>
        <v>https://www.facebook.com/194551740585258</v>
      </c>
      <c r="K419">
        <v>108809</v>
      </c>
      <c r="L419" t="s">
        <v>651</v>
      </c>
      <c r="N419" t="s">
        <v>1792</v>
      </c>
      <c r="O419" t="s">
        <v>1791</v>
      </c>
      <c r="P419" t="str">
        <f>HYPERLINK("https://www.facebook.com/194551740585258")</f>
        <v>https://www.facebook.com/194551740585258</v>
      </c>
      <c r="Q419">
        <v>108809</v>
      </c>
      <c r="R419" t="s">
        <v>60</v>
      </c>
      <c r="W419">
        <v>2</v>
      </c>
      <c r="X419">
        <v>2</v>
      </c>
      <c r="AE419">
        <v>0</v>
      </c>
      <c r="AF419">
        <v>0</v>
      </c>
      <c r="AI419" t="s">
        <v>108</v>
      </c>
      <c r="AJ419" t="s">
        <v>1793</v>
      </c>
      <c r="AK419" t="s">
        <v>52</v>
      </c>
      <c r="AL419" t="str">
        <f>HYPERLINK("https://images.halaal.recipes/24-06-19/2019-06-24-16-26-34-JCnLX.jpg")</f>
        <v>https://images.halaal.recipes/24-06-19/2019-06-24-16-26-34-JCnLX.jpg</v>
      </c>
      <c r="AM419" t="s">
        <v>52</v>
      </c>
      <c r="AN419" t="s">
        <v>53</v>
      </c>
    </row>
    <row r="420" spans="1:40">
      <c r="A420" t="s">
        <v>40</v>
      </c>
      <c r="B420" t="s">
        <v>1794</v>
      </c>
      <c r="C420" t="s">
        <v>1795</v>
      </c>
      <c r="D420" t="s">
        <v>52</v>
      </c>
      <c r="E420" t="s">
        <v>1796</v>
      </c>
      <c r="F420" t="s">
        <v>131</v>
      </c>
      <c r="G420" t="str">
        <f>HYPERLINK("https://twitter.com/4419261015/status/1143407335563517952")</f>
        <v>https://twitter.com/4419261015/status/1143407335563517952</v>
      </c>
      <c r="H420" t="s">
        <v>46</v>
      </c>
      <c r="I420" t="s">
        <v>1797</v>
      </c>
      <c r="J420" t="str">
        <f>HYPERLINK("http://twitter.com/mravoandmrsnana")</f>
        <v>http://twitter.com/mravoandmrsnana</v>
      </c>
      <c r="K420">
        <v>363</v>
      </c>
      <c r="N420" t="s">
        <v>65</v>
      </c>
      <c r="R420" t="s">
        <v>60</v>
      </c>
      <c r="S420" t="s">
        <v>97</v>
      </c>
      <c r="T420" t="s">
        <v>177</v>
      </c>
      <c r="U420" t="s">
        <v>1798</v>
      </c>
      <c r="W420">
        <v>0</v>
      </c>
      <c r="X420">
        <v>0</v>
      </c>
      <c r="AE420">
        <v>0</v>
      </c>
      <c r="AM420" t="s">
        <v>52</v>
      </c>
      <c r="AN420" t="s">
        <v>53</v>
      </c>
    </row>
    <row r="421" spans="1:40">
      <c r="A421" t="s">
        <v>40</v>
      </c>
      <c r="B421" t="s">
        <v>1794</v>
      </c>
      <c r="C421" t="s">
        <v>1799</v>
      </c>
      <c r="D421" t="s">
        <v>52</v>
      </c>
      <c r="E421" t="s">
        <v>204</v>
      </c>
      <c r="F421" t="s">
        <v>131</v>
      </c>
      <c r="G421" t="str">
        <f>HYPERLINK("https://twitter.com/1056981590423822336/status/1143407295663083520")</f>
        <v>https://twitter.com/1056981590423822336/status/1143407295663083520</v>
      </c>
      <c r="H421" t="s">
        <v>46</v>
      </c>
      <c r="I421" t="s">
        <v>1800</v>
      </c>
      <c r="J421" t="str">
        <f>HYPERLINK("http://twitter.com/valkyriescarol")</f>
        <v>http://twitter.com/valkyriescarol</v>
      </c>
      <c r="K421">
        <v>544</v>
      </c>
      <c r="N421" t="s">
        <v>65</v>
      </c>
      <c r="R421" t="s">
        <v>60</v>
      </c>
      <c r="S421" t="s">
        <v>51</v>
      </c>
      <c r="T421" t="s">
        <v>152</v>
      </c>
      <c r="U421" t="s">
        <v>1801</v>
      </c>
      <c r="W421">
        <v>0</v>
      </c>
      <c r="X421">
        <v>0</v>
      </c>
      <c r="AE421">
        <v>0</v>
      </c>
      <c r="AM421" t="s">
        <v>52</v>
      </c>
      <c r="AN421" t="s">
        <v>53</v>
      </c>
    </row>
    <row r="422" spans="1:40">
      <c r="A422" t="s">
        <v>40</v>
      </c>
      <c r="B422" t="s">
        <v>1802</v>
      </c>
      <c r="C422" t="s">
        <v>718</v>
      </c>
      <c r="D422" t="s">
        <v>52</v>
      </c>
      <c r="E422" t="s">
        <v>1803</v>
      </c>
      <c r="F422" t="s">
        <v>45</v>
      </c>
      <c r="G422" t="str">
        <f>HYPERLINK("https://www.instagram.com/p/BzH3LHLAY-d")</f>
        <v>https://www.instagram.com/p/BzH3LHLAY-d</v>
      </c>
      <c r="H422" t="s">
        <v>46</v>
      </c>
      <c r="I422" t="s">
        <v>1804</v>
      </c>
      <c r="J422" t="str">
        <f>HYPERLINK("http://instagram.com/tomzzello")</f>
        <v>http://instagram.com/tomzzello</v>
      </c>
      <c r="K422">
        <v>1461</v>
      </c>
      <c r="N422" t="s">
        <v>59</v>
      </c>
      <c r="O422" t="s">
        <v>1804</v>
      </c>
      <c r="P422" t="str">
        <f>HYPERLINK("http://instagram.com/tomzzello")</f>
        <v>http://instagram.com/tomzzello</v>
      </c>
      <c r="Q422">
        <v>1461</v>
      </c>
      <c r="R422" t="s">
        <v>60</v>
      </c>
      <c r="W422">
        <v>122</v>
      </c>
      <c r="X422">
        <v>122</v>
      </c>
      <c r="AE422">
        <v>2</v>
      </c>
      <c r="AI422" t="s">
        <v>108</v>
      </c>
      <c r="AJ422" t="s">
        <v>1805</v>
      </c>
      <c r="AK422" t="s">
        <v>52</v>
      </c>
      <c r="AL422" t="str">
        <f>HYPERLINK("https://www.instagram.com/p/BzH3LHLAY-d/media/?size=l")</f>
        <v>https://www.instagram.com/p/BzH3LHLAY-d/media/?size=l</v>
      </c>
      <c r="AM422" t="s">
        <v>52</v>
      </c>
      <c r="AN422" t="s">
        <v>53</v>
      </c>
    </row>
    <row r="423" spans="1:40">
      <c r="A423" t="s">
        <v>40</v>
      </c>
      <c r="B423" t="s">
        <v>1806</v>
      </c>
      <c r="C423" t="s">
        <v>758</v>
      </c>
      <c r="D423" t="s">
        <v>1807</v>
      </c>
      <c r="E423" t="s">
        <v>1808</v>
      </c>
      <c r="F423" t="s">
        <v>45</v>
      </c>
      <c r="G423" t="str">
        <f>HYPERLINK("https://forums.sherdog.com/threads/2019-summer-football-discussion-thread-v4-england-are-going-to-win-the-world-cup-edition.3974271/page-51#post-9")</f>
        <v>https://forums.sherdog.com/threads/2019-summer-football-discussion-thread-v4-england-are-going-to-win-the-world-cup-edition.3974271/page-51#post-9</v>
      </c>
      <c r="H423" t="s">
        <v>46</v>
      </c>
      <c r="I423" t="s">
        <v>1809</v>
      </c>
      <c r="J423" t="str">
        <f>HYPERLINK("https://forums.sherdog.com/threads/2019-summer-football-discussion-thread-v4-england-are-going-to-win-the-world-cup-edition.3974271/page-51#post-9")</f>
        <v>https://forums.sherdog.com/threads/2019-summer-football-discussion-thread-v4-england-are-going-to-win-the-world-cup-edition.3974271/page-51#post-9</v>
      </c>
      <c r="N423" t="s">
        <v>1810</v>
      </c>
      <c r="O423" t="s">
        <v>1811</v>
      </c>
      <c r="P423" t="str">
        <f>HYPERLINK("https://forums.sherdog.com/forums/sports-bar.74/")</f>
        <v>https://forums.sherdog.com/forums/sports-bar.74/</v>
      </c>
      <c r="R423" t="s">
        <v>516</v>
      </c>
      <c r="S423" t="s">
        <v>51</v>
      </c>
      <c r="AM423" t="s">
        <v>52</v>
      </c>
      <c r="AN423" t="s">
        <v>53</v>
      </c>
    </row>
    <row r="424" spans="1:40">
      <c r="A424" t="s">
        <v>40</v>
      </c>
      <c r="B424" t="s">
        <v>1812</v>
      </c>
      <c r="C424" t="s">
        <v>1813</v>
      </c>
      <c r="D424" t="s">
        <v>52</v>
      </c>
      <c r="E424" t="s">
        <v>1814</v>
      </c>
      <c r="F424" t="s">
        <v>95</v>
      </c>
      <c r="G424" t="str">
        <f>HYPERLINK("https://twitter.com/751295519411011584/status/1143406341710438400")</f>
        <v>https://twitter.com/751295519411011584/status/1143406341710438400</v>
      </c>
      <c r="H424" t="s">
        <v>46</v>
      </c>
      <c r="I424" t="s">
        <v>1815</v>
      </c>
      <c r="J424" t="str">
        <f>HYPERLINK("http://twitter.com/minkryu")</f>
        <v>http://twitter.com/minkryu</v>
      </c>
      <c r="K424">
        <v>6215</v>
      </c>
      <c r="N424" t="s">
        <v>65</v>
      </c>
      <c r="R424" t="s">
        <v>60</v>
      </c>
      <c r="W424">
        <v>0</v>
      </c>
      <c r="X424">
        <v>0</v>
      </c>
      <c r="AE424">
        <v>1</v>
      </c>
      <c r="AF424">
        <v>0</v>
      </c>
      <c r="AM424" t="s">
        <v>52</v>
      </c>
      <c r="AN424" t="s">
        <v>53</v>
      </c>
    </row>
    <row r="425" spans="1:40">
      <c r="A425" t="s">
        <v>40</v>
      </c>
      <c r="B425" t="s">
        <v>1816</v>
      </c>
      <c r="C425" t="s">
        <v>1813</v>
      </c>
      <c r="D425" t="s">
        <v>52</v>
      </c>
      <c r="E425" t="s">
        <v>1817</v>
      </c>
      <c r="F425" t="s">
        <v>71</v>
      </c>
      <c r="G425" t="str">
        <f>HYPERLINK("https://twitter.com/211235151/status/1143405971303256065")</f>
        <v>https://twitter.com/211235151/status/1143405971303256065</v>
      </c>
      <c r="H425" t="s">
        <v>46</v>
      </c>
      <c r="I425" t="s">
        <v>1818</v>
      </c>
      <c r="J425" t="str">
        <f>HYPERLINK("http://twitter.com/mccoyinnocent")</f>
        <v>http://twitter.com/mccoyinnocent</v>
      </c>
      <c r="K425">
        <v>12287</v>
      </c>
      <c r="N425" t="s">
        <v>65</v>
      </c>
      <c r="R425" t="s">
        <v>60</v>
      </c>
      <c r="S425" t="s">
        <v>1592</v>
      </c>
      <c r="T425" t="s">
        <v>1819</v>
      </c>
      <c r="U425" t="s">
        <v>1820</v>
      </c>
      <c r="W425">
        <v>0</v>
      </c>
      <c r="X425">
        <v>0</v>
      </c>
      <c r="AE425">
        <v>0</v>
      </c>
      <c r="AF425">
        <v>0</v>
      </c>
      <c r="AI425" t="s">
        <v>108</v>
      </c>
      <c r="AJ425" t="s">
        <v>52</v>
      </c>
      <c r="AK425" t="s">
        <v>52</v>
      </c>
      <c r="AL425" t="str">
        <f>HYPERLINK("https://pbs.twimg.com/media/D9sAXHUX4AA6vJs.jpg")</f>
        <v>https://pbs.twimg.com/media/D9sAXHUX4AA6vJs.jpg</v>
      </c>
      <c r="AM425" t="s">
        <v>52</v>
      </c>
      <c r="AN425" t="s">
        <v>53</v>
      </c>
    </row>
    <row r="426" spans="1:40">
      <c r="A426" t="s">
        <v>40</v>
      </c>
      <c r="B426" t="s">
        <v>1816</v>
      </c>
      <c r="C426" t="s">
        <v>1821</v>
      </c>
      <c r="D426" t="s">
        <v>52</v>
      </c>
      <c r="E426" t="s">
        <v>1822</v>
      </c>
      <c r="F426" t="s">
        <v>45</v>
      </c>
      <c r="G426" t="str">
        <f>HYPERLINK("https://www.facebook.com/248731454442/posts/10157487791249443")</f>
        <v>https://www.facebook.com/248731454442/posts/10157487791249443</v>
      </c>
      <c r="H426" t="s">
        <v>46</v>
      </c>
      <c r="I426" t="s">
        <v>1823</v>
      </c>
      <c r="J426" t="str">
        <f>HYPERLINK("https://www.facebook.com/248731454442")</f>
        <v>https://www.facebook.com/248731454442</v>
      </c>
      <c r="K426">
        <v>450244</v>
      </c>
      <c r="L426" t="s">
        <v>651</v>
      </c>
      <c r="N426" t="s">
        <v>1792</v>
      </c>
      <c r="O426" t="s">
        <v>1823</v>
      </c>
      <c r="P426" t="str">
        <f>HYPERLINK("https://www.facebook.com/248731454442")</f>
        <v>https://www.facebook.com/248731454442</v>
      </c>
      <c r="Q426">
        <v>450244</v>
      </c>
      <c r="R426" t="s">
        <v>60</v>
      </c>
      <c r="W426">
        <v>44</v>
      </c>
      <c r="X426">
        <v>30</v>
      </c>
      <c r="Y426">
        <v>6</v>
      </c>
      <c r="Z426">
        <v>0</v>
      </c>
      <c r="AA426">
        <v>7</v>
      </c>
      <c r="AB426">
        <v>1</v>
      </c>
      <c r="AC426">
        <v>0</v>
      </c>
      <c r="AE426">
        <v>16</v>
      </c>
      <c r="AF426">
        <v>45</v>
      </c>
      <c r="AI426" t="s">
        <v>108</v>
      </c>
      <c r="AJ426" t="s">
        <v>52</v>
      </c>
      <c r="AK426" t="s">
        <v>52</v>
      </c>
      <c r="AL426" t="str">
        <f>HYPERLINK("https://hips.hearstapps.com/hmg-prod.s3.amazonaws.com/images/indeximage-template-doritospickle-1532978645.jpg?crop=1xw:1xh;center,top&amp;resize=1200:*")</f>
        <v>https://hips.hearstapps.com/hmg-prod.s3.amazonaws.com/images/indeximage-template-doritospickle-1532978645.jpg?crop=1xw:1xh;center,top&amp;resize=1200:*</v>
      </c>
      <c r="AM426" t="s">
        <v>52</v>
      </c>
      <c r="AN426" t="s">
        <v>53</v>
      </c>
    </row>
    <row r="427" spans="1:40">
      <c r="A427" t="s">
        <v>40</v>
      </c>
      <c r="B427" t="s">
        <v>1824</v>
      </c>
      <c r="C427" t="s">
        <v>1825</v>
      </c>
      <c r="D427" t="s">
        <v>52</v>
      </c>
      <c r="E427" t="s">
        <v>1826</v>
      </c>
      <c r="F427" t="s">
        <v>95</v>
      </c>
      <c r="G427" t="str">
        <f>HYPERLINK("https://twitter.com/91308306/status/1143405936259805184")</f>
        <v>https://twitter.com/91308306/status/1143405936259805184</v>
      </c>
      <c r="H427" t="s">
        <v>46</v>
      </c>
      <c r="I427" t="s">
        <v>1827</v>
      </c>
      <c r="J427" t="str">
        <f>HYPERLINK("http://twitter.com/WAVESGOD")</f>
        <v>http://twitter.com/WAVESGOD</v>
      </c>
      <c r="K427">
        <v>2334</v>
      </c>
      <c r="N427" t="s">
        <v>65</v>
      </c>
      <c r="R427" t="s">
        <v>60</v>
      </c>
      <c r="S427" t="s">
        <v>51</v>
      </c>
      <c r="T427" t="s">
        <v>73</v>
      </c>
      <c r="U427" t="s">
        <v>1828</v>
      </c>
      <c r="W427">
        <v>2</v>
      </c>
      <c r="X427">
        <v>2</v>
      </c>
      <c r="AE427">
        <v>1</v>
      </c>
      <c r="AF427">
        <v>0</v>
      </c>
      <c r="AM427" t="s">
        <v>52</v>
      </c>
      <c r="AN427" t="s">
        <v>53</v>
      </c>
    </row>
    <row r="428" spans="1:40">
      <c r="A428" t="s">
        <v>40</v>
      </c>
      <c r="B428" t="s">
        <v>1824</v>
      </c>
      <c r="C428" t="s">
        <v>1829</v>
      </c>
      <c r="D428" t="s">
        <v>52</v>
      </c>
      <c r="E428" t="s">
        <v>1194</v>
      </c>
      <c r="F428" t="s">
        <v>131</v>
      </c>
      <c r="G428" t="str">
        <f>HYPERLINK("https://twitter.com/37894923/status/1143405911513300992")</f>
        <v>https://twitter.com/37894923/status/1143405911513300992</v>
      </c>
      <c r="H428" t="s">
        <v>46</v>
      </c>
      <c r="I428" t="s">
        <v>1830</v>
      </c>
      <c r="J428" t="str">
        <f>HYPERLINK("http://twitter.com/SummerDisregard")</f>
        <v>http://twitter.com/SummerDisregard</v>
      </c>
      <c r="K428">
        <v>239</v>
      </c>
      <c r="N428" t="s">
        <v>65</v>
      </c>
      <c r="R428" t="s">
        <v>60</v>
      </c>
      <c r="W428">
        <v>0</v>
      </c>
      <c r="X428">
        <v>0</v>
      </c>
      <c r="AE428">
        <v>0</v>
      </c>
      <c r="AI428" t="s">
        <v>52</v>
      </c>
      <c r="AJ428" t="s">
        <v>1196</v>
      </c>
      <c r="AK428" t="s">
        <v>52</v>
      </c>
      <c r="AL428" t="str">
        <f>HYPERLINK("https://pbs.twimg.com/media/D9xgk2YXkAAd2ql.jpg")</f>
        <v>https://pbs.twimg.com/media/D9xgk2YXkAAd2ql.jpg</v>
      </c>
      <c r="AM428" t="s">
        <v>52</v>
      </c>
      <c r="AN428" t="s">
        <v>53</v>
      </c>
    </row>
    <row r="429" spans="1:40">
      <c r="A429" t="s">
        <v>40</v>
      </c>
      <c r="B429" t="s">
        <v>1824</v>
      </c>
      <c r="C429" t="s">
        <v>1831</v>
      </c>
      <c r="D429" t="s">
        <v>52</v>
      </c>
      <c r="E429" t="s">
        <v>1832</v>
      </c>
      <c r="F429" t="s">
        <v>95</v>
      </c>
      <c r="G429" t="str">
        <f>HYPERLINK("https://twitter.com/913423498697170945/status/1143405816986443777")</f>
        <v>https://twitter.com/913423498697170945/status/1143405816986443777</v>
      </c>
      <c r="H429" t="s">
        <v>46</v>
      </c>
      <c r="I429" t="s">
        <v>1833</v>
      </c>
      <c r="J429" t="str">
        <f>HYPERLINK("http://twitter.com/NoahWoodland2")</f>
        <v>http://twitter.com/NoahWoodland2</v>
      </c>
      <c r="K429">
        <v>22</v>
      </c>
      <c r="N429" t="s">
        <v>65</v>
      </c>
      <c r="R429" t="s">
        <v>60</v>
      </c>
      <c r="S429" t="s">
        <v>97</v>
      </c>
      <c r="T429" t="s">
        <v>177</v>
      </c>
      <c r="U429" t="s">
        <v>1834</v>
      </c>
      <c r="W429">
        <v>1</v>
      </c>
      <c r="X429">
        <v>1</v>
      </c>
      <c r="AE429">
        <v>0</v>
      </c>
      <c r="AF429">
        <v>0</v>
      </c>
      <c r="AM429" t="s">
        <v>52</v>
      </c>
      <c r="AN429" t="s">
        <v>53</v>
      </c>
    </row>
    <row r="430" spans="1:40">
      <c r="A430" t="s">
        <v>40</v>
      </c>
      <c r="B430" t="s">
        <v>1824</v>
      </c>
      <c r="C430" t="s">
        <v>1835</v>
      </c>
      <c r="D430" t="s">
        <v>52</v>
      </c>
      <c r="E430" t="s">
        <v>1194</v>
      </c>
      <c r="F430" t="s">
        <v>131</v>
      </c>
      <c r="G430" t="str">
        <f>HYPERLINK("https://twitter.com/558981677/status/1143405729950392320")</f>
        <v>https://twitter.com/558981677/status/1143405729950392320</v>
      </c>
      <c r="H430" t="s">
        <v>46</v>
      </c>
      <c r="I430" t="s">
        <v>1836</v>
      </c>
      <c r="J430" t="str">
        <f>HYPERLINK("http://twitter.com/itsdestin_")</f>
        <v>http://twitter.com/itsdestin_</v>
      </c>
      <c r="K430">
        <v>454</v>
      </c>
      <c r="N430" t="s">
        <v>65</v>
      </c>
      <c r="R430" t="s">
        <v>60</v>
      </c>
      <c r="W430">
        <v>0</v>
      </c>
      <c r="X430">
        <v>0</v>
      </c>
      <c r="AE430">
        <v>0</v>
      </c>
      <c r="AI430" t="s">
        <v>52</v>
      </c>
      <c r="AJ430" t="s">
        <v>1196</v>
      </c>
      <c r="AK430" t="s">
        <v>52</v>
      </c>
      <c r="AL430" t="str">
        <f>HYPERLINK("https://pbs.twimg.com/media/D9xgk2YXkAAd2ql.jpg")</f>
        <v>https://pbs.twimg.com/media/D9xgk2YXkAAd2ql.jpg</v>
      </c>
      <c r="AM430" t="s">
        <v>52</v>
      </c>
      <c r="AN430" t="s">
        <v>53</v>
      </c>
    </row>
    <row r="431" spans="1:40">
      <c r="A431" t="s">
        <v>40</v>
      </c>
      <c r="B431" t="s">
        <v>1837</v>
      </c>
      <c r="C431" t="s">
        <v>1589</v>
      </c>
      <c r="D431" t="s">
        <v>1838</v>
      </c>
      <c r="E431" t="s">
        <v>1839</v>
      </c>
      <c r="F431" t="s">
        <v>95</v>
      </c>
      <c r="G431" t="str">
        <f>HYPERLINK("https://www.youtube.com/watch?v=xNiw-T9YiM0&amp;lc=UgxPkZ66KDY6BtnFKSB4AaABAg")</f>
        <v>https://www.youtube.com/watch?v=xNiw-T9YiM0&amp;lc=UgxPkZ66KDY6BtnFKSB4AaABAg</v>
      </c>
      <c r="H431" t="s">
        <v>46</v>
      </c>
      <c r="I431" t="s">
        <v>1840</v>
      </c>
      <c r="J431" t="str">
        <f>HYPERLINK("https://www.youtube.com/channel/UC2ZBnldx-gtR0pdgqjopQxg")</f>
        <v>https://www.youtube.com/channel/UC2ZBnldx-gtR0pdgqjopQxg</v>
      </c>
      <c r="K431">
        <v>2</v>
      </c>
      <c r="L431" t="s">
        <v>48</v>
      </c>
      <c r="N431" t="s">
        <v>116</v>
      </c>
      <c r="O431" t="s">
        <v>1841</v>
      </c>
      <c r="P431" t="str">
        <f>HYPERLINK("https://www.youtube.com/channel/UCYX7ZgjZwZTbyGrUP9w6b5w")</f>
        <v>https://www.youtube.com/channel/UCYX7ZgjZwZTbyGrUP9w6b5w</v>
      </c>
      <c r="Q431">
        <v>177</v>
      </c>
      <c r="R431" t="s">
        <v>60</v>
      </c>
      <c r="S431" t="s">
        <v>437</v>
      </c>
      <c r="W431">
        <v>1</v>
      </c>
      <c r="X431">
        <v>1</v>
      </c>
      <c r="AE431">
        <v>0</v>
      </c>
      <c r="AM431" t="s">
        <v>52</v>
      </c>
      <c r="AN431" t="s">
        <v>53</v>
      </c>
    </row>
    <row r="432" spans="1:40">
      <c r="A432" t="s">
        <v>40</v>
      </c>
      <c r="B432" t="s">
        <v>1837</v>
      </c>
      <c r="C432" t="s">
        <v>758</v>
      </c>
      <c r="D432" t="s">
        <v>1807</v>
      </c>
      <c r="E432" t="s">
        <v>1842</v>
      </c>
      <c r="F432" t="s">
        <v>45</v>
      </c>
      <c r="G432" t="str">
        <f>HYPERLINK("https://forums.sherdog.com/threads/2019-summer-football-discussion-thread-v4-england-are-going-to-win-the-world-cup-edition.3974271/page-51#post-8")</f>
        <v>https://forums.sherdog.com/threads/2019-summer-football-discussion-thread-v4-england-are-going-to-win-the-world-cup-edition.3974271/page-51#post-8</v>
      </c>
      <c r="H432" t="s">
        <v>46</v>
      </c>
      <c r="I432" t="s">
        <v>1843</v>
      </c>
      <c r="J432" t="str">
        <f>HYPERLINK("https://forums.sherdog.com/threads/2019-summer-football-discussion-thread-v4-england-are-going-to-win-the-world-cup-edition.3974271/page-51#post-8")</f>
        <v>https://forums.sherdog.com/threads/2019-summer-football-discussion-thread-v4-england-are-going-to-win-the-world-cup-edition.3974271/page-51#post-8</v>
      </c>
      <c r="N432" t="s">
        <v>1810</v>
      </c>
      <c r="O432" t="s">
        <v>1811</v>
      </c>
      <c r="P432" t="str">
        <f>HYPERLINK("https://forums.sherdog.com/forums/sports-bar.74/")</f>
        <v>https://forums.sherdog.com/forums/sports-bar.74/</v>
      </c>
      <c r="R432" t="s">
        <v>516</v>
      </c>
      <c r="S432" t="s">
        <v>51</v>
      </c>
      <c r="AM432" t="s">
        <v>52</v>
      </c>
      <c r="AN432" t="s">
        <v>53</v>
      </c>
    </row>
    <row r="433" spans="1:40">
      <c r="A433" t="s">
        <v>40</v>
      </c>
      <c r="B433" t="s">
        <v>1844</v>
      </c>
      <c r="C433" t="s">
        <v>1845</v>
      </c>
      <c r="D433" t="s">
        <v>1846</v>
      </c>
      <c r="E433" t="s">
        <v>1847</v>
      </c>
      <c r="F433" t="s">
        <v>95</v>
      </c>
      <c r="G433" t="str">
        <f>HYPERLINK("https://www.youtube.com/watch?v=hOcOtqR9fz4&amp;lc=UgwWUOD5BRnfdZs2YcR4AaABAg")</f>
        <v>https://www.youtube.com/watch?v=hOcOtqR9fz4&amp;lc=UgwWUOD5BRnfdZs2YcR4AaABAg</v>
      </c>
      <c r="H433" t="s">
        <v>46</v>
      </c>
      <c r="I433" t="s">
        <v>1848</v>
      </c>
      <c r="J433" t="str">
        <f>HYPERLINK("https://www.youtube.com/channel/UCIMLTvJ0AwxwSar_VsHQbBA")</f>
        <v>https://www.youtube.com/channel/UCIMLTvJ0AwxwSar_VsHQbBA</v>
      </c>
      <c r="K433">
        <v>3</v>
      </c>
      <c r="L433" t="s">
        <v>48</v>
      </c>
      <c r="N433" t="s">
        <v>116</v>
      </c>
      <c r="O433" t="s">
        <v>1849</v>
      </c>
      <c r="P433" t="str">
        <f>HYPERLINK("https://www.youtube.com/channel/UCgflyJrmyVJRdzSAT5V6u0Q")</f>
        <v>https://www.youtube.com/channel/UCgflyJrmyVJRdzSAT5V6u0Q</v>
      </c>
      <c r="Q433">
        <v>78</v>
      </c>
      <c r="R433" t="s">
        <v>60</v>
      </c>
      <c r="S433" t="s">
        <v>437</v>
      </c>
      <c r="W433">
        <v>4</v>
      </c>
      <c r="X433">
        <v>4</v>
      </c>
      <c r="AE433">
        <v>1</v>
      </c>
      <c r="AM433" t="s">
        <v>52</v>
      </c>
      <c r="AN433" t="s">
        <v>53</v>
      </c>
    </row>
    <row r="434" spans="1:40">
      <c r="A434" t="s">
        <v>40</v>
      </c>
      <c r="B434" t="s">
        <v>1844</v>
      </c>
      <c r="C434" t="s">
        <v>1850</v>
      </c>
      <c r="D434" t="s">
        <v>52</v>
      </c>
      <c r="E434" t="s">
        <v>1851</v>
      </c>
      <c r="F434" t="s">
        <v>45</v>
      </c>
      <c r="G434" t="str">
        <f>HYPERLINK("https://www.instagram.com/p/BzH2aJGDqg9")</f>
        <v>https://www.instagram.com/p/BzH2aJGDqg9</v>
      </c>
      <c r="H434" t="s">
        <v>46</v>
      </c>
      <c r="I434" t="s">
        <v>1852</v>
      </c>
      <c r="J434" t="str">
        <f>HYPERLINK("http://instagram.com/rachaelbardouh10")</f>
        <v>http://instagram.com/rachaelbardouh10</v>
      </c>
      <c r="K434">
        <v>480</v>
      </c>
      <c r="N434" t="s">
        <v>59</v>
      </c>
      <c r="O434" t="s">
        <v>1852</v>
      </c>
      <c r="P434" t="str">
        <f>HYPERLINK("http://instagram.com/rachaelbardouh10")</f>
        <v>http://instagram.com/rachaelbardouh10</v>
      </c>
      <c r="Q434">
        <v>480</v>
      </c>
      <c r="R434" t="s">
        <v>60</v>
      </c>
      <c r="W434">
        <v>53</v>
      </c>
      <c r="X434">
        <v>53</v>
      </c>
      <c r="AE434">
        <v>0</v>
      </c>
      <c r="AI434" t="s">
        <v>108</v>
      </c>
      <c r="AJ434" t="s">
        <v>1853</v>
      </c>
      <c r="AK434" t="s">
        <v>52</v>
      </c>
      <c r="AL434" t="str">
        <f>HYPERLINK("https://www.instagram.com/p/BzH2aJGDqg9/media/?size=l")</f>
        <v>https://www.instagram.com/p/BzH2aJGDqg9/media/?size=l</v>
      </c>
      <c r="AM434" t="s">
        <v>52</v>
      </c>
      <c r="AN434" t="s">
        <v>53</v>
      </c>
    </row>
    <row r="435" spans="1:40">
      <c r="A435" t="s">
        <v>40</v>
      </c>
      <c r="B435" t="s">
        <v>1854</v>
      </c>
      <c r="C435" t="s">
        <v>1855</v>
      </c>
      <c r="D435" t="s">
        <v>52</v>
      </c>
      <c r="E435" t="s">
        <v>1796</v>
      </c>
      <c r="F435" t="s">
        <v>131</v>
      </c>
      <c r="G435" t="str">
        <f>HYPERLINK("https://twitter.com/829697376780746752/status/1143404776899645441")</f>
        <v>https://twitter.com/829697376780746752/status/1143404776899645441</v>
      </c>
      <c r="H435" t="s">
        <v>46</v>
      </c>
      <c r="I435" t="s">
        <v>1856</v>
      </c>
      <c r="J435" t="str">
        <f>HYPERLINK("http://twitter.com/janinakopeczky")</f>
        <v>http://twitter.com/janinakopeczky</v>
      </c>
      <c r="K435">
        <v>30</v>
      </c>
      <c r="L435" t="s">
        <v>58</v>
      </c>
      <c r="N435" t="s">
        <v>65</v>
      </c>
      <c r="R435" t="s">
        <v>60</v>
      </c>
      <c r="S435" t="s">
        <v>1857</v>
      </c>
      <c r="W435">
        <v>0</v>
      </c>
      <c r="X435">
        <v>0</v>
      </c>
      <c r="AE435">
        <v>0</v>
      </c>
      <c r="AM435" t="s">
        <v>52</v>
      </c>
      <c r="AN435" t="s">
        <v>53</v>
      </c>
    </row>
    <row r="436" spans="1:40">
      <c r="A436" t="s">
        <v>40</v>
      </c>
      <c r="B436" t="s">
        <v>1858</v>
      </c>
      <c r="C436" t="s">
        <v>1859</v>
      </c>
      <c r="D436" t="s">
        <v>52</v>
      </c>
      <c r="E436" t="s">
        <v>1860</v>
      </c>
      <c r="F436" t="s">
        <v>45</v>
      </c>
      <c r="G436" t="str">
        <f>HYPERLINK("https://twitter.com/930613421187334144/status/1143404447911022592")</f>
        <v>https://twitter.com/930613421187334144/status/1143404447911022592</v>
      </c>
      <c r="H436" t="s">
        <v>46</v>
      </c>
      <c r="I436" t="s">
        <v>1861</v>
      </c>
      <c r="J436" t="str">
        <f>HYPERLINK("http://twitter.com/designbycloud")</f>
        <v>http://twitter.com/designbycloud</v>
      </c>
      <c r="K436">
        <v>1302</v>
      </c>
      <c r="L436" t="s">
        <v>48</v>
      </c>
      <c r="N436" t="s">
        <v>65</v>
      </c>
      <c r="R436" t="s">
        <v>60</v>
      </c>
      <c r="S436" t="s">
        <v>51</v>
      </c>
      <c r="T436" t="s">
        <v>1487</v>
      </c>
      <c r="W436">
        <v>0</v>
      </c>
      <c r="X436">
        <v>0</v>
      </c>
      <c r="AE436">
        <v>0</v>
      </c>
      <c r="AF436">
        <v>0</v>
      </c>
      <c r="AM436" t="s">
        <v>52</v>
      </c>
      <c r="AN436" t="s">
        <v>53</v>
      </c>
    </row>
    <row r="437" spans="1:40">
      <c r="A437" t="s">
        <v>40</v>
      </c>
      <c r="B437" t="s">
        <v>1858</v>
      </c>
      <c r="C437" t="s">
        <v>1859</v>
      </c>
      <c r="D437" t="s">
        <v>52</v>
      </c>
      <c r="E437" t="s">
        <v>1862</v>
      </c>
      <c r="F437" t="s">
        <v>45</v>
      </c>
      <c r="G437" t="str">
        <f>HYPERLINK("https://twitter.com/855520822219460608/status/1143404410246221826")</f>
        <v>https://twitter.com/855520822219460608/status/1143404410246221826</v>
      </c>
      <c r="H437" t="s">
        <v>46</v>
      </c>
      <c r="I437" t="s">
        <v>1863</v>
      </c>
      <c r="J437" t="str">
        <f>HYPERLINK("http://twitter.com/gaabschuldeis")</f>
        <v>http://twitter.com/gaabschuldeis</v>
      </c>
      <c r="K437">
        <v>139</v>
      </c>
      <c r="N437" t="s">
        <v>65</v>
      </c>
      <c r="R437" t="s">
        <v>60</v>
      </c>
      <c r="S437" t="s">
        <v>701</v>
      </c>
      <c r="T437" t="s">
        <v>702</v>
      </c>
      <c r="U437" t="s">
        <v>1864</v>
      </c>
      <c r="W437">
        <v>0</v>
      </c>
      <c r="X437">
        <v>0</v>
      </c>
      <c r="AE437">
        <v>0</v>
      </c>
      <c r="AF437">
        <v>0</v>
      </c>
      <c r="AM437" t="s">
        <v>52</v>
      </c>
      <c r="AN437" t="s">
        <v>53</v>
      </c>
    </row>
    <row r="438" spans="1:40">
      <c r="A438" t="s">
        <v>40</v>
      </c>
      <c r="B438" t="s">
        <v>1865</v>
      </c>
      <c r="C438" t="s">
        <v>1813</v>
      </c>
      <c r="D438" t="s">
        <v>52</v>
      </c>
      <c r="E438" t="s">
        <v>1866</v>
      </c>
      <c r="F438" t="s">
        <v>95</v>
      </c>
      <c r="G438" t="str">
        <f>HYPERLINK("https://twitter.com/2842682156/status/1143404119698358274")</f>
        <v>https://twitter.com/2842682156/status/1143404119698358274</v>
      </c>
      <c r="H438" t="s">
        <v>46</v>
      </c>
      <c r="I438" t="s">
        <v>1867</v>
      </c>
      <c r="J438" t="str">
        <f>HYPERLINK("http://twitter.com/presahs")</f>
        <v>http://twitter.com/presahs</v>
      </c>
      <c r="K438">
        <v>1893</v>
      </c>
      <c r="N438" t="s">
        <v>65</v>
      </c>
      <c r="R438" t="s">
        <v>60</v>
      </c>
      <c r="W438">
        <v>0</v>
      </c>
      <c r="X438">
        <v>0</v>
      </c>
      <c r="AE438">
        <v>0</v>
      </c>
      <c r="AF438">
        <v>0</v>
      </c>
      <c r="AM438" t="s">
        <v>52</v>
      </c>
      <c r="AN438" t="s">
        <v>53</v>
      </c>
    </row>
    <row r="439" spans="1:40">
      <c r="A439" t="s">
        <v>40</v>
      </c>
      <c r="B439" t="s">
        <v>1868</v>
      </c>
      <c r="C439" t="s">
        <v>1869</v>
      </c>
      <c r="D439" t="s">
        <v>1870</v>
      </c>
      <c r="E439" t="s">
        <v>1871</v>
      </c>
      <c r="F439" t="s">
        <v>45</v>
      </c>
      <c r="G439" t="str">
        <f>HYPERLINK("https://www.youtube.com/watch?v=GRDiGqMNQM8")</f>
        <v>https://www.youtube.com/watch?v=GRDiGqMNQM8</v>
      </c>
      <c r="H439" t="s">
        <v>46</v>
      </c>
      <c r="I439" t="s">
        <v>1872</v>
      </c>
      <c r="J439" t="str">
        <f>HYPERLINK("https://www.youtube.com/channel/UCMMgF-uFch9_H58lJeOiBaA")</f>
        <v>https://www.youtube.com/channel/UCMMgF-uFch9_H58lJeOiBaA</v>
      </c>
      <c r="K439">
        <v>587</v>
      </c>
      <c r="N439" t="s">
        <v>116</v>
      </c>
      <c r="O439" t="s">
        <v>1872</v>
      </c>
      <c r="P439" t="str">
        <f>HYPERLINK("https://www.youtube.com/channel/UCMMgF-uFch9_H58lJeOiBaA")</f>
        <v>https://www.youtube.com/channel/UCMMgF-uFch9_H58lJeOiBaA</v>
      </c>
      <c r="Q439">
        <v>587</v>
      </c>
      <c r="R439" t="s">
        <v>60</v>
      </c>
      <c r="S439" t="s">
        <v>51</v>
      </c>
      <c r="W439">
        <v>3</v>
      </c>
      <c r="X439">
        <v>3</v>
      </c>
      <c r="AD439">
        <v>0</v>
      </c>
      <c r="AE439">
        <v>1</v>
      </c>
      <c r="AG439">
        <v>18</v>
      </c>
      <c r="AI439" t="s">
        <v>52</v>
      </c>
      <c r="AJ439" t="s">
        <v>52</v>
      </c>
      <c r="AK439" t="s">
        <v>52</v>
      </c>
      <c r="AL439" t="str">
        <f>HYPERLINK("https://i.ytimg.com/vi/GRDiGqMNQM8/maxresdefault.jpg")</f>
        <v>https://i.ytimg.com/vi/GRDiGqMNQM8/maxresdefault.jpg</v>
      </c>
      <c r="AM439" t="s">
        <v>52</v>
      </c>
      <c r="AN439" t="s">
        <v>53</v>
      </c>
    </row>
    <row r="440" spans="1:40">
      <c r="A440" t="s">
        <v>40</v>
      </c>
      <c r="B440" t="s">
        <v>1873</v>
      </c>
      <c r="C440" t="s">
        <v>1845</v>
      </c>
      <c r="D440" t="s">
        <v>1846</v>
      </c>
      <c r="E440" t="s">
        <v>1874</v>
      </c>
      <c r="F440" t="s">
        <v>45</v>
      </c>
      <c r="G440" t="str">
        <f>HYPERLINK("https://www.youtube.com/watch?v=hOcOtqR9fz4")</f>
        <v>https://www.youtube.com/watch?v=hOcOtqR9fz4</v>
      </c>
      <c r="H440" t="s">
        <v>46</v>
      </c>
      <c r="I440" t="s">
        <v>1849</v>
      </c>
      <c r="J440" t="str">
        <f>HYPERLINK("https://www.youtube.com/channel/UCgflyJrmyVJRdzSAT5V6u0Q")</f>
        <v>https://www.youtube.com/channel/UCgflyJrmyVJRdzSAT5V6u0Q</v>
      </c>
      <c r="K440">
        <v>78</v>
      </c>
      <c r="N440" t="s">
        <v>116</v>
      </c>
      <c r="O440" t="s">
        <v>1849</v>
      </c>
      <c r="P440" t="str">
        <f>HYPERLINK("https://www.youtube.com/channel/UCgflyJrmyVJRdzSAT5V6u0Q")</f>
        <v>https://www.youtube.com/channel/UCgflyJrmyVJRdzSAT5V6u0Q</v>
      </c>
      <c r="Q440">
        <v>78</v>
      </c>
      <c r="R440" t="s">
        <v>60</v>
      </c>
      <c r="S440" t="s">
        <v>437</v>
      </c>
      <c r="W440">
        <v>18</v>
      </c>
      <c r="X440">
        <v>18</v>
      </c>
      <c r="AD440">
        <v>1</v>
      </c>
      <c r="AE440">
        <v>8</v>
      </c>
      <c r="AG440">
        <v>120</v>
      </c>
      <c r="AI440" t="s">
        <v>1875</v>
      </c>
      <c r="AJ440" t="s">
        <v>1182</v>
      </c>
      <c r="AK440" t="s">
        <v>52</v>
      </c>
      <c r="AL440" t="str">
        <f>HYPERLINK("https://i.ytimg.com/vi/hOcOtqR9fz4/maxresdefault.jpg")</f>
        <v>https://i.ytimg.com/vi/hOcOtqR9fz4/maxresdefault.jpg</v>
      </c>
      <c r="AM440" t="s">
        <v>52</v>
      </c>
      <c r="AN440" t="s">
        <v>53</v>
      </c>
    </row>
    <row r="441" spans="1:40">
      <c r="A441" t="s">
        <v>40</v>
      </c>
      <c r="B441" t="s">
        <v>1873</v>
      </c>
      <c r="C441" t="s">
        <v>1876</v>
      </c>
      <c r="D441" t="s">
        <v>52</v>
      </c>
      <c r="E441" t="s">
        <v>599</v>
      </c>
      <c r="F441" t="s">
        <v>131</v>
      </c>
      <c r="G441" t="str">
        <f>HYPERLINK("https://twitter.com/589561609/status/1143403076428001281")</f>
        <v>https://twitter.com/589561609/status/1143403076428001281</v>
      </c>
      <c r="H441" t="s">
        <v>46</v>
      </c>
      <c r="I441" t="s">
        <v>1877</v>
      </c>
      <c r="J441" t="str">
        <f>HYPERLINK("http://twitter.com/notwhelmed")</f>
        <v>http://twitter.com/notwhelmed</v>
      </c>
      <c r="K441">
        <v>213</v>
      </c>
      <c r="N441" t="s">
        <v>65</v>
      </c>
      <c r="R441" t="s">
        <v>60</v>
      </c>
      <c r="S441" t="s">
        <v>97</v>
      </c>
      <c r="T441" t="s">
        <v>177</v>
      </c>
      <c r="U441" t="s">
        <v>1257</v>
      </c>
      <c r="W441">
        <v>0</v>
      </c>
      <c r="X441">
        <v>0</v>
      </c>
      <c r="AE441">
        <v>0</v>
      </c>
      <c r="AI441" t="s">
        <v>108</v>
      </c>
      <c r="AJ441" t="s">
        <v>52</v>
      </c>
      <c r="AK441" t="s">
        <v>601</v>
      </c>
      <c r="AL441" t="str">
        <f>HYPERLINK("https://pbs.twimg.com/ext_tw_video_thumb/1143202185154584581/pu/img/K72qfBH8zIdbiUf-.jpg")</f>
        <v>https://pbs.twimg.com/ext_tw_video_thumb/1143202185154584581/pu/img/K72qfBH8zIdbiUf-.jpg</v>
      </c>
      <c r="AM441" t="s">
        <v>52</v>
      </c>
      <c r="AN441" t="s">
        <v>53</v>
      </c>
    </row>
    <row r="442" spans="1:40">
      <c r="A442" t="s">
        <v>40</v>
      </c>
      <c r="B442" t="s">
        <v>1878</v>
      </c>
      <c r="C442" t="s">
        <v>1879</v>
      </c>
      <c r="D442" t="s">
        <v>1880</v>
      </c>
      <c r="E442" t="s">
        <v>1881</v>
      </c>
      <c r="F442" t="s">
        <v>95</v>
      </c>
      <c r="G442" t="str">
        <f>HYPERLINK("https://www.brandeating.com/2019/06/kfc-set-to-launch-new-cheetos-sandwich-on-july-1-2019.html#comment-4515114041")</f>
        <v>https://www.brandeating.com/2019/06/kfc-set-to-launch-new-cheetos-sandwich-on-july-1-2019.html#comment-4515114041</v>
      </c>
      <c r="H442" t="s">
        <v>46</v>
      </c>
      <c r="I442" t="s">
        <v>1882</v>
      </c>
      <c r="J442" t="str">
        <f>HYPERLINK("https://disqus.com/by/disqus_YndVby7PBT/")</f>
        <v>https://disqus.com/by/disqus_YndVby7PBT/</v>
      </c>
      <c r="K442">
        <v>0</v>
      </c>
      <c r="L442" t="s">
        <v>48</v>
      </c>
      <c r="N442" t="s">
        <v>1883</v>
      </c>
      <c r="O442" t="s">
        <v>1884</v>
      </c>
      <c r="P442" t="str">
        <f>HYPERLINK("https://disqus.com/home/forum/brandeating/")</f>
        <v>https://disqus.com/home/forum/brandeating/</v>
      </c>
      <c r="R442" t="s">
        <v>50</v>
      </c>
      <c r="W442">
        <v>0</v>
      </c>
      <c r="X442">
        <v>0</v>
      </c>
      <c r="AM442" t="s">
        <v>52</v>
      </c>
      <c r="AN442" t="s">
        <v>53</v>
      </c>
    </row>
    <row r="443" spans="1:40">
      <c r="A443" t="s">
        <v>40</v>
      </c>
      <c r="B443" t="s">
        <v>1878</v>
      </c>
      <c r="C443" t="s">
        <v>1885</v>
      </c>
      <c r="D443" t="s">
        <v>1886</v>
      </c>
      <c r="E443" t="s">
        <v>1881</v>
      </c>
      <c r="F443" t="s">
        <v>95</v>
      </c>
      <c r="G443" t="str">
        <f>HYPERLINK("https://www.brandeating.com/2019/06/kfc-set-to-launch-new-cheetos-sandwich-on-july-1-2019.html#post-12")</f>
        <v>https://www.brandeating.com/2019/06/kfc-set-to-launch-new-cheetos-sandwich-on-july-1-2019.html#post-12</v>
      </c>
      <c r="H443" t="s">
        <v>46</v>
      </c>
      <c r="I443" t="s">
        <v>1882</v>
      </c>
      <c r="J443" t="str">
        <f>HYPERLINK("https://www.brandeating.com/2019/06/kfc-set-to-launch-new-cheetos-sandwich-on-july-1-2019.html#post-12")</f>
        <v>https://www.brandeating.com/2019/06/kfc-set-to-launch-new-cheetos-sandwich-on-july-1-2019.html#post-12</v>
      </c>
      <c r="L443" t="s">
        <v>48</v>
      </c>
      <c r="N443" t="s">
        <v>1883</v>
      </c>
      <c r="R443" t="s">
        <v>50</v>
      </c>
      <c r="S443" t="s">
        <v>51</v>
      </c>
      <c r="AM443" t="s">
        <v>52</v>
      </c>
      <c r="AN443" t="s">
        <v>53</v>
      </c>
    </row>
    <row r="444" spans="1:40">
      <c r="A444" t="s">
        <v>40</v>
      </c>
      <c r="B444" t="s">
        <v>1887</v>
      </c>
      <c r="C444" t="s">
        <v>1888</v>
      </c>
      <c r="D444" t="s">
        <v>52</v>
      </c>
      <c r="E444" t="s">
        <v>1889</v>
      </c>
      <c r="F444" t="s">
        <v>71</v>
      </c>
      <c r="G444" t="str">
        <f>HYPERLINK("https://www.instagram.com/p/BzH06VKni8i")</f>
        <v>https://www.instagram.com/p/BzH06VKni8i</v>
      </c>
      <c r="H444" t="s">
        <v>46</v>
      </c>
      <c r="I444" t="s">
        <v>1890</v>
      </c>
      <c r="J444" t="str">
        <f>HYPERLINK("http://instagram.com/smoltriangle._")</f>
        <v>http://instagram.com/smoltriangle._</v>
      </c>
      <c r="K444">
        <v>1</v>
      </c>
      <c r="N444" t="s">
        <v>59</v>
      </c>
      <c r="O444" t="s">
        <v>1890</v>
      </c>
      <c r="P444" t="str">
        <f>HYPERLINK("http://instagram.com/smoltriangle._")</f>
        <v>http://instagram.com/smoltriangle._</v>
      </c>
      <c r="Q444">
        <v>1</v>
      </c>
      <c r="R444" t="s">
        <v>60</v>
      </c>
      <c r="W444">
        <v>3</v>
      </c>
      <c r="X444">
        <v>3</v>
      </c>
      <c r="AE444">
        <v>1</v>
      </c>
      <c r="AI444" t="s">
        <v>52</v>
      </c>
      <c r="AJ444" t="s">
        <v>458</v>
      </c>
      <c r="AK444" t="s">
        <v>110</v>
      </c>
      <c r="AL444" t="str">
        <f>HYPERLINK("https://www.instagram.com/p/BzH06VKni8i/media/?size=l")</f>
        <v>https://www.instagram.com/p/BzH06VKni8i/media/?size=l</v>
      </c>
      <c r="AM444" t="s">
        <v>52</v>
      </c>
      <c r="AN444" t="s">
        <v>53</v>
      </c>
    </row>
    <row r="445" spans="1:40">
      <c r="A445" t="s">
        <v>40</v>
      </c>
      <c r="B445" t="s">
        <v>1891</v>
      </c>
      <c r="C445" t="s">
        <v>1892</v>
      </c>
      <c r="D445" t="s">
        <v>52</v>
      </c>
      <c r="E445" t="s">
        <v>1893</v>
      </c>
      <c r="F445" t="s">
        <v>131</v>
      </c>
      <c r="G445" t="str">
        <f>HYPERLINK("https://twitter.com/751925157740982272/status/1143401785538809856")</f>
        <v>https://twitter.com/751925157740982272/status/1143401785538809856</v>
      </c>
      <c r="H445" t="s">
        <v>46</v>
      </c>
      <c r="I445" t="s">
        <v>52</v>
      </c>
      <c r="J445" t="str">
        <f>HYPERLINK("http://twitter.com/elmokodeniall")</f>
        <v>http://twitter.com/elmokodeniall</v>
      </c>
      <c r="K445">
        <v>509</v>
      </c>
      <c r="N445" t="s">
        <v>65</v>
      </c>
      <c r="R445" t="s">
        <v>60</v>
      </c>
      <c r="W445">
        <v>0</v>
      </c>
      <c r="X445">
        <v>0</v>
      </c>
      <c r="AE445">
        <v>0</v>
      </c>
      <c r="AI445" t="s">
        <v>108</v>
      </c>
      <c r="AJ445" t="s">
        <v>1894</v>
      </c>
      <c r="AK445" t="s">
        <v>52</v>
      </c>
      <c r="AL445" t="str">
        <f>HYPERLINK("https://pbs.twimg.com/media/D9ze6kEU4AEjuDQ.jpg")</f>
        <v>https://pbs.twimg.com/media/D9ze6kEU4AEjuDQ.jpg</v>
      </c>
      <c r="AM445" t="s">
        <v>52</v>
      </c>
      <c r="AN445" t="s">
        <v>53</v>
      </c>
    </row>
    <row r="446" spans="1:40">
      <c r="A446" t="s">
        <v>40</v>
      </c>
      <c r="B446" t="s">
        <v>1895</v>
      </c>
      <c r="C446" t="s">
        <v>1896</v>
      </c>
      <c r="D446" t="s">
        <v>52</v>
      </c>
      <c r="E446" t="s">
        <v>1897</v>
      </c>
      <c r="F446" t="s">
        <v>131</v>
      </c>
      <c r="G446" t="str">
        <f>HYPERLINK("https://twitter.com/140131259/status/1143401668932972544")</f>
        <v>https://twitter.com/140131259/status/1143401668932972544</v>
      </c>
      <c r="H446" t="s">
        <v>46</v>
      </c>
      <c r="I446" t="s">
        <v>1898</v>
      </c>
      <c r="J446" t="str">
        <f>HYPERLINK("http://twitter.com/AnaPatrcia_APRB")</f>
        <v>http://twitter.com/AnaPatrcia_APRB</v>
      </c>
      <c r="K446">
        <v>11122</v>
      </c>
      <c r="N446" t="s">
        <v>65</v>
      </c>
      <c r="R446" t="s">
        <v>60</v>
      </c>
      <c r="W446">
        <v>0</v>
      </c>
      <c r="X446">
        <v>0</v>
      </c>
      <c r="AE446">
        <v>0</v>
      </c>
      <c r="AM446" t="s">
        <v>52</v>
      </c>
      <c r="AN446" t="s">
        <v>53</v>
      </c>
    </row>
    <row r="447" spans="1:40">
      <c r="A447" t="s">
        <v>40</v>
      </c>
      <c r="B447" t="s">
        <v>1895</v>
      </c>
      <c r="C447" t="s">
        <v>1899</v>
      </c>
      <c r="D447" t="s">
        <v>52</v>
      </c>
      <c r="E447" t="s">
        <v>1900</v>
      </c>
      <c r="F447" t="s">
        <v>131</v>
      </c>
      <c r="G447" t="str">
        <f>HYPERLINK("https://twitter.com/751925157740982272/status/1143401595939504128")</f>
        <v>https://twitter.com/751925157740982272/status/1143401595939504128</v>
      </c>
      <c r="H447" t="s">
        <v>46</v>
      </c>
      <c r="I447" t="s">
        <v>52</v>
      </c>
      <c r="J447" t="str">
        <f>HYPERLINK("http://twitter.com/elmokodeniall")</f>
        <v>http://twitter.com/elmokodeniall</v>
      </c>
      <c r="K447">
        <v>509</v>
      </c>
      <c r="N447" t="s">
        <v>65</v>
      </c>
      <c r="R447" t="s">
        <v>60</v>
      </c>
      <c r="W447">
        <v>0</v>
      </c>
      <c r="X447">
        <v>0</v>
      </c>
      <c r="AE447">
        <v>0</v>
      </c>
      <c r="AI447" t="s">
        <v>52</v>
      </c>
      <c r="AJ447" t="s">
        <v>1901</v>
      </c>
      <c r="AK447" t="s">
        <v>52</v>
      </c>
      <c r="AL447" t="str">
        <f>HYPERLINK("https://pbs.twimg.com/media/D9zbTcxVAAADaUG.jpg")</f>
        <v>https://pbs.twimg.com/media/D9zbTcxVAAADaUG.jpg</v>
      </c>
      <c r="AM447" t="s">
        <v>52</v>
      </c>
      <c r="AN447" t="s">
        <v>53</v>
      </c>
    </row>
    <row r="448" spans="1:40">
      <c r="A448" t="s">
        <v>40</v>
      </c>
      <c r="B448" t="s">
        <v>1902</v>
      </c>
      <c r="C448" t="s">
        <v>1888</v>
      </c>
      <c r="D448" t="s">
        <v>52</v>
      </c>
      <c r="E448" t="s">
        <v>1903</v>
      </c>
      <c r="F448" t="s">
        <v>45</v>
      </c>
      <c r="G448" t="str">
        <f>HYPERLINK("https://www.instagram.com/p/BzH0JPbHST4")</f>
        <v>https://www.instagram.com/p/BzH0JPbHST4</v>
      </c>
      <c r="H448" t="s">
        <v>46</v>
      </c>
      <c r="I448" t="s">
        <v>1890</v>
      </c>
      <c r="J448" t="str">
        <f>HYPERLINK("http://instagram.com/smoltriangle._")</f>
        <v>http://instagram.com/smoltriangle._</v>
      </c>
      <c r="K448">
        <v>1</v>
      </c>
      <c r="N448" t="s">
        <v>59</v>
      </c>
      <c r="O448" t="s">
        <v>1890</v>
      </c>
      <c r="P448" t="str">
        <f>HYPERLINK("http://instagram.com/smoltriangle._")</f>
        <v>http://instagram.com/smoltriangle._</v>
      </c>
      <c r="Q448">
        <v>1</v>
      </c>
      <c r="R448" t="s">
        <v>60</v>
      </c>
      <c r="W448">
        <v>6</v>
      </c>
      <c r="X448">
        <v>6</v>
      </c>
      <c r="AE448">
        <v>0</v>
      </c>
      <c r="AG448">
        <v>11</v>
      </c>
      <c r="AI448" t="s">
        <v>52</v>
      </c>
      <c r="AJ448" t="s">
        <v>458</v>
      </c>
      <c r="AK448" t="s">
        <v>52</v>
      </c>
      <c r="AL448" t="str">
        <f>HYPERLINK("https://www.instagram.com/p/BzH0JPbHST4/media/?size=l")</f>
        <v>https://www.instagram.com/p/BzH0JPbHST4/media/?size=l</v>
      </c>
      <c r="AM448" t="s">
        <v>52</v>
      </c>
      <c r="AN448" t="s">
        <v>53</v>
      </c>
    </row>
    <row r="449" spans="1:40">
      <c r="A449" t="s">
        <v>40</v>
      </c>
      <c r="B449" t="s">
        <v>1904</v>
      </c>
      <c r="C449" t="s">
        <v>1905</v>
      </c>
      <c r="D449" t="s">
        <v>1906</v>
      </c>
      <c r="E449" t="s">
        <v>1907</v>
      </c>
      <c r="F449" t="s">
        <v>45</v>
      </c>
      <c r="G449" t="str">
        <f>HYPERLINK("https://www.reddit.com/r/gaming/comments/c4s7ll/our_highschool_lan_parties_2004/?sort=new#thing_t1_erz3ql5")</f>
        <v>https://www.reddit.com/r/gaming/comments/c4s7ll/our_highschool_lan_parties_2004/?sort=new#thing_t1_erz3ql5</v>
      </c>
      <c r="H449" t="s">
        <v>46</v>
      </c>
      <c r="I449" t="s">
        <v>1908</v>
      </c>
      <c r="J449" t="str">
        <f>HYPERLINK("https://www.reddit.com/r/gaming/comments/c4s7ll/our_highschool_lan_parties_2004/?sort=new#thing_t1_erz3ql5")</f>
        <v>https://www.reddit.com/r/gaming/comments/c4s7ll/our_highschool_lan_parties_2004/?sort=new#thing_t1_erz3ql5</v>
      </c>
      <c r="N449" t="s">
        <v>545</v>
      </c>
      <c r="O449" t="s">
        <v>1909</v>
      </c>
      <c r="P449" t="str">
        <f>HYPERLINK("https://www.reddit.com/r/nostalgia/")</f>
        <v>https://www.reddit.com/r/nostalgia/</v>
      </c>
      <c r="R449" t="s">
        <v>516</v>
      </c>
      <c r="S449" t="s">
        <v>51</v>
      </c>
      <c r="AM449" t="s">
        <v>52</v>
      </c>
      <c r="AN449" t="s">
        <v>53</v>
      </c>
    </row>
    <row r="450" spans="1:40">
      <c r="A450" t="s">
        <v>40</v>
      </c>
      <c r="B450" t="s">
        <v>1910</v>
      </c>
      <c r="C450" t="s">
        <v>472</v>
      </c>
      <c r="D450" t="s">
        <v>1911</v>
      </c>
      <c r="E450" t="s">
        <v>1912</v>
      </c>
      <c r="F450" t="s">
        <v>45</v>
      </c>
      <c r="G450" t="str">
        <f>HYPERLINK("https://www.youtube.com/watch?v=IeKPFUkH0DM")</f>
        <v>https://www.youtube.com/watch?v=IeKPFUkH0DM</v>
      </c>
      <c r="H450" t="s">
        <v>46</v>
      </c>
      <c r="I450" t="s">
        <v>1913</v>
      </c>
      <c r="J450" t="str">
        <f>HYPERLINK("https://www.youtube.com/channel/UC2x9-RF5MUILAx-FydMRc3A")</f>
        <v>https://www.youtube.com/channel/UC2x9-RF5MUILAx-FydMRc3A</v>
      </c>
      <c r="K450">
        <v>19</v>
      </c>
      <c r="N450" t="s">
        <v>116</v>
      </c>
      <c r="O450" t="s">
        <v>1913</v>
      </c>
      <c r="P450" t="str">
        <f>HYPERLINK("https://www.youtube.com/channel/UC2x9-RF5MUILAx-FydMRc3A")</f>
        <v>https://www.youtube.com/channel/UC2x9-RF5MUILAx-FydMRc3A</v>
      </c>
      <c r="Q450">
        <v>19</v>
      </c>
      <c r="R450" t="s">
        <v>60</v>
      </c>
      <c r="W450">
        <v>2</v>
      </c>
      <c r="X450">
        <v>2</v>
      </c>
      <c r="AD450">
        <v>0</v>
      </c>
      <c r="AE450">
        <v>0</v>
      </c>
      <c r="AG450">
        <v>24</v>
      </c>
      <c r="AI450" t="s">
        <v>108</v>
      </c>
      <c r="AJ450" t="s">
        <v>52</v>
      </c>
      <c r="AK450" t="s">
        <v>52</v>
      </c>
      <c r="AL450" t="str">
        <f>HYPERLINK("https://i.ytimg.com/vi/IeKPFUkH0DM/maxresdefault.jpg")</f>
        <v>https://i.ytimg.com/vi/IeKPFUkH0DM/maxresdefault.jpg</v>
      </c>
      <c r="AM450" t="s">
        <v>52</v>
      </c>
      <c r="AN450" t="s">
        <v>53</v>
      </c>
    </row>
    <row r="451" spans="1:40">
      <c r="A451" t="s">
        <v>40</v>
      </c>
      <c r="B451" t="s">
        <v>1914</v>
      </c>
      <c r="C451" t="s">
        <v>1896</v>
      </c>
      <c r="D451" t="s">
        <v>52</v>
      </c>
      <c r="E451" t="s">
        <v>1915</v>
      </c>
      <c r="F451" t="s">
        <v>45</v>
      </c>
      <c r="G451" t="str">
        <f>HYPERLINK("https://twitter.com/1040454724909117441/status/1143399610880147456")</f>
        <v>https://twitter.com/1040454724909117441/status/1143399610880147456</v>
      </c>
      <c r="H451" t="s">
        <v>46</v>
      </c>
      <c r="I451" t="s">
        <v>52</v>
      </c>
      <c r="J451" t="str">
        <f>HYPERLINK("http://twitter.com/BauzonDiana")</f>
        <v>http://twitter.com/BauzonDiana</v>
      </c>
      <c r="K451">
        <v>131</v>
      </c>
      <c r="N451" t="s">
        <v>65</v>
      </c>
      <c r="R451" t="s">
        <v>60</v>
      </c>
      <c r="S451" t="s">
        <v>51</v>
      </c>
      <c r="T451" t="s">
        <v>1916</v>
      </c>
      <c r="W451">
        <v>3</v>
      </c>
      <c r="X451">
        <v>3</v>
      </c>
      <c r="AE451">
        <v>0</v>
      </c>
      <c r="AF451">
        <v>0</v>
      </c>
      <c r="AM451" t="s">
        <v>52</v>
      </c>
      <c r="AN451" t="s">
        <v>53</v>
      </c>
    </row>
    <row r="452" spans="1:40">
      <c r="A452" t="s">
        <v>40</v>
      </c>
      <c r="B452" t="s">
        <v>1914</v>
      </c>
      <c r="C452" t="s">
        <v>1899</v>
      </c>
      <c r="D452" t="s">
        <v>52</v>
      </c>
      <c r="E452" t="s">
        <v>1194</v>
      </c>
      <c r="F452" t="s">
        <v>131</v>
      </c>
      <c r="G452" t="str">
        <f>HYPERLINK("https://twitter.com/292537780/status/1143399566667943936")</f>
        <v>https://twitter.com/292537780/status/1143399566667943936</v>
      </c>
      <c r="H452" t="s">
        <v>46</v>
      </c>
      <c r="I452" t="s">
        <v>1917</v>
      </c>
      <c r="J452" t="str">
        <f>HYPERLINK("http://twitter.com/x_Charlotte_k")</f>
        <v>http://twitter.com/x_Charlotte_k</v>
      </c>
      <c r="K452">
        <v>141</v>
      </c>
      <c r="N452" t="s">
        <v>65</v>
      </c>
      <c r="R452" t="s">
        <v>60</v>
      </c>
      <c r="W452">
        <v>0</v>
      </c>
      <c r="X452">
        <v>0</v>
      </c>
      <c r="AE452">
        <v>0</v>
      </c>
      <c r="AI452" t="s">
        <v>52</v>
      </c>
      <c r="AJ452" t="s">
        <v>1196</v>
      </c>
      <c r="AK452" t="s">
        <v>52</v>
      </c>
      <c r="AL452" t="str">
        <f>HYPERLINK("https://pbs.twimg.com/media/D9xgk2YXkAAd2ql.jpg")</f>
        <v>https://pbs.twimg.com/media/D9xgk2YXkAAd2ql.jpg</v>
      </c>
      <c r="AM452" t="s">
        <v>52</v>
      </c>
      <c r="AN452" t="s">
        <v>53</v>
      </c>
    </row>
    <row r="453" spans="1:40">
      <c r="A453" t="s">
        <v>40</v>
      </c>
      <c r="B453" t="s">
        <v>1918</v>
      </c>
      <c r="C453" t="s">
        <v>1919</v>
      </c>
      <c r="D453" t="s">
        <v>52</v>
      </c>
      <c r="E453" t="s">
        <v>1920</v>
      </c>
      <c r="F453" t="s">
        <v>95</v>
      </c>
      <c r="G453" t="str">
        <f>HYPERLINK("https://twitter.com/2440755020/status/1143399412263247878")</f>
        <v>https://twitter.com/2440755020/status/1143399412263247878</v>
      </c>
      <c r="H453" t="s">
        <v>46</v>
      </c>
      <c r="I453" t="s">
        <v>1921</v>
      </c>
      <c r="J453" t="str">
        <f>HYPERLINK("http://twitter.com/Marupinaroli")</f>
        <v>http://twitter.com/Marupinaroli</v>
      </c>
      <c r="K453">
        <v>697</v>
      </c>
      <c r="N453" t="s">
        <v>65</v>
      </c>
      <c r="R453" t="s">
        <v>60</v>
      </c>
      <c r="W453">
        <v>1</v>
      </c>
      <c r="X453">
        <v>1</v>
      </c>
      <c r="AE453">
        <v>0</v>
      </c>
      <c r="AF453">
        <v>0</v>
      </c>
      <c r="AM453" t="s">
        <v>52</v>
      </c>
      <c r="AN453" t="s">
        <v>53</v>
      </c>
    </row>
    <row r="454" spans="1:40">
      <c r="A454" t="s">
        <v>40</v>
      </c>
      <c r="B454" t="s">
        <v>1922</v>
      </c>
      <c r="C454" t="s">
        <v>1266</v>
      </c>
      <c r="D454" t="s">
        <v>52</v>
      </c>
      <c r="E454" t="s">
        <v>1923</v>
      </c>
      <c r="F454" t="s">
        <v>45</v>
      </c>
      <c r="G454" t="str">
        <f>HYPERLINK("https://www.instagram.com/p/BzHze3AAFU3")</f>
        <v>https://www.instagram.com/p/BzHze3AAFU3</v>
      </c>
      <c r="H454" t="s">
        <v>46</v>
      </c>
      <c r="I454" t="s">
        <v>1924</v>
      </c>
      <c r="J454" t="str">
        <f>HYPERLINK("http://instagram.com/chickeniseverything")</f>
        <v>http://instagram.com/chickeniseverything</v>
      </c>
      <c r="K454">
        <v>103</v>
      </c>
      <c r="N454" t="s">
        <v>59</v>
      </c>
      <c r="O454" t="s">
        <v>1924</v>
      </c>
      <c r="P454" t="str">
        <f>HYPERLINK("http://instagram.com/chickeniseverything")</f>
        <v>http://instagram.com/chickeniseverything</v>
      </c>
      <c r="Q454">
        <v>103</v>
      </c>
      <c r="R454" t="s">
        <v>60</v>
      </c>
      <c r="W454">
        <v>19</v>
      </c>
      <c r="X454">
        <v>19</v>
      </c>
      <c r="AE454">
        <v>0</v>
      </c>
      <c r="AI454" t="s">
        <v>52</v>
      </c>
      <c r="AJ454" t="s">
        <v>1925</v>
      </c>
      <c r="AK454" t="s">
        <v>1926</v>
      </c>
      <c r="AL454" t="str">
        <f>HYPERLINK("https://www.instagram.com/p/BzHze3AAFU3/media/?size=l")</f>
        <v>https://www.instagram.com/p/BzHze3AAFU3/media/?size=l</v>
      </c>
      <c r="AM454" t="s">
        <v>52</v>
      </c>
      <c r="AN454" t="s">
        <v>53</v>
      </c>
    </row>
    <row r="455" spans="1:40">
      <c r="A455" t="s">
        <v>40</v>
      </c>
      <c r="B455" t="s">
        <v>1922</v>
      </c>
      <c r="C455" t="s">
        <v>1927</v>
      </c>
      <c r="D455" t="s">
        <v>52</v>
      </c>
      <c r="E455" t="s">
        <v>130</v>
      </c>
      <c r="F455" t="s">
        <v>131</v>
      </c>
      <c r="G455" t="str">
        <f>HYPERLINK("https://twitter.com/750352769085833216/status/1143398812091846656")</f>
        <v>https://twitter.com/750352769085833216/status/1143398812091846656</v>
      </c>
      <c r="H455" t="s">
        <v>46</v>
      </c>
      <c r="I455" t="s">
        <v>1928</v>
      </c>
      <c r="J455" t="str">
        <f>HYPERLINK("http://twitter.com/Paul96267613")</f>
        <v>http://twitter.com/Paul96267613</v>
      </c>
      <c r="K455">
        <v>344</v>
      </c>
      <c r="L455" t="s">
        <v>48</v>
      </c>
      <c r="N455" t="s">
        <v>65</v>
      </c>
      <c r="R455" t="s">
        <v>60</v>
      </c>
      <c r="S455" t="s">
        <v>97</v>
      </c>
      <c r="T455" t="s">
        <v>177</v>
      </c>
      <c r="U455" t="s">
        <v>1929</v>
      </c>
      <c r="W455">
        <v>0</v>
      </c>
      <c r="X455">
        <v>0</v>
      </c>
      <c r="AE455">
        <v>0</v>
      </c>
      <c r="AI455" t="s">
        <v>108</v>
      </c>
      <c r="AJ455" t="s">
        <v>52</v>
      </c>
      <c r="AK455" t="s">
        <v>52</v>
      </c>
      <c r="AL455" t="str">
        <f>HYPERLINK("https://pbs.twimg.com/media/D9XTkLWW4AAOYnJ.jpg")</f>
        <v>https://pbs.twimg.com/media/D9XTkLWW4AAOYnJ.jpg</v>
      </c>
      <c r="AM455" t="s">
        <v>52</v>
      </c>
      <c r="AN455" t="s">
        <v>53</v>
      </c>
    </row>
    <row r="456" spans="1:40">
      <c r="A456" t="s">
        <v>40</v>
      </c>
      <c r="B456" t="s">
        <v>1922</v>
      </c>
      <c r="C456" t="s">
        <v>1266</v>
      </c>
      <c r="D456" t="s">
        <v>52</v>
      </c>
      <c r="E456" t="s">
        <v>204</v>
      </c>
      <c r="F456" t="s">
        <v>131</v>
      </c>
      <c r="G456" t="str">
        <f>HYPERLINK("https://twitter.com/786324382163439616/status/1143398677391667200")</f>
        <v>https://twitter.com/786324382163439616/status/1143398677391667200</v>
      </c>
      <c r="H456" t="s">
        <v>46</v>
      </c>
      <c r="I456" t="s">
        <v>1930</v>
      </c>
      <c r="J456" t="str">
        <f>HYPERLINK("http://twitter.com/juliaaryn")</f>
        <v>http://twitter.com/juliaaryn</v>
      </c>
      <c r="K456">
        <v>116</v>
      </c>
      <c r="L456" t="s">
        <v>58</v>
      </c>
      <c r="N456" t="s">
        <v>65</v>
      </c>
      <c r="R456" t="s">
        <v>60</v>
      </c>
      <c r="S456" t="s">
        <v>51</v>
      </c>
      <c r="T456" t="s">
        <v>173</v>
      </c>
      <c r="U456" t="s">
        <v>1214</v>
      </c>
      <c r="W456">
        <v>0</v>
      </c>
      <c r="X456">
        <v>0</v>
      </c>
      <c r="AE456">
        <v>0</v>
      </c>
      <c r="AM456" t="s">
        <v>52</v>
      </c>
      <c r="AN456" t="s">
        <v>53</v>
      </c>
    </row>
    <row r="457" spans="1:40">
      <c r="A457" t="s">
        <v>40</v>
      </c>
      <c r="B457" t="s">
        <v>1931</v>
      </c>
      <c r="C457" t="s">
        <v>1932</v>
      </c>
      <c r="D457" t="s">
        <v>52</v>
      </c>
      <c r="E457" t="s">
        <v>204</v>
      </c>
      <c r="F457" t="s">
        <v>131</v>
      </c>
      <c r="G457" t="str">
        <f>HYPERLINK("https://twitter.com/1069446654019989504/status/1143398642092580864")</f>
        <v>https://twitter.com/1069446654019989504/status/1143398642092580864</v>
      </c>
      <c r="H457" t="s">
        <v>46</v>
      </c>
      <c r="I457" t="s">
        <v>1933</v>
      </c>
      <c r="J457" t="str">
        <f>HYPERLINK("http://twitter.com/godhatesmehaha")</f>
        <v>http://twitter.com/godhatesmehaha</v>
      </c>
      <c r="K457">
        <v>102</v>
      </c>
      <c r="N457" t="s">
        <v>65</v>
      </c>
      <c r="R457" t="s">
        <v>60</v>
      </c>
      <c r="S457" t="s">
        <v>387</v>
      </c>
      <c r="T457" t="s">
        <v>1393</v>
      </c>
      <c r="U457" t="s">
        <v>1934</v>
      </c>
      <c r="W457">
        <v>0</v>
      </c>
      <c r="X457">
        <v>0</v>
      </c>
      <c r="AE457">
        <v>0</v>
      </c>
      <c r="AM457" t="s">
        <v>52</v>
      </c>
      <c r="AN457" t="s">
        <v>53</v>
      </c>
    </row>
    <row r="458" spans="1:40">
      <c r="A458" t="s">
        <v>40</v>
      </c>
      <c r="B458" t="s">
        <v>1935</v>
      </c>
      <c r="C458" t="s">
        <v>1927</v>
      </c>
      <c r="D458" t="s">
        <v>52</v>
      </c>
      <c r="E458" t="s">
        <v>1936</v>
      </c>
      <c r="F458" t="s">
        <v>71</v>
      </c>
      <c r="G458" t="str">
        <f>HYPERLINK("https://twitter.com/63017652/status/1143397637166641152")</f>
        <v>https://twitter.com/63017652/status/1143397637166641152</v>
      </c>
      <c r="H458" t="s">
        <v>46</v>
      </c>
      <c r="I458" t="s">
        <v>1937</v>
      </c>
      <c r="J458" t="str">
        <f>HYPERLINK("http://twitter.com/QueenKeiko")</f>
        <v>http://twitter.com/QueenKeiko</v>
      </c>
      <c r="K458">
        <v>11498</v>
      </c>
      <c r="N458" t="s">
        <v>65</v>
      </c>
      <c r="R458" t="s">
        <v>60</v>
      </c>
      <c r="S458" t="s">
        <v>51</v>
      </c>
      <c r="T458" t="s">
        <v>380</v>
      </c>
      <c r="U458" t="s">
        <v>380</v>
      </c>
      <c r="W458">
        <v>0</v>
      </c>
      <c r="X458">
        <v>0</v>
      </c>
      <c r="AE458">
        <v>0</v>
      </c>
      <c r="AF458">
        <v>0</v>
      </c>
      <c r="AM458" t="s">
        <v>52</v>
      </c>
      <c r="AN458" t="s">
        <v>53</v>
      </c>
    </row>
    <row r="459" spans="1:40">
      <c r="A459" t="s">
        <v>40</v>
      </c>
      <c r="B459" t="s">
        <v>1935</v>
      </c>
      <c r="C459" t="s">
        <v>1927</v>
      </c>
      <c r="D459" t="s">
        <v>52</v>
      </c>
      <c r="E459" t="s">
        <v>1938</v>
      </c>
      <c r="F459" t="s">
        <v>71</v>
      </c>
      <c r="G459" t="str">
        <f>HYPERLINK("https://twitter.com/896397271033446400/status/1143397508267163653")</f>
        <v>https://twitter.com/896397271033446400/status/1143397508267163653</v>
      </c>
      <c r="H459" t="s">
        <v>46</v>
      </c>
      <c r="I459" t="s">
        <v>1939</v>
      </c>
      <c r="J459" t="str">
        <f>HYPERLINK("http://twitter.com/OrtegaSayItRyte")</f>
        <v>http://twitter.com/OrtegaSayItRyte</v>
      </c>
      <c r="K459">
        <v>1263</v>
      </c>
      <c r="N459" t="s">
        <v>65</v>
      </c>
      <c r="R459" t="s">
        <v>60</v>
      </c>
      <c r="S459" t="s">
        <v>142</v>
      </c>
      <c r="T459" t="s">
        <v>143</v>
      </c>
      <c r="U459" t="s">
        <v>1940</v>
      </c>
      <c r="W459">
        <v>0</v>
      </c>
      <c r="X459">
        <v>0</v>
      </c>
      <c r="AE459">
        <v>0</v>
      </c>
      <c r="AF459">
        <v>0</v>
      </c>
      <c r="AM459" t="s">
        <v>52</v>
      </c>
      <c r="AN459" t="s">
        <v>53</v>
      </c>
    </row>
    <row r="460" spans="1:40">
      <c r="A460" t="s">
        <v>40</v>
      </c>
      <c r="B460" t="s">
        <v>1941</v>
      </c>
      <c r="C460" t="s">
        <v>1942</v>
      </c>
      <c r="D460" t="s">
        <v>52</v>
      </c>
      <c r="E460" t="s">
        <v>1411</v>
      </c>
      <c r="F460" t="s">
        <v>45</v>
      </c>
      <c r="G460" t="str">
        <f>HYPERLINK("https://twitter.com/1087073998662455299/status/1143397314473730048")</f>
        <v>https://twitter.com/1087073998662455299/status/1143397314473730048</v>
      </c>
      <c r="H460" t="s">
        <v>46</v>
      </c>
      <c r="I460" t="s">
        <v>1943</v>
      </c>
      <c r="J460" t="str">
        <f>HYPERLINK("http://twitter.com/hannabetitty")</f>
        <v>http://twitter.com/hannabetitty</v>
      </c>
      <c r="K460">
        <v>43</v>
      </c>
      <c r="N460" t="s">
        <v>65</v>
      </c>
      <c r="R460" t="s">
        <v>60</v>
      </c>
      <c r="W460">
        <v>0</v>
      </c>
      <c r="X460">
        <v>0</v>
      </c>
      <c r="AE460">
        <v>0</v>
      </c>
      <c r="AF460">
        <v>0</v>
      </c>
      <c r="AM460" t="s">
        <v>52</v>
      </c>
      <c r="AN460" t="s">
        <v>53</v>
      </c>
    </row>
    <row r="461" spans="1:40">
      <c r="A461" t="s">
        <v>40</v>
      </c>
      <c r="B461" t="s">
        <v>1941</v>
      </c>
      <c r="C461" t="s">
        <v>1944</v>
      </c>
      <c r="D461" t="s">
        <v>52</v>
      </c>
      <c r="E461" t="s">
        <v>1945</v>
      </c>
      <c r="F461" t="s">
        <v>95</v>
      </c>
      <c r="G461" t="str">
        <f>HYPERLINK("https://twitter.com/899548688799936512/status/1143397170328084483")</f>
        <v>https://twitter.com/899548688799936512/status/1143397170328084483</v>
      </c>
      <c r="H461" t="s">
        <v>46</v>
      </c>
      <c r="I461" t="s">
        <v>1946</v>
      </c>
      <c r="J461" t="str">
        <f>HYPERLINK("http://twitter.com/ElementalPlanet")</f>
        <v>http://twitter.com/ElementalPlanet</v>
      </c>
      <c r="K461">
        <v>1</v>
      </c>
      <c r="N461" t="s">
        <v>65</v>
      </c>
      <c r="R461" t="s">
        <v>60</v>
      </c>
      <c r="S461" t="s">
        <v>1947</v>
      </c>
      <c r="T461" t="s">
        <v>1948</v>
      </c>
      <c r="U461" t="s">
        <v>1949</v>
      </c>
      <c r="W461">
        <v>0</v>
      </c>
      <c r="X461">
        <v>0</v>
      </c>
      <c r="AE461">
        <v>0</v>
      </c>
      <c r="AF461">
        <v>0</v>
      </c>
      <c r="AM461" t="s">
        <v>52</v>
      </c>
      <c r="AN461" t="s">
        <v>53</v>
      </c>
    </row>
    <row r="462" spans="1:40">
      <c r="A462" t="s">
        <v>40</v>
      </c>
      <c r="B462" t="s">
        <v>1941</v>
      </c>
      <c r="C462" t="s">
        <v>1950</v>
      </c>
      <c r="D462" t="s">
        <v>1951</v>
      </c>
      <c r="E462" t="s">
        <v>1952</v>
      </c>
      <c r="F462" t="s">
        <v>95</v>
      </c>
      <c r="G462" t="str">
        <f>HYPERLINK("https://www.foxnews.com/politics/oregon-lawmakers-sign-2-laws-to-deal-with-massive-marijuana-surplus#c0d0e94dfbed1f0df351c9a57ba9c559")</f>
        <v>https://www.foxnews.com/politics/oregon-lawmakers-sign-2-laws-to-deal-with-massive-marijuana-surplus#c0d0e94dfbed1f0df351c9a57ba9c559</v>
      </c>
      <c r="H462" t="s">
        <v>46</v>
      </c>
      <c r="I462" t="s">
        <v>1953</v>
      </c>
      <c r="J462" t="str">
        <f>HYPERLINK("https://www.foxnews.com/politics/oregon-lawmakers-sign-2-laws-to-deal-with-massive-marijuana-surplus#c0d0e94dfbed1f0df351c9a57ba9c559")</f>
        <v>https://www.foxnews.com/politics/oregon-lawmakers-sign-2-laws-to-deal-with-massive-marijuana-surplus#c0d0e94dfbed1f0df351c9a57ba9c559</v>
      </c>
      <c r="N462" t="s">
        <v>1954</v>
      </c>
      <c r="R462" t="s">
        <v>357</v>
      </c>
      <c r="AM462" t="s">
        <v>52</v>
      </c>
      <c r="AN462" t="s">
        <v>53</v>
      </c>
    </row>
    <row r="463" spans="1:40">
      <c r="A463" t="s">
        <v>40</v>
      </c>
      <c r="B463" t="s">
        <v>1955</v>
      </c>
      <c r="C463" t="s">
        <v>1944</v>
      </c>
      <c r="D463" t="s">
        <v>52</v>
      </c>
      <c r="E463" t="s">
        <v>1956</v>
      </c>
      <c r="F463" t="s">
        <v>45</v>
      </c>
      <c r="G463" t="str">
        <f>HYPERLINK("https://twitter.com/3245549497/status/1143396859211206661")</f>
        <v>https://twitter.com/3245549497/status/1143396859211206661</v>
      </c>
      <c r="H463" t="s">
        <v>46</v>
      </c>
      <c r="I463" t="s">
        <v>1957</v>
      </c>
      <c r="J463" t="str">
        <f>HYPERLINK("http://twitter.com/Fraire__")</f>
        <v>http://twitter.com/Fraire__</v>
      </c>
      <c r="K463">
        <v>154</v>
      </c>
      <c r="N463" t="s">
        <v>65</v>
      </c>
      <c r="R463" t="s">
        <v>60</v>
      </c>
      <c r="S463" t="s">
        <v>51</v>
      </c>
      <c r="T463" t="s">
        <v>152</v>
      </c>
      <c r="U463" t="s">
        <v>1958</v>
      </c>
      <c r="W463">
        <v>0</v>
      </c>
      <c r="X463">
        <v>0</v>
      </c>
      <c r="AE463">
        <v>0</v>
      </c>
      <c r="AF463">
        <v>0</v>
      </c>
      <c r="AM463" t="s">
        <v>52</v>
      </c>
      <c r="AN463" t="s">
        <v>53</v>
      </c>
    </row>
    <row r="464" spans="1:40">
      <c r="A464" t="s">
        <v>40</v>
      </c>
      <c r="B464" t="s">
        <v>1959</v>
      </c>
      <c r="C464" t="s">
        <v>1960</v>
      </c>
      <c r="D464" t="s">
        <v>52</v>
      </c>
      <c r="E464" t="s">
        <v>1961</v>
      </c>
      <c r="F464" t="s">
        <v>131</v>
      </c>
      <c r="G464" t="str">
        <f>HYPERLINK("https://twitter.com/165186678/status/1143396406155259915")</f>
        <v>https://twitter.com/165186678/status/1143396406155259915</v>
      </c>
      <c r="H464" t="s">
        <v>46</v>
      </c>
      <c r="I464" t="s">
        <v>1962</v>
      </c>
      <c r="J464" t="str">
        <f>HYPERLINK("http://twitter.com/AudioTheBrand")</f>
        <v>http://twitter.com/AudioTheBrand</v>
      </c>
      <c r="K464">
        <v>5060</v>
      </c>
      <c r="N464" t="s">
        <v>65</v>
      </c>
      <c r="R464" t="s">
        <v>60</v>
      </c>
      <c r="S464" t="s">
        <v>1963</v>
      </c>
      <c r="W464">
        <v>0</v>
      </c>
      <c r="X464">
        <v>0</v>
      </c>
      <c r="AE464">
        <v>0</v>
      </c>
      <c r="AM464" t="s">
        <v>52</v>
      </c>
      <c r="AN464" t="s">
        <v>53</v>
      </c>
    </row>
    <row r="465" spans="1:40">
      <c r="A465" t="s">
        <v>40</v>
      </c>
      <c r="B465" t="s">
        <v>1964</v>
      </c>
      <c r="C465" t="s">
        <v>1965</v>
      </c>
      <c r="D465" t="s">
        <v>52</v>
      </c>
      <c r="E465" t="s">
        <v>1966</v>
      </c>
      <c r="F465" t="s">
        <v>131</v>
      </c>
      <c r="G465" t="str">
        <f>HYPERLINK("https://twitter.com/482454978/status/1143395525791756289")</f>
        <v>https://twitter.com/482454978/status/1143395525791756289</v>
      </c>
      <c r="H465" t="s">
        <v>46</v>
      </c>
      <c r="I465" t="s">
        <v>1967</v>
      </c>
      <c r="J465" t="str">
        <f>HYPERLINK("http://twitter.com/JustX___")</f>
        <v>http://twitter.com/JustX___</v>
      </c>
      <c r="K465">
        <v>557</v>
      </c>
      <c r="N465" t="s">
        <v>65</v>
      </c>
      <c r="R465" t="s">
        <v>60</v>
      </c>
      <c r="S465" t="s">
        <v>51</v>
      </c>
      <c r="T465" t="s">
        <v>497</v>
      </c>
      <c r="U465" t="s">
        <v>1968</v>
      </c>
      <c r="W465">
        <v>0</v>
      </c>
      <c r="X465">
        <v>0</v>
      </c>
      <c r="AE465">
        <v>0</v>
      </c>
      <c r="AM465" t="s">
        <v>52</v>
      </c>
      <c r="AN465" t="s">
        <v>53</v>
      </c>
    </row>
    <row r="466" spans="1:40">
      <c r="A466" t="s">
        <v>40</v>
      </c>
      <c r="B466" t="s">
        <v>1969</v>
      </c>
      <c r="C466" t="s">
        <v>1970</v>
      </c>
      <c r="D466" t="s">
        <v>52</v>
      </c>
      <c r="E466" t="s">
        <v>204</v>
      </c>
      <c r="F466" t="s">
        <v>131</v>
      </c>
      <c r="G466" t="str">
        <f>HYPERLINK("https://twitter.com/987586079275569152/status/1143395173176659970")</f>
        <v>https://twitter.com/987586079275569152/status/1143395173176659970</v>
      </c>
      <c r="H466" t="s">
        <v>46</v>
      </c>
      <c r="I466" t="s">
        <v>1971</v>
      </c>
      <c r="J466" t="str">
        <f>HYPERLINK("http://twitter.com/GoseongMisser")</f>
        <v>http://twitter.com/GoseongMisser</v>
      </c>
      <c r="K466">
        <v>22</v>
      </c>
      <c r="N466" t="s">
        <v>65</v>
      </c>
      <c r="R466" t="s">
        <v>60</v>
      </c>
      <c r="W466">
        <v>0</v>
      </c>
      <c r="X466">
        <v>0</v>
      </c>
      <c r="AE466">
        <v>0</v>
      </c>
      <c r="AM466" t="s">
        <v>52</v>
      </c>
      <c r="AN466" t="s">
        <v>53</v>
      </c>
    </row>
    <row r="467" spans="1:40">
      <c r="A467" t="s">
        <v>40</v>
      </c>
      <c r="B467" t="s">
        <v>1969</v>
      </c>
      <c r="C467" t="s">
        <v>1972</v>
      </c>
      <c r="D467" t="s">
        <v>1973</v>
      </c>
      <c r="E467" t="s">
        <v>1974</v>
      </c>
      <c r="F467" t="s">
        <v>45</v>
      </c>
      <c r="G467" t="str">
        <f>HYPERLINK("https://www.reddit.com/r/shittyfoodporn/comments/c4z9c4/i_was_just_handed_this_for_dinner/?sort=new#thing_t1_erz23gp")</f>
        <v>https://www.reddit.com/r/shittyfoodporn/comments/c4z9c4/i_was_just_handed_this_for_dinner/?sort=new#thing_t1_erz23gp</v>
      </c>
      <c r="H467" t="s">
        <v>46</v>
      </c>
      <c r="I467" t="s">
        <v>1975</v>
      </c>
      <c r="J467" t="str">
        <f>HYPERLINK("https://www.reddit.com/r/shittyfoodporn/comments/c4z9c4/i_was_just_handed_this_for_dinner/?sort=new#thing_t1_erz23gp")</f>
        <v>https://www.reddit.com/r/shittyfoodporn/comments/c4z9c4/i_was_just_handed_this_for_dinner/?sort=new#thing_t1_erz23gp</v>
      </c>
      <c r="N467" t="s">
        <v>545</v>
      </c>
      <c r="O467" t="s">
        <v>1976</v>
      </c>
      <c r="P467" t="str">
        <f>HYPERLINK("https://www.reddit.com/r/shittyfoodporn/")</f>
        <v>https://www.reddit.com/r/shittyfoodporn/</v>
      </c>
      <c r="R467" t="s">
        <v>516</v>
      </c>
      <c r="S467" t="s">
        <v>51</v>
      </c>
      <c r="AM467" t="s">
        <v>52</v>
      </c>
      <c r="AN467" t="s">
        <v>53</v>
      </c>
    </row>
    <row r="468" spans="1:40">
      <c r="A468" t="s">
        <v>40</v>
      </c>
      <c r="B468" t="s">
        <v>1969</v>
      </c>
      <c r="C468" t="s">
        <v>1905</v>
      </c>
      <c r="D468" t="s">
        <v>1906</v>
      </c>
      <c r="E468" t="s">
        <v>1977</v>
      </c>
      <c r="F468" t="s">
        <v>45</v>
      </c>
      <c r="G468" t="str">
        <f>HYPERLINK("https://www.reddit.com/r/gaming/comments/c4s7ll/our_highschool_lan_parties_2004/?sort=new#thing_t1_erz23c3")</f>
        <v>https://www.reddit.com/r/gaming/comments/c4s7ll/our_highschool_lan_parties_2004/?sort=new#thing_t1_erz23c3</v>
      </c>
      <c r="H468" t="s">
        <v>46</v>
      </c>
      <c r="I468" t="s">
        <v>1978</v>
      </c>
      <c r="J468" t="str">
        <f>HYPERLINK("https://www.reddit.com/r/gaming/comments/c4s7ll/our_highschool_lan_parties_2004/?sort=new#thing_t1_erz23c3")</f>
        <v>https://www.reddit.com/r/gaming/comments/c4s7ll/our_highschool_lan_parties_2004/?sort=new#thing_t1_erz23c3</v>
      </c>
      <c r="N468" t="s">
        <v>545</v>
      </c>
      <c r="O468" t="s">
        <v>1909</v>
      </c>
      <c r="P468" t="str">
        <f>HYPERLINK("https://www.reddit.com/r/nostalgia/")</f>
        <v>https://www.reddit.com/r/nostalgia/</v>
      </c>
      <c r="R468" t="s">
        <v>516</v>
      </c>
      <c r="S468" t="s">
        <v>51</v>
      </c>
      <c r="AM468" t="s">
        <v>52</v>
      </c>
      <c r="AN468" t="s">
        <v>53</v>
      </c>
    </row>
    <row r="469" spans="1:40">
      <c r="A469" t="s">
        <v>40</v>
      </c>
      <c r="B469" t="s">
        <v>1979</v>
      </c>
      <c r="C469" t="s">
        <v>1980</v>
      </c>
      <c r="D469" t="s">
        <v>52</v>
      </c>
      <c r="E469" t="s">
        <v>130</v>
      </c>
      <c r="F469" t="s">
        <v>131</v>
      </c>
      <c r="G469" t="str">
        <f>HYPERLINK("https://twitter.com/103213282/status/1143394564327256064")</f>
        <v>https://twitter.com/103213282/status/1143394564327256064</v>
      </c>
      <c r="H469" t="s">
        <v>46</v>
      </c>
      <c r="I469" t="s">
        <v>1981</v>
      </c>
      <c r="J469" t="str">
        <f>HYPERLINK("http://twitter.com/Janeg88")</f>
        <v>http://twitter.com/Janeg88</v>
      </c>
      <c r="K469">
        <v>618</v>
      </c>
      <c r="N469" t="s">
        <v>65</v>
      </c>
      <c r="R469" t="s">
        <v>60</v>
      </c>
      <c r="S469" t="s">
        <v>97</v>
      </c>
      <c r="T469" t="s">
        <v>98</v>
      </c>
      <c r="U469" t="s">
        <v>1982</v>
      </c>
      <c r="W469">
        <v>0</v>
      </c>
      <c r="X469">
        <v>0</v>
      </c>
      <c r="AE469">
        <v>0</v>
      </c>
      <c r="AI469" t="s">
        <v>108</v>
      </c>
      <c r="AJ469" t="s">
        <v>52</v>
      </c>
      <c r="AK469" t="s">
        <v>52</v>
      </c>
      <c r="AL469" t="str">
        <f>HYPERLINK("https://pbs.twimg.com/media/D9XTkLWW4AAOYnJ.jpg")</f>
        <v>https://pbs.twimg.com/media/D9XTkLWW4AAOYnJ.jpg</v>
      </c>
      <c r="AM469" t="s">
        <v>52</v>
      </c>
      <c r="AN469" t="s">
        <v>53</v>
      </c>
    </row>
    <row r="470" spans="1:40">
      <c r="A470" t="s">
        <v>40</v>
      </c>
      <c r="B470" t="s">
        <v>1979</v>
      </c>
      <c r="C470" t="s">
        <v>1960</v>
      </c>
      <c r="D470" t="s">
        <v>52</v>
      </c>
      <c r="E470" t="s">
        <v>1983</v>
      </c>
      <c r="F470" t="s">
        <v>45</v>
      </c>
      <c r="G470" t="str">
        <f>HYPERLINK("https://twitter.com/15550674/status/1143394529862725632")</f>
        <v>https://twitter.com/15550674/status/1143394529862725632</v>
      </c>
      <c r="H470" t="s">
        <v>46</v>
      </c>
      <c r="I470" t="s">
        <v>1984</v>
      </c>
      <c r="J470" t="str">
        <f>HYPERLINK("http://twitter.com/manu_oliveira")</f>
        <v>http://twitter.com/manu_oliveira</v>
      </c>
      <c r="K470">
        <v>152</v>
      </c>
      <c r="L470" t="s">
        <v>58</v>
      </c>
      <c r="N470" t="s">
        <v>65</v>
      </c>
      <c r="R470" t="s">
        <v>60</v>
      </c>
      <c r="S470" t="s">
        <v>432</v>
      </c>
      <c r="T470" t="s">
        <v>1985</v>
      </c>
      <c r="W470">
        <v>0</v>
      </c>
      <c r="X470">
        <v>0</v>
      </c>
      <c r="AE470">
        <v>0</v>
      </c>
      <c r="AF470">
        <v>0</v>
      </c>
      <c r="AM470" t="s">
        <v>52</v>
      </c>
      <c r="AN470" t="s">
        <v>53</v>
      </c>
    </row>
    <row r="471" spans="1:40">
      <c r="A471" t="s">
        <v>40</v>
      </c>
      <c r="B471" t="s">
        <v>1979</v>
      </c>
      <c r="C471" t="s">
        <v>1986</v>
      </c>
      <c r="D471" t="s">
        <v>52</v>
      </c>
      <c r="E471" t="s">
        <v>1987</v>
      </c>
      <c r="F471" t="s">
        <v>71</v>
      </c>
      <c r="G471" t="str">
        <f>HYPERLINK("https://twitter.com/1450209822/status/1143394452154802176")</f>
        <v>https://twitter.com/1450209822/status/1143394452154802176</v>
      </c>
      <c r="H471" t="s">
        <v>46</v>
      </c>
      <c r="I471" t="s">
        <v>1988</v>
      </c>
      <c r="J471" t="str">
        <f>HYPERLINK("http://twitter.com/ddrippin_")</f>
        <v>http://twitter.com/ddrippin_</v>
      </c>
      <c r="K471">
        <v>1178</v>
      </c>
      <c r="N471" t="s">
        <v>65</v>
      </c>
      <c r="R471" t="s">
        <v>60</v>
      </c>
      <c r="W471">
        <v>5</v>
      </c>
      <c r="X471">
        <v>5</v>
      </c>
      <c r="AE471">
        <v>0</v>
      </c>
      <c r="AF471">
        <v>0</v>
      </c>
      <c r="AM471" t="s">
        <v>52</v>
      </c>
      <c r="AN471" t="s">
        <v>53</v>
      </c>
    </row>
    <row r="472" spans="1:40">
      <c r="A472" t="s">
        <v>40</v>
      </c>
      <c r="B472" t="s">
        <v>1979</v>
      </c>
      <c r="C472" t="s">
        <v>1989</v>
      </c>
      <c r="D472" t="s">
        <v>52</v>
      </c>
      <c r="E472" t="s">
        <v>1990</v>
      </c>
      <c r="F472" t="s">
        <v>71</v>
      </c>
      <c r="G472" t="str">
        <f>HYPERLINK("https://twitter.com/2243383542/status/1143394413604851713")</f>
        <v>https://twitter.com/2243383542/status/1143394413604851713</v>
      </c>
      <c r="H472" t="s">
        <v>46</v>
      </c>
      <c r="I472" t="s">
        <v>1991</v>
      </c>
      <c r="J472" t="str">
        <f>HYPERLINK("http://twitter.com/jdonohoe12")</f>
        <v>http://twitter.com/jdonohoe12</v>
      </c>
      <c r="K472">
        <v>527</v>
      </c>
      <c r="L472" t="s">
        <v>48</v>
      </c>
      <c r="N472" t="s">
        <v>65</v>
      </c>
      <c r="R472" t="s">
        <v>60</v>
      </c>
      <c r="W472">
        <v>0</v>
      </c>
      <c r="X472">
        <v>0</v>
      </c>
      <c r="AE472">
        <v>0</v>
      </c>
      <c r="AF472">
        <v>0</v>
      </c>
      <c r="AM472" t="s">
        <v>52</v>
      </c>
      <c r="AN472" t="s">
        <v>53</v>
      </c>
    </row>
    <row r="473" spans="1:40">
      <c r="A473" t="s">
        <v>40</v>
      </c>
      <c r="B473" t="s">
        <v>1992</v>
      </c>
      <c r="C473" t="s">
        <v>1993</v>
      </c>
      <c r="D473" t="s">
        <v>52</v>
      </c>
      <c r="E473" t="s">
        <v>1994</v>
      </c>
      <c r="F473" t="s">
        <v>45</v>
      </c>
      <c r="G473" t="str">
        <f>HYPERLINK("https://twitter.com/2721462360/status/1143394168489689088")</f>
        <v>https://twitter.com/2721462360/status/1143394168489689088</v>
      </c>
      <c r="H473" t="s">
        <v>46</v>
      </c>
      <c r="I473" t="s">
        <v>1995</v>
      </c>
      <c r="J473" t="str">
        <f>HYPERLINK("http://twitter.com/madriz_gilbert")</f>
        <v>http://twitter.com/madriz_gilbert</v>
      </c>
      <c r="K473">
        <v>399</v>
      </c>
      <c r="N473" t="s">
        <v>65</v>
      </c>
      <c r="R473" t="s">
        <v>60</v>
      </c>
      <c r="W473">
        <v>2</v>
      </c>
      <c r="X473">
        <v>2</v>
      </c>
      <c r="AE473">
        <v>0</v>
      </c>
      <c r="AF473">
        <v>2</v>
      </c>
      <c r="AM473" t="s">
        <v>52</v>
      </c>
      <c r="AN473" t="s">
        <v>53</v>
      </c>
    </row>
    <row r="474" spans="1:40">
      <c r="A474" t="s">
        <v>40</v>
      </c>
      <c r="B474" t="s">
        <v>1996</v>
      </c>
      <c r="C474" t="s">
        <v>1989</v>
      </c>
      <c r="D474" t="s">
        <v>52</v>
      </c>
      <c r="E474" t="s">
        <v>1194</v>
      </c>
      <c r="F474" t="s">
        <v>131</v>
      </c>
      <c r="G474" t="str">
        <f>HYPERLINK("https://twitter.com/4904874902/status/1143394118875303937")</f>
        <v>https://twitter.com/4904874902/status/1143394118875303937</v>
      </c>
      <c r="H474" t="s">
        <v>46</v>
      </c>
      <c r="I474" t="s">
        <v>1997</v>
      </c>
      <c r="J474" t="str">
        <f>HYPERLINK("http://twitter.com/mhmmdfaiqmskn")</f>
        <v>http://twitter.com/mhmmdfaiqmskn</v>
      </c>
      <c r="K474">
        <v>45</v>
      </c>
      <c r="N474" t="s">
        <v>65</v>
      </c>
      <c r="R474" t="s">
        <v>60</v>
      </c>
      <c r="W474">
        <v>0</v>
      </c>
      <c r="X474">
        <v>0</v>
      </c>
      <c r="AE474">
        <v>0</v>
      </c>
      <c r="AI474" t="s">
        <v>52</v>
      </c>
      <c r="AJ474" t="s">
        <v>1196</v>
      </c>
      <c r="AK474" t="s">
        <v>52</v>
      </c>
      <c r="AL474" t="str">
        <f>HYPERLINK("https://pbs.twimg.com/media/D9xgk2YXkAAd2ql.jpg")</f>
        <v>https://pbs.twimg.com/media/D9xgk2YXkAAd2ql.jpg</v>
      </c>
      <c r="AM474" t="s">
        <v>52</v>
      </c>
      <c r="AN474" t="s">
        <v>53</v>
      </c>
    </row>
    <row r="475" spans="1:40">
      <c r="A475" t="s">
        <v>40</v>
      </c>
      <c r="B475" t="s">
        <v>1996</v>
      </c>
      <c r="C475" t="s">
        <v>1998</v>
      </c>
      <c r="D475" t="s">
        <v>52</v>
      </c>
      <c r="E475" t="s">
        <v>1999</v>
      </c>
      <c r="F475" t="s">
        <v>131</v>
      </c>
      <c r="G475" t="str">
        <f>HYPERLINK("https://twitter.com/1149804924/status/1143394051561013248")</f>
        <v>https://twitter.com/1149804924/status/1143394051561013248</v>
      </c>
      <c r="H475" t="s">
        <v>46</v>
      </c>
      <c r="I475" t="s">
        <v>2000</v>
      </c>
      <c r="J475" t="str">
        <f>HYPERLINK("http://twitter.com/TrashySalad")</f>
        <v>http://twitter.com/TrashySalad</v>
      </c>
      <c r="K475">
        <v>464</v>
      </c>
      <c r="N475" t="s">
        <v>65</v>
      </c>
      <c r="R475" t="s">
        <v>60</v>
      </c>
      <c r="S475" t="s">
        <v>2001</v>
      </c>
      <c r="T475" t="s">
        <v>2002</v>
      </c>
      <c r="U475" t="s">
        <v>2003</v>
      </c>
      <c r="W475">
        <v>0</v>
      </c>
      <c r="X475">
        <v>0</v>
      </c>
      <c r="AE475">
        <v>0</v>
      </c>
      <c r="AI475" t="s">
        <v>108</v>
      </c>
      <c r="AJ475" t="s">
        <v>1894</v>
      </c>
      <c r="AK475" t="s">
        <v>52</v>
      </c>
      <c r="AL475" t="str">
        <f>HYPERLINK("https://pbs.twimg.com/media/D8yu-r3W4AIKwXN.jpg")</f>
        <v>https://pbs.twimg.com/media/D8yu-r3W4AIKwXN.jpg</v>
      </c>
      <c r="AM475" t="s">
        <v>52</v>
      </c>
      <c r="AN475" t="s">
        <v>53</v>
      </c>
    </row>
    <row r="476" spans="1:40">
      <c r="A476" t="s">
        <v>40</v>
      </c>
      <c r="B476" t="s">
        <v>1996</v>
      </c>
      <c r="C476" t="s">
        <v>2004</v>
      </c>
      <c r="D476" t="s">
        <v>52</v>
      </c>
      <c r="E476" t="s">
        <v>2005</v>
      </c>
      <c r="F476" t="s">
        <v>45</v>
      </c>
      <c r="G476" t="str">
        <f>HYPERLINK("https://twitter.com/564076053/status/1143393934271533056")</f>
        <v>https://twitter.com/564076053/status/1143393934271533056</v>
      </c>
      <c r="H476" t="s">
        <v>46</v>
      </c>
      <c r="I476" t="s">
        <v>2006</v>
      </c>
      <c r="J476" t="str">
        <f>HYPERLINK("http://twitter.com/KHalfkey")</f>
        <v>http://twitter.com/KHalfkey</v>
      </c>
      <c r="K476">
        <v>294</v>
      </c>
      <c r="N476" t="s">
        <v>65</v>
      </c>
      <c r="R476" t="s">
        <v>60</v>
      </c>
      <c r="W476">
        <v>5</v>
      </c>
      <c r="X476">
        <v>5</v>
      </c>
      <c r="AE476">
        <v>1</v>
      </c>
      <c r="AF476">
        <v>0</v>
      </c>
      <c r="AI476" t="s">
        <v>52</v>
      </c>
      <c r="AJ476" t="s">
        <v>52</v>
      </c>
      <c r="AK476" t="s">
        <v>52</v>
      </c>
      <c r="AL476" t="str">
        <f>HYPERLINK("https://pbs.twimg.com/media/D94muPpXYAA1z8f.jpg")</f>
        <v>https://pbs.twimg.com/media/D94muPpXYAA1z8f.jpg</v>
      </c>
      <c r="AM476" t="s">
        <v>52</v>
      </c>
      <c r="AN476" t="s">
        <v>53</v>
      </c>
    </row>
    <row r="477" spans="1:40">
      <c r="A477" t="s">
        <v>40</v>
      </c>
      <c r="B477" t="s">
        <v>2007</v>
      </c>
      <c r="C477" t="s">
        <v>1998</v>
      </c>
      <c r="D477" t="s">
        <v>52</v>
      </c>
      <c r="E477" t="s">
        <v>2008</v>
      </c>
      <c r="F477" t="s">
        <v>95</v>
      </c>
      <c r="G477" t="str">
        <f>HYPERLINK("https://twitter.com/2319365101/status/1143393708722622464")</f>
        <v>https://twitter.com/2319365101/status/1143393708722622464</v>
      </c>
      <c r="H477" t="s">
        <v>46</v>
      </c>
      <c r="I477" t="s">
        <v>2009</v>
      </c>
      <c r="J477" t="str">
        <f>HYPERLINK("http://twitter.com/MyStupidTown")</f>
        <v>http://twitter.com/MyStupidTown</v>
      </c>
      <c r="K477">
        <v>80</v>
      </c>
      <c r="L477" t="s">
        <v>48</v>
      </c>
      <c r="N477" t="s">
        <v>65</v>
      </c>
      <c r="R477" t="s">
        <v>60</v>
      </c>
      <c r="W477">
        <v>0</v>
      </c>
      <c r="X477">
        <v>0</v>
      </c>
      <c r="AE477">
        <v>0</v>
      </c>
      <c r="AF477">
        <v>0</v>
      </c>
      <c r="AM477" t="s">
        <v>52</v>
      </c>
      <c r="AN477" t="s">
        <v>53</v>
      </c>
    </row>
    <row r="478" spans="1:40">
      <c r="A478" t="s">
        <v>40</v>
      </c>
      <c r="B478" t="s">
        <v>2010</v>
      </c>
      <c r="C478" t="s">
        <v>2011</v>
      </c>
      <c r="D478" t="s">
        <v>52</v>
      </c>
      <c r="E478" t="s">
        <v>2012</v>
      </c>
      <c r="F478" t="s">
        <v>131</v>
      </c>
      <c r="G478" t="str">
        <f>HYPERLINK("https://twitter.com/1132871331417067520/status/1143393437015842816")</f>
        <v>https://twitter.com/1132871331417067520/status/1143393437015842816</v>
      </c>
      <c r="H478" t="s">
        <v>46</v>
      </c>
      <c r="I478" t="s">
        <v>2013</v>
      </c>
      <c r="J478" t="str">
        <f>HYPERLINK("http://twitter.com/freklez_online")</f>
        <v>http://twitter.com/freklez_online</v>
      </c>
      <c r="K478">
        <v>4</v>
      </c>
      <c r="N478" t="s">
        <v>65</v>
      </c>
      <c r="R478" t="s">
        <v>60</v>
      </c>
      <c r="W478">
        <v>0</v>
      </c>
      <c r="X478">
        <v>0</v>
      </c>
      <c r="AE478">
        <v>0</v>
      </c>
      <c r="AM478" t="s">
        <v>52</v>
      </c>
      <c r="AN478" t="s">
        <v>53</v>
      </c>
    </row>
    <row r="479" spans="1:40">
      <c r="A479" t="s">
        <v>40</v>
      </c>
      <c r="B479" t="s">
        <v>2014</v>
      </c>
      <c r="C479" t="s">
        <v>2015</v>
      </c>
      <c r="D479" t="s">
        <v>52</v>
      </c>
      <c r="E479" t="s">
        <v>1194</v>
      </c>
      <c r="F479" t="s">
        <v>131</v>
      </c>
      <c r="G479" t="str">
        <f>HYPERLINK("https://twitter.com/1054288577918627840/status/1143392669894356992")</f>
        <v>https://twitter.com/1054288577918627840/status/1143392669894356992</v>
      </c>
      <c r="H479" t="s">
        <v>46</v>
      </c>
      <c r="I479" t="s">
        <v>2016</v>
      </c>
      <c r="J479" t="str">
        <f>HYPERLINK("http://twitter.com/tristymedina")</f>
        <v>http://twitter.com/tristymedina</v>
      </c>
      <c r="K479">
        <v>2342</v>
      </c>
      <c r="N479" t="s">
        <v>65</v>
      </c>
      <c r="R479" t="s">
        <v>60</v>
      </c>
      <c r="W479">
        <v>0</v>
      </c>
      <c r="X479">
        <v>0</v>
      </c>
      <c r="AE479">
        <v>0</v>
      </c>
      <c r="AI479" t="s">
        <v>52</v>
      </c>
      <c r="AJ479" t="s">
        <v>1196</v>
      </c>
      <c r="AK479" t="s">
        <v>52</v>
      </c>
      <c r="AL479" t="str">
        <f>HYPERLINK("https://pbs.twimg.com/media/D9xgk2YXkAAd2ql.jpg")</f>
        <v>https://pbs.twimg.com/media/D9xgk2YXkAAd2ql.jpg</v>
      </c>
      <c r="AM479" t="s">
        <v>52</v>
      </c>
      <c r="AN479" t="s">
        <v>53</v>
      </c>
    </row>
    <row r="480" spans="1:40">
      <c r="A480" t="s">
        <v>40</v>
      </c>
      <c r="B480" t="s">
        <v>2014</v>
      </c>
      <c r="C480" t="s">
        <v>2015</v>
      </c>
      <c r="D480" t="s">
        <v>52</v>
      </c>
      <c r="E480" t="s">
        <v>204</v>
      </c>
      <c r="F480" t="s">
        <v>131</v>
      </c>
      <c r="G480" t="str">
        <f>HYPERLINK("https://twitter.com/233784798/status/1143392633953243136")</f>
        <v>https://twitter.com/233784798/status/1143392633953243136</v>
      </c>
      <c r="H480" t="s">
        <v>46</v>
      </c>
      <c r="I480" t="s">
        <v>2017</v>
      </c>
      <c r="J480" t="str">
        <f>HYPERLINK("http://twitter.com/petchypeach")</f>
        <v>http://twitter.com/petchypeach</v>
      </c>
      <c r="K480">
        <v>21</v>
      </c>
      <c r="N480" t="s">
        <v>65</v>
      </c>
      <c r="R480" t="s">
        <v>60</v>
      </c>
      <c r="S480" t="s">
        <v>444</v>
      </c>
      <c r="W480">
        <v>0</v>
      </c>
      <c r="X480">
        <v>0</v>
      </c>
      <c r="AE480">
        <v>0</v>
      </c>
      <c r="AM480" t="s">
        <v>52</v>
      </c>
      <c r="AN480" t="s">
        <v>53</v>
      </c>
    </row>
    <row r="481" spans="1:40">
      <c r="A481" t="s">
        <v>40</v>
      </c>
      <c r="B481" t="s">
        <v>2018</v>
      </c>
      <c r="C481" t="s">
        <v>2019</v>
      </c>
      <c r="D481" t="s">
        <v>52</v>
      </c>
      <c r="E481" t="s">
        <v>2020</v>
      </c>
      <c r="F481" t="s">
        <v>45</v>
      </c>
      <c r="G481" t="str">
        <f>HYPERLINK("https://twitter.com/91183207/status/1143392600465891328")</f>
        <v>https://twitter.com/91183207/status/1143392600465891328</v>
      </c>
      <c r="H481" t="s">
        <v>46</v>
      </c>
      <c r="I481" t="s">
        <v>2021</v>
      </c>
      <c r="J481" t="str">
        <f>HYPERLINK("http://twitter.com/PincheChristine")</f>
        <v>http://twitter.com/PincheChristine</v>
      </c>
      <c r="K481">
        <v>39</v>
      </c>
      <c r="L481" t="s">
        <v>58</v>
      </c>
      <c r="N481" t="s">
        <v>65</v>
      </c>
      <c r="R481" t="s">
        <v>60</v>
      </c>
      <c r="S481" t="s">
        <v>51</v>
      </c>
      <c r="T481" t="s">
        <v>173</v>
      </c>
      <c r="U481" t="s">
        <v>2022</v>
      </c>
      <c r="W481">
        <v>1</v>
      </c>
      <c r="X481">
        <v>1</v>
      </c>
      <c r="AE481">
        <v>1</v>
      </c>
      <c r="AF481">
        <v>0</v>
      </c>
      <c r="AM481" t="s">
        <v>52</v>
      </c>
      <c r="AN481" t="s">
        <v>53</v>
      </c>
    </row>
    <row r="482" spans="1:40">
      <c r="A482" t="s">
        <v>40</v>
      </c>
      <c r="B482" t="s">
        <v>2018</v>
      </c>
      <c r="C482" t="s">
        <v>2019</v>
      </c>
      <c r="D482" t="s">
        <v>52</v>
      </c>
      <c r="E482" t="s">
        <v>2023</v>
      </c>
      <c r="F482" t="s">
        <v>45</v>
      </c>
      <c r="G482" t="str">
        <f>HYPERLINK("https://twitter.com/3152342659/status/1143392564873224193")</f>
        <v>https://twitter.com/3152342659/status/1143392564873224193</v>
      </c>
      <c r="H482" t="s">
        <v>46</v>
      </c>
      <c r="I482" t="s">
        <v>2024</v>
      </c>
      <c r="J482" t="str">
        <f>HYPERLINK("http://twitter.com/fegggetyeseniaa")</f>
        <v>http://twitter.com/fegggetyeseniaa</v>
      </c>
      <c r="K482">
        <v>237</v>
      </c>
      <c r="N482" t="s">
        <v>65</v>
      </c>
      <c r="R482" t="s">
        <v>60</v>
      </c>
      <c r="W482">
        <v>2</v>
      </c>
      <c r="X482">
        <v>2</v>
      </c>
      <c r="AE482">
        <v>0</v>
      </c>
      <c r="AF482">
        <v>0</v>
      </c>
      <c r="AM482" t="s">
        <v>52</v>
      </c>
      <c r="AN482" t="s">
        <v>53</v>
      </c>
    </row>
    <row r="483" spans="1:40">
      <c r="A483" t="s">
        <v>40</v>
      </c>
      <c r="B483" t="s">
        <v>2018</v>
      </c>
      <c r="C483" t="s">
        <v>2025</v>
      </c>
      <c r="D483" t="s">
        <v>52</v>
      </c>
      <c r="E483" t="s">
        <v>2026</v>
      </c>
      <c r="F483" t="s">
        <v>71</v>
      </c>
      <c r="G483" t="str">
        <f>HYPERLINK("https://twitter.com/811805029237657600/status/1143392390293741568")</f>
        <v>https://twitter.com/811805029237657600/status/1143392390293741568</v>
      </c>
      <c r="H483" t="s">
        <v>46</v>
      </c>
      <c r="I483" t="s">
        <v>2027</v>
      </c>
      <c r="J483" t="str">
        <f>HYPERLINK("http://twitter.com/SlyzaKing")</f>
        <v>http://twitter.com/SlyzaKing</v>
      </c>
      <c r="K483">
        <v>10824</v>
      </c>
      <c r="N483" t="s">
        <v>65</v>
      </c>
      <c r="R483" t="s">
        <v>60</v>
      </c>
      <c r="S483" t="s">
        <v>1071</v>
      </c>
      <c r="T483" t="s">
        <v>1072</v>
      </c>
      <c r="U483" t="s">
        <v>1295</v>
      </c>
      <c r="W483">
        <v>0</v>
      </c>
      <c r="X483">
        <v>0</v>
      </c>
      <c r="AE483">
        <v>0</v>
      </c>
      <c r="AF483">
        <v>0</v>
      </c>
      <c r="AM483" t="s">
        <v>52</v>
      </c>
      <c r="AN483" t="s">
        <v>53</v>
      </c>
    </row>
    <row r="484" spans="1:40">
      <c r="A484" t="s">
        <v>40</v>
      </c>
      <c r="B484" t="s">
        <v>2028</v>
      </c>
      <c r="C484" t="s">
        <v>2029</v>
      </c>
      <c r="D484" t="s">
        <v>52</v>
      </c>
      <c r="E484" t="s">
        <v>130</v>
      </c>
      <c r="F484" t="s">
        <v>131</v>
      </c>
      <c r="G484" t="str">
        <f>HYPERLINK("https://twitter.com/759061395870744576/status/1143391627047776256")</f>
        <v>https://twitter.com/759061395870744576/status/1143391627047776256</v>
      </c>
      <c r="H484" t="s">
        <v>46</v>
      </c>
      <c r="I484" t="s">
        <v>2030</v>
      </c>
      <c r="J484" t="str">
        <f>HYPERLINK("http://twitter.com/giddyypixie")</f>
        <v>http://twitter.com/giddyypixie</v>
      </c>
      <c r="K484">
        <v>1077</v>
      </c>
      <c r="N484" t="s">
        <v>65</v>
      </c>
      <c r="R484" t="s">
        <v>60</v>
      </c>
      <c r="S484" t="s">
        <v>97</v>
      </c>
      <c r="T484" t="s">
        <v>177</v>
      </c>
      <c r="U484" t="s">
        <v>2031</v>
      </c>
      <c r="W484">
        <v>0</v>
      </c>
      <c r="X484">
        <v>0</v>
      </c>
      <c r="AE484">
        <v>0</v>
      </c>
      <c r="AI484" t="s">
        <v>108</v>
      </c>
      <c r="AJ484" t="s">
        <v>52</v>
      </c>
      <c r="AK484" t="s">
        <v>52</v>
      </c>
      <c r="AL484" t="str">
        <f>HYPERLINK("https://pbs.twimg.com/media/D9XTkLWW4AAOYnJ.jpg")</f>
        <v>https://pbs.twimg.com/media/D9XTkLWW4AAOYnJ.jpg</v>
      </c>
      <c r="AM484" t="s">
        <v>52</v>
      </c>
      <c r="AN484" t="s">
        <v>53</v>
      </c>
    </row>
    <row r="485" spans="1:40">
      <c r="A485" t="s">
        <v>40</v>
      </c>
      <c r="B485" t="s">
        <v>2032</v>
      </c>
      <c r="C485" t="s">
        <v>2033</v>
      </c>
      <c r="D485" t="s">
        <v>52</v>
      </c>
      <c r="E485" t="s">
        <v>2034</v>
      </c>
      <c r="F485" t="s">
        <v>45</v>
      </c>
      <c r="G485" t="str">
        <f>HYPERLINK("https://www.instagram.com/p/BzHwBRZByxc")</f>
        <v>https://www.instagram.com/p/BzHwBRZByxc</v>
      </c>
      <c r="H485" t="s">
        <v>46</v>
      </c>
      <c r="I485" t="s">
        <v>2035</v>
      </c>
      <c r="J485" t="str">
        <f>HYPERLINK("http://instagram.com/1_greengal")</f>
        <v>http://instagram.com/1_greengal</v>
      </c>
      <c r="K485">
        <v>683</v>
      </c>
      <c r="N485" t="s">
        <v>59</v>
      </c>
      <c r="O485" t="s">
        <v>2035</v>
      </c>
      <c r="P485" t="str">
        <f>HYPERLINK("http://instagram.com/1_greengal")</f>
        <v>http://instagram.com/1_greengal</v>
      </c>
      <c r="Q485">
        <v>683</v>
      </c>
      <c r="R485" t="s">
        <v>60</v>
      </c>
      <c r="W485">
        <v>14</v>
      </c>
      <c r="X485">
        <v>14</v>
      </c>
      <c r="AE485">
        <v>0</v>
      </c>
      <c r="AI485" t="s">
        <v>52</v>
      </c>
      <c r="AJ485" t="s">
        <v>2036</v>
      </c>
      <c r="AK485" t="s">
        <v>52</v>
      </c>
      <c r="AL485" t="str">
        <f>HYPERLINK("https://www.instagram.com/p/BzHwBRZByxc/media/?size=l")</f>
        <v>https://www.instagram.com/p/BzHwBRZByxc/media/?size=l</v>
      </c>
      <c r="AM485" t="s">
        <v>52</v>
      </c>
      <c r="AN485" t="s">
        <v>53</v>
      </c>
    </row>
    <row r="486" spans="1:40">
      <c r="A486" t="s">
        <v>40</v>
      </c>
      <c r="B486" t="s">
        <v>2037</v>
      </c>
      <c r="C486" t="s">
        <v>2025</v>
      </c>
      <c r="D486" t="s">
        <v>52</v>
      </c>
      <c r="E486" t="s">
        <v>2038</v>
      </c>
      <c r="F486" t="s">
        <v>131</v>
      </c>
      <c r="G486" t="str">
        <f>HYPERLINK("https://twitter.com/1012760928150933504/status/1143390952347668481")</f>
        <v>https://twitter.com/1012760928150933504/status/1143390952347668481</v>
      </c>
      <c r="H486" t="s">
        <v>46</v>
      </c>
      <c r="I486" t="s">
        <v>2039</v>
      </c>
      <c r="J486" t="str">
        <f>HYPERLINK("http://twitter.com/_Stormkpr_")</f>
        <v>http://twitter.com/_Stormkpr_</v>
      </c>
      <c r="K486">
        <v>150</v>
      </c>
      <c r="N486" t="s">
        <v>65</v>
      </c>
      <c r="R486" t="s">
        <v>60</v>
      </c>
      <c r="S486" t="s">
        <v>51</v>
      </c>
      <c r="T486" t="s">
        <v>152</v>
      </c>
      <c r="U486" t="s">
        <v>2040</v>
      </c>
      <c r="W486">
        <v>0</v>
      </c>
      <c r="X486">
        <v>0</v>
      </c>
      <c r="AE486">
        <v>0</v>
      </c>
      <c r="AM486" t="s">
        <v>52</v>
      </c>
      <c r="AN486" t="s">
        <v>53</v>
      </c>
    </row>
    <row r="487" spans="1:40">
      <c r="A487" t="s">
        <v>40</v>
      </c>
      <c r="B487" t="s">
        <v>2041</v>
      </c>
      <c r="C487" t="s">
        <v>2029</v>
      </c>
      <c r="D487" t="s">
        <v>52</v>
      </c>
      <c r="E487" t="s">
        <v>2026</v>
      </c>
      <c r="F487" t="s">
        <v>71</v>
      </c>
      <c r="G487" t="str">
        <f>HYPERLINK("https://twitter.com/231359103/status/1143390803504619521")</f>
        <v>https://twitter.com/231359103/status/1143390803504619521</v>
      </c>
      <c r="H487" t="s">
        <v>46</v>
      </c>
      <c r="I487" t="s">
        <v>2042</v>
      </c>
      <c r="J487" t="str">
        <f>HYPERLINK("http://twitter.com/ThatNiggaTso")</f>
        <v>http://twitter.com/ThatNiggaTso</v>
      </c>
      <c r="K487">
        <v>2268</v>
      </c>
      <c r="N487" t="s">
        <v>65</v>
      </c>
      <c r="R487" t="s">
        <v>60</v>
      </c>
      <c r="S487" t="s">
        <v>521</v>
      </c>
      <c r="T487" t="s">
        <v>522</v>
      </c>
      <c r="U487" t="s">
        <v>2043</v>
      </c>
      <c r="W487">
        <v>1</v>
      </c>
      <c r="X487">
        <v>1</v>
      </c>
      <c r="AE487">
        <v>0</v>
      </c>
      <c r="AF487">
        <v>1</v>
      </c>
      <c r="AM487" t="s">
        <v>52</v>
      </c>
      <c r="AN487" t="s">
        <v>53</v>
      </c>
    </row>
    <row r="488" spans="1:40">
      <c r="A488" t="s">
        <v>40</v>
      </c>
      <c r="B488" t="s">
        <v>2041</v>
      </c>
      <c r="C488" t="s">
        <v>2029</v>
      </c>
      <c r="D488" t="s">
        <v>52</v>
      </c>
      <c r="E488" t="s">
        <v>204</v>
      </c>
      <c r="F488" t="s">
        <v>131</v>
      </c>
      <c r="G488" t="str">
        <f>HYPERLINK("https://twitter.com/1086112030031900674/status/1143390802187411457")</f>
        <v>https://twitter.com/1086112030031900674/status/1143390802187411457</v>
      </c>
      <c r="H488" t="s">
        <v>46</v>
      </c>
      <c r="I488" t="s">
        <v>2044</v>
      </c>
      <c r="J488" t="str">
        <f>HYPERLINK("http://twitter.com/lizzysmoonlight")</f>
        <v>http://twitter.com/lizzysmoonlight</v>
      </c>
      <c r="K488">
        <v>616</v>
      </c>
      <c r="N488" t="s">
        <v>65</v>
      </c>
      <c r="R488" t="s">
        <v>60</v>
      </c>
      <c r="S488" t="s">
        <v>51</v>
      </c>
      <c r="T488" t="s">
        <v>380</v>
      </c>
      <c r="U488" t="s">
        <v>380</v>
      </c>
      <c r="W488">
        <v>0</v>
      </c>
      <c r="X488">
        <v>0</v>
      </c>
      <c r="AE488">
        <v>0</v>
      </c>
      <c r="AM488" t="s">
        <v>52</v>
      </c>
      <c r="AN488" t="s">
        <v>53</v>
      </c>
    </row>
    <row r="489" spans="1:40">
      <c r="A489" t="s">
        <v>40</v>
      </c>
      <c r="B489" t="s">
        <v>2041</v>
      </c>
      <c r="C489" t="s">
        <v>2029</v>
      </c>
      <c r="D489" t="s">
        <v>52</v>
      </c>
      <c r="E489" t="s">
        <v>204</v>
      </c>
      <c r="F489" t="s">
        <v>131</v>
      </c>
      <c r="G489" t="str">
        <f>HYPERLINK("https://twitter.com/935313966/status/1143390795468300288")</f>
        <v>https://twitter.com/935313966/status/1143390795468300288</v>
      </c>
      <c r="H489" t="s">
        <v>46</v>
      </c>
      <c r="I489" t="s">
        <v>2045</v>
      </c>
      <c r="J489" t="str">
        <f>HYPERLINK("http://twitter.com/MasonMorris9")</f>
        <v>http://twitter.com/MasonMorris9</v>
      </c>
      <c r="K489">
        <v>873</v>
      </c>
      <c r="N489" t="s">
        <v>65</v>
      </c>
      <c r="R489" t="s">
        <v>60</v>
      </c>
      <c r="S489" t="s">
        <v>51</v>
      </c>
      <c r="T489" t="s">
        <v>851</v>
      </c>
      <c r="U489" t="s">
        <v>852</v>
      </c>
      <c r="W489">
        <v>0</v>
      </c>
      <c r="X489">
        <v>0</v>
      </c>
      <c r="AE489">
        <v>0</v>
      </c>
      <c r="AM489" t="s">
        <v>52</v>
      </c>
      <c r="AN489" t="s">
        <v>53</v>
      </c>
    </row>
    <row r="490" spans="1:40">
      <c r="A490" t="s">
        <v>40</v>
      </c>
      <c r="B490" t="s">
        <v>2041</v>
      </c>
      <c r="C490" t="s">
        <v>2029</v>
      </c>
      <c r="D490" t="s">
        <v>52</v>
      </c>
      <c r="E490" t="s">
        <v>2046</v>
      </c>
      <c r="F490" t="s">
        <v>95</v>
      </c>
      <c r="G490" t="str">
        <f>HYPERLINK("https://twitter.com/2523655359/status/1143390794679758850")</f>
        <v>https://twitter.com/2523655359/status/1143390794679758850</v>
      </c>
      <c r="H490" t="s">
        <v>215</v>
      </c>
      <c r="I490" t="s">
        <v>2047</v>
      </c>
      <c r="J490" t="str">
        <f>HYPERLINK("http://twitter.com/davvvieT_")</f>
        <v>http://twitter.com/davvvieT_</v>
      </c>
      <c r="K490">
        <v>579</v>
      </c>
      <c r="N490" t="s">
        <v>65</v>
      </c>
      <c r="R490" t="s">
        <v>60</v>
      </c>
      <c r="S490" t="s">
        <v>51</v>
      </c>
      <c r="T490" t="s">
        <v>84</v>
      </c>
      <c r="U490" t="s">
        <v>85</v>
      </c>
      <c r="W490">
        <v>0</v>
      </c>
      <c r="X490">
        <v>0</v>
      </c>
      <c r="AE490">
        <v>0</v>
      </c>
      <c r="AF490">
        <v>0</v>
      </c>
      <c r="AM490" t="s">
        <v>52</v>
      </c>
      <c r="AN490" t="s">
        <v>53</v>
      </c>
    </row>
    <row r="491" spans="1:40">
      <c r="A491" t="s">
        <v>40</v>
      </c>
      <c r="B491" t="s">
        <v>2041</v>
      </c>
      <c r="C491" t="s">
        <v>2029</v>
      </c>
      <c r="D491" t="s">
        <v>52</v>
      </c>
      <c r="E491" t="s">
        <v>2048</v>
      </c>
      <c r="F491" t="s">
        <v>95</v>
      </c>
      <c r="G491" t="str">
        <f>HYPERLINK("https://twitter.com/969989703146536966/status/1143390781740396544")</f>
        <v>https://twitter.com/969989703146536966/status/1143390781740396544</v>
      </c>
      <c r="H491" t="s">
        <v>46</v>
      </c>
      <c r="I491" t="s">
        <v>2049</v>
      </c>
      <c r="J491" t="str">
        <f>HYPERLINK("http://twitter.com/BrianalikesTV")</f>
        <v>http://twitter.com/BrianalikesTV</v>
      </c>
      <c r="K491">
        <v>216</v>
      </c>
      <c r="N491" t="s">
        <v>65</v>
      </c>
      <c r="R491" t="s">
        <v>60</v>
      </c>
      <c r="S491" t="s">
        <v>51</v>
      </c>
      <c r="T491" t="s">
        <v>851</v>
      </c>
      <c r="U491" t="s">
        <v>2050</v>
      </c>
      <c r="W491">
        <v>4</v>
      </c>
      <c r="X491">
        <v>4</v>
      </c>
      <c r="AE491">
        <v>1</v>
      </c>
      <c r="AF491">
        <v>0</v>
      </c>
      <c r="AM491" t="s">
        <v>52</v>
      </c>
      <c r="AN491" t="s">
        <v>53</v>
      </c>
    </row>
    <row r="492" spans="1:40">
      <c r="A492" t="s">
        <v>40</v>
      </c>
      <c r="B492" t="s">
        <v>2041</v>
      </c>
      <c r="C492" t="s">
        <v>2051</v>
      </c>
      <c r="D492" t="s">
        <v>52</v>
      </c>
      <c r="E492" t="s">
        <v>2052</v>
      </c>
      <c r="F492" t="s">
        <v>71</v>
      </c>
      <c r="G492" t="str">
        <f>HYPERLINK("https://twitter.com/1088645740635869189/status/1143390652098654208")</f>
        <v>https://twitter.com/1088645740635869189/status/1143390652098654208</v>
      </c>
      <c r="H492" t="s">
        <v>46</v>
      </c>
      <c r="I492" t="s">
        <v>2053</v>
      </c>
      <c r="J492" t="str">
        <f>HYPERLINK("http://twitter.com/DinosaurNeckAss")</f>
        <v>http://twitter.com/DinosaurNeckAss</v>
      </c>
      <c r="K492">
        <v>356</v>
      </c>
      <c r="N492" t="s">
        <v>65</v>
      </c>
      <c r="R492" t="s">
        <v>60</v>
      </c>
      <c r="W492">
        <v>1</v>
      </c>
      <c r="X492">
        <v>1</v>
      </c>
      <c r="AE492">
        <v>1</v>
      </c>
      <c r="AF492">
        <v>1</v>
      </c>
      <c r="AM492" t="s">
        <v>52</v>
      </c>
      <c r="AN492" t="s">
        <v>53</v>
      </c>
    </row>
    <row r="493" spans="1:40">
      <c r="A493" t="s">
        <v>40</v>
      </c>
      <c r="B493" t="s">
        <v>2054</v>
      </c>
      <c r="C493" t="s">
        <v>2055</v>
      </c>
      <c r="D493" t="s">
        <v>52</v>
      </c>
      <c r="E493" t="s">
        <v>2056</v>
      </c>
      <c r="F493" t="s">
        <v>45</v>
      </c>
      <c r="G493" t="str">
        <f>HYPERLINK("https://www.instagram.com/p/BzHvmFfAcTk")</f>
        <v>https://www.instagram.com/p/BzHvmFfAcTk</v>
      </c>
      <c r="H493" t="s">
        <v>46</v>
      </c>
      <c r="I493" t="s">
        <v>2057</v>
      </c>
      <c r="J493" t="str">
        <f>HYPERLINK("http://instagram.com/kiss779006")</f>
        <v>http://instagram.com/kiss779006</v>
      </c>
      <c r="K493">
        <v>5</v>
      </c>
      <c r="N493" t="s">
        <v>59</v>
      </c>
      <c r="O493" t="s">
        <v>2057</v>
      </c>
      <c r="P493" t="str">
        <f>HYPERLINK("http://instagram.com/kiss779006")</f>
        <v>http://instagram.com/kiss779006</v>
      </c>
      <c r="Q493">
        <v>5</v>
      </c>
      <c r="R493" t="s">
        <v>60</v>
      </c>
      <c r="W493">
        <v>0</v>
      </c>
      <c r="X493">
        <v>0</v>
      </c>
      <c r="AE493">
        <v>0</v>
      </c>
      <c r="AI493" t="s">
        <v>52</v>
      </c>
      <c r="AJ493" t="s">
        <v>1182</v>
      </c>
      <c r="AK493" t="s">
        <v>52</v>
      </c>
      <c r="AL493" t="str">
        <f>HYPERLINK("https://www.instagram.com/p/BzHvmFfAcTk/media/?size=l")</f>
        <v>https://www.instagram.com/p/BzHvmFfAcTk/media/?size=l</v>
      </c>
      <c r="AM493" t="s">
        <v>52</v>
      </c>
      <c r="AN493" t="s">
        <v>53</v>
      </c>
    </row>
    <row r="494" spans="1:40">
      <c r="A494" t="s">
        <v>40</v>
      </c>
      <c r="B494" t="s">
        <v>2058</v>
      </c>
      <c r="C494" t="s">
        <v>2059</v>
      </c>
      <c r="D494" t="s">
        <v>2060</v>
      </c>
      <c r="E494" t="s">
        <v>2061</v>
      </c>
      <c r="F494" t="s">
        <v>45</v>
      </c>
      <c r="G494" t="str">
        <f>HYPERLINK("https://www.youtube.com/watch?v=YogsUOZ3BP8")</f>
        <v>https://www.youtube.com/watch?v=YogsUOZ3BP8</v>
      </c>
      <c r="H494" t="s">
        <v>46</v>
      </c>
      <c r="I494" t="s">
        <v>2062</v>
      </c>
      <c r="J494" t="str">
        <f>HYPERLINK("https://www.youtube.com/channel/UCM4qJ8ut9wJww8KEUEqeHPA")</f>
        <v>https://www.youtube.com/channel/UCM4qJ8ut9wJww8KEUEqeHPA</v>
      </c>
      <c r="K494">
        <v>9</v>
      </c>
      <c r="N494" t="s">
        <v>116</v>
      </c>
      <c r="O494" t="s">
        <v>2062</v>
      </c>
      <c r="P494" t="str">
        <f>HYPERLINK("https://www.youtube.com/channel/UCM4qJ8ut9wJww8KEUEqeHPA")</f>
        <v>https://www.youtube.com/channel/UCM4qJ8ut9wJww8KEUEqeHPA</v>
      </c>
      <c r="Q494">
        <v>9</v>
      </c>
      <c r="R494" t="s">
        <v>60</v>
      </c>
      <c r="W494">
        <v>2</v>
      </c>
      <c r="X494">
        <v>2</v>
      </c>
      <c r="AD494">
        <v>0</v>
      </c>
      <c r="AE494">
        <v>0</v>
      </c>
      <c r="AG494">
        <v>3</v>
      </c>
      <c r="AI494" t="s">
        <v>52</v>
      </c>
      <c r="AJ494" t="s">
        <v>2063</v>
      </c>
      <c r="AK494" t="s">
        <v>52</v>
      </c>
      <c r="AL494" t="str">
        <f>HYPERLINK("https://i.ytimg.com/vi/YogsUOZ3BP8/maxresdefault.jpg")</f>
        <v>https://i.ytimg.com/vi/YogsUOZ3BP8/maxresdefault.jpg</v>
      </c>
      <c r="AM494" t="s">
        <v>52</v>
      </c>
      <c r="AN494" t="s">
        <v>53</v>
      </c>
    </row>
    <row r="495" spans="1:40">
      <c r="A495" t="s">
        <v>40</v>
      </c>
      <c r="B495" t="s">
        <v>2058</v>
      </c>
      <c r="C495" t="s">
        <v>2064</v>
      </c>
      <c r="D495" t="s">
        <v>52</v>
      </c>
      <c r="E495" t="s">
        <v>2065</v>
      </c>
      <c r="F495" t="s">
        <v>71</v>
      </c>
      <c r="G495" t="str">
        <f>HYPERLINK("https://twitter.com/2933059221/status/1143390003805982720")</f>
        <v>https://twitter.com/2933059221/status/1143390003805982720</v>
      </c>
      <c r="H495" t="s">
        <v>46</v>
      </c>
      <c r="I495" t="s">
        <v>2066</v>
      </c>
      <c r="J495" t="str">
        <f>HYPERLINK("http://twitter.com/marielledandra")</f>
        <v>http://twitter.com/marielledandra</v>
      </c>
      <c r="K495">
        <v>330</v>
      </c>
      <c r="N495" t="s">
        <v>65</v>
      </c>
      <c r="R495" t="s">
        <v>60</v>
      </c>
      <c r="S495" t="s">
        <v>156</v>
      </c>
      <c r="T495" t="s">
        <v>2067</v>
      </c>
      <c r="U495" t="s">
        <v>2068</v>
      </c>
      <c r="W495">
        <v>1</v>
      </c>
      <c r="X495">
        <v>1</v>
      </c>
      <c r="AE495">
        <v>0</v>
      </c>
      <c r="AF495">
        <v>0</v>
      </c>
      <c r="AI495" t="s">
        <v>52</v>
      </c>
      <c r="AJ495" t="s">
        <v>2069</v>
      </c>
      <c r="AK495" t="s">
        <v>52</v>
      </c>
      <c r="AL495" t="str">
        <f>HYPERLINK("https://pbs.twimg.com/media/D9h8AsCVUAA8mWP.jpg")</f>
        <v>https://pbs.twimg.com/media/D9h8AsCVUAA8mWP.jpg</v>
      </c>
      <c r="AM495" t="s">
        <v>52</v>
      </c>
      <c r="AN495" t="s">
        <v>53</v>
      </c>
    </row>
    <row r="496" spans="1:40">
      <c r="A496" t="s">
        <v>40</v>
      </c>
      <c r="B496" t="s">
        <v>2058</v>
      </c>
      <c r="C496" t="s">
        <v>660</v>
      </c>
      <c r="D496" t="s">
        <v>52</v>
      </c>
      <c r="E496" t="s">
        <v>2070</v>
      </c>
      <c r="F496" t="s">
        <v>45</v>
      </c>
      <c r="G496" t="str">
        <f>HYPERLINK("https://www.facebook.com/102173462840/posts/10157689317827841")</f>
        <v>https://www.facebook.com/102173462840/posts/10157689317827841</v>
      </c>
      <c r="H496" t="s">
        <v>46</v>
      </c>
      <c r="I496" t="s">
        <v>2071</v>
      </c>
      <c r="J496" t="str">
        <f>HYPERLINK("https://www.facebook.com/102173462840")</f>
        <v>https://www.facebook.com/102173462840</v>
      </c>
      <c r="K496">
        <v>60228</v>
      </c>
      <c r="L496" t="s">
        <v>651</v>
      </c>
      <c r="N496" t="s">
        <v>1792</v>
      </c>
      <c r="O496" t="s">
        <v>2071</v>
      </c>
      <c r="P496" t="str">
        <f>HYPERLINK("https://www.facebook.com/102173462840")</f>
        <v>https://www.facebook.com/102173462840</v>
      </c>
      <c r="Q496">
        <v>60228</v>
      </c>
      <c r="R496" t="s">
        <v>60</v>
      </c>
      <c r="S496" t="s">
        <v>51</v>
      </c>
      <c r="W496">
        <v>52</v>
      </c>
      <c r="X496">
        <v>52</v>
      </c>
      <c r="AE496">
        <v>5</v>
      </c>
      <c r="AF496">
        <v>6</v>
      </c>
      <c r="AI496" t="s">
        <v>52</v>
      </c>
      <c r="AJ496" t="s">
        <v>2072</v>
      </c>
      <c r="AK496" t="s">
        <v>52</v>
      </c>
      <c r="AL496" t="str">
        <f>HYPERLINK("https://scontent.xx.fbcdn.net/v/t39.2147-6/64945937_603797813443458_686816148812988416_n.jpg?_nc_cat=102&amp;_nc_ht=scontent.xx&amp;oh=ddbbbb5159229c11af3d85afc6446186&amp;oe=5D81F7C4")</f>
        <v>https://scontent.xx.fbcdn.net/v/t39.2147-6/64945937_603797813443458_686816148812988416_n.jpg?_nc_cat=102&amp;_nc_ht=scontent.xx&amp;oh=ddbbbb5159229c11af3d85afc6446186&amp;oe=5D81F7C4</v>
      </c>
      <c r="AM496" t="s">
        <v>52</v>
      </c>
      <c r="AN496" t="s">
        <v>53</v>
      </c>
    </row>
    <row r="497" spans="1:40">
      <c r="A497" t="s">
        <v>40</v>
      </c>
      <c r="B497" t="s">
        <v>2058</v>
      </c>
      <c r="C497" t="s">
        <v>2073</v>
      </c>
      <c r="D497" t="s">
        <v>52</v>
      </c>
      <c r="E497" t="s">
        <v>2074</v>
      </c>
      <c r="F497" t="s">
        <v>45</v>
      </c>
      <c r="G497" t="str">
        <f>HYPERLINK("https://www.instagram.com/p/BzHvR-FnTGQ")</f>
        <v>https://www.instagram.com/p/BzHvR-FnTGQ</v>
      </c>
      <c r="H497" t="s">
        <v>46</v>
      </c>
      <c r="I497" t="s">
        <v>2075</v>
      </c>
      <c r="J497" t="str">
        <f>HYPERLINK("http://instagram.com/binnyandthepets")</f>
        <v>http://instagram.com/binnyandthepets</v>
      </c>
      <c r="K497">
        <v>235</v>
      </c>
      <c r="N497" t="s">
        <v>59</v>
      </c>
      <c r="O497" t="s">
        <v>2075</v>
      </c>
      <c r="P497" t="str">
        <f>HYPERLINK("http://instagram.com/binnyandthepets")</f>
        <v>http://instagram.com/binnyandthepets</v>
      </c>
      <c r="Q497">
        <v>235</v>
      </c>
      <c r="R497" t="s">
        <v>60</v>
      </c>
      <c r="W497">
        <v>13</v>
      </c>
      <c r="X497">
        <v>13</v>
      </c>
      <c r="AE497">
        <v>0</v>
      </c>
      <c r="AG497">
        <v>22</v>
      </c>
      <c r="AI497" t="s">
        <v>52</v>
      </c>
      <c r="AJ497" t="s">
        <v>52</v>
      </c>
      <c r="AK497" t="s">
        <v>52</v>
      </c>
      <c r="AL497" t="str">
        <f>HYPERLINK("https://www.instagram.com/p/BzHvR-FnTGQ/media/?size=l")</f>
        <v>https://www.instagram.com/p/BzHvR-FnTGQ/media/?size=l</v>
      </c>
      <c r="AM497" t="s">
        <v>52</v>
      </c>
      <c r="AN497" t="s">
        <v>53</v>
      </c>
    </row>
    <row r="498" spans="1:40">
      <c r="A498" t="s">
        <v>40</v>
      </c>
      <c r="B498" t="s">
        <v>2058</v>
      </c>
      <c r="C498" t="s">
        <v>2076</v>
      </c>
      <c r="D498" t="s">
        <v>2077</v>
      </c>
      <c r="E498" t="s">
        <v>2078</v>
      </c>
      <c r="F498" t="s">
        <v>45</v>
      </c>
      <c r="G498" t="str">
        <f>HYPERLINK("https://apkhook.com/dorito-chip.html")</f>
        <v>https://apkhook.com/dorito-chip.html</v>
      </c>
      <c r="H498" t="s">
        <v>46</v>
      </c>
      <c r="N498" t="s">
        <v>1633</v>
      </c>
      <c r="R498" t="s">
        <v>50</v>
      </c>
      <c r="S498" t="s">
        <v>51</v>
      </c>
      <c r="AM498" t="s">
        <v>52</v>
      </c>
      <c r="AN498" t="s">
        <v>53</v>
      </c>
    </row>
    <row r="499" spans="1:40">
      <c r="A499" t="s">
        <v>40</v>
      </c>
      <c r="B499" t="s">
        <v>2079</v>
      </c>
      <c r="C499" t="s">
        <v>2064</v>
      </c>
      <c r="D499" t="s">
        <v>52</v>
      </c>
      <c r="E499" t="s">
        <v>2080</v>
      </c>
      <c r="F499" t="s">
        <v>45</v>
      </c>
      <c r="G499" t="str">
        <f>HYPERLINK("https://www.instagram.com/p/BzHvQsIH9As")</f>
        <v>https://www.instagram.com/p/BzHvQsIH9As</v>
      </c>
      <c r="H499" t="s">
        <v>46</v>
      </c>
      <c r="I499" t="s">
        <v>2081</v>
      </c>
      <c r="J499" t="str">
        <f>HYPERLINK("http://instagram.com/hungryinvegas")</f>
        <v>http://instagram.com/hungryinvegas</v>
      </c>
      <c r="K499">
        <v>16256</v>
      </c>
      <c r="N499" t="s">
        <v>59</v>
      </c>
      <c r="O499" t="s">
        <v>2081</v>
      </c>
      <c r="P499" t="str">
        <f>HYPERLINK("http://instagram.com/hungryinvegas")</f>
        <v>http://instagram.com/hungryinvegas</v>
      </c>
      <c r="Q499">
        <v>16256</v>
      </c>
      <c r="R499" t="s">
        <v>60</v>
      </c>
      <c r="S499" t="s">
        <v>51</v>
      </c>
      <c r="T499" t="s">
        <v>1916</v>
      </c>
      <c r="U499" t="s">
        <v>2082</v>
      </c>
      <c r="W499">
        <v>103</v>
      </c>
      <c r="X499">
        <v>103</v>
      </c>
      <c r="AE499">
        <v>15</v>
      </c>
      <c r="AI499" t="s">
        <v>108</v>
      </c>
      <c r="AJ499" t="s">
        <v>2083</v>
      </c>
      <c r="AK499" t="s">
        <v>52</v>
      </c>
      <c r="AL499" t="str">
        <f>HYPERLINK("https://www.instagram.com/p/BzHvQsIH9As/media/?size=l")</f>
        <v>https://www.instagram.com/p/BzHvQsIH9As/media/?size=l</v>
      </c>
      <c r="AM499" t="s">
        <v>52</v>
      </c>
      <c r="AN499" t="s">
        <v>53</v>
      </c>
    </row>
    <row r="500" spans="1:40">
      <c r="A500" t="s">
        <v>40</v>
      </c>
      <c r="B500" t="s">
        <v>2084</v>
      </c>
      <c r="C500" t="s">
        <v>2085</v>
      </c>
      <c r="D500" t="s">
        <v>52</v>
      </c>
      <c r="E500" t="s">
        <v>2086</v>
      </c>
      <c r="F500" t="s">
        <v>45</v>
      </c>
      <c r="G500" t="str">
        <f>HYPERLINK("https://www.instagram.com/p/BzHvHL8A16a")</f>
        <v>https://www.instagram.com/p/BzHvHL8A16a</v>
      </c>
      <c r="H500" t="s">
        <v>46</v>
      </c>
      <c r="I500" t="s">
        <v>2087</v>
      </c>
      <c r="J500" t="str">
        <f>HYPERLINK("http://instagram.com/ontario.bangsters")</f>
        <v>http://instagram.com/ontario.bangsters</v>
      </c>
      <c r="K500">
        <v>568</v>
      </c>
      <c r="L500" t="s">
        <v>651</v>
      </c>
      <c r="N500" t="s">
        <v>59</v>
      </c>
      <c r="O500" t="s">
        <v>2087</v>
      </c>
      <c r="P500" t="str">
        <f>HYPERLINK("http://instagram.com/ontario.bangsters")</f>
        <v>http://instagram.com/ontario.bangsters</v>
      </c>
      <c r="Q500">
        <v>568</v>
      </c>
      <c r="R500" t="s">
        <v>60</v>
      </c>
      <c r="S500" t="s">
        <v>51</v>
      </c>
      <c r="T500" t="s">
        <v>173</v>
      </c>
      <c r="U500" t="s">
        <v>2088</v>
      </c>
      <c r="W500">
        <v>30</v>
      </c>
      <c r="X500">
        <v>30</v>
      </c>
      <c r="AE500">
        <v>0</v>
      </c>
      <c r="AI500" t="s">
        <v>108</v>
      </c>
      <c r="AJ500" t="s">
        <v>52</v>
      </c>
      <c r="AK500" t="s">
        <v>2089</v>
      </c>
      <c r="AL500" t="str">
        <f>HYPERLINK("https://www.instagram.com/p/BzHvHL8A16a/media/?size=l")</f>
        <v>https://www.instagram.com/p/BzHvHL8A16a/media/?size=l</v>
      </c>
      <c r="AM500" t="s">
        <v>52</v>
      </c>
      <c r="AN500" t="s">
        <v>53</v>
      </c>
    </row>
    <row r="501" spans="1:40">
      <c r="A501" t="s">
        <v>40</v>
      </c>
      <c r="B501" t="s">
        <v>2090</v>
      </c>
      <c r="C501" t="s">
        <v>1148</v>
      </c>
      <c r="D501" t="s">
        <v>52</v>
      </c>
      <c r="E501" t="s">
        <v>2091</v>
      </c>
      <c r="F501" t="s">
        <v>45</v>
      </c>
      <c r="G501" t="str">
        <f>HYPERLINK("https://www.facebook.com/113834401985825/posts/2403825332986709")</f>
        <v>https://www.facebook.com/113834401985825/posts/2403825332986709</v>
      </c>
      <c r="H501" t="s">
        <v>215</v>
      </c>
      <c r="N501" t="s">
        <v>1792</v>
      </c>
      <c r="O501" t="s">
        <v>2092</v>
      </c>
      <c r="P501" t="str">
        <f>HYPERLINK("https://www.facebook.com/113834401985825")</f>
        <v>https://www.facebook.com/113834401985825</v>
      </c>
      <c r="Q501">
        <v>5041205</v>
      </c>
      <c r="R501" t="s">
        <v>60</v>
      </c>
      <c r="S501" t="s">
        <v>51</v>
      </c>
      <c r="W501">
        <v>0</v>
      </c>
      <c r="X501">
        <v>0</v>
      </c>
      <c r="AE501">
        <v>0</v>
      </c>
      <c r="AF501">
        <v>0</v>
      </c>
      <c r="AM501" t="s">
        <v>52</v>
      </c>
      <c r="AN501" t="s">
        <v>53</v>
      </c>
    </row>
    <row r="502" spans="1:40">
      <c r="A502" t="s">
        <v>40</v>
      </c>
      <c r="B502" t="s">
        <v>2093</v>
      </c>
      <c r="C502" t="s">
        <v>2094</v>
      </c>
      <c r="D502" t="s">
        <v>52</v>
      </c>
      <c r="E502" t="s">
        <v>2095</v>
      </c>
      <c r="F502" t="s">
        <v>95</v>
      </c>
      <c r="G502" t="str">
        <f>HYPERLINK("https://twitter.com/571277616/status/1143388568741502976")</f>
        <v>https://twitter.com/571277616/status/1143388568741502976</v>
      </c>
      <c r="H502" t="s">
        <v>46</v>
      </c>
      <c r="I502" t="s">
        <v>2096</v>
      </c>
      <c r="J502" t="str">
        <f>HYPERLINK("http://twitter.com/ashbsally13")</f>
        <v>http://twitter.com/ashbsally13</v>
      </c>
      <c r="K502">
        <v>165</v>
      </c>
      <c r="N502" t="s">
        <v>65</v>
      </c>
      <c r="R502" t="s">
        <v>60</v>
      </c>
      <c r="S502" t="s">
        <v>51</v>
      </c>
      <c r="T502" t="s">
        <v>1487</v>
      </c>
      <c r="W502">
        <v>2</v>
      </c>
      <c r="X502">
        <v>2</v>
      </c>
      <c r="AE502">
        <v>0</v>
      </c>
      <c r="AF502">
        <v>0</v>
      </c>
      <c r="AM502" t="s">
        <v>52</v>
      </c>
      <c r="AN502" t="s">
        <v>53</v>
      </c>
    </row>
    <row r="503" spans="1:40">
      <c r="A503" t="s">
        <v>40</v>
      </c>
      <c r="B503" t="s">
        <v>2097</v>
      </c>
      <c r="C503" t="s">
        <v>2073</v>
      </c>
      <c r="D503" t="s">
        <v>52</v>
      </c>
      <c r="E503" t="s">
        <v>526</v>
      </c>
      <c r="F503" t="s">
        <v>131</v>
      </c>
      <c r="G503" t="str">
        <f>HYPERLINK("https://twitter.com/787817747178672128/status/1143388285076590592")</f>
        <v>https://twitter.com/787817747178672128/status/1143388285076590592</v>
      </c>
      <c r="H503" t="s">
        <v>46</v>
      </c>
      <c r="I503" t="s">
        <v>2098</v>
      </c>
      <c r="J503" t="str">
        <f>HYPERLINK("http://twitter.com/wilberthhdez98")</f>
        <v>http://twitter.com/wilberthhdez98</v>
      </c>
      <c r="K503">
        <v>126</v>
      </c>
      <c r="N503" t="s">
        <v>65</v>
      </c>
      <c r="R503" t="s">
        <v>60</v>
      </c>
      <c r="S503" t="s">
        <v>437</v>
      </c>
      <c r="T503" t="s">
        <v>2099</v>
      </c>
      <c r="W503">
        <v>0</v>
      </c>
      <c r="X503">
        <v>0</v>
      </c>
      <c r="AE503">
        <v>0</v>
      </c>
      <c r="AI503" t="s">
        <v>108</v>
      </c>
      <c r="AJ503" t="s">
        <v>52</v>
      </c>
      <c r="AK503" t="s">
        <v>52</v>
      </c>
      <c r="AL503" t="str">
        <f>HYPERLINK("https://pbs.twimg.com/ext_tw_video_thumb/1141360066962100224/pu/img/5_tGc4hLFQwcD07b.jpg")</f>
        <v>https://pbs.twimg.com/ext_tw_video_thumb/1141360066962100224/pu/img/5_tGc4hLFQwcD07b.jpg</v>
      </c>
      <c r="AM503" t="s">
        <v>52</v>
      </c>
      <c r="AN503" t="s">
        <v>53</v>
      </c>
    </row>
    <row r="504" spans="1:40">
      <c r="A504" t="s">
        <v>40</v>
      </c>
      <c r="B504" t="s">
        <v>2097</v>
      </c>
      <c r="C504" t="s">
        <v>2100</v>
      </c>
      <c r="D504" t="s">
        <v>52</v>
      </c>
      <c r="E504" t="s">
        <v>1897</v>
      </c>
      <c r="F504" t="s">
        <v>95</v>
      </c>
      <c r="G504" t="str">
        <f>HYPERLINK("https://twitter.com/98693906/status/1143388218521464832")</f>
        <v>https://twitter.com/98693906/status/1143388218521464832</v>
      </c>
      <c r="H504" t="s">
        <v>46</v>
      </c>
      <c r="I504" t="s">
        <v>2101</v>
      </c>
      <c r="J504" t="str">
        <f>HYPERLINK("http://twitter.com/luisjandropf")</f>
        <v>http://twitter.com/luisjandropf</v>
      </c>
      <c r="K504">
        <v>705</v>
      </c>
      <c r="L504" t="s">
        <v>48</v>
      </c>
      <c r="N504" t="s">
        <v>65</v>
      </c>
      <c r="R504" t="s">
        <v>60</v>
      </c>
      <c r="S504" t="s">
        <v>210</v>
      </c>
      <c r="T504" t="s">
        <v>2102</v>
      </c>
      <c r="U504" t="s">
        <v>2103</v>
      </c>
      <c r="W504">
        <v>3</v>
      </c>
      <c r="X504">
        <v>3</v>
      </c>
      <c r="AE504">
        <v>0</v>
      </c>
      <c r="AF504">
        <v>1</v>
      </c>
      <c r="AM504" t="s">
        <v>52</v>
      </c>
      <c r="AN504" t="s">
        <v>53</v>
      </c>
    </row>
    <row r="505" spans="1:40">
      <c r="A505" t="s">
        <v>40</v>
      </c>
      <c r="B505" t="s">
        <v>2104</v>
      </c>
      <c r="C505" t="s">
        <v>2105</v>
      </c>
      <c r="D505" t="s">
        <v>52</v>
      </c>
      <c r="E505" t="s">
        <v>2106</v>
      </c>
      <c r="F505" t="s">
        <v>45</v>
      </c>
      <c r="G505" t="str">
        <f>HYPERLINK("https://twitter.com/851973226892840960/status/1143387803696455681")</f>
        <v>https://twitter.com/851973226892840960/status/1143387803696455681</v>
      </c>
      <c r="H505" t="s">
        <v>46</v>
      </c>
      <c r="I505" t="s">
        <v>2107</v>
      </c>
      <c r="J505" t="str">
        <f>HYPERLINK("http://twitter.com/EmbrynAudios")</f>
        <v>http://twitter.com/EmbrynAudios</v>
      </c>
      <c r="K505">
        <v>603</v>
      </c>
      <c r="L505" t="s">
        <v>58</v>
      </c>
      <c r="N505" t="s">
        <v>65</v>
      </c>
      <c r="R505" t="s">
        <v>60</v>
      </c>
      <c r="W505">
        <v>1</v>
      </c>
      <c r="X505">
        <v>1</v>
      </c>
      <c r="AE505">
        <v>0</v>
      </c>
      <c r="AF505">
        <v>0</v>
      </c>
      <c r="AI505" t="s">
        <v>52</v>
      </c>
      <c r="AJ505" t="s">
        <v>52</v>
      </c>
      <c r="AK505" t="s">
        <v>2108</v>
      </c>
      <c r="AL505" t="str">
        <f>HYPERLINK("https://pbs.twimg.com/tweet_video_thumb/D94hI25XsAEN5Hp.jpg")</f>
        <v>https://pbs.twimg.com/tweet_video_thumb/D94hI25XsAEN5Hp.jpg</v>
      </c>
      <c r="AM505" t="s">
        <v>52</v>
      </c>
      <c r="AN505" t="s">
        <v>53</v>
      </c>
    </row>
    <row r="506" spans="1:40">
      <c r="A506" t="s">
        <v>40</v>
      </c>
      <c r="B506" t="s">
        <v>2109</v>
      </c>
      <c r="C506" t="s">
        <v>2110</v>
      </c>
      <c r="D506" t="s">
        <v>52</v>
      </c>
      <c r="E506" t="s">
        <v>204</v>
      </c>
      <c r="F506" t="s">
        <v>131</v>
      </c>
      <c r="G506" t="str">
        <f>HYPERLINK("https://twitter.com/2859435567/status/1143387567292858368")</f>
        <v>https://twitter.com/2859435567/status/1143387567292858368</v>
      </c>
      <c r="H506" t="s">
        <v>46</v>
      </c>
      <c r="I506" t="s">
        <v>2111</v>
      </c>
      <c r="J506" t="str">
        <f>HYPERLINK("http://twitter.com/V8W2Y2")</f>
        <v>http://twitter.com/V8W2Y2</v>
      </c>
      <c r="K506">
        <v>1376</v>
      </c>
      <c r="N506" t="s">
        <v>65</v>
      </c>
      <c r="R506" t="s">
        <v>60</v>
      </c>
      <c r="W506">
        <v>0</v>
      </c>
      <c r="X506">
        <v>0</v>
      </c>
      <c r="AE506">
        <v>0</v>
      </c>
      <c r="AM506" t="s">
        <v>52</v>
      </c>
      <c r="AN506" t="s">
        <v>53</v>
      </c>
    </row>
    <row r="507" spans="1:40">
      <c r="A507" t="s">
        <v>40</v>
      </c>
      <c r="B507" t="s">
        <v>2112</v>
      </c>
      <c r="C507" t="s">
        <v>2113</v>
      </c>
      <c r="D507" t="s">
        <v>52</v>
      </c>
      <c r="E507" t="s">
        <v>2114</v>
      </c>
      <c r="F507" t="s">
        <v>45</v>
      </c>
      <c r="G507" t="str">
        <f>HYPERLINK("https://twitter.com/990860851690196992/status/1143387289751416832")</f>
        <v>https://twitter.com/990860851690196992/status/1143387289751416832</v>
      </c>
      <c r="H507" t="s">
        <v>46</v>
      </c>
      <c r="I507" t="s">
        <v>2115</v>
      </c>
      <c r="J507" t="str">
        <f>HYPERLINK("http://twitter.com/limejuice4u")</f>
        <v>http://twitter.com/limejuice4u</v>
      </c>
      <c r="K507">
        <v>9</v>
      </c>
      <c r="N507" t="s">
        <v>65</v>
      </c>
      <c r="R507" t="s">
        <v>60</v>
      </c>
      <c r="W507">
        <v>0</v>
      </c>
      <c r="X507">
        <v>0</v>
      </c>
      <c r="AE507">
        <v>0</v>
      </c>
      <c r="AF507">
        <v>0</v>
      </c>
      <c r="AM507" t="s">
        <v>52</v>
      </c>
      <c r="AN507" t="s">
        <v>53</v>
      </c>
    </row>
    <row r="508" spans="1:40">
      <c r="A508" t="s">
        <v>40</v>
      </c>
      <c r="B508" t="s">
        <v>2116</v>
      </c>
      <c r="C508" t="s">
        <v>2117</v>
      </c>
      <c r="D508" t="s">
        <v>52</v>
      </c>
      <c r="E508" t="s">
        <v>204</v>
      </c>
      <c r="F508" t="s">
        <v>131</v>
      </c>
      <c r="G508" t="str">
        <f>HYPERLINK("https://twitter.com/1077380786326777856/status/1143386057335087104")</f>
        <v>https://twitter.com/1077380786326777856/status/1143386057335087104</v>
      </c>
      <c r="H508" t="s">
        <v>46</v>
      </c>
      <c r="I508" t="s">
        <v>52</v>
      </c>
      <c r="J508" t="str">
        <f>HYPERLINK("http://twitter.com/crybaby42069")</f>
        <v>http://twitter.com/crybaby42069</v>
      </c>
      <c r="K508">
        <v>42</v>
      </c>
      <c r="N508" t="s">
        <v>65</v>
      </c>
      <c r="R508" t="s">
        <v>60</v>
      </c>
      <c r="S508" t="s">
        <v>2118</v>
      </c>
      <c r="T508" t="s">
        <v>2119</v>
      </c>
      <c r="U508" t="s">
        <v>2120</v>
      </c>
      <c r="W508">
        <v>0</v>
      </c>
      <c r="X508">
        <v>0</v>
      </c>
      <c r="AE508">
        <v>0</v>
      </c>
      <c r="AM508" t="s">
        <v>52</v>
      </c>
      <c r="AN508" t="s">
        <v>53</v>
      </c>
    </row>
    <row r="509" spans="1:40">
      <c r="A509" t="s">
        <v>40</v>
      </c>
      <c r="B509" t="s">
        <v>2116</v>
      </c>
      <c r="C509" t="s">
        <v>2121</v>
      </c>
      <c r="D509" t="s">
        <v>52</v>
      </c>
      <c r="E509" t="s">
        <v>1293</v>
      </c>
      <c r="F509" t="s">
        <v>71</v>
      </c>
      <c r="G509" t="str">
        <f>HYPERLINK("https://twitter.com/1088303986971684864/status/1143385932206354432")</f>
        <v>https://twitter.com/1088303986971684864/status/1143385932206354432</v>
      </c>
      <c r="H509" t="s">
        <v>46</v>
      </c>
      <c r="I509" t="s">
        <v>2122</v>
      </c>
      <c r="J509" t="str">
        <f>HYPERLINK("http://twitter.com/CrownOfLight3")</f>
        <v>http://twitter.com/CrownOfLight3</v>
      </c>
      <c r="K509">
        <v>5080</v>
      </c>
      <c r="N509" t="s">
        <v>65</v>
      </c>
      <c r="R509" t="s">
        <v>60</v>
      </c>
      <c r="S509" t="s">
        <v>1071</v>
      </c>
      <c r="T509" t="s">
        <v>1072</v>
      </c>
      <c r="U509" t="s">
        <v>2123</v>
      </c>
      <c r="W509">
        <v>0</v>
      </c>
      <c r="X509">
        <v>0</v>
      </c>
      <c r="AE509">
        <v>0</v>
      </c>
      <c r="AF509">
        <v>0</v>
      </c>
      <c r="AM509" t="s">
        <v>52</v>
      </c>
      <c r="AN509" t="s">
        <v>53</v>
      </c>
    </row>
    <row r="510" spans="1:40">
      <c r="A510" t="s">
        <v>40</v>
      </c>
      <c r="B510" t="s">
        <v>2116</v>
      </c>
      <c r="C510" t="s">
        <v>2124</v>
      </c>
      <c r="D510" t="s">
        <v>52</v>
      </c>
      <c r="E510" t="s">
        <v>204</v>
      </c>
      <c r="F510" t="s">
        <v>131</v>
      </c>
      <c r="G510" t="str">
        <f>HYPERLINK("https://twitter.com/1124549659274252288/status/1143385855404285952")</f>
        <v>https://twitter.com/1124549659274252288/status/1143385855404285952</v>
      </c>
      <c r="H510" t="s">
        <v>46</v>
      </c>
      <c r="I510" t="s">
        <v>2125</v>
      </c>
      <c r="J510" t="str">
        <f>HYPERLINK("http://twitter.com/TackJelnax")</f>
        <v>http://twitter.com/TackJelnax</v>
      </c>
      <c r="K510">
        <v>306</v>
      </c>
      <c r="N510" t="s">
        <v>65</v>
      </c>
      <c r="R510" t="s">
        <v>60</v>
      </c>
      <c r="W510">
        <v>0</v>
      </c>
      <c r="X510">
        <v>0</v>
      </c>
      <c r="AE510">
        <v>0</v>
      </c>
      <c r="AM510" t="s">
        <v>52</v>
      </c>
      <c r="AN510" t="s">
        <v>53</v>
      </c>
    </row>
    <row r="511" spans="1:40">
      <c r="A511" t="s">
        <v>40</v>
      </c>
      <c r="B511" t="s">
        <v>2126</v>
      </c>
      <c r="C511" t="s">
        <v>2127</v>
      </c>
      <c r="D511" t="s">
        <v>52</v>
      </c>
      <c r="E511" t="s">
        <v>204</v>
      </c>
      <c r="F511" t="s">
        <v>131</v>
      </c>
      <c r="G511" t="str">
        <f>HYPERLINK("https://twitter.com/3016791663/status/1143385714588975104")</f>
        <v>https://twitter.com/3016791663/status/1143385714588975104</v>
      </c>
      <c r="H511" t="s">
        <v>46</v>
      </c>
      <c r="I511" t="s">
        <v>2128</v>
      </c>
      <c r="J511" t="str">
        <f>HYPERLINK("http://twitter.com/kuuga4president")</f>
        <v>http://twitter.com/kuuga4president</v>
      </c>
      <c r="K511">
        <v>138</v>
      </c>
      <c r="N511" t="s">
        <v>65</v>
      </c>
      <c r="R511" t="s">
        <v>60</v>
      </c>
      <c r="W511">
        <v>0</v>
      </c>
      <c r="X511">
        <v>0</v>
      </c>
      <c r="AE511">
        <v>0</v>
      </c>
      <c r="AM511" t="s">
        <v>52</v>
      </c>
      <c r="AN511" t="s">
        <v>53</v>
      </c>
    </row>
    <row r="512" spans="1:40">
      <c r="A512" t="s">
        <v>40</v>
      </c>
      <c r="B512" t="s">
        <v>2129</v>
      </c>
      <c r="C512" t="s">
        <v>2130</v>
      </c>
      <c r="D512" t="s">
        <v>52</v>
      </c>
      <c r="E512" t="s">
        <v>2131</v>
      </c>
      <c r="F512" t="s">
        <v>95</v>
      </c>
      <c r="G512" t="str">
        <f>HYPERLINK("https://twitter.com/3100777910/status/1143385042283970560")</f>
        <v>https://twitter.com/3100777910/status/1143385042283970560</v>
      </c>
      <c r="H512" t="s">
        <v>46</v>
      </c>
      <c r="I512" t="s">
        <v>2132</v>
      </c>
      <c r="J512" t="str">
        <f>HYPERLINK("http://twitter.com/ActuallynHayden")</f>
        <v>http://twitter.com/ActuallynHayden</v>
      </c>
      <c r="K512">
        <v>857</v>
      </c>
      <c r="N512" t="s">
        <v>65</v>
      </c>
      <c r="R512" t="s">
        <v>60</v>
      </c>
      <c r="S512" t="s">
        <v>2133</v>
      </c>
      <c r="T512" t="s">
        <v>2134</v>
      </c>
      <c r="U512" t="s">
        <v>2135</v>
      </c>
      <c r="W512">
        <v>1</v>
      </c>
      <c r="X512">
        <v>1</v>
      </c>
      <c r="AE512">
        <v>0</v>
      </c>
      <c r="AF512">
        <v>0</v>
      </c>
      <c r="AM512" t="s">
        <v>52</v>
      </c>
      <c r="AN512" t="s">
        <v>53</v>
      </c>
    </row>
    <row r="513" spans="1:40">
      <c r="A513" t="s">
        <v>40</v>
      </c>
      <c r="B513" t="s">
        <v>2129</v>
      </c>
      <c r="C513" t="s">
        <v>2130</v>
      </c>
      <c r="D513" t="s">
        <v>52</v>
      </c>
      <c r="E513" t="s">
        <v>204</v>
      </c>
      <c r="F513" t="s">
        <v>131</v>
      </c>
      <c r="G513" t="str">
        <f>HYPERLINK("https://twitter.com/1114903777570709505/status/1143384908007694336")</f>
        <v>https://twitter.com/1114903777570709505/status/1143384908007694336</v>
      </c>
      <c r="H513" t="s">
        <v>46</v>
      </c>
      <c r="I513" t="s">
        <v>2136</v>
      </c>
      <c r="J513" t="str">
        <f>HYPERLINK("http://twitter.com/RespectreOfComm")</f>
        <v>http://twitter.com/RespectreOfComm</v>
      </c>
      <c r="K513">
        <v>1064</v>
      </c>
      <c r="L513" t="s">
        <v>58</v>
      </c>
      <c r="N513" t="s">
        <v>65</v>
      </c>
      <c r="R513" t="s">
        <v>60</v>
      </c>
      <c r="W513">
        <v>0</v>
      </c>
      <c r="X513">
        <v>0</v>
      </c>
      <c r="AE513">
        <v>0</v>
      </c>
      <c r="AM513" t="s">
        <v>52</v>
      </c>
      <c r="AN513" t="s">
        <v>53</v>
      </c>
    </row>
    <row r="514" spans="1:40">
      <c r="A514" t="s">
        <v>40</v>
      </c>
      <c r="B514" t="s">
        <v>2137</v>
      </c>
      <c r="C514" t="s">
        <v>2138</v>
      </c>
      <c r="D514" t="s">
        <v>52</v>
      </c>
      <c r="E514" t="s">
        <v>2139</v>
      </c>
      <c r="F514" t="s">
        <v>131</v>
      </c>
      <c r="G514" t="str">
        <f>HYPERLINK("https://twitter.com/1028093719713591296/status/1143383441129594882")</f>
        <v>https://twitter.com/1028093719713591296/status/1143383441129594882</v>
      </c>
      <c r="H514" t="s">
        <v>46</v>
      </c>
      <c r="I514" t="s">
        <v>2140</v>
      </c>
      <c r="J514" t="str">
        <f>HYPERLINK("http://twitter.com/CleetusRbx")</f>
        <v>http://twitter.com/CleetusRbx</v>
      </c>
      <c r="K514">
        <v>31</v>
      </c>
      <c r="N514" t="s">
        <v>65</v>
      </c>
      <c r="R514" t="s">
        <v>60</v>
      </c>
      <c r="S514" t="s">
        <v>1403</v>
      </c>
      <c r="T514" t="s">
        <v>2141</v>
      </c>
      <c r="U514" t="s">
        <v>2142</v>
      </c>
      <c r="W514">
        <v>0</v>
      </c>
      <c r="X514">
        <v>0</v>
      </c>
      <c r="AE514">
        <v>0</v>
      </c>
      <c r="AM514" t="s">
        <v>52</v>
      </c>
      <c r="AN514" t="s">
        <v>53</v>
      </c>
    </row>
    <row r="515" spans="1:40">
      <c r="A515" t="s">
        <v>40</v>
      </c>
      <c r="B515" t="s">
        <v>2143</v>
      </c>
      <c r="C515" t="s">
        <v>2130</v>
      </c>
      <c r="D515" t="s">
        <v>52</v>
      </c>
      <c r="E515" t="s">
        <v>1194</v>
      </c>
      <c r="F515" t="s">
        <v>131</v>
      </c>
      <c r="G515" t="str">
        <f>HYPERLINK("https://twitter.com/3165184518/status/1143383314922819585")</f>
        <v>https://twitter.com/3165184518/status/1143383314922819585</v>
      </c>
      <c r="H515" t="s">
        <v>46</v>
      </c>
      <c r="I515" t="s">
        <v>2144</v>
      </c>
      <c r="J515" t="str">
        <f>HYPERLINK("http://twitter.com/coopitan")</f>
        <v>http://twitter.com/coopitan</v>
      </c>
      <c r="K515">
        <v>121</v>
      </c>
      <c r="N515" t="s">
        <v>65</v>
      </c>
      <c r="R515" t="s">
        <v>60</v>
      </c>
      <c r="S515" t="s">
        <v>1521</v>
      </c>
      <c r="T515" t="s">
        <v>2145</v>
      </c>
      <c r="U515" t="s">
        <v>2146</v>
      </c>
      <c r="W515">
        <v>0</v>
      </c>
      <c r="X515">
        <v>0</v>
      </c>
      <c r="AE515">
        <v>0</v>
      </c>
      <c r="AI515" t="s">
        <v>52</v>
      </c>
      <c r="AJ515" t="s">
        <v>1196</v>
      </c>
      <c r="AK515" t="s">
        <v>52</v>
      </c>
      <c r="AL515" t="str">
        <f>HYPERLINK("https://pbs.twimg.com/media/D9xgk2YXkAAd2ql.jpg")</f>
        <v>https://pbs.twimg.com/media/D9xgk2YXkAAd2ql.jpg</v>
      </c>
      <c r="AM515" t="s">
        <v>52</v>
      </c>
      <c r="AN515" t="s">
        <v>53</v>
      </c>
    </row>
    <row r="516" spans="1:40">
      <c r="A516" t="s">
        <v>40</v>
      </c>
      <c r="B516" t="s">
        <v>2143</v>
      </c>
      <c r="C516" t="s">
        <v>2147</v>
      </c>
      <c r="D516" t="s">
        <v>52</v>
      </c>
      <c r="E516" t="s">
        <v>2148</v>
      </c>
      <c r="F516" t="s">
        <v>95</v>
      </c>
      <c r="G516" t="str">
        <f>HYPERLINK("https://twitter.com/1084213300592820225/status/1143383129593470976")</f>
        <v>https://twitter.com/1084213300592820225/status/1143383129593470976</v>
      </c>
      <c r="H516" t="s">
        <v>46</v>
      </c>
      <c r="I516" t="s">
        <v>2149</v>
      </c>
      <c r="J516" t="str">
        <f>HYPERLINK("http://twitter.com/ZachFrost1226")</f>
        <v>http://twitter.com/ZachFrost1226</v>
      </c>
      <c r="K516">
        <v>3035</v>
      </c>
      <c r="L516" t="s">
        <v>48</v>
      </c>
      <c r="N516" t="s">
        <v>65</v>
      </c>
      <c r="R516" t="s">
        <v>60</v>
      </c>
      <c r="S516" t="s">
        <v>51</v>
      </c>
      <c r="T516" t="s">
        <v>160</v>
      </c>
      <c r="W516">
        <v>2</v>
      </c>
      <c r="X516">
        <v>2</v>
      </c>
      <c r="AE516">
        <v>0</v>
      </c>
      <c r="AF516">
        <v>0</v>
      </c>
      <c r="AM516" t="s">
        <v>52</v>
      </c>
      <c r="AN516" t="s">
        <v>53</v>
      </c>
    </row>
    <row r="517" spans="1:40">
      <c r="A517" t="s">
        <v>40</v>
      </c>
      <c r="B517" t="s">
        <v>2150</v>
      </c>
      <c r="C517" t="s">
        <v>2151</v>
      </c>
      <c r="D517" t="s">
        <v>52</v>
      </c>
      <c r="E517" t="s">
        <v>2152</v>
      </c>
      <c r="F517" t="s">
        <v>45</v>
      </c>
      <c r="G517" t="str">
        <f>HYPERLINK("https://twitter.com/943408888673472513/status/1143382987389583360")</f>
        <v>https://twitter.com/943408888673472513/status/1143382987389583360</v>
      </c>
      <c r="H517" t="s">
        <v>215</v>
      </c>
      <c r="I517" t="s">
        <v>2153</v>
      </c>
      <c r="J517" t="str">
        <f>HYPERLINK("http://twitter.com/tacxii")</f>
        <v>http://twitter.com/tacxii</v>
      </c>
      <c r="K517">
        <v>1</v>
      </c>
      <c r="N517" t="s">
        <v>65</v>
      </c>
      <c r="R517" t="s">
        <v>60</v>
      </c>
      <c r="W517">
        <v>0</v>
      </c>
      <c r="X517">
        <v>0</v>
      </c>
      <c r="AE517">
        <v>0</v>
      </c>
      <c r="AF517">
        <v>0</v>
      </c>
      <c r="AI517" t="s">
        <v>52</v>
      </c>
      <c r="AJ517" t="s">
        <v>52</v>
      </c>
      <c r="AK517" t="s">
        <v>52</v>
      </c>
      <c r="AL517" t="str">
        <f>HYPERLINK("https://pbs.twimg.com/media/D94cwqUUwAEFLZc.jpg")</f>
        <v>https://pbs.twimg.com/media/D94cwqUUwAEFLZc.jpg</v>
      </c>
      <c r="AM517" t="s">
        <v>52</v>
      </c>
      <c r="AN517" t="s">
        <v>53</v>
      </c>
    </row>
    <row r="518" spans="1:40">
      <c r="A518" t="s">
        <v>40</v>
      </c>
      <c r="B518" t="s">
        <v>2154</v>
      </c>
      <c r="C518" t="s">
        <v>2155</v>
      </c>
      <c r="D518" t="s">
        <v>52</v>
      </c>
      <c r="E518" t="s">
        <v>599</v>
      </c>
      <c r="F518" t="s">
        <v>131</v>
      </c>
      <c r="G518" t="str">
        <f>HYPERLINK("https://twitter.com/81817134/status/1143382198550220800")</f>
        <v>https://twitter.com/81817134/status/1143382198550220800</v>
      </c>
      <c r="H518" t="s">
        <v>46</v>
      </c>
      <c r="I518" t="s">
        <v>2156</v>
      </c>
      <c r="J518" t="str">
        <f>HYPERLINK("http://twitter.com/Rattlehead81")</f>
        <v>http://twitter.com/Rattlehead81</v>
      </c>
      <c r="K518">
        <v>4771</v>
      </c>
      <c r="L518" t="s">
        <v>48</v>
      </c>
      <c r="N518" t="s">
        <v>65</v>
      </c>
      <c r="R518" t="s">
        <v>60</v>
      </c>
      <c r="S518" t="s">
        <v>2157</v>
      </c>
      <c r="W518">
        <v>0</v>
      </c>
      <c r="X518">
        <v>0</v>
      </c>
      <c r="AE518">
        <v>0</v>
      </c>
      <c r="AI518" t="s">
        <v>108</v>
      </c>
      <c r="AJ518" t="s">
        <v>52</v>
      </c>
      <c r="AK518" t="s">
        <v>601</v>
      </c>
      <c r="AL518" t="str">
        <f>HYPERLINK("https://pbs.twimg.com/ext_tw_video_thumb/1143202185154584581/pu/img/K72qfBH8zIdbiUf-.jpg")</f>
        <v>https://pbs.twimg.com/ext_tw_video_thumb/1143202185154584581/pu/img/K72qfBH8zIdbiUf-.jpg</v>
      </c>
      <c r="AM518" t="s">
        <v>52</v>
      </c>
      <c r="AN518" t="s">
        <v>53</v>
      </c>
    </row>
    <row r="519" spans="1:40">
      <c r="A519" t="s">
        <v>40</v>
      </c>
      <c r="B519" t="s">
        <v>2158</v>
      </c>
      <c r="C519" t="s">
        <v>2159</v>
      </c>
      <c r="D519" t="s">
        <v>52</v>
      </c>
      <c r="E519" t="s">
        <v>599</v>
      </c>
      <c r="F519" t="s">
        <v>131</v>
      </c>
      <c r="G519" t="str">
        <f>HYPERLINK("https://twitter.com/1098605930105720832/status/1143382029687566336")</f>
        <v>https://twitter.com/1098605930105720832/status/1143382029687566336</v>
      </c>
      <c r="H519" t="s">
        <v>46</v>
      </c>
      <c r="I519" t="s">
        <v>2160</v>
      </c>
      <c r="J519" t="str">
        <f>HYPERLINK("http://twitter.com/UFUK89486848")</f>
        <v>http://twitter.com/UFUK89486848</v>
      </c>
      <c r="K519">
        <v>921</v>
      </c>
      <c r="N519" t="s">
        <v>65</v>
      </c>
      <c r="R519" t="s">
        <v>60</v>
      </c>
      <c r="W519">
        <v>0</v>
      </c>
      <c r="X519">
        <v>0</v>
      </c>
      <c r="AE519">
        <v>0</v>
      </c>
      <c r="AI519" t="s">
        <v>108</v>
      </c>
      <c r="AJ519" t="s">
        <v>52</v>
      </c>
      <c r="AK519" t="s">
        <v>601</v>
      </c>
      <c r="AL519" t="str">
        <f>HYPERLINK("https://pbs.twimg.com/ext_tw_video_thumb/1143202185154584581/pu/img/K72qfBH8zIdbiUf-.jpg")</f>
        <v>https://pbs.twimg.com/ext_tw_video_thumb/1143202185154584581/pu/img/K72qfBH8zIdbiUf-.jpg</v>
      </c>
      <c r="AM519" t="s">
        <v>52</v>
      </c>
      <c r="AN519" t="s">
        <v>53</v>
      </c>
    </row>
    <row r="520" spans="1:40">
      <c r="A520" t="s">
        <v>40</v>
      </c>
      <c r="B520" t="s">
        <v>2158</v>
      </c>
      <c r="C520" t="s">
        <v>2159</v>
      </c>
      <c r="D520" t="s">
        <v>52</v>
      </c>
      <c r="E520" t="s">
        <v>2161</v>
      </c>
      <c r="F520" t="s">
        <v>71</v>
      </c>
      <c r="G520" t="str">
        <f>HYPERLINK("https://twitter.com/280319858/status/1143382008418066433")</f>
        <v>https://twitter.com/280319858/status/1143382008418066433</v>
      </c>
      <c r="H520" t="s">
        <v>46</v>
      </c>
      <c r="I520" t="s">
        <v>2162</v>
      </c>
      <c r="J520" t="str">
        <f>HYPERLINK("http://twitter.com/HangOutIndo")</f>
        <v>http://twitter.com/HangOutIndo</v>
      </c>
      <c r="K520">
        <v>11146</v>
      </c>
      <c r="N520" t="s">
        <v>65</v>
      </c>
      <c r="R520" t="s">
        <v>60</v>
      </c>
      <c r="S520" t="s">
        <v>1643</v>
      </c>
      <c r="T520" t="s">
        <v>2163</v>
      </c>
      <c r="U520" t="s">
        <v>2164</v>
      </c>
      <c r="W520">
        <v>0</v>
      </c>
      <c r="X520">
        <v>0</v>
      </c>
      <c r="AE520">
        <v>0</v>
      </c>
      <c r="AF520">
        <v>0</v>
      </c>
      <c r="AI520" t="s">
        <v>108</v>
      </c>
      <c r="AJ520" t="s">
        <v>52</v>
      </c>
      <c r="AK520" t="s">
        <v>52</v>
      </c>
      <c r="AL520" t="str">
        <f>HYPERLINK("https://pbs.twimg.com/tweet_video_thumb/D9cjm2HUYAAJ9R9.jpg")</f>
        <v>https://pbs.twimg.com/tweet_video_thumb/D9cjm2HUYAAJ9R9.jpg</v>
      </c>
      <c r="AM520" t="s">
        <v>52</v>
      </c>
      <c r="AN520" t="s">
        <v>53</v>
      </c>
    </row>
    <row r="521" spans="1:40">
      <c r="A521" t="s">
        <v>40</v>
      </c>
      <c r="B521" t="s">
        <v>2165</v>
      </c>
      <c r="C521" t="s">
        <v>2159</v>
      </c>
      <c r="D521" t="s">
        <v>52</v>
      </c>
      <c r="E521" t="s">
        <v>2166</v>
      </c>
      <c r="F521" t="s">
        <v>45</v>
      </c>
      <c r="G521" t="str">
        <f>HYPERLINK("https://twitter.com/1633540651/status/1143381569048129537")</f>
        <v>https://twitter.com/1633540651/status/1143381569048129537</v>
      </c>
      <c r="H521" t="s">
        <v>46</v>
      </c>
      <c r="I521" t="s">
        <v>2167</v>
      </c>
      <c r="J521" t="str">
        <f>HYPERLINK("http://twitter.com/DaleK160695")</f>
        <v>http://twitter.com/DaleK160695</v>
      </c>
      <c r="K521">
        <v>411</v>
      </c>
      <c r="N521" t="s">
        <v>65</v>
      </c>
      <c r="R521" t="s">
        <v>60</v>
      </c>
      <c r="W521">
        <v>0</v>
      </c>
      <c r="X521">
        <v>0</v>
      </c>
      <c r="AE521">
        <v>1</v>
      </c>
      <c r="AF521">
        <v>0</v>
      </c>
      <c r="AM521" t="s">
        <v>52</v>
      </c>
      <c r="AN521" t="s">
        <v>53</v>
      </c>
    </row>
    <row r="522" spans="1:40">
      <c r="A522" t="s">
        <v>40</v>
      </c>
      <c r="B522" t="s">
        <v>2168</v>
      </c>
      <c r="C522" t="s">
        <v>2169</v>
      </c>
      <c r="D522" t="s">
        <v>52</v>
      </c>
      <c r="E522" t="s">
        <v>2170</v>
      </c>
      <c r="F522" t="s">
        <v>45</v>
      </c>
      <c r="G522" t="str">
        <f>HYPERLINK("https://twitter.com/3019205876/status/1143381471312265216")</f>
        <v>https://twitter.com/3019205876/status/1143381471312265216</v>
      </c>
      <c r="H522" t="s">
        <v>46</v>
      </c>
      <c r="I522" t="s">
        <v>52</v>
      </c>
      <c r="J522" t="str">
        <f>HYPERLINK("http://twitter.com/felcearosete_")</f>
        <v>http://twitter.com/felcearosete_</v>
      </c>
      <c r="K522">
        <v>267</v>
      </c>
      <c r="N522" t="s">
        <v>65</v>
      </c>
      <c r="R522" t="s">
        <v>60</v>
      </c>
      <c r="W522">
        <v>3</v>
      </c>
      <c r="X522">
        <v>3</v>
      </c>
      <c r="AE522">
        <v>0</v>
      </c>
      <c r="AF522">
        <v>0</v>
      </c>
      <c r="AM522" t="s">
        <v>52</v>
      </c>
      <c r="AN522" t="s">
        <v>53</v>
      </c>
    </row>
    <row r="523" spans="1:40">
      <c r="A523" t="s">
        <v>40</v>
      </c>
      <c r="B523" t="s">
        <v>2168</v>
      </c>
      <c r="C523" t="s">
        <v>2171</v>
      </c>
      <c r="D523" t="s">
        <v>52</v>
      </c>
      <c r="E523" t="s">
        <v>1194</v>
      </c>
      <c r="F523" t="s">
        <v>131</v>
      </c>
      <c r="G523" t="str">
        <f>HYPERLINK("https://twitter.com/3033990924/status/1143381427959898112")</f>
        <v>https://twitter.com/3033990924/status/1143381427959898112</v>
      </c>
      <c r="H523" t="s">
        <v>46</v>
      </c>
      <c r="I523" t="s">
        <v>2172</v>
      </c>
      <c r="J523" t="str">
        <f>HYPERLINK("http://twitter.com/J_Homie15")</f>
        <v>http://twitter.com/J_Homie15</v>
      </c>
      <c r="K523">
        <v>229</v>
      </c>
      <c r="N523" t="s">
        <v>65</v>
      </c>
      <c r="R523" t="s">
        <v>60</v>
      </c>
      <c r="W523">
        <v>0</v>
      </c>
      <c r="X523">
        <v>0</v>
      </c>
      <c r="AE523">
        <v>0</v>
      </c>
      <c r="AI523" t="s">
        <v>52</v>
      </c>
      <c r="AJ523" t="s">
        <v>1196</v>
      </c>
      <c r="AK523" t="s">
        <v>52</v>
      </c>
      <c r="AL523" t="str">
        <f>HYPERLINK("https://pbs.twimg.com/media/D9xgk2YXkAAd2ql.jpg")</f>
        <v>https://pbs.twimg.com/media/D9xgk2YXkAAd2ql.jpg</v>
      </c>
      <c r="AM523" t="s">
        <v>52</v>
      </c>
      <c r="AN523" t="s">
        <v>53</v>
      </c>
    </row>
    <row r="524" spans="1:40">
      <c r="A524" t="s">
        <v>40</v>
      </c>
      <c r="B524" t="s">
        <v>2168</v>
      </c>
      <c r="C524" t="s">
        <v>2105</v>
      </c>
      <c r="D524" t="s">
        <v>52</v>
      </c>
      <c r="E524" t="s">
        <v>2173</v>
      </c>
      <c r="F524" t="s">
        <v>45</v>
      </c>
      <c r="G524" t="str">
        <f>HYPERLINK("https://www.instagram.com/p/BzHrg1GBr7L")</f>
        <v>https://www.instagram.com/p/BzHrg1GBr7L</v>
      </c>
      <c r="H524" t="s">
        <v>215</v>
      </c>
      <c r="I524" t="s">
        <v>2174</v>
      </c>
      <c r="J524" t="str">
        <f>HYPERLINK("http://instagram.com/heybrunch")</f>
        <v>http://instagram.com/heybrunch</v>
      </c>
      <c r="K524">
        <v>54</v>
      </c>
      <c r="N524" t="s">
        <v>59</v>
      </c>
      <c r="O524" t="s">
        <v>2174</v>
      </c>
      <c r="P524" t="str">
        <f>HYPERLINK("http://instagram.com/heybrunch")</f>
        <v>http://instagram.com/heybrunch</v>
      </c>
      <c r="Q524">
        <v>54</v>
      </c>
      <c r="R524" t="s">
        <v>60</v>
      </c>
      <c r="W524">
        <v>5</v>
      </c>
      <c r="X524">
        <v>5</v>
      </c>
      <c r="AE524">
        <v>0</v>
      </c>
      <c r="AI524" t="s">
        <v>52</v>
      </c>
      <c r="AJ524" t="s">
        <v>2175</v>
      </c>
      <c r="AK524" t="s">
        <v>2176</v>
      </c>
      <c r="AL524" t="str">
        <f>HYPERLINK("https://www.instagram.com/p/BzHrg1GBr7L/media/?size=l")</f>
        <v>https://www.instagram.com/p/BzHrg1GBr7L/media/?size=l</v>
      </c>
      <c r="AM524" t="s">
        <v>52</v>
      </c>
      <c r="AN524" t="s">
        <v>53</v>
      </c>
    </row>
    <row r="525" spans="1:40">
      <c r="A525" t="s">
        <v>40</v>
      </c>
      <c r="B525" t="s">
        <v>2177</v>
      </c>
      <c r="C525" t="s">
        <v>2178</v>
      </c>
      <c r="D525" t="s">
        <v>52</v>
      </c>
      <c r="E525" t="s">
        <v>2179</v>
      </c>
      <c r="F525" t="s">
        <v>45</v>
      </c>
      <c r="G525" t="str">
        <f>HYPERLINK("https://twitter.com/20085462/status/1143381182970773504")</f>
        <v>https://twitter.com/20085462/status/1143381182970773504</v>
      </c>
      <c r="H525" t="s">
        <v>46</v>
      </c>
      <c r="I525" t="s">
        <v>2180</v>
      </c>
      <c r="J525" t="str">
        <f>HYPERLINK("http://twitter.com/skarydrunkguy")</f>
        <v>http://twitter.com/skarydrunkguy</v>
      </c>
      <c r="K525">
        <v>531</v>
      </c>
      <c r="N525" t="s">
        <v>65</v>
      </c>
      <c r="R525" t="s">
        <v>60</v>
      </c>
      <c r="W525">
        <v>0</v>
      </c>
      <c r="X525">
        <v>0</v>
      </c>
      <c r="AE525">
        <v>0</v>
      </c>
      <c r="AF525">
        <v>0</v>
      </c>
      <c r="AM525" t="s">
        <v>52</v>
      </c>
      <c r="AN525" t="s">
        <v>53</v>
      </c>
    </row>
    <row r="526" spans="1:40">
      <c r="A526" t="s">
        <v>40</v>
      </c>
      <c r="B526" t="s">
        <v>2181</v>
      </c>
      <c r="C526" t="s">
        <v>2182</v>
      </c>
      <c r="D526" t="s">
        <v>2183</v>
      </c>
      <c r="E526" t="s">
        <v>2184</v>
      </c>
      <c r="F526" t="s">
        <v>45</v>
      </c>
      <c r="G526" t="str">
        <f>HYPERLINK("https://www.themarketsdaily.com/2019/06/25/brokerages-set-pepsico-inc-nasdaqpep-price-target-at-124-65.html")</f>
        <v>https://www.themarketsdaily.com/2019/06/25/brokerages-set-pepsico-inc-nasdaqpep-price-target-at-124-65.html</v>
      </c>
      <c r="H526" t="s">
        <v>91</v>
      </c>
      <c r="I526" t="s">
        <v>2185</v>
      </c>
      <c r="J526" t="str">
        <f>HYPERLINK("https://www.themarketsdaily.com/2019/06/25/brokerages-set-pepsico-inc-nasdaqpep-price-target-at-124-65.html")</f>
        <v>https://www.themarketsdaily.com/2019/06/25/brokerages-set-pepsico-inc-nasdaqpep-price-target-at-124-65.html</v>
      </c>
      <c r="N526" t="s">
        <v>2186</v>
      </c>
      <c r="R526" t="s">
        <v>357</v>
      </c>
      <c r="S526" t="s">
        <v>2187</v>
      </c>
      <c r="AI526" t="s">
        <v>2188</v>
      </c>
      <c r="AJ526" t="s">
        <v>52</v>
      </c>
      <c r="AK526" t="s">
        <v>52</v>
      </c>
      <c r="AL526" t="str">
        <f>HYPERLINK("https://www.americanbankingnews.com/wp-content/timthumb/timthumb.php?w=250&amp;zc=1&amp;src=https://www.marketbeat.com/logos/77590080.jpg")</f>
        <v>https://www.americanbankingnews.com/wp-content/timthumb/timthumb.php?w=250&amp;zc=1&amp;src=https://www.marketbeat.com/logos/77590080.jpg</v>
      </c>
      <c r="AM526" t="s">
        <v>52</v>
      </c>
      <c r="AN526" t="s">
        <v>53</v>
      </c>
    </row>
    <row r="527" spans="1:40">
      <c r="A527" t="s">
        <v>40</v>
      </c>
      <c r="B527" t="s">
        <v>2189</v>
      </c>
      <c r="C527" t="s">
        <v>2182</v>
      </c>
      <c r="D527" t="s">
        <v>52</v>
      </c>
      <c r="E527" t="s">
        <v>2190</v>
      </c>
      <c r="F527" t="s">
        <v>45</v>
      </c>
      <c r="G527" t="str">
        <f>HYPERLINK("https://www.instagram.com/p/BzHq_VFFXJZ")</f>
        <v>https://www.instagram.com/p/BzHq_VFFXJZ</v>
      </c>
      <c r="H527" t="s">
        <v>46</v>
      </c>
      <c r="I527" t="s">
        <v>2191</v>
      </c>
      <c r="J527" t="str">
        <f>HYPERLINK("http://instagram.com/jon.kay.sd")</f>
        <v>http://instagram.com/jon.kay.sd</v>
      </c>
      <c r="K527">
        <v>391</v>
      </c>
      <c r="L527" t="s">
        <v>48</v>
      </c>
      <c r="N527" t="s">
        <v>59</v>
      </c>
      <c r="O527" t="s">
        <v>2191</v>
      </c>
      <c r="P527" t="str">
        <f>HYPERLINK("http://instagram.com/jon.kay.sd")</f>
        <v>http://instagram.com/jon.kay.sd</v>
      </c>
      <c r="Q527">
        <v>391</v>
      </c>
      <c r="R527" t="s">
        <v>60</v>
      </c>
      <c r="S527" t="s">
        <v>51</v>
      </c>
      <c r="T527" t="s">
        <v>173</v>
      </c>
      <c r="U527" t="s">
        <v>2192</v>
      </c>
      <c r="W527">
        <v>20</v>
      </c>
      <c r="X527">
        <v>20</v>
      </c>
      <c r="AE527">
        <v>2</v>
      </c>
      <c r="AG527">
        <v>95</v>
      </c>
      <c r="AI527" t="s">
        <v>52</v>
      </c>
      <c r="AJ527" t="s">
        <v>2193</v>
      </c>
      <c r="AK527" t="s">
        <v>2194</v>
      </c>
      <c r="AL527" t="str">
        <f>HYPERLINK("https://www.instagram.com/p/BzHq_VFFXJZ/media/?size=l")</f>
        <v>https://www.instagram.com/p/BzHq_VFFXJZ/media/?size=l</v>
      </c>
      <c r="AM527" t="s">
        <v>52</v>
      </c>
      <c r="AN527" t="s">
        <v>53</v>
      </c>
    </row>
    <row r="528" spans="1:40">
      <c r="A528" t="s">
        <v>40</v>
      </c>
      <c r="B528" t="s">
        <v>2195</v>
      </c>
      <c r="C528" t="s">
        <v>2182</v>
      </c>
      <c r="D528" t="s">
        <v>52</v>
      </c>
      <c r="E528" t="s">
        <v>1411</v>
      </c>
      <c r="F528" t="s">
        <v>131</v>
      </c>
      <c r="G528" t="str">
        <f>HYPERLINK("https://twitter.com/1056377821575163905/status/1143379763849027584")</f>
        <v>https://twitter.com/1056377821575163905/status/1143379763849027584</v>
      </c>
      <c r="H528" t="s">
        <v>46</v>
      </c>
      <c r="I528" t="s">
        <v>2196</v>
      </c>
      <c r="J528" t="str">
        <f>HYPERLINK("http://twitter.com/isabellaflorres")</f>
        <v>http://twitter.com/isabellaflorres</v>
      </c>
      <c r="K528">
        <v>96</v>
      </c>
      <c r="L528" t="s">
        <v>58</v>
      </c>
      <c r="N528" t="s">
        <v>65</v>
      </c>
      <c r="R528" t="s">
        <v>60</v>
      </c>
      <c r="W528">
        <v>0</v>
      </c>
      <c r="X528">
        <v>0</v>
      </c>
      <c r="AE528">
        <v>0</v>
      </c>
      <c r="AM528" t="s">
        <v>52</v>
      </c>
      <c r="AN528" t="s">
        <v>53</v>
      </c>
    </row>
    <row r="529" spans="1:40">
      <c r="A529" t="s">
        <v>40</v>
      </c>
      <c r="B529" t="s">
        <v>2195</v>
      </c>
      <c r="C529" t="s">
        <v>2197</v>
      </c>
      <c r="D529" t="s">
        <v>52</v>
      </c>
      <c r="E529" t="s">
        <v>2198</v>
      </c>
      <c r="F529" t="s">
        <v>131</v>
      </c>
      <c r="G529" t="str">
        <f>HYPERLINK("https://twitter.com/1006348367708991489/status/1143379677647638528")</f>
        <v>https://twitter.com/1006348367708991489/status/1143379677647638528</v>
      </c>
      <c r="H529" t="s">
        <v>46</v>
      </c>
      <c r="I529" t="s">
        <v>2199</v>
      </c>
      <c r="J529" t="str">
        <f>HYPERLINK("http://twitter.com/victoriakindle1")</f>
        <v>http://twitter.com/victoriakindle1</v>
      </c>
      <c r="K529">
        <v>40</v>
      </c>
      <c r="L529" t="s">
        <v>58</v>
      </c>
      <c r="N529" t="s">
        <v>65</v>
      </c>
      <c r="R529" t="s">
        <v>60</v>
      </c>
      <c r="S529" t="s">
        <v>51</v>
      </c>
      <c r="T529" t="s">
        <v>2200</v>
      </c>
      <c r="W529">
        <v>0</v>
      </c>
      <c r="X529">
        <v>0</v>
      </c>
      <c r="AE529">
        <v>0</v>
      </c>
      <c r="AM529" t="s">
        <v>52</v>
      </c>
      <c r="AN529" t="s">
        <v>53</v>
      </c>
    </row>
    <row r="530" spans="1:40">
      <c r="A530" t="s">
        <v>40</v>
      </c>
      <c r="B530" t="s">
        <v>2195</v>
      </c>
      <c r="C530" t="s">
        <v>2201</v>
      </c>
      <c r="D530" t="s">
        <v>52</v>
      </c>
      <c r="E530" t="s">
        <v>2202</v>
      </c>
      <c r="F530" t="s">
        <v>45</v>
      </c>
      <c r="G530" t="str">
        <f>HYPERLINK("https://twitter.com/2720281953/status/1143379662787268608")</f>
        <v>https://twitter.com/2720281953/status/1143379662787268608</v>
      </c>
      <c r="H530" t="s">
        <v>46</v>
      </c>
      <c r="I530" t="s">
        <v>2203</v>
      </c>
      <c r="J530" t="str">
        <f>HYPERLINK("http://twitter.com/mellj02")</f>
        <v>http://twitter.com/mellj02</v>
      </c>
      <c r="K530">
        <v>266</v>
      </c>
      <c r="N530" t="s">
        <v>65</v>
      </c>
      <c r="R530" t="s">
        <v>60</v>
      </c>
      <c r="W530">
        <v>0</v>
      </c>
      <c r="X530">
        <v>0</v>
      </c>
      <c r="AE530">
        <v>0</v>
      </c>
      <c r="AF530">
        <v>0</v>
      </c>
      <c r="AM530" t="s">
        <v>52</v>
      </c>
      <c r="AN530" t="s">
        <v>53</v>
      </c>
    </row>
    <row r="531" spans="1:40">
      <c r="A531" t="s">
        <v>40</v>
      </c>
      <c r="B531" t="s">
        <v>2195</v>
      </c>
      <c r="C531" t="s">
        <v>2204</v>
      </c>
      <c r="D531" t="s">
        <v>52</v>
      </c>
      <c r="E531" t="s">
        <v>1557</v>
      </c>
      <c r="F531" t="s">
        <v>95</v>
      </c>
      <c r="G531" t="str">
        <f>HYPERLINK("https://twitter.com/1453749062/status/1143379593426083844")</f>
        <v>https://twitter.com/1453749062/status/1143379593426083844</v>
      </c>
      <c r="H531" t="s">
        <v>46</v>
      </c>
      <c r="I531" t="s">
        <v>2205</v>
      </c>
      <c r="J531" t="str">
        <f>HYPERLINK("http://twitter.com/corallaws")</f>
        <v>http://twitter.com/corallaws</v>
      </c>
      <c r="K531">
        <v>219</v>
      </c>
      <c r="N531" t="s">
        <v>65</v>
      </c>
      <c r="R531" t="s">
        <v>60</v>
      </c>
      <c r="S531" t="s">
        <v>97</v>
      </c>
      <c r="T531" t="s">
        <v>177</v>
      </c>
      <c r="U531" t="s">
        <v>478</v>
      </c>
      <c r="W531">
        <v>0</v>
      </c>
      <c r="X531">
        <v>0</v>
      </c>
      <c r="AE531">
        <v>0</v>
      </c>
      <c r="AF531">
        <v>0</v>
      </c>
      <c r="AM531" t="s">
        <v>52</v>
      </c>
      <c r="AN531" t="s">
        <v>53</v>
      </c>
    </row>
    <row r="532" spans="1:40">
      <c r="A532" t="s">
        <v>40</v>
      </c>
      <c r="B532" t="s">
        <v>2206</v>
      </c>
      <c r="C532" t="s">
        <v>2207</v>
      </c>
      <c r="D532" t="s">
        <v>52</v>
      </c>
      <c r="E532" t="s">
        <v>1411</v>
      </c>
      <c r="F532" t="s">
        <v>131</v>
      </c>
      <c r="G532" t="str">
        <f>HYPERLINK("https://twitter.com/821948494369918976/status/1143379540150050816")</f>
        <v>https://twitter.com/821948494369918976/status/1143379540150050816</v>
      </c>
      <c r="H532" t="s">
        <v>46</v>
      </c>
      <c r="I532" t="s">
        <v>2208</v>
      </c>
      <c r="J532" t="str">
        <f>HYPERLINK("http://twitter.com/RodriguezzzKate")</f>
        <v>http://twitter.com/RodriguezzzKate</v>
      </c>
      <c r="K532">
        <v>148</v>
      </c>
      <c r="L532" t="s">
        <v>58</v>
      </c>
      <c r="N532" t="s">
        <v>65</v>
      </c>
      <c r="R532" t="s">
        <v>60</v>
      </c>
      <c r="S532" t="s">
        <v>51</v>
      </c>
      <c r="T532" t="s">
        <v>152</v>
      </c>
      <c r="U532" t="s">
        <v>2209</v>
      </c>
      <c r="W532">
        <v>0</v>
      </c>
      <c r="X532">
        <v>0</v>
      </c>
      <c r="AE532">
        <v>0</v>
      </c>
      <c r="AM532" t="s">
        <v>52</v>
      </c>
      <c r="AN532" t="s">
        <v>53</v>
      </c>
    </row>
    <row r="533" spans="1:40">
      <c r="A533" t="s">
        <v>40</v>
      </c>
      <c r="B533" t="s">
        <v>2210</v>
      </c>
      <c r="C533" t="s">
        <v>2211</v>
      </c>
      <c r="D533" t="s">
        <v>52</v>
      </c>
      <c r="E533" t="s">
        <v>2212</v>
      </c>
      <c r="F533" t="s">
        <v>45</v>
      </c>
      <c r="G533" t="str">
        <f>HYPERLINK("https://www.instagram.com/p/BzHqbUEg1wT")</f>
        <v>https://www.instagram.com/p/BzHqbUEg1wT</v>
      </c>
      <c r="H533" t="s">
        <v>46</v>
      </c>
      <c r="I533" t="s">
        <v>2213</v>
      </c>
      <c r="J533" t="str">
        <f>HYPERLINK("http://instagram.com/adriansalas88")</f>
        <v>http://instagram.com/adriansalas88</v>
      </c>
      <c r="K533">
        <v>971</v>
      </c>
      <c r="L533" t="s">
        <v>48</v>
      </c>
      <c r="N533" t="s">
        <v>59</v>
      </c>
      <c r="O533" t="s">
        <v>2213</v>
      </c>
      <c r="P533" t="str">
        <f>HYPERLINK("http://instagram.com/adriansalas88")</f>
        <v>http://instagram.com/adriansalas88</v>
      </c>
      <c r="Q533">
        <v>971</v>
      </c>
      <c r="R533" t="s">
        <v>60</v>
      </c>
      <c r="W533">
        <v>54</v>
      </c>
      <c r="X533">
        <v>54</v>
      </c>
      <c r="AE533">
        <v>8</v>
      </c>
      <c r="AI533" t="s">
        <v>52</v>
      </c>
      <c r="AJ533" t="s">
        <v>52</v>
      </c>
      <c r="AK533" t="s">
        <v>52</v>
      </c>
      <c r="AL533" t="str">
        <f>HYPERLINK("https://www.instagram.com/p/BzHqbUEg1wT/media/?size=l")</f>
        <v>https://www.instagram.com/p/BzHqbUEg1wT/media/?size=l</v>
      </c>
      <c r="AM533" t="s">
        <v>52</v>
      </c>
      <c r="AN533" t="s">
        <v>53</v>
      </c>
    </row>
    <row r="534" spans="1:40">
      <c r="A534" t="s">
        <v>40</v>
      </c>
      <c r="B534" t="s">
        <v>2210</v>
      </c>
      <c r="C534" t="s">
        <v>1266</v>
      </c>
      <c r="D534" t="s">
        <v>2214</v>
      </c>
      <c r="E534" t="s">
        <v>2215</v>
      </c>
      <c r="F534" t="s">
        <v>45</v>
      </c>
      <c r="G534" t="str">
        <f>HYPERLINK("https://community.whattoexpect.com/forums/january-2020-babies/topic/cravings-and-more-80587781.html")</f>
        <v>https://community.whattoexpect.com/forums/january-2020-babies/topic/cravings-and-more-80587781.html</v>
      </c>
      <c r="H534" t="s">
        <v>46</v>
      </c>
      <c r="N534" t="s">
        <v>2216</v>
      </c>
      <c r="O534" t="s">
        <v>2217</v>
      </c>
      <c r="P534" t="str">
        <f>HYPERLINK("https://community.whattoexpect.com/forums/january-2020-babies.html")</f>
        <v>https://community.whattoexpect.com/forums/january-2020-babies.html</v>
      </c>
      <c r="R534" t="s">
        <v>516</v>
      </c>
      <c r="S534" t="s">
        <v>51</v>
      </c>
      <c r="AM534" t="s">
        <v>52</v>
      </c>
      <c r="AN534" t="s">
        <v>53</v>
      </c>
    </row>
    <row r="535" spans="1:40">
      <c r="A535" t="s">
        <v>40</v>
      </c>
      <c r="B535" t="s">
        <v>2218</v>
      </c>
      <c r="C535" t="s">
        <v>2219</v>
      </c>
      <c r="D535" t="s">
        <v>52</v>
      </c>
      <c r="E535" t="s">
        <v>2220</v>
      </c>
      <c r="F535" t="s">
        <v>131</v>
      </c>
      <c r="G535" t="str">
        <f>HYPERLINK("https://twitter.com/1115411641087201280/status/1143377571620564994")</f>
        <v>https://twitter.com/1115411641087201280/status/1143377571620564994</v>
      </c>
      <c r="H535" t="s">
        <v>46</v>
      </c>
      <c r="I535" t="s">
        <v>2221</v>
      </c>
      <c r="J535" t="str">
        <f>HYPERLINK("http://twitter.com/smeggalTV")</f>
        <v>http://twitter.com/smeggalTV</v>
      </c>
      <c r="K535">
        <v>11</v>
      </c>
      <c r="N535" t="s">
        <v>65</v>
      </c>
      <c r="R535" t="s">
        <v>60</v>
      </c>
      <c r="W535">
        <v>0</v>
      </c>
      <c r="X535">
        <v>0</v>
      </c>
      <c r="AE535">
        <v>0</v>
      </c>
      <c r="AI535" t="s">
        <v>52</v>
      </c>
      <c r="AJ535" t="s">
        <v>52</v>
      </c>
      <c r="AK535" t="s">
        <v>2222</v>
      </c>
      <c r="AL535" t="str">
        <f>HYPERLINK("https://pbs.twimg.com/ext_tw_video_thumb/1143346388648026119/pu/img/0NUW3ns7dxvxBhp_.jpg")</f>
        <v>https://pbs.twimg.com/ext_tw_video_thumb/1143346388648026119/pu/img/0NUW3ns7dxvxBhp_.jpg</v>
      </c>
      <c r="AM535" t="s">
        <v>52</v>
      </c>
      <c r="AN535" t="s">
        <v>53</v>
      </c>
    </row>
    <row r="536" spans="1:40">
      <c r="A536" t="s">
        <v>40</v>
      </c>
      <c r="B536" t="s">
        <v>2223</v>
      </c>
      <c r="C536" t="s">
        <v>2219</v>
      </c>
      <c r="D536" t="s">
        <v>52</v>
      </c>
      <c r="E536" t="s">
        <v>2224</v>
      </c>
      <c r="F536" t="s">
        <v>45</v>
      </c>
      <c r="G536" t="str">
        <f>HYPERLINK("https://twitter.com/333265956/status/1143377448500903936")</f>
        <v>https://twitter.com/333265956/status/1143377448500903936</v>
      </c>
      <c r="H536" t="s">
        <v>46</v>
      </c>
      <c r="I536" t="s">
        <v>2225</v>
      </c>
      <c r="J536" t="str">
        <f>HYPERLINK("http://twitter.com/ahhypnotherapy")</f>
        <v>http://twitter.com/ahhypnotherapy</v>
      </c>
      <c r="K536">
        <v>292</v>
      </c>
      <c r="L536" t="s">
        <v>48</v>
      </c>
      <c r="N536" t="s">
        <v>65</v>
      </c>
      <c r="R536" t="s">
        <v>60</v>
      </c>
      <c r="S536" t="s">
        <v>2226</v>
      </c>
      <c r="T536" t="s">
        <v>2227</v>
      </c>
      <c r="U536" t="s">
        <v>2228</v>
      </c>
      <c r="W536">
        <v>0</v>
      </c>
      <c r="X536">
        <v>0</v>
      </c>
      <c r="AE536">
        <v>0</v>
      </c>
      <c r="AF536">
        <v>0</v>
      </c>
      <c r="AM536" t="s">
        <v>52</v>
      </c>
      <c r="AN536" t="s">
        <v>53</v>
      </c>
    </row>
    <row r="537" spans="1:40">
      <c r="A537" t="s">
        <v>40</v>
      </c>
      <c r="B537" t="s">
        <v>2223</v>
      </c>
      <c r="C537" t="s">
        <v>2229</v>
      </c>
      <c r="D537" t="s">
        <v>52</v>
      </c>
      <c r="E537" t="s">
        <v>2230</v>
      </c>
      <c r="F537" t="s">
        <v>95</v>
      </c>
      <c r="G537" t="str">
        <f>HYPERLINK("https://twitter.com/93527419/status/1143377290249854976")</f>
        <v>https://twitter.com/93527419/status/1143377290249854976</v>
      </c>
      <c r="H537" t="s">
        <v>46</v>
      </c>
      <c r="I537" t="s">
        <v>2231</v>
      </c>
      <c r="J537" t="str">
        <f>HYPERLINK("http://twitter.com/KidCapricorn")</f>
        <v>http://twitter.com/KidCapricorn</v>
      </c>
      <c r="K537">
        <v>9</v>
      </c>
      <c r="N537" t="s">
        <v>65</v>
      </c>
      <c r="R537" t="s">
        <v>60</v>
      </c>
      <c r="W537">
        <v>0</v>
      </c>
      <c r="X537">
        <v>0</v>
      </c>
      <c r="AE537">
        <v>0</v>
      </c>
      <c r="AF537">
        <v>0</v>
      </c>
      <c r="AM537" t="s">
        <v>52</v>
      </c>
      <c r="AN537" t="s">
        <v>53</v>
      </c>
    </row>
    <row r="538" spans="1:40">
      <c r="A538" t="s">
        <v>40</v>
      </c>
      <c r="B538" t="s">
        <v>2232</v>
      </c>
      <c r="C538" t="s">
        <v>918</v>
      </c>
      <c r="D538" t="s">
        <v>52</v>
      </c>
      <c r="E538" t="s">
        <v>2233</v>
      </c>
      <c r="F538" t="s">
        <v>45</v>
      </c>
      <c r="G538" t="str">
        <f>HYPERLINK("https://www.facebook.com/251439674872310/posts/2798742260142026")</f>
        <v>https://www.facebook.com/251439674872310/posts/2798742260142026</v>
      </c>
      <c r="H538" t="s">
        <v>46</v>
      </c>
      <c r="I538" t="s">
        <v>2234</v>
      </c>
      <c r="J538" t="str">
        <f>HYPERLINK("https://www.facebook.com/251439674872310")</f>
        <v>https://www.facebook.com/251439674872310</v>
      </c>
      <c r="K538">
        <v>4769242</v>
      </c>
      <c r="L538" t="s">
        <v>651</v>
      </c>
      <c r="N538" t="s">
        <v>1792</v>
      </c>
      <c r="O538" t="s">
        <v>2234</v>
      </c>
      <c r="P538" t="str">
        <f>HYPERLINK("https://www.facebook.com/251439674872310")</f>
        <v>https://www.facebook.com/251439674872310</v>
      </c>
      <c r="Q538">
        <v>4769242</v>
      </c>
      <c r="R538" t="s">
        <v>60</v>
      </c>
      <c r="W538">
        <v>160</v>
      </c>
      <c r="X538">
        <v>160</v>
      </c>
      <c r="AE538">
        <v>60</v>
      </c>
      <c r="AF538">
        <v>254</v>
      </c>
      <c r="AI538" t="s">
        <v>52</v>
      </c>
      <c r="AJ538" t="s">
        <v>2235</v>
      </c>
      <c r="AK538" t="s">
        <v>52</v>
      </c>
      <c r="AL538" t="str">
        <f>HYPERLINK("https://scontent.xx.fbcdn.net/v/t15.5256-10/50027813_1949223921866862_8266872031077728256_n.jpg?_nc_cat=1&amp;_nc_ht=scontent.xx&amp;oh=c9f8c556432c8d12f13075432786c931&amp;oe=5D8F34EE")</f>
        <v>https://scontent.xx.fbcdn.net/v/t15.5256-10/50027813_1949223921866862_8266872031077728256_n.jpg?_nc_cat=1&amp;_nc_ht=scontent.xx&amp;oh=c9f8c556432c8d12f13075432786c931&amp;oe=5D8F34EE</v>
      </c>
      <c r="AM538" t="s">
        <v>52</v>
      </c>
      <c r="AN538" t="s">
        <v>53</v>
      </c>
    </row>
    <row r="539" spans="1:40">
      <c r="A539" t="s">
        <v>40</v>
      </c>
      <c r="B539" t="s">
        <v>2236</v>
      </c>
      <c r="C539" t="s">
        <v>2237</v>
      </c>
      <c r="D539" t="s">
        <v>52</v>
      </c>
      <c r="E539" t="s">
        <v>2238</v>
      </c>
      <c r="F539" t="s">
        <v>45</v>
      </c>
      <c r="G539" t="str">
        <f>HYPERLINK("https://twitter.com/3976500017/status/1143376689243860993")</f>
        <v>https://twitter.com/3976500017/status/1143376689243860993</v>
      </c>
      <c r="H539" t="s">
        <v>46</v>
      </c>
      <c r="I539" t="s">
        <v>1697</v>
      </c>
      <c r="J539" t="str">
        <f>HYPERLINK("http://twitter.com/memerbot404")</f>
        <v>http://twitter.com/memerbot404</v>
      </c>
      <c r="K539">
        <v>12</v>
      </c>
      <c r="L539" t="s">
        <v>48</v>
      </c>
      <c r="N539" t="s">
        <v>65</v>
      </c>
      <c r="R539" t="s">
        <v>60</v>
      </c>
      <c r="S539" t="s">
        <v>774</v>
      </c>
      <c r="W539">
        <v>0</v>
      </c>
      <c r="X539">
        <v>0</v>
      </c>
      <c r="AE539">
        <v>0</v>
      </c>
      <c r="AF539">
        <v>0</v>
      </c>
      <c r="AM539" t="s">
        <v>52</v>
      </c>
      <c r="AN539" t="s">
        <v>53</v>
      </c>
    </row>
    <row r="540" spans="1:40">
      <c r="A540" t="s">
        <v>40</v>
      </c>
      <c r="B540" t="s">
        <v>2239</v>
      </c>
      <c r="C540" t="s">
        <v>2240</v>
      </c>
      <c r="D540" t="s">
        <v>52</v>
      </c>
      <c r="E540" t="s">
        <v>276</v>
      </c>
      <c r="F540" t="s">
        <v>131</v>
      </c>
      <c r="G540" t="str">
        <f>HYPERLINK("https://twitter.com/115494535/status/1143375990263025666")</f>
        <v>https://twitter.com/115494535/status/1143375990263025666</v>
      </c>
      <c r="H540" t="s">
        <v>46</v>
      </c>
      <c r="I540" t="s">
        <v>2241</v>
      </c>
      <c r="J540" t="str">
        <f>HYPERLINK("http://twitter.com/caiqueaimore")</f>
        <v>http://twitter.com/caiqueaimore</v>
      </c>
      <c r="K540">
        <v>2796</v>
      </c>
      <c r="N540" t="s">
        <v>65</v>
      </c>
      <c r="R540" t="s">
        <v>60</v>
      </c>
      <c r="S540" t="s">
        <v>432</v>
      </c>
      <c r="T540" t="s">
        <v>433</v>
      </c>
      <c r="U540" t="s">
        <v>2242</v>
      </c>
      <c r="W540">
        <v>0</v>
      </c>
      <c r="X540">
        <v>0</v>
      </c>
      <c r="AE540">
        <v>0</v>
      </c>
      <c r="AI540" t="s">
        <v>108</v>
      </c>
      <c r="AJ540" t="s">
        <v>52</v>
      </c>
      <c r="AK540" t="s">
        <v>52</v>
      </c>
      <c r="AL540" t="str">
        <f>HYPERLINK("https://pbs.twimg.com/tweet_video_thumb/D9hvNNzXUAATAS3.jpg")</f>
        <v>https://pbs.twimg.com/tweet_video_thumb/D9hvNNzXUAATAS3.jpg</v>
      </c>
      <c r="AM540" t="s">
        <v>52</v>
      </c>
      <c r="AN540" t="s">
        <v>53</v>
      </c>
    </row>
    <row r="541" spans="1:40">
      <c r="A541" t="s">
        <v>40</v>
      </c>
      <c r="B541" t="s">
        <v>2239</v>
      </c>
      <c r="C541" t="s">
        <v>2243</v>
      </c>
      <c r="D541" t="s">
        <v>52</v>
      </c>
      <c r="E541" t="s">
        <v>2244</v>
      </c>
      <c r="F541" t="s">
        <v>45</v>
      </c>
      <c r="G541" t="str">
        <f>HYPERLINK("https://www.instagram.com/p/BzHpAwzF3uV")</f>
        <v>https://www.instagram.com/p/BzHpAwzF3uV</v>
      </c>
      <c r="H541" t="s">
        <v>215</v>
      </c>
      <c r="I541" t="s">
        <v>2245</v>
      </c>
      <c r="J541" t="str">
        <f>HYPERLINK("http://instagram.com/lalachambers7")</f>
        <v>http://instagram.com/lalachambers7</v>
      </c>
      <c r="K541">
        <v>280</v>
      </c>
      <c r="N541" t="s">
        <v>59</v>
      </c>
      <c r="O541" t="s">
        <v>2245</v>
      </c>
      <c r="P541" t="str">
        <f>HYPERLINK("http://instagram.com/lalachambers7")</f>
        <v>http://instagram.com/lalachambers7</v>
      </c>
      <c r="Q541">
        <v>280</v>
      </c>
      <c r="R541" t="s">
        <v>60</v>
      </c>
      <c r="W541">
        <v>16</v>
      </c>
      <c r="X541">
        <v>16</v>
      </c>
      <c r="AE541">
        <v>4</v>
      </c>
      <c r="AI541" t="s">
        <v>52</v>
      </c>
      <c r="AJ541" t="s">
        <v>2246</v>
      </c>
      <c r="AK541" t="s">
        <v>52</v>
      </c>
      <c r="AL541" t="str">
        <f>HYPERLINK("https://www.instagram.com/p/BzHpAwzF3uV/media/?size=l")</f>
        <v>https://www.instagram.com/p/BzHpAwzF3uV/media/?size=l</v>
      </c>
      <c r="AM541" t="s">
        <v>52</v>
      </c>
      <c r="AN541" t="s">
        <v>53</v>
      </c>
    </row>
    <row r="542" spans="1:40">
      <c r="A542" t="s">
        <v>40</v>
      </c>
      <c r="B542" t="s">
        <v>2247</v>
      </c>
      <c r="C542" t="s">
        <v>2248</v>
      </c>
      <c r="D542" t="s">
        <v>52</v>
      </c>
      <c r="E542" t="s">
        <v>2249</v>
      </c>
      <c r="F542" t="s">
        <v>45</v>
      </c>
      <c r="G542" t="str">
        <f>HYPERLINK("https://twitter.com/739515091/status/1143375741360517120")</f>
        <v>https://twitter.com/739515091/status/1143375741360517120</v>
      </c>
      <c r="H542" t="s">
        <v>46</v>
      </c>
      <c r="I542" t="s">
        <v>2250</v>
      </c>
      <c r="J542" t="str">
        <f>HYPERLINK("http://twitter.com/mramirez727")</f>
        <v>http://twitter.com/mramirez727</v>
      </c>
      <c r="K542">
        <v>74</v>
      </c>
      <c r="L542" t="s">
        <v>58</v>
      </c>
      <c r="N542" t="s">
        <v>65</v>
      </c>
      <c r="R542" t="s">
        <v>60</v>
      </c>
      <c r="S542" t="s">
        <v>387</v>
      </c>
      <c r="T542" t="s">
        <v>2251</v>
      </c>
      <c r="U542" t="s">
        <v>2252</v>
      </c>
      <c r="W542">
        <v>0</v>
      </c>
      <c r="X542">
        <v>0</v>
      </c>
      <c r="AE542">
        <v>0</v>
      </c>
      <c r="AF542">
        <v>0</v>
      </c>
      <c r="AM542" t="s">
        <v>52</v>
      </c>
      <c r="AN542" t="s">
        <v>53</v>
      </c>
    </row>
    <row r="543" spans="1:40">
      <c r="A543" t="s">
        <v>40</v>
      </c>
      <c r="B543" t="s">
        <v>2247</v>
      </c>
      <c r="C543" t="s">
        <v>1288</v>
      </c>
      <c r="D543" t="s">
        <v>52</v>
      </c>
      <c r="E543" t="s">
        <v>599</v>
      </c>
      <c r="F543" t="s">
        <v>131</v>
      </c>
      <c r="G543" t="str">
        <f>HYPERLINK("https://twitter.com/115494535/status/1143375703943110656")</f>
        <v>https://twitter.com/115494535/status/1143375703943110656</v>
      </c>
      <c r="H543" t="s">
        <v>46</v>
      </c>
      <c r="I543" t="s">
        <v>2241</v>
      </c>
      <c r="J543" t="str">
        <f>HYPERLINK("http://twitter.com/caiqueaimore")</f>
        <v>http://twitter.com/caiqueaimore</v>
      </c>
      <c r="K543">
        <v>2796</v>
      </c>
      <c r="N543" t="s">
        <v>65</v>
      </c>
      <c r="R543" t="s">
        <v>60</v>
      </c>
      <c r="S543" t="s">
        <v>432</v>
      </c>
      <c r="T543" t="s">
        <v>433</v>
      </c>
      <c r="U543" t="s">
        <v>2242</v>
      </c>
      <c r="W543">
        <v>0</v>
      </c>
      <c r="X543">
        <v>0</v>
      </c>
      <c r="AE543">
        <v>0</v>
      </c>
      <c r="AI543" t="s">
        <v>108</v>
      </c>
      <c r="AJ543" t="s">
        <v>52</v>
      </c>
      <c r="AK543" t="s">
        <v>601</v>
      </c>
      <c r="AL543" t="str">
        <f>HYPERLINK("https://pbs.twimg.com/ext_tw_video_thumb/1143202185154584581/pu/img/K72qfBH8zIdbiUf-.jpg")</f>
        <v>https://pbs.twimg.com/ext_tw_video_thumb/1143202185154584581/pu/img/K72qfBH8zIdbiUf-.jpg</v>
      </c>
      <c r="AM543" t="s">
        <v>52</v>
      </c>
      <c r="AN543" t="s">
        <v>53</v>
      </c>
    </row>
    <row r="544" spans="1:40">
      <c r="A544" t="s">
        <v>40</v>
      </c>
      <c r="B544" t="s">
        <v>2253</v>
      </c>
      <c r="C544" t="s">
        <v>2171</v>
      </c>
      <c r="D544" t="s">
        <v>2254</v>
      </c>
      <c r="E544" t="s">
        <v>2255</v>
      </c>
      <c r="F544" t="s">
        <v>95</v>
      </c>
      <c r="G544" t="str">
        <f>HYPERLINK("https://thehill.com/homenews/house/450146-pelosi-dem-leaders-seek-to-quell-liberal-revolt-over-border-bill#comment-4515059036")</f>
        <v>https://thehill.com/homenews/house/450146-pelosi-dem-leaders-seek-to-quell-liberal-revolt-over-border-bill#comment-4515059036</v>
      </c>
      <c r="H544" t="s">
        <v>46</v>
      </c>
      <c r="I544" t="s">
        <v>2256</v>
      </c>
      <c r="J544" t="str">
        <f>HYPERLINK("https://disqus.com/by/disqus_slbWnvwCBE/")</f>
        <v>https://disqus.com/by/disqus_slbWnvwCBE/</v>
      </c>
      <c r="K544">
        <v>2</v>
      </c>
      <c r="L544" t="s">
        <v>48</v>
      </c>
      <c r="N544" t="s">
        <v>2257</v>
      </c>
      <c r="O544" t="s">
        <v>2258</v>
      </c>
      <c r="P544" t="str">
        <f>HYPERLINK("https://disqus.com/home/forum/thehill-v4/")</f>
        <v>https://disqus.com/home/forum/thehill-v4/</v>
      </c>
      <c r="R544" t="s">
        <v>50</v>
      </c>
      <c r="S544" t="s">
        <v>1592</v>
      </c>
      <c r="T544" t="s">
        <v>1819</v>
      </c>
      <c r="U544" t="s">
        <v>2259</v>
      </c>
      <c r="W544">
        <v>1</v>
      </c>
      <c r="X544">
        <v>1</v>
      </c>
      <c r="AM544" t="s">
        <v>52</v>
      </c>
      <c r="AN544" t="s">
        <v>53</v>
      </c>
    </row>
    <row r="545" spans="1:40">
      <c r="A545" t="s">
        <v>40</v>
      </c>
      <c r="B545" t="s">
        <v>2260</v>
      </c>
      <c r="C545" t="s">
        <v>2219</v>
      </c>
      <c r="D545" t="s">
        <v>52</v>
      </c>
      <c r="E545" t="s">
        <v>2261</v>
      </c>
      <c r="F545" t="s">
        <v>45</v>
      </c>
      <c r="G545" t="str">
        <f>HYPERLINK("https://www.instagram.com/p/BzHoa2EANb9")</f>
        <v>https://www.instagram.com/p/BzHoa2EANb9</v>
      </c>
      <c r="H545" t="s">
        <v>215</v>
      </c>
      <c r="I545" t="s">
        <v>2262</v>
      </c>
      <c r="J545" t="str">
        <f>HYPERLINK("http://instagram.com/1107suze")</f>
        <v>http://instagram.com/1107suze</v>
      </c>
      <c r="K545">
        <v>178</v>
      </c>
      <c r="L545" t="s">
        <v>58</v>
      </c>
      <c r="N545" t="s">
        <v>59</v>
      </c>
      <c r="O545" t="s">
        <v>2262</v>
      </c>
      <c r="P545" t="str">
        <f>HYPERLINK("http://instagram.com/1107suze")</f>
        <v>http://instagram.com/1107suze</v>
      </c>
      <c r="Q545">
        <v>178</v>
      </c>
      <c r="R545" t="s">
        <v>60</v>
      </c>
      <c r="W545">
        <v>2</v>
      </c>
      <c r="X545">
        <v>2</v>
      </c>
      <c r="AE545">
        <v>0</v>
      </c>
      <c r="AI545" t="s">
        <v>52</v>
      </c>
      <c r="AJ545" t="s">
        <v>2263</v>
      </c>
      <c r="AK545" t="s">
        <v>52</v>
      </c>
      <c r="AL545" t="str">
        <f>HYPERLINK("https://www.instagram.com/p/BzHoa2EANb9/media/?size=l")</f>
        <v>https://www.instagram.com/p/BzHoa2EANb9/media/?size=l</v>
      </c>
      <c r="AM545" t="s">
        <v>52</v>
      </c>
      <c r="AN545" t="s">
        <v>53</v>
      </c>
    </row>
    <row r="546" spans="1:40">
      <c r="A546" t="s">
        <v>40</v>
      </c>
      <c r="B546" t="s">
        <v>2264</v>
      </c>
      <c r="C546" t="s">
        <v>1562</v>
      </c>
      <c r="D546" t="s">
        <v>2265</v>
      </c>
      <c r="E546" t="s">
        <v>2266</v>
      </c>
      <c r="F546" t="s">
        <v>45</v>
      </c>
      <c r="G546" t="str">
        <f>HYPERLINK("https://mayfieldrecorder.com/2019/06/24/pepsico-inc-pep-shares-bought-by-first-long-island-investors-llc.html")</f>
        <v>https://mayfieldrecorder.com/2019/06/24/pepsico-inc-pep-shares-bought-by-first-long-island-investors-llc.html</v>
      </c>
      <c r="H546" t="s">
        <v>91</v>
      </c>
      <c r="I546" t="s">
        <v>2267</v>
      </c>
      <c r="J546" t="str">
        <f>HYPERLINK("https://mayfieldrecorder.com/2019/06/24/pepsico-inc-pep-shares-bought-by-first-long-island-investors-llc.html")</f>
        <v>https://mayfieldrecorder.com/2019/06/24/pepsico-inc-pep-shares-bought-by-first-long-island-investors-llc.html</v>
      </c>
      <c r="N546" t="s">
        <v>356</v>
      </c>
      <c r="R546" t="s">
        <v>357</v>
      </c>
      <c r="S546" t="s">
        <v>51</v>
      </c>
      <c r="AM546" t="s">
        <v>52</v>
      </c>
      <c r="AN546" t="s">
        <v>53</v>
      </c>
    </row>
    <row r="547" spans="1:40">
      <c r="A547" t="s">
        <v>40</v>
      </c>
      <c r="B547" t="s">
        <v>2268</v>
      </c>
      <c r="C547" t="s">
        <v>2269</v>
      </c>
      <c r="D547" t="s">
        <v>52</v>
      </c>
      <c r="E547" t="s">
        <v>2270</v>
      </c>
      <c r="F547" t="s">
        <v>45</v>
      </c>
      <c r="G547" t="str">
        <f>HYPERLINK("https://twitter.com/867505009210126338/status/1143374214218616833")</f>
        <v>https://twitter.com/867505009210126338/status/1143374214218616833</v>
      </c>
      <c r="H547" t="s">
        <v>46</v>
      </c>
      <c r="I547" t="s">
        <v>2271</v>
      </c>
      <c r="J547" t="str">
        <f>HYPERLINK("http://twitter.com/Ceepapi_")</f>
        <v>http://twitter.com/Ceepapi_</v>
      </c>
      <c r="K547">
        <v>620</v>
      </c>
      <c r="N547" t="s">
        <v>65</v>
      </c>
      <c r="R547" t="s">
        <v>60</v>
      </c>
      <c r="W547">
        <v>1</v>
      </c>
      <c r="X547">
        <v>1</v>
      </c>
      <c r="AE547">
        <v>1</v>
      </c>
      <c r="AF547">
        <v>0</v>
      </c>
      <c r="AM547" t="s">
        <v>52</v>
      </c>
      <c r="AN547" t="s">
        <v>53</v>
      </c>
    </row>
    <row r="548" spans="1:40">
      <c r="A548" t="s">
        <v>40</v>
      </c>
      <c r="B548" t="s">
        <v>2272</v>
      </c>
      <c r="C548" t="s">
        <v>2273</v>
      </c>
      <c r="D548" t="s">
        <v>52</v>
      </c>
      <c r="E548" t="s">
        <v>2274</v>
      </c>
      <c r="F548" t="s">
        <v>45</v>
      </c>
      <c r="G548" t="str">
        <f>HYPERLINK("https://twitter.com/76084379/status/1143373432391909376")</f>
        <v>https://twitter.com/76084379/status/1143373432391909376</v>
      </c>
      <c r="H548" t="s">
        <v>46</v>
      </c>
      <c r="I548" t="s">
        <v>2275</v>
      </c>
      <c r="J548" t="str">
        <f>HYPERLINK("http://twitter.com/TRAVONLBROWN")</f>
        <v>http://twitter.com/TRAVONLBROWN</v>
      </c>
      <c r="K548">
        <v>3363</v>
      </c>
      <c r="N548" t="s">
        <v>65</v>
      </c>
      <c r="R548" t="s">
        <v>60</v>
      </c>
      <c r="S548" t="s">
        <v>51</v>
      </c>
      <c r="T548" t="s">
        <v>756</v>
      </c>
      <c r="U548" t="s">
        <v>2276</v>
      </c>
      <c r="W548">
        <v>1</v>
      </c>
      <c r="X548">
        <v>1</v>
      </c>
      <c r="AE548">
        <v>0</v>
      </c>
      <c r="AF548">
        <v>0</v>
      </c>
      <c r="AI548" t="s">
        <v>52</v>
      </c>
      <c r="AJ548" t="s">
        <v>2277</v>
      </c>
      <c r="AK548" t="s">
        <v>2278</v>
      </c>
      <c r="AL548" t="str">
        <f>HYPERLINK("https://pbs.twimg.com/tweet_video_thumb/D94UEUmXkAAKyAL.jpg")</f>
        <v>https://pbs.twimg.com/tweet_video_thumb/D94UEUmXkAAKyAL.jpg</v>
      </c>
      <c r="AM548" t="s">
        <v>52</v>
      </c>
      <c r="AN548" t="s">
        <v>53</v>
      </c>
    </row>
    <row r="549" spans="1:40">
      <c r="A549" t="s">
        <v>40</v>
      </c>
      <c r="B549" t="s">
        <v>2272</v>
      </c>
      <c r="C549" t="s">
        <v>2273</v>
      </c>
      <c r="D549" t="s">
        <v>52</v>
      </c>
      <c r="E549" t="s">
        <v>2279</v>
      </c>
      <c r="F549" t="s">
        <v>45</v>
      </c>
      <c r="G549" t="str">
        <f>HYPERLINK("https://www.instagram.com/p/BzHn3i8guxJ")</f>
        <v>https://www.instagram.com/p/BzHn3i8guxJ</v>
      </c>
      <c r="H549" t="s">
        <v>46</v>
      </c>
      <c r="I549" t="s">
        <v>2280</v>
      </c>
      <c r="J549" t="str">
        <f>HYPERLINK("http://instagram.com/theuntroublebones")</f>
        <v>http://instagram.com/theuntroublebones</v>
      </c>
      <c r="K549">
        <v>1136</v>
      </c>
      <c r="N549" t="s">
        <v>59</v>
      </c>
      <c r="O549" t="s">
        <v>2280</v>
      </c>
      <c r="P549" t="str">
        <f>HYPERLINK("http://instagram.com/theuntroublebones")</f>
        <v>http://instagram.com/theuntroublebones</v>
      </c>
      <c r="Q549">
        <v>1136</v>
      </c>
      <c r="R549" t="s">
        <v>60</v>
      </c>
      <c r="S549" t="s">
        <v>51</v>
      </c>
      <c r="T549" t="s">
        <v>152</v>
      </c>
      <c r="U549" t="s">
        <v>424</v>
      </c>
      <c r="W549">
        <v>4</v>
      </c>
      <c r="X549">
        <v>4</v>
      </c>
      <c r="AE549">
        <v>0</v>
      </c>
      <c r="AI549" t="s">
        <v>52</v>
      </c>
      <c r="AJ549" t="s">
        <v>237</v>
      </c>
      <c r="AK549" t="s">
        <v>52</v>
      </c>
      <c r="AL549" t="str">
        <f>HYPERLINK("https://www.instagram.com/p/BzHn3i8guxJ/media/?size=l")</f>
        <v>https://www.instagram.com/p/BzHn3i8guxJ/media/?size=l</v>
      </c>
      <c r="AM549" t="s">
        <v>52</v>
      </c>
      <c r="AN549" t="s">
        <v>53</v>
      </c>
    </row>
    <row r="550" spans="1:40">
      <c r="A550" t="s">
        <v>40</v>
      </c>
      <c r="B550" t="s">
        <v>2272</v>
      </c>
      <c r="C550" t="s">
        <v>2240</v>
      </c>
      <c r="D550" t="s">
        <v>52</v>
      </c>
      <c r="E550" t="s">
        <v>2281</v>
      </c>
      <c r="F550" t="s">
        <v>45</v>
      </c>
      <c r="G550" t="str">
        <f>HYPERLINK("https://www.instagram.com/p/BzHn3KAI-u2")</f>
        <v>https://www.instagram.com/p/BzHn3KAI-u2</v>
      </c>
      <c r="H550" t="s">
        <v>46</v>
      </c>
      <c r="I550" t="s">
        <v>2282</v>
      </c>
      <c r="J550" t="str">
        <f>HYPERLINK("http://instagram.com/anyuwus")</f>
        <v>http://instagram.com/anyuwus</v>
      </c>
      <c r="K550">
        <v>829</v>
      </c>
      <c r="N550" t="s">
        <v>59</v>
      </c>
      <c r="O550" t="s">
        <v>2282</v>
      </c>
      <c r="P550" t="str">
        <f>HYPERLINK("http://instagram.com/anyuwus")</f>
        <v>http://instagram.com/anyuwus</v>
      </c>
      <c r="Q550">
        <v>829</v>
      </c>
      <c r="R550" t="s">
        <v>60</v>
      </c>
      <c r="W550">
        <v>188</v>
      </c>
      <c r="X550">
        <v>188</v>
      </c>
      <c r="AE550">
        <v>2</v>
      </c>
      <c r="AI550" t="s">
        <v>108</v>
      </c>
      <c r="AJ550" t="s">
        <v>52</v>
      </c>
      <c r="AK550" t="s">
        <v>52</v>
      </c>
      <c r="AL550" t="str">
        <f>HYPERLINK("https://www.instagram.com/p/BzHn3KAI-u2/media/?size=l")</f>
        <v>https://www.instagram.com/p/BzHn3KAI-u2/media/?size=l</v>
      </c>
      <c r="AM550" t="s">
        <v>52</v>
      </c>
      <c r="AN550" t="s">
        <v>53</v>
      </c>
    </row>
    <row r="551" spans="1:40">
      <c r="A551" t="s">
        <v>40</v>
      </c>
      <c r="B551" t="s">
        <v>2283</v>
      </c>
      <c r="C551" t="s">
        <v>1562</v>
      </c>
      <c r="D551" t="s">
        <v>52</v>
      </c>
      <c r="E551" t="s">
        <v>2284</v>
      </c>
      <c r="F551" t="s">
        <v>71</v>
      </c>
      <c r="G551" t="str">
        <f>HYPERLINK("https://twitter.com/3708908356/status/1143373148487913474")</f>
        <v>https://twitter.com/3708908356/status/1143373148487913474</v>
      </c>
      <c r="H551" t="s">
        <v>46</v>
      </c>
      <c r="I551" t="s">
        <v>2285</v>
      </c>
      <c r="J551" t="str">
        <f>HYPERLINK("http://twitter.com/clarisamarcant")</f>
        <v>http://twitter.com/clarisamarcant</v>
      </c>
      <c r="K551">
        <v>445</v>
      </c>
      <c r="N551" t="s">
        <v>65</v>
      </c>
      <c r="R551" t="s">
        <v>60</v>
      </c>
      <c r="W551">
        <v>0</v>
      </c>
      <c r="X551">
        <v>0</v>
      </c>
      <c r="AE551">
        <v>0</v>
      </c>
      <c r="AF551">
        <v>0</v>
      </c>
      <c r="AM551" t="s">
        <v>52</v>
      </c>
      <c r="AN551" t="s">
        <v>53</v>
      </c>
    </row>
    <row r="552" spans="1:40">
      <c r="A552" t="s">
        <v>40</v>
      </c>
      <c r="B552" t="s">
        <v>2283</v>
      </c>
      <c r="C552" t="s">
        <v>1562</v>
      </c>
      <c r="D552" t="s">
        <v>52</v>
      </c>
      <c r="E552" t="s">
        <v>2286</v>
      </c>
      <c r="F552" t="s">
        <v>71</v>
      </c>
      <c r="G552" t="str">
        <f>HYPERLINK("https://twitter.com/944459205133533184/status/1143373130598998016")</f>
        <v>https://twitter.com/944459205133533184/status/1143373130598998016</v>
      </c>
      <c r="H552" t="s">
        <v>46</v>
      </c>
      <c r="I552" t="s">
        <v>2287</v>
      </c>
      <c r="J552" t="str">
        <f>HYPERLINK("http://twitter.com/Cyannneee")</f>
        <v>http://twitter.com/Cyannneee</v>
      </c>
      <c r="K552">
        <v>1321</v>
      </c>
      <c r="N552" t="s">
        <v>65</v>
      </c>
      <c r="R552" t="s">
        <v>60</v>
      </c>
      <c r="W552">
        <v>0</v>
      </c>
      <c r="X552">
        <v>0</v>
      </c>
      <c r="AE552">
        <v>0</v>
      </c>
      <c r="AF552">
        <v>0</v>
      </c>
      <c r="AM552" t="s">
        <v>52</v>
      </c>
      <c r="AN552" t="s">
        <v>53</v>
      </c>
    </row>
    <row r="553" spans="1:40">
      <c r="A553" t="s">
        <v>40</v>
      </c>
      <c r="B553" t="s">
        <v>2288</v>
      </c>
      <c r="C553" t="s">
        <v>2269</v>
      </c>
      <c r="D553" t="s">
        <v>52</v>
      </c>
      <c r="E553" t="s">
        <v>1194</v>
      </c>
      <c r="F553" t="s">
        <v>131</v>
      </c>
      <c r="G553" t="str">
        <f>HYPERLINK("https://twitter.com/2300742182/status/1143372993726492673")</f>
        <v>https://twitter.com/2300742182/status/1143372993726492673</v>
      </c>
      <c r="H553" t="s">
        <v>46</v>
      </c>
      <c r="I553" t="s">
        <v>2289</v>
      </c>
      <c r="J553" t="str">
        <f>HYPERLINK("http://twitter.com/LilMatus")</f>
        <v>http://twitter.com/LilMatus</v>
      </c>
      <c r="K553">
        <v>204</v>
      </c>
      <c r="N553" t="s">
        <v>65</v>
      </c>
      <c r="R553" t="s">
        <v>60</v>
      </c>
      <c r="S553" t="s">
        <v>2290</v>
      </c>
      <c r="T553" t="s">
        <v>2291</v>
      </c>
      <c r="U553" t="s">
        <v>2292</v>
      </c>
      <c r="W553">
        <v>0</v>
      </c>
      <c r="X553">
        <v>0</v>
      </c>
      <c r="AE553">
        <v>0</v>
      </c>
      <c r="AI553" t="s">
        <v>52</v>
      </c>
      <c r="AJ553" t="s">
        <v>1196</v>
      </c>
      <c r="AK553" t="s">
        <v>52</v>
      </c>
      <c r="AL553" t="str">
        <f>HYPERLINK("https://pbs.twimg.com/media/D9xgk2YXkAAd2ql.jpg")</f>
        <v>https://pbs.twimg.com/media/D9xgk2YXkAAd2ql.jpg</v>
      </c>
      <c r="AM553" t="s">
        <v>52</v>
      </c>
      <c r="AN553" t="s">
        <v>53</v>
      </c>
    </row>
    <row r="554" spans="1:40">
      <c r="A554" t="s">
        <v>40</v>
      </c>
      <c r="B554" t="s">
        <v>2288</v>
      </c>
      <c r="C554" t="s">
        <v>2269</v>
      </c>
      <c r="D554" t="s">
        <v>52</v>
      </c>
      <c r="E554" t="s">
        <v>599</v>
      </c>
      <c r="F554" t="s">
        <v>131</v>
      </c>
      <c r="G554" t="str">
        <f>HYPERLINK("https://twitter.com/1027196565687914497/status/1143372991419392000")</f>
        <v>https://twitter.com/1027196565687914497/status/1143372991419392000</v>
      </c>
      <c r="H554" t="s">
        <v>46</v>
      </c>
      <c r="I554" t="s">
        <v>2293</v>
      </c>
      <c r="J554" t="str">
        <f>HYPERLINK("http://twitter.com/_1_9_0_4_2_4_")</f>
        <v>http://twitter.com/_1_9_0_4_2_4_</v>
      </c>
      <c r="K554">
        <v>6</v>
      </c>
      <c r="N554" t="s">
        <v>65</v>
      </c>
      <c r="R554" t="s">
        <v>60</v>
      </c>
      <c r="W554">
        <v>0</v>
      </c>
      <c r="X554">
        <v>0</v>
      </c>
      <c r="AE554">
        <v>0</v>
      </c>
      <c r="AI554" t="s">
        <v>108</v>
      </c>
      <c r="AJ554" t="s">
        <v>52</v>
      </c>
      <c r="AK554" t="s">
        <v>601</v>
      </c>
      <c r="AL554" t="str">
        <f>HYPERLINK("https://pbs.twimg.com/ext_tw_video_thumb/1143202185154584581/pu/img/K72qfBH8zIdbiUf-.jpg")</f>
        <v>https://pbs.twimg.com/ext_tw_video_thumb/1143202185154584581/pu/img/K72qfBH8zIdbiUf-.jpg</v>
      </c>
      <c r="AM554" t="s">
        <v>52</v>
      </c>
      <c r="AN554" t="s">
        <v>53</v>
      </c>
    </row>
    <row r="555" spans="1:40">
      <c r="A555" t="s">
        <v>40</v>
      </c>
      <c r="B555" t="s">
        <v>2288</v>
      </c>
      <c r="C555" t="s">
        <v>2269</v>
      </c>
      <c r="D555" t="s">
        <v>52</v>
      </c>
      <c r="E555" t="s">
        <v>2294</v>
      </c>
      <c r="F555" t="s">
        <v>45</v>
      </c>
      <c r="G555" t="str">
        <f>HYPERLINK("https://twitter.com/1031913799819845632/status/1143372992254054400")</f>
        <v>https://twitter.com/1031913799819845632/status/1143372992254054400</v>
      </c>
      <c r="H555" t="s">
        <v>46</v>
      </c>
      <c r="I555" t="s">
        <v>2295</v>
      </c>
      <c r="J555" t="str">
        <f>HYPERLINK("http://twitter.com/changelizeeee")</f>
        <v>http://twitter.com/changelizeeee</v>
      </c>
      <c r="K555">
        <v>261</v>
      </c>
      <c r="L555" t="s">
        <v>58</v>
      </c>
      <c r="N555" t="s">
        <v>65</v>
      </c>
      <c r="R555" t="s">
        <v>60</v>
      </c>
      <c r="S555" t="s">
        <v>226</v>
      </c>
      <c r="W555">
        <v>2</v>
      </c>
      <c r="X555">
        <v>2</v>
      </c>
      <c r="AE555">
        <v>0</v>
      </c>
      <c r="AF555">
        <v>1</v>
      </c>
      <c r="AI555" t="s">
        <v>52</v>
      </c>
      <c r="AJ555" t="s">
        <v>52</v>
      </c>
      <c r="AK555" t="s">
        <v>52</v>
      </c>
      <c r="AL555" t="str">
        <f>HYPERLINK("https://pbs.twimg.com/tweet_video_thumb/D94ToulUEAADrhD.jpg")</f>
        <v>https://pbs.twimg.com/tweet_video_thumb/D94ToulUEAADrhD.jpg</v>
      </c>
      <c r="AM555" t="s">
        <v>52</v>
      </c>
      <c r="AN555" t="s">
        <v>53</v>
      </c>
    </row>
    <row r="556" spans="1:40">
      <c r="A556" t="s">
        <v>40</v>
      </c>
      <c r="B556" t="s">
        <v>2288</v>
      </c>
      <c r="C556" t="s">
        <v>2273</v>
      </c>
      <c r="D556" t="s">
        <v>52</v>
      </c>
      <c r="E556" t="s">
        <v>2296</v>
      </c>
      <c r="F556" t="s">
        <v>131</v>
      </c>
      <c r="G556" t="str">
        <f>HYPERLINK("https://twitter.com/975937049860759553/status/1143372987980292096")</f>
        <v>https://twitter.com/975937049860759553/status/1143372987980292096</v>
      </c>
      <c r="H556" t="s">
        <v>46</v>
      </c>
      <c r="I556" t="s">
        <v>2297</v>
      </c>
      <c r="J556" t="str">
        <f>HYPERLINK("http://twitter.com/camilaruival02")</f>
        <v>http://twitter.com/camilaruival02</v>
      </c>
      <c r="K556">
        <v>138</v>
      </c>
      <c r="L556" t="s">
        <v>58</v>
      </c>
      <c r="N556" t="s">
        <v>65</v>
      </c>
      <c r="R556" t="s">
        <v>60</v>
      </c>
      <c r="S556" t="s">
        <v>701</v>
      </c>
      <c r="T556" t="s">
        <v>702</v>
      </c>
      <c r="U556" t="s">
        <v>702</v>
      </c>
      <c r="W556">
        <v>0</v>
      </c>
      <c r="X556">
        <v>0</v>
      </c>
      <c r="AE556">
        <v>0</v>
      </c>
      <c r="AM556" t="s">
        <v>52</v>
      </c>
      <c r="AN556" t="s">
        <v>53</v>
      </c>
    </row>
    <row r="557" spans="1:40">
      <c r="A557" t="s">
        <v>40</v>
      </c>
      <c r="B557" t="s">
        <v>2288</v>
      </c>
      <c r="C557" t="s">
        <v>2298</v>
      </c>
      <c r="D557" t="s">
        <v>52</v>
      </c>
      <c r="E557" t="s">
        <v>2299</v>
      </c>
      <c r="F557" t="s">
        <v>131</v>
      </c>
      <c r="G557" t="str">
        <f>HYPERLINK("https://twitter.com/987743634027089920/status/1143372830966452224")</f>
        <v>https://twitter.com/987743634027089920/status/1143372830966452224</v>
      </c>
      <c r="H557" t="s">
        <v>46</v>
      </c>
      <c r="I557" t="s">
        <v>2300</v>
      </c>
      <c r="J557" t="str">
        <f>HYPERLINK("http://twitter.com/lucasbarbosa28")</f>
        <v>http://twitter.com/lucasbarbosa28</v>
      </c>
      <c r="K557">
        <v>594</v>
      </c>
      <c r="L557" t="s">
        <v>48</v>
      </c>
      <c r="N557" t="s">
        <v>65</v>
      </c>
      <c r="R557" t="s">
        <v>60</v>
      </c>
      <c r="S557" t="s">
        <v>701</v>
      </c>
      <c r="T557" t="s">
        <v>2301</v>
      </c>
      <c r="U557" t="s">
        <v>2302</v>
      </c>
      <c r="W557">
        <v>0</v>
      </c>
      <c r="X557">
        <v>0</v>
      </c>
      <c r="AE557">
        <v>0</v>
      </c>
      <c r="AM557" t="s">
        <v>52</v>
      </c>
      <c r="AN557" t="s">
        <v>53</v>
      </c>
    </row>
    <row r="558" spans="1:40">
      <c r="A558" t="s">
        <v>40</v>
      </c>
      <c r="B558" t="s">
        <v>2288</v>
      </c>
      <c r="C558" t="s">
        <v>2303</v>
      </c>
      <c r="D558" t="s">
        <v>52</v>
      </c>
      <c r="E558" t="s">
        <v>2304</v>
      </c>
      <c r="F558" t="s">
        <v>45</v>
      </c>
      <c r="G558" t="str">
        <f>HYPERLINK("https://twitter.com/1383476251/status/1143372803787370496")</f>
        <v>https://twitter.com/1383476251/status/1143372803787370496</v>
      </c>
      <c r="H558" t="s">
        <v>215</v>
      </c>
      <c r="I558" t="s">
        <v>2305</v>
      </c>
      <c r="J558" t="str">
        <f>HYPERLINK("http://twitter.com/ALSNAPPINGTON")</f>
        <v>http://twitter.com/ALSNAPPINGTON</v>
      </c>
      <c r="K558">
        <v>2040</v>
      </c>
      <c r="N558" t="s">
        <v>65</v>
      </c>
      <c r="R558" t="s">
        <v>60</v>
      </c>
      <c r="S558" t="s">
        <v>51</v>
      </c>
      <c r="T558" t="s">
        <v>73</v>
      </c>
      <c r="U558" t="s">
        <v>2306</v>
      </c>
      <c r="W558">
        <v>2</v>
      </c>
      <c r="X558">
        <v>2</v>
      </c>
      <c r="AE558">
        <v>0</v>
      </c>
      <c r="AF558">
        <v>0</v>
      </c>
      <c r="AM558" t="s">
        <v>52</v>
      </c>
      <c r="AN558" t="s">
        <v>53</v>
      </c>
    </row>
    <row r="559" spans="1:40">
      <c r="A559" t="s">
        <v>40</v>
      </c>
      <c r="B559" t="s">
        <v>2307</v>
      </c>
      <c r="C559" t="s">
        <v>2308</v>
      </c>
      <c r="D559" t="s">
        <v>52</v>
      </c>
      <c r="E559" t="s">
        <v>1194</v>
      </c>
      <c r="F559" t="s">
        <v>131</v>
      </c>
      <c r="G559" t="str">
        <f>HYPERLINK("https://twitter.com/716678011/status/1143372727740502017")</f>
        <v>https://twitter.com/716678011/status/1143372727740502017</v>
      </c>
      <c r="H559" t="s">
        <v>46</v>
      </c>
      <c r="I559" t="s">
        <v>2309</v>
      </c>
      <c r="J559" t="str">
        <f>HYPERLINK("http://twitter.com/____TheBrave")</f>
        <v>http://twitter.com/____TheBrave</v>
      </c>
      <c r="K559">
        <v>453</v>
      </c>
      <c r="N559" t="s">
        <v>65</v>
      </c>
      <c r="R559" t="s">
        <v>60</v>
      </c>
      <c r="W559">
        <v>0</v>
      </c>
      <c r="X559">
        <v>0</v>
      </c>
      <c r="AE559">
        <v>0</v>
      </c>
      <c r="AI559" t="s">
        <v>52</v>
      </c>
      <c r="AJ559" t="s">
        <v>1196</v>
      </c>
      <c r="AK559" t="s">
        <v>52</v>
      </c>
      <c r="AL559" t="str">
        <f>HYPERLINK("https://pbs.twimg.com/media/D9xgk2YXkAAd2ql.jpg")</f>
        <v>https://pbs.twimg.com/media/D9xgk2YXkAAd2ql.jpg</v>
      </c>
      <c r="AM559" t="s">
        <v>52</v>
      </c>
      <c r="AN559" t="s">
        <v>53</v>
      </c>
    </row>
    <row r="560" spans="1:40">
      <c r="A560" t="s">
        <v>40</v>
      </c>
      <c r="B560" t="s">
        <v>2307</v>
      </c>
      <c r="C560" t="s">
        <v>1288</v>
      </c>
      <c r="D560" t="s">
        <v>52</v>
      </c>
      <c r="E560" t="s">
        <v>2310</v>
      </c>
      <c r="F560" t="s">
        <v>45</v>
      </c>
      <c r="G560" t="str">
        <f>HYPERLINK("https://www.instagram.com/p/BzHne4zpCQb")</f>
        <v>https://www.instagram.com/p/BzHne4zpCQb</v>
      </c>
      <c r="H560" t="s">
        <v>215</v>
      </c>
      <c r="I560" t="s">
        <v>683</v>
      </c>
      <c r="J560" t="str">
        <f>HYPERLINK("http://instagram.com/mike_alexander15")</f>
        <v>http://instagram.com/mike_alexander15</v>
      </c>
      <c r="K560">
        <v>83</v>
      </c>
      <c r="L560" t="s">
        <v>48</v>
      </c>
      <c r="N560" t="s">
        <v>59</v>
      </c>
      <c r="O560" t="s">
        <v>683</v>
      </c>
      <c r="P560" t="str">
        <f>HYPERLINK("http://instagram.com/mike_alexander15")</f>
        <v>http://instagram.com/mike_alexander15</v>
      </c>
      <c r="Q560">
        <v>83</v>
      </c>
      <c r="R560" t="s">
        <v>60</v>
      </c>
      <c r="W560">
        <v>2</v>
      </c>
      <c r="X560">
        <v>2</v>
      </c>
      <c r="AE560">
        <v>0</v>
      </c>
      <c r="AI560" t="s">
        <v>108</v>
      </c>
      <c r="AJ560" t="s">
        <v>52</v>
      </c>
      <c r="AK560" t="s">
        <v>52</v>
      </c>
      <c r="AL560" t="str">
        <f>HYPERLINK("https://www.instagram.com/p/BzHne4zpCQb/media/?size=l")</f>
        <v>https://www.instagram.com/p/BzHne4zpCQb/media/?size=l</v>
      </c>
      <c r="AM560" t="s">
        <v>52</v>
      </c>
      <c r="AN560" t="s">
        <v>53</v>
      </c>
    </row>
    <row r="561" spans="1:40">
      <c r="A561" t="s">
        <v>40</v>
      </c>
      <c r="B561" t="s">
        <v>2311</v>
      </c>
      <c r="C561" t="s">
        <v>2312</v>
      </c>
      <c r="D561" t="s">
        <v>52</v>
      </c>
      <c r="E561" t="s">
        <v>2313</v>
      </c>
      <c r="F561" t="s">
        <v>95</v>
      </c>
      <c r="G561" t="str">
        <f>HYPERLINK("https://twitter.com/135371938/status/1143372120858214400")</f>
        <v>https://twitter.com/135371938/status/1143372120858214400</v>
      </c>
      <c r="H561" t="s">
        <v>46</v>
      </c>
      <c r="I561" t="s">
        <v>2314</v>
      </c>
      <c r="J561" t="str">
        <f>HYPERLINK("http://twitter.com/kesmeby")</f>
        <v>http://twitter.com/kesmeby</v>
      </c>
      <c r="K561">
        <v>16</v>
      </c>
      <c r="N561" t="s">
        <v>65</v>
      </c>
      <c r="R561" t="s">
        <v>60</v>
      </c>
      <c r="S561" t="s">
        <v>51</v>
      </c>
      <c r="T561" t="s">
        <v>199</v>
      </c>
      <c r="U561" t="s">
        <v>848</v>
      </c>
      <c r="W561">
        <v>2</v>
      </c>
      <c r="X561">
        <v>2</v>
      </c>
      <c r="AE561">
        <v>0</v>
      </c>
      <c r="AF561">
        <v>0</v>
      </c>
      <c r="AM561" t="s">
        <v>52</v>
      </c>
      <c r="AN561" t="s">
        <v>53</v>
      </c>
    </row>
    <row r="562" spans="1:40">
      <c r="A562" t="s">
        <v>40</v>
      </c>
      <c r="B562" t="s">
        <v>2315</v>
      </c>
      <c r="C562" t="s">
        <v>2316</v>
      </c>
      <c r="D562" t="s">
        <v>52</v>
      </c>
      <c r="E562" t="s">
        <v>1194</v>
      </c>
      <c r="F562" t="s">
        <v>131</v>
      </c>
      <c r="G562" t="str">
        <f>HYPERLINK("https://twitter.com/884966775548514304/status/1143371624550424577")</f>
        <v>https://twitter.com/884966775548514304/status/1143371624550424577</v>
      </c>
      <c r="H562" t="s">
        <v>46</v>
      </c>
      <c r="I562" t="s">
        <v>2317</v>
      </c>
      <c r="J562" t="str">
        <f>HYPERLINK("http://twitter.com/momfriend98")</f>
        <v>http://twitter.com/momfriend98</v>
      </c>
      <c r="K562">
        <v>137</v>
      </c>
      <c r="L562" t="s">
        <v>58</v>
      </c>
      <c r="N562" t="s">
        <v>65</v>
      </c>
      <c r="R562" t="s">
        <v>60</v>
      </c>
      <c r="W562">
        <v>0</v>
      </c>
      <c r="X562">
        <v>0</v>
      </c>
      <c r="AE562">
        <v>0</v>
      </c>
      <c r="AI562" t="s">
        <v>52</v>
      </c>
      <c r="AJ562" t="s">
        <v>1196</v>
      </c>
      <c r="AK562" t="s">
        <v>52</v>
      </c>
      <c r="AL562" t="str">
        <f>HYPERLINK("https://pbs.twimg.com/media/D9xgk2YXkAAd2ql.jpg")</f>
        <v>https://pbs.twimg.com/media/D9xgk2YXkAAd2ql.jpg</v>
      </c>
      <c r="AM562" t="s">
        <v>52</v>
      </c>
      <c r="AN562" t="s">
        <v>53</v>
      </c>
    </row>
    <row r="563" spans="1:40">
      <c r="A563" t="s">
        <v>40</v>
      </c>
      <c r="B563" t="s">
        <v>2315</v>
      </c>
      <c r="C563" t="s">
        <v>2318</v>
      </c>
      <c r="D563" t="s">
        <v>52</v>
      </c>
      <c r="E563" t="s">
        <v>2319</v>
      </c>
      <c r="F563" t="s">
        <v>131</v>
      </c>
      <c r="G563" t="str">
        <f>HYPERLINK("https://twitter.com/720351408533467136/status/1143371512222822407")</f>
        <v>https://twitter.com/720351408533467136/status/1143371512222822407</v>
      </c>
      <c r="H563" t="s">
        <v>46</v>
      </c>
      <c r="I563" t="s">
        <v>2320</v>
      </c>
      <c r="J563" t="str">
        <f>HYPERLINK("http://twitter.com/Milicoronel0")</f>
        <v>http://twitter.com/Milicoronel0</v>
      </c>
      <c r="K563">
        <v>190</v>
      </c>
      <c r="N563" t="s">
        <v>65</v>
      </c>
      <c r="R563" t="s">
        <v>60</v>
      </c>
      <c r="S563" t="s">
        <v>701</v>
      </c>
      <c r="T563" t="s">
        <v>2321</v>
      </c>
      <c r="U563" t="s">
        <v>2322</v>
      </c>
      <c r="W563">
        <v>0</v>
      </c>
      <c r="X563">
        <v>0</v>
      </c>
      <c r="AE563">
        <v>0</v>
      </c>
      <c r="AM563" t="s">
        <v>52</v>
      </c>
      <c r="AN563" t="s">
        <v>53</v>
      </c>
    </row>
    <row r="564" spans="1:40">
      <c r="A564" t="s">
        <v>40</v>
      </c>
      <c r="B564" t="s">
        <v>2315</v>
      </c>
      <c r="C564" t="s">
        <v>2318</v>
      </c>
      <c r="D564" t="s">
        <v>52</v>
      </c>
      <c r="E564" t="s">
        <v>1510</v>
      </c>
      <c r="F564" t="s">
        <v>131</v>
      </c>
      <c r="G564" t="str">
        <f>HYPERLINK("https://twitter.com/27874367/status/1143371500470382595")</f>
        <v>https://twitter.com/27874367/status/1143371500470382595</v>
      </c>
      <c r="H564" t="s">
        <v>46</v>
      </c>
      <c r="I564" t="s">
        <v>2323</v>
      </c>
      <c r="J564" t="str">
        <f>HYPERLINK("http://twitter.com/bleudawn7")</f>
        <v>http://twitter.com/bleudawn7</v>
      </c>
      <c r="K564">
        <v>10636</v>
      </c>
      <c r="N564" t="s">
        <v>65</v>
      </c>
      <c r="R564" t="s">
        <v>60</v>
      </c>
      <c r="S564" t="s">
        <v>51</v>
      </c>
      <c r="T564" t="s">
        <v>152</v>
      </c>
      <c r="U564" t="s">
        <v>424</v>
      </c>
      <c r="W564">
        <v>0</v>
      </c>
      <c r="X564">
        <v>0</v>
      </c>
      <c r="AE564">
        <v>0</v>
      </c>
      <c r="AM564" t="s">
        <v>52</v>
      </c>
      <c r="AN564" t="s">
        <v>53</v>
      </c>
    </row>
    <row r="565" spans="1:40">
      <c r="A565" t="s">
        <v>40</v>
      </c>
      <c r="B565" t="s">
        <v>2315</v>
      </c>
      <c r="C565" t="s">
        <v>2318</v>
      </c>
      <c r="D565" t="s">
        <v>52</v>
      </c>
      <c r="E565" t="s">
        <v>2324</v>
      </c>
      <c r="F565" t="s">
        <v>95</v>
      </c>
      <c r="G565" t="str">
        <f>HYPERLINK("https://twitter.com/810009620437667840/status/1143371493742538758")</f>
        <v>https://twitter.com/810009620437667840/status/1143371493742538758</v>
      </c>
      <c r="H565" t="s">
        <v>46</v>
      </c>
      <c r="I565" t="s">
        <v>2325</v>
      </c>
      <c r="J565" t="str">
        <f>HYPERLINK("http://twitter.com/AbeNormalAbe")</f>
        <v>http://twitter.com/AbeNormalAbe</v>
      </c>
      <c r="K565">
        <v>5</v>
      </c>
      <c r="L565" t="s">
        <v>48</v>
      </c>
      <c r="N565" t="s">
        <v>65</v>
      </c>
      <c r="R565" t="s">
        <v>60</v>
      </c>
      <c r="S565" t="s">
        <v>51</v>
      </c>
      <c r="W565">
        <v>0</v>
      </c>
      <c r="X565">
        <v>0</v>
      </c>
      <c r="AE565">
        <v>0</v>
      </c>
      <c r="AF565">
        <v>0</v>
      </c>
      <c r="AM565" t="s">
        <v>52</v>
      </c>
      <c r="AN565" t="s">
        <v>53</v>
      </c>
    </row>
    <row r="566" spans="1:40">
      <c r="A566" t="s">
        <v>40</v>
      </c>
      <c r="B566" t="s">
        <v>2326</v>
      </c>
      <c r="C566" t="s">
        <v>2327</v>
      </c>
      <c r="D566" t="s">
        <v>52</v>
      </c>
      <c r="E566" t="s">
        <v>2328</v>
      </c>
      <c r="F566" t="s">
        <v>45</v>
      </c>
      <c r="G566" t="str">
        <f>HYPERLINK("https://twitter.com/3328101963/status/1143371431499055104")</f>
        <v>https://twitter.com/3328101963/status/1143371431499055104</v>
      </c>
      <c r="H566" t="s">
        <v>46</v>
      </c>
      <c r="I566" t="s">
        <v>2329</v>
      </c>
      <c r="J566" t="str">
        <f>HYPERLINK("http://twitter.com/seedsurfer")</f>
        <v>http://twitter.com/seedsurfer</v>
      </c>
      <c r="K566">
        <v>255</v>
      </c>
      <c r="N566" t="s">
        <v>65</v>
      </c>
      <c r="R566" t="s">
        <v>60</v>
      </c>
      <c r="W566">
        <v>0</v>
      </c>
      <c r="X566">
        <v>0</v>
      </c>
      <c r="AE566">
        <v>0</v>
      </c>
      <c r="AF566">
        <v>0</v>
      </c>
      <c r="AM566" t="s">
        <v>52</v>
      </c>
      <c r="AN566" t="s">
        <v>53</v>
      </c>
    </row>
    <row r="567" spans="1:40">
      <c r="A567" t="s">
        <v>40</v>
      </c>
      <c r="B567" t="s">
        <v>2326</v>
      </c>
      <c r="C567" t="s">
        <v>2330</v>
      </c>
      <c r="D567" t="s">
        <v>52</v>
      </c>
      <c r="E567" t="s">
        <v>2331</v>
      </c>
      <c r="F567" t="s">
        <v>45</v>
      </c>
      <c r="G567" t="str">
        <f>HYPERLINK("https://twitter.com/65693218/status/1143371284857970688")</f>
        <v>https://twitter.com/65693218/status/1143371284857970688</v>
      </c>
      <c r="H567" t="s">
        <v>215</v>
      </c>
      <c r="I567" t="s">
        <v>2332</v>
      </c>
      <c r="J567" t="str">
        <f>HYPERLINK("http://twitter.com/TinaLouiseMe")</f>
        <v>http://twitter.com/TinaLouiseMe</v>
      </c>
      <c r="K567">
        <v>627</v>
      </c>
      <c r="N567" t="s">
        <v>65</v>
      </c>
      <c r="R567" t="s">
        <v>60</v>
      </c>
      <c r="S567" t="s">
        <v>51</v>
      </c>
      <c r="T567" t="s">
        <v>84</v>
      </c>
      <c r="U567" t="s">
        <v>2333</v>
      </c>
      <c r="W567">
        <v>0</v>
      </c>
      <c r="X567">
        <v>0</v>
      </c>
      <c r="AE567">
        <v>0</v>
      </c>
      <c r="AF567">
        <v>0</v>
      </c>
      <c r="AM567" t="s">
        <v>52</v>
      </c>
      <c r="AN567" t="s">
        <v>53</v>
      </c>
    </row>
    <row r="568" spans="1:40">
      <c r="A568" t="s">
        <v>40</v>
      </c>
      <c r="B568" t="s">
        <v>2334</v>
      </c>
      <c r="C568" t="s">
        <v>2330</v>
      </c>
      <c r="D568" t="s">
        <v>52</v>
      </c>
      <c r="E568" t="s">
        <v>599</v>
      </c>
      <c r="F568" t="s">
        <v>131</v>
      </c>
      <c r="G568" t="str">
        <f>HYPERLINK("https://twitter.com/2563128726/status/1143370812457512961")</f>
        <v>https://twitter.com/2563128726/status/1143370812457512961</v>
      </c>
      <c r="H568" t="s">
        <v>46</v>
      </c>
      <c r="I568" t="s">
        <v>2335</v>
      </c>
      <c r="J568" t="str">
        <f>HYPERLINK("http://twitter.com/AksheitKakani1")</f>
        <v>http://twitter.com/AksheitKakani1</v>
      </c>
      <c r="K568">
        <v>14</v>
      </c>
      <c r="N568" t="s">
        <v>65</v>
      </c>
      <c r="R568" t="s">
        <v>60</v>
      </c>
      <c r="S568" t="s">
        <v>315</v>
      </c>
      <c r="T568" t="s">
        <v>2336</v>
      </c>
      <c r="U568" t="s">
        <v>2337</v>
      </c>
      <c r="W568">
        <v>0</v>
      </c>
      <c r="X568">
        <v>0</v>
      </c>
      <c r="AE568">
        <v>0</v>
      </c>
      <c r="AI568" t="s">
        <v>108</v>
      </c>
      <c r="AJ568" t="s">
        <v>52</v>
      </c>
      <c r="AK568" t="s">
        <v>601</v>
      </c>
      <c r="AL568" t="str">
        <f>HYPERLINK("https://pbs.twimg.com/ext_tw_video_thumb/1143202185154584581/pu/img/K72qfBH8zIdbiUf-.jpg")</f>
        <v>https://pbs.twimg.com/ext_tw_video_thumb/1143202185154584581/pu/img/K72qfBH8zIdbiUf-.jpg</v>
      </c>
      <c r="AM568" t="s">
        <v>52</v>
      </c>
      <c r="AN568" t="s">
        <v>53</v>
      </c>
    </row>
    <row r="569" spans="1:40">
      <c r="A569" t="s">
        <v>40</v>
      </c>
      <c r="B569" t="s">
        <v>2338</v>
      </c>
      <c r="C569" t="s">
        <v>2339</v>
      </c>
      <c r="D569" t="s">
        <v>52</v>
      </c>
      <c r="E569" t="s">
        <v>2340</v>
      </c>
      <c r="F569" t="s">
        <v>45</v>
      </c>
      <c r="G569" t="str">
        <f>HYPERLINK("https://twitter.com/765620544041517056/status/1143370167608647681")</f>
        <v>https://twitter.com/765620544041517056/status/1143370167608647681</v>
      </c>
      <c r="H569" t="s">
        <v>46</v>
      </c>
      <c r="I569" t="s">
        <v>2341</v>
      </c>
      <c r="J569" t="str">
        <f>HYPERLINK("http://twitter.com/GonzalezBenja3")</f>
        <v>http://twitter.com/GonzalezBenja3</v>
      </c>
      <c r="K569">
        <v>1028</v>
      </c>
      <c r="N569" t="s">
        <v>65</v>
      </c>
      <c r="R569" t="s">
        <v>60</v>
      </c>
      <c r="W569">
        <v>1</v>
      </c>
      <c r="X569">
        <v>1</v>
      </c>
      <c r="AE569">
        <v>0</v>
      </c>
      <c r="AF569">
        <v>0</v>
      </c>
      <c r="AM569" t="s">
        <v>52</v>
      </c>
      <c r="AN569" t="s">
        <v>53</v>
      </c>
    </row>
    <row r="570" spans="1:40">
      <c r="A570" t="s">
        <v>40</v>
      </c>
      <c r="B570" t="s">
        <v>2338</v>
      </c>
      <c r="C570" t="s">
        <v>2342</v>
      </c>
      <c r="D570" t="s">
        <v>52</v>
      </c>
      <c r="E570" t="s">
        <v>2343</v>
      </c>
      <c r="F570" t="s">
        <v>71</v>
      </c>
      <c r="G570" t="str">
        <f>HYPERLINK("https://twitter.com/3000591285/status/1143370115926417409")</f>
        <v>https://twitter.com/3000591285/status/1143370115926417409</v>
      </c>
      <c r="H570" t="s">
        <v>215</v>
      </c>
      <c r="I570" t="s">
        <v>2344</v>
      </c>
      <c r="J570" t="str">
        <f>HYPERLINK("http://twitter.com/BlueFuzzy_M")</f>
        <v>http://twitter.com/BlueFuzzy_M</v>
      </c>
      <c r="K570">
        <v>1851</v>
      </c>
      <c r="N570" t="s">
        <v>65</v>
      </c>
      <c r="R570" t="s">
        <v>60</v>
      </c>
      <c r="W570">
        <v>0</v>
      </c>
      <c r="X570">
        <v>0</v>
      </c>
      <c r="AE570">
        <v>0</v>
      </c>
      <c r="AF570">
        <v>0</v>
      </c>
      <c r="AM570" t="s">
        <v>52</v>
      </c>
      <c r="AN570" t="s">
        <v>53</v>
      </c>
    </row>
    <row r="571" spans="1:40">
      <c r="A571" t="s">
        <v>40</v>
      </c>
      <c r="B571" t="s">
        <v>2338</v>
      </c>
      <c r="C571" t="s">
        <v>2342</v>
      </c>
      <c r="D571" t="s">
        <v>52</v>
      </c>
      <c r="E571" t="s">
        <v>1194</v>
      </c>
      <c r="F571" t="s">
        <v>131</v>
      </c>
      <c r="G571" t="str">
        <f>HYPERLINK("https://twitter.com/1477251320/status/1143370118824521733")</f>
        <v>https://twitter.com/1477251320/status/1143370118824521733</v>
      </c>
      <c r="H571" t="s">
        <v>46</v>
      </c>
      <c r="I571" t="s">
        <v>2345</v>
      </c>
      <c r="J571" t="str">
        <f>HYPERLINK("http://twitter.com/jahjuss")</f>
        <v>http://twitter.com/jahjuss</v>
      </c>
      <c r="K571">
        <v>63</v>
      </c>
      <c r="N571" t="s">
        <v>65</v>
      </c>
      <c r="R571" t="s">
        <v>60</v>
      </c>
      <c r="S571" t="s">
        <v>1643</v>
      </c>
      <c r="T571" t="s">
        <v>2346</v>
      </c>
      <c r="U571" t="s">
        <v>2347</v>
      </c>
      <c r="W571">
        <v>0</v>
      </c>
      <c r="X571">
        <v>0</v>
      </c>
      <c r="AE571">
        <v>0</v>
      </c>
      <c r="AI571" t="s">
        <v>52</v>
      </c>
      <c r="AJ571" t="s">
        <v>1196</v>
      </c>
      <c r="AK571" t="s">
        <v>52</v>
      </c>
      <c r="AL571" t="str">
        <f>HYPERLINK("https://pbs.twimg.com/media/D9xgk2YXkAAd2ql.jpg")</f>
        <v>https://pbs.twimg.com/media/D9xgk2YXkAAd2ql.jpg</v>
      </c>
      <c r="AM571" t="s">
        <v>52</v>
      </c>
      <c r="AN571" t="s">
        <v>53</v>
      </c>
    </row>
    <row r="572" spans="1:40">
      <c r="A572" t="s">
        <v>40</v>
      </c>
      <c r="B572" t="s">
        <v>2348</v>
      </c>
      <c r="C572" t="s">
        <v>2349</v>
      </c>
      <c r="D572" t="s">
        <v>52</v>
      </c>
      <c r="E572" t="s">
        <v>2350</v>
      </c>
      <c r="F572" t="s">
        <v>45</v>
      </c>
      <c r="G572" t="str">
        <f>HYPERLINK("https://twitter.com/1069590256557703168/status/1143369938012270592")</f>
        <v>https://twitter.com/1069590256557703168/status/1143369938012270592</v>
      </c>
      <c r="H572" t="s">
        <v>46</v>
      </c>
      <c r="I572" t="s">
        <v>2351</v>
      </c>
      <c r="J572" t="str">
        <f>HYPERLINK("http://twitter.com/hadyshades")</f>
        <v>http://twitter.com/hadyshades</v>
      </c>
      <c r="K572">
        <v>46</v>
      </c>
      <c r="L572" t="s">
        <v>48</v>
      </c>
      <c r="N572" t="s">
        <v>65</v>
      </c>
      <c r="R572" t="s">
        <v>60</v>
      </c>
      <c r="S572" t="s">
        <v>444</v>
      </c>
      <c r="T572" t="s">
        <v>579</v>
      </c>
      <c r="U572" t="s">
        <v>580</v>
      </c>
      <c r="W572">
        <v>0</v>
      </c>
      <c r="X572">
        <v>0</v>
      </c>
      <c r="AE572">
        <v>0</v>
      </c>
      <c r="AF572">
        <v>0</v>
      </c>
      <c r="AM572" t="s">
        <v>52</v>
      </c>
      <c r="AN572" t="s">
        <v>53</v>
      </c>
    </row>
    <row r="573" spans="1:40">
      <c r="A573" t="s">
        <v>40</v>
      </c>
      <c r="B573" t="s">
        <v>2352</v>
      </c>
      <c r="C573" t="s">
        <v>2353</v>
      </c>
      <c r="D573" t="s">
        <v>52</v>
      </c>
      <c r="E573" t="s">
        <v>2354</v>
      </c>
      <c r="F573" t="s">
        <v>45</v>
      </c>
      <c r="G573" t="str">
        <f>HYPERLINK("https://www.instagram.com/p/BzHmBCuHJzK")</f>
        <v>https://www.instagram.com/p/BzHmBCuHJzK</v>
      </c>
      <c r="H573" t="s">
        <v>46</v>
      </c>
      <c r="I573" t="s">
        <v>2355</v>
      </c>
      <c r="J573" t="str">
        <f>HYPERLINK("http://instagram.com/lucian847")</f>
        <v>http://instagram.com/lucian847</v>
      </c>
      <c r="K573">
        <v>85</v>
      </c>
      <c r="N573" t="s">
        <v>59</v>
      </c>
      <c r="O573" t="s">
        <v>2355</v>
      </c>
      <c r="P573" t="str">
        <f>HYPERLINK("http://instagram.com/lucian847")</f>
        <v>http://instagram.com/lucian847</v>
      </c>
      <c r="Q573">
        <v>85</v>
      </c>
      <c r="R573" t="s">
        <v>60</v>
      </c>
      <c r="W573">
        <v>2</v>
      </c>
      <c r="X573">
        <v>2</v>
      </c>
      <c r="AE573">
        <v>0</v>
      </c>
      <c r="AG573">
        <v>6</v>
      </c>
      <c r="AI573" t="s">
        <v>52</v>
      </c>
      <c r="AJ573" t="s">
        <v>52</v>
      </c>
      <c r="AK573" t="s">
        <v>52</v>
      </c>
      <c r="AL573" t="str">
        <f>HYPERLINK("https://www.instagram.com/p/BzHmBCuHJzK/media/?size=l")</f>
        <v>https://www.instagram.com/p/BzHmBCuHJzK/media/?size=l</v>
      </c>
      <c r="AM573" t="s">
        <v>52</v>
      </c>
      <c r="AN573" t="s">
        <v>53</v>
      </c>
    </row>
    <row r="574" spans="1:40">
      <c r="A574" t="s">
        <v>40</v>
      </c>
      <c r="B574" t="s">
        <v>2352</v>
      </c>
      <c r="C574" t="s">
        <v>1225</v>
      </c>
      <c r="D574" t="s">
        <v>52</v>
      </c>
      <c r="E574" t="s">
        <v>2356</v>
      </c>
      <c r="F574" t="s">
        <v>45</v>
      </c>
      <c r="G574" t="str">
        <f>HYPERLINK("https://www.facebook.com/635025023352473/posts/1149832135205090")</f>
        <v>https://www.facebook.com/635025023352473/posts/1149832135205090</v>
      </c>
      <c r="H574" t="s">
        <v>46</v>
      </c>
      <c r="I574" t="s">
        <v>2357</v>
      </c>
      <c r="J574" t="str">
        <f>HYPERLINK("https://www.facebook.com/635025023352473")</f>
        <v>https://www.facebook.com/635025023352473</v>
      </c>
      <c r="K574">
        <v>22996</v>
      </c>
      <c r="L574" t="s">
        <v>651</v>
      </c>
      <c r="N574" t="s">
        <v>1792</v>
      </c>
      <c r="O574" t="s">
        <v>2357</v>
      </c>
      <c r="P574" t="str">
        <f>HYPERLINK("https://www.facebook.com/635025023352473")</f>
        <v>https://www.facebook.com/635025023352473</v>
      </c>
      <c r="Q574">
        <v>22996</v>
      </c>
      <c r="R574" t="s">
        <v>60</v>
      </c>
      <c r="W574">
        <v>3</v>
      </c>
      <c r="X574">
        <v>3</v>
      </c>
      <c r="AE574">
        <v>0</v>
      </c>
      <c r="AF574">
        <v>2</v>
      </c>
      <c r="AI574" t="s">
        <v>52</v>
      </c>
      <c r="AJ574" t="s">
        <v>2358</v>
      </c>
      <c r="AK574" t="s">
        <v>52</v>
      </c>
      <c r="AL574" t="str">
        <f>HYPERLINK("https://www.icookieat.com/wp-content/uploads/2017/06/18222653_1731232436893555_250206964329321779_n-1-758x569.jpg")</f>
        <v>https://www.icookieat.com/wp-content/uploads/2017/06/18222653_1731232436893555_250206964329321779_n-1-758x569.jpg</v>
      </c>
      <c r="AM574" t="s">
        <v>52</v>
      </c>
      <c r="AN574" t="s">
        <v>53</v>
      </c>
    </row>
    <row r="575" spans="1:40">
      <c r="A575" t="s">
        <v>40</v>
      </c>
      <c r="B575" t="s">
        <v>2352</v>
      </c>
      <c r="C575" t="s">
        <v>878</v>
      </c>
      <c r="D575" t="s">
        <v>52</v>
      </c>
      <c r="E575" t="s">
        <v>2356</v>
      </c>
      <c r="F575" t="s">
        <v>45</v>
      </c>
      <c r="G575" t="str">
        <f>HYPERLINK("https://www.facebook.com/1843485165922849/posts/2335910236680337")</f>
        <v>https://www.facebook.com/1843485165922849/posts/2335910236680337</v>
      </c>
      <c r="H575" t="s">
        <v>46</v>
      </c>
      <c r="I575" t="s">
        <v>2359</v>
      </c>
      <c r="J575" t="str">
        <f>HYPERLINK("https://www.facebook.com/1843485165922849")</f>
        <v>https://www.facebook.com/1843485165922849</v>
      </c>
      <c r="K575">
        <v>22519</v>
      </c>
      <c r="L575" t="s">
        <v>651</v>
      </c>
      <c r="N575" t="s">
        <v>1792</v>
      </c>
      <c r="O575" t="s">
        <v>2359</v>
      </c>
      <c r="P575" t="str">
        <f>HYPERLINK("https://www.facebook.com/1843485165922849")</f>
        <v>https://www.facebook.com/1843485165922849</v>
      </c>
      <c r="Q575">
        <v>22519</v>
      </c>
      <c r="R575" t="s">
        <v>60</v>
      </c>
      <c r="W575">
        <v>1</v>
      </c>
      <c r="X575">
        <v>1</v>
      </c>
      <c r="AE575">
        <v>0</v>
      </c>
      <c r="AF575">
        <v>0</v>
      </c>
      <c r="AI575" t="s">
        <v>52</v>
      </c>
      <c r="AJ575" t="s">
        <v>2358</v>
      </c>
      <c r="AK575" t="s">
        <v>52</v>
      </c>
      <c r="AL575" t="str">
        <f>HYPERLINK("https://www.icookieat.com/wp-content/uploads/2017/06/18222653_1731232436893555_250206964329321779_n-1-758x569.jpg")</f>
        <v>https://www.icookieat.com/wp-content/uploads/2017/06/18222653_1731232436893555_250206964329321779_n-1-758x569.jpg</v>
      </c>
      <c r="AM575" t="s">
        <v>52</v>
      </c>
      <c r="AN575" t="s">
        <v>53</v>
      </c>
    </row>
    <row r="576" spans="1:40">
      <c r="A576" t="s">
        <v>40</v>
      </c>
      <c r="B576" t="s">
        <v>2352</v>
      </c>
      <c r="C576" t="s">
        <v>1225</v>
      </c>
      <c r="D576" t="s">
        <v>52</v>
      </c>
      <c r="E576" t="s">
        <v>2356</v>
      </c>
      <c r="F576" t="s">
        <v>45</v>
      </c>
      <c r="G576" t="str">
        <f>HYPERLINK("https://www.facebook.com/333516627005383/posts/887774918246215")</f>
        <v>https://www.facebook.com/333516627005383/posts/887774918246215</v>
      </c>
      <c r="H576" t="s">
        <v>46</v>
      </c>
      <c r="I576" t="s">
        <v>2360</v>
      </c>
      <c r="J576" t="str">
        <f>HYPERLINK("https://www.facebook.com/333516627005383")</f>
        <v>https://www.facebook.com/333516627005383</v>
      </c>
      <c r="K576">
        <v>66558</v>
      </c>
      <c r="L576" t="s">
        <v>651</v>
      </c>
      <c r="N576" t="s">
        <v>1792</v>
      </c>
      <c r="O576" t="s">
        <v>2360</v>
      </c>
      <c r="P576" t="str">
        <f>HYPERLINK("https://www.facebook.com/333516627005383")</f>
        <v>https://www.facebook.com/333516627005383</v>
      </c>
      <c r="Q576">
        <v>66558</v>
      </c>
      <c r="R576" t="s">
        <v>60</v>
      </c>
      <c r="W576">
        <v>7</v>
      </c>
      <c r="X576">
        <v>7</v>
      </c>
      <c r="AE576">
        <v>0</v>
      </c>
      <c r="AF576">
        <v>15</v>
      </c>
      <c r="AI576" t="s">
        <v>52</v>
      </c>
      <c r="AJ576" t="s">
        <v>2358</v>
      </c>
      <c r="AK576" t="s">
        <v>52</v>
      </c>
      <c r="AL576" t="str">
        <f>HYPERLINK("https://www.icookieat.com/wp-content/uploads/2017/06/18222653_1731232436893555_250206964329321779_n-1-758x569.jpg")</f>
        <v>https://www.icookieat.com/wp-content/uploads/2017/06/18222653_1731232436893555_250206964329321779_n-1-758x569.jpg</v>
      </c>
      <c r="AM576" t="s">
        <v>52</v>
      </c>
      <c r="AN576" t="s">
        <v>53</v>
      </c>
    </row>
    <row r="577" spans="1:40">
      <c r="A577" t="s">
        <v>40</v>
      </c>
      <c r="B577" t="s">
        <v>2361</v>
      </c>
      <c r="C577" t="s">
        <v>2353</v>
      </c>
      <c r="D577" t="s">
        <v>52</v>
      </c>
      <c r="E577" t="s">
        <v>2362</v>
      </c>
      <c r="F577" t="s">
        <v>45</v>
      </c>
      <c r="G577" t="str">
        <f>HYPERLINK("https://www.instagram.com/p/BzHl9z1F-SX")</f>
        <v>https://www.instagram.com/p/BzHl9z1F-SX</v>
      </c>
      <c r="H577" t="s">
        <v>46</v>
      </c>
      <c r="I577" t="s">
        <v>2363</v>
      </c>
      <c r="J577" t="str">
        <f>HYPERLINK("http://instagram.com/legendofzorldo")</f>
        <v>http://instagram.com/legendofzorldo</v>
      </c>
      <c r="K577">
        <v>70</v>
      </c>
      <c r="N577" t="s">
        <v>59</v>
      </c>
      <c r="O577" t="s">
        <v>2363</v>
      </c>
      <c r="P577" t="str">
        <f>HYPERLINK("http://instagram.com/legendofzorldo")</f>
        <v>http://instagram.com/legendofzorldo</v>
      </c>
      <c r="Q577">
        <v>70</v>
      </c>
      <c r="R577" t="s">
        <v>60</v>
      </c>
      <c r="W577">
        <v>5</v>
      </c>
      <c r="X577">
        <v>5</v>
      </c>
      <c r="AE577">
        <v>0</v>
      </c>
      <c r="AI577" t="s">
        <v>52</v>
      </c>
      <c r="AJ577" t="s">
        <v>452</v>
      </c>
      <c r="AK577" t="s">
        <v>2364</v>
      </c>
      <c r="AL577" t="str">
        <f>HYPERLINK("https://www.instagram.com/p/BzHl9z1F-SX/media/?size=l")</f>
        <v>https://www.instagram.com/p/BzHl9z1F-SX/media/?size=l</v>
      </c>
      <c r="AM577" t="s">
        <v>52</v>
      </c>
      <c r="AN577" t="s">
        <v>53</v>
      </c>
    </row>
    <row r="578" spans="1:40">
      <c r="A578" t="s">
        <v>40</v>
      </c>
      <c r="B578" t="s">
        <v>2361</v>
      </c>
      <c r="C578" t="s">
        <v>878</v>
      </c>
      <c r="D578" t="s">
        <v>52</v>
      </c>
      <c r="E578" t="s">
        <v>2356</v>
      </c>
      <c r="F578" t="s">
        <v>45</v>
      </c>
      <c r="G578" t="str">
        <f>HYPERLINK("https://www.facebook.com/218129805266328/posts/692247864521184")</f>
        <v>https://www.facebook.com/218129805266328/posts/692247864521184</v>
      </c>
      <c r="H578" t="s">
        <v>46</v>
      </c>
      <c r="I578" t="s">
        <v>2365</v>
      </c>
      <c r="J578" t="str">
        <f>HYPERLINK("https://www.facebook.com/218129805266328")</f>
        <v>https://www.facebook.com/218129805266328</v>
      </c>
      <c r="K578">
        <v>19542</v>
      </c>
      <c r="L578" t="s">
        <v>651</v>
      </c>
      <c r="N578" t="s">
        <v>1792</v>
      </c>
      <c r="O578" t="s">
        <v>2365</v>
      </c>
      <c r="P578" t="str">
        <f>HYPERLINK("https://www.facebook.com/218129805266328")</f>
        <v>https://www.facebook.com/218129805266328</v>
      </c>
      <c r="Q578">
        <v>19542</v>
      </c>
      <c r="R578" t="s">
        <v>60</v>
      </c>
      <c r="W578">
        <v>0</v>
      </c>
      <c r="X578">
        <v>0</v>
      </c>
      <c r="AE578">
        <v>0</v>
      </c>
      <c r="AF578">
        <v>0</v>
      </c>
      <c r="AI578" t="s">
        <v>52</v>
      </c>
      <c r="AJ578" t="s">
        <v>2358</v>
      </c>
      <c r="AK578" t="s">
        <v>52</v>
      </c>
      <c r="AL578" t="str">
        <f>HYPERLINK("https://www.icookieat.com/wp-content/uploads/2017/06/18222653_1731232436893555_250206964329321779_n-1-758x569.jpg")</f>
        <v>https://www.icookieat.com/wp-content/uploads/2017/06/18222653_1731232436893555_250206964329321779_n-1-758x569.jpg</v>
      </c>
      <c r="AM578" t="s">
        <v>52</v>
      </c>
      <c r="AN578" t="s">
        <v>53</v>
      </c>
    </row>
    <row r="579" spans="1:40">
      <c r="A579" t="s">
        <v>40</v>
      </c>
      <c r="B579" t="s">
        <v>2366</v>
      </c>
      <c r="C579" t="s">
        <v>472</v>
      </c>
      <c r="D579" t="s">
        <v>52</v>
      </c>
      <c r="E579" t="s">
        <v>2367</v>
      </c>
      <c r="F579" t="s">
        <v>45</v>
      </c>
      <c r="G579" t="str">
        <f>HYPERLINK("https://www.facebook.com/165978030101422/posts/2570661506299717")</f>
        <v>https://www.facebook.com/165978030101422/posts/2570661506299717</v>
      </c>
      <c r="H579" t="s">
        <v>215</v>
      </c>
      <c r="I579" t="s">
        <v>2368</v>
      </c>
      <c r="J579" t="str">
        <f>HYPERLINK("https://www.facebook.com/165978030101422")</f>
        <v>https://www.facebook.com/165978030101422</v>
      </c>
      <c r="K579">
        <v>265826</v>
      </c>
      <c r="L579" t="s">
        <v>651</v>
      </c>
      <c r="N579" t="s">
        <v>1792</v>
      </c>
      <c r="O579" t="s">
        <v>2368</v>
      </c>
      <c r="P579" t="str">
        <f>HYPERLINK("https://www.facebook.com/165978030101422")</f>
        <v>https://www.facebook.com/165978030101422</v>
      </c>
      <c r="Q579">
        <v>265826</v>
      </c>
      <c r="R579" t="s">
        <v>60</v>
      </c>
      <c r="S579" t="s">
        <v>51</v>
      </c>
      <c r="W579">
        <v>3</v>
      </c>
      <c r="X579">
        <v>3</v>
      </c>
      <c r="AE579">
        <v>0</v>
      </c>
      <c r="AF579">
        <v>6</v>
      </c>
      <c r="AI579" t="s">
        <v>52</v>
      </c>
      <c r="AJ579" t="s">
        <v>2369</v>
      </c>
      <c r="AK579" t="s">
        <v>52</v>
      </c>
      <c r="AL579" t="str">
        <f>HYPERLINK("https://scontent.xx.fbcdn.net/v/t15.5256-10/13936376_10153728815018456_1342443758_n.jpg?_nc_cat=111&amp;_nc_ht=scontent.xx&amp;oh=3d99c6eed0305e987b871d785079a637&amp;oe=5D812EA3")</f>
        <v>https://scontent.xx.fbcdn.net/v/t15.5256-10/13936376_10153728815018456_1342443758_n.jpg?_nc_cat=111&amp;_nc_ht=scontent.xx&amp;oh=3d99c6eed0305e987b871d785079a637&amp;oe=5D812EA3</v>
      </c>
      <c r="AM579" t="s">
        <v>52</v>
      </c>
      <c r="AN579" t="s">
        <v>53</v>
      </c>
    </row>
    <row r="580" spans="1:40">
      <c r="A580" t="s">
        <v>2370</v>
      </c>
      <c r="B580" t="s">
        <v>2371</v>
      </c>
      <c r="C580" t="s">
        <v>2372</v>
      </c>
      <c r="D580" t="s">
        <v>2373</v>
      </c>
      <c r="E580" t="s">
        <v>2374</v>
      </c>
      <c r="F580" t="s">
        <v>95</v>
      </c>
      <c r="G580" t="str">
        <f>HYPERLINK("https://cyclingtips.com/2019/06/what-the-highest-ever-vo2max-tells-us-about-genetics-and-cycling-success/#comment-4515040786")</f>
        <v>https://cyclingtips.com/2019/06/what-the-highest-ever-vo2max-tells-us-about-genetics-and-cycling-success/#comment-4515040786</v>
      </c>
      <c r="H580" t="s">
        <v>46</v>
      </c>
      <c r="I580" t="s">
        <v>2375</v>
      </c>
      <c r="J580" t="str">
        <f>HYPERLINK("https://disqus.com/by/disqus_fFGx8qqu99/")</f>
        <v>https://disqus.com/by/disqus_fFGx8qqu99/</v>
      </c>
      <c r="K580">
        <v>1</v>
      </c>
      <c r="N580" t="s">
        <v>2376</v>
      </c>
      <c r="O580" t="s">
        <v>2377</v>
      </c>
      <c r="P580" t="str">
        <f>HYPERLINK("https://disqus.com/home/forum/cyclingtips/")</f>
        <v>https://disqus.com/home/forum/cyclingtips/</v>
      </c>
      <c r="R580" t="s">
        <v>50</v>
      </c>
      <c r="W580">
        <v>0</v>
      </c>
      <c r="X580">
        <v>0</v>
      </c>
      <c r="AM580" t="s">
        <v>52</v>
      </c>
      <c r="AN580" t="s">
        <v>53</v>
      </c>
    </row>
    <row r="581" spans="1:40">
      <c r="A581" t="s">
        <v>2370</v>
      </c>
      <c r="B581" t="s">
        <v>2371</v>
      </c>
      <c r="C581" t="s">
        <v>2378</v>
      </c>
      <c r="D581" t="s">
        <v>52</v>
      </c>
      <c r="E581" t="s">
        <v>2379</v>
      </c>
      <c r="F581" t="s">
        <v>95</v>
      </c>
      <c r="G581" t="str">
        <f>HYPERLINK("https://twitter.com/2420071735/status/1143367489398530051")</f>
        <v>https://twitter.com/2420071735/status/1143367489398530051</v>
      </c>
      <c r="H581" t="s">
        <v>46</v>
      </c>
      <c r="I581" t="s">
        <v>2380</v>
      </c>
      <c r="J581" t="str">
        <f>HYPERLINK("http://twitter.com/Misfjtt")</f>
        <v>http://twitter.com/Misfjtt</v>
      </c>
      <c r="K581">
        <v>273</v>
      </c>
      <c r="L581" t="s">
        <v>48</v>
      </c>
      <c r="N581" t="s">
        <v>65</v>
      </c>
      <c r="R581" t="s">
        <v>60</v>
      </c>
      <c r="S581" t="s">
        <v>1774</v>
      </c>
      <c r="T581" t="s">
        <v>2381</v>
      </c>
      <c r="U581" t="s">
        <v>2382</v>
      </c>
      <c r="W581">
        <v>0</v>
      </c>
      <c r="X581">
        <v>0</v>
      </c>
      <c r="AE581">
        <v>0</v>
      </c>
      <c r="AF581">
        <v>0</v>
      </c>
      <c r="AI581" t="s">
        <v>52</v>
      </c>
      <c r="AJ581" t="s">
        <v>458</v>
      </c>
      <c r="AK581" t="s">
        <v>2383</v>
      </c>
      <c r="AL581" t="str">
        <f>HYPERLINK("https://pbs.twimg.com/tweet_video_thumb/D94OqqCUEAA9G1K.jpg")</f>
        <v>https://pbs.twimg.com/tweet_video_thumb/D94OqqCUEAA9G1K.jpg</v>
      </c>
      <c r="AM581" t="s">
        <v>52</v>
      </c>
      <c r="AN581" t="s">
        <v>53</v>
      </c>
    </row>
    <row r="582" spans="1:40">
      <c r="A582" t="s">
        <v>2370</v>
      </c>
      <c r="B582" t="s">
        <v>2384</v>
      </c>
      <c r="C582" t="s">
        <v>2385</v>
      </c>
      <c r="D582" t="s">
        <v>52</v>
      </c>
      <c r="E582" t="s">
        <v>2386</v>
      </c>
      <c r="F582" t="s">
        <v>45</v>
      </c>
      <c r="G582" t="str">
        <f>HYPERLINK("https://www.instagram.com/p/BzHlFMWAYJo")</f>
        <v>https://www.instagram.com/p/BzHlFMWAYJo</v>
      </c>
      <c r="H582" t="s">
        <v>215</v>
      </c>
      <c r="I582" t="s">
        <v>2387</v>
      </c>
      <c r="J582" t="str">
        <f>HYPERLINK("http://instagram.com/meeko.dorito")</f>
        <v>http://instagram.com/meeko.dorito</v>
      </c>
      <c r="K582">
        <v>171</v>
      </c>
      <c r="N582" t="s">
        <v>59</v>
      </c>
      <c r="O582" t="s">
        <v>2387</v>
      </c>
      <c r="P582" t="str">
        <f>HYPERLINK("http://instagram.com/meeko.dorito")</f>
        <v>http://instagram.com/meeko.dorito</v>
      </c>
      <c r="Q582">
        <v>171</v>
      </c>
      <c r="R582" t="s">
        <v>60</v>
      </c>
      <c r="W582">
        <v>27</v>
      </c>
      <c r="X582">
        <v>27</v>
      </c>
      <c r="AE582">
        <v>2</v>
      </c>
      <c r="AI582" t="s">
        <v>52</v>
      </c>
      <c r="AJ582" t="s">
        <v>2388</v>
      </c>
      <c r="AK582" t="s">
        <v>52</v>
      </c>
      <c r="AL582" t="str">
        <f>HYPERLINK("https://www.instagram.com/p/BzHlFMWAYJo/media/?size=l")</f>
        <v>https://www.instagram.com/p/BzHlFMWAYJo/media/?size=l</v>
      </c>
      <c r="AM582" t="s">
        <v>52</v>
      </c>
      <c r="AN582" t="s">
        <v>53</v>
      </c>
    </row>
    <row r="583" spans="1:40">
      <c r="A583" t="s">
        <v>2370</v>
      </c>
      <c r="B583" t="s">
        <v>2389</v>
      </c>
      <c r="C583" t="s">
        <v>2390</v>
      </c>
      <c r="D583" t="s">
        <v>52</v>
      </c>
      <c r="E583" t="s">
        <v>2391</v>
      </c>
      <c r="F583" t="s">
        <v>131</v>
      </c>
      <c r="G583" t="str">
        <f>HYPERLINK("https://twitter.com/470647655/status/1143367088062390272")</f>
        <v>https://twitter.com/470647655/status/1143367088062390272</v>
      </c>
      <c r="H583" t="s">
        <v>46</v>
      </c>
      <c r="I583" t="s">
        <v>2392</v>
      </c>
      <c r="J583" t="str">
        <f>HYPERLINK("http://twitter.com/audaciousminds")</f>
        <v>http://twitter.com/audaciousminds</v>
      </c>
      <c r="K583">
        <v>81</v>
      </c>
      <c r="N583" t="s">
        <v>65</v>
      </c>
      <c r="R583" t="s">
        <v>60</v>
      </c>
      <c r="S583" t="s">
        <v>142</v>
      </c>
      <c r="T583" t="s">
        <v>2393</v>
      </c>
      <c r="U583" t="s">
        <v>2394</v>
      </c>
      <c r="W583">
        <v>0</v>
      </c>
      <c r="X583">
        <v>0</v>
      </c>
      <c r="AE583">
        <v>0</v>
      </c>
      <c r="AI583" t="s">
        <v>52</v>
      </c>
      <c r="AJ583" t="s">
        <v>458</v>
      </c>
      <c r="AK583" t="s">
        <v>110</v>
      </c>
      <c r="AL583" t="str">
        <f>HYPERLINK("https://pbs.twimg.com/tweet_video_thumb/D94MmRZVAAIF22V.jpg")</f>
        <v>https://pbs.twimg.com/tweet_video_thumb/D94MmRZVAAIF22V.jpg</v>
      </c>
      <c r="AM583" t="s">
        <v>52</v>
      </c>
      <c r="AN583" t="s">
        <v>53</v>
      </c>
    </row>
    <row r="584" spans="1:40">
      <c r="A584" t="s">
        <v>2370</v>
      </c>
      <c r="B584" t="s">
        <v>2395</v>
      </c>
      <c r="C584" t="s">
        <v>1225</v>
      </c>
      <c r="D584" t="s">
        <v>52</v>
      </c>
      <c r="E584" t="s">
        <v>2396</v>
      </c>
      <c r="F584" t="s">
        <v>45</v>
      </c>
      <c r="G584" t="str">
        <f>HYPERLINK("https://www.facebook.com/965335170300428/posts/1231896343644308")</f>
        <v>https://www.facebook.com/965335170300428/posts/1231896343644308</v>
      </c>
      <c r="H584" t="s">
        <v>46</v>
      </c>
      <c r="I584" t="s">
        <v>2397</v>
      </c>
      <c r="J584" t="str">
        <f>HYPERLINK("https://www.facebook.com/965335170300428")</f>
        <v>https://www.facebook.com/965335170300428</v>
      </c>
      <c r="K584">
        <v>10459</v>
      </c>
      <c r="L584" t="s">
        <v>651</v>
      </c>
      <c r="N584" t="s">
        <v>1792</v>
      </c>
      <c r="O584" t="s">
        <v>2397</v>
      </c>
      <c r="P584" t="str">
        <f>HYPERLINK("https://www.facebook.com/965335170300428")</f>
        <v>https://www.facebook.com/965335170300428</v>
      </c>
      <c r="Q584">
        <v>10459</v>
      </c>
      <c r="R584" t="s">
        <v>60</v>
      </c>
      <c r="W584">
        <v>0</v>
      </c>
      <c r="X584">
        <v>0</v>
      </c>
      <c r="AE584">
        <v>11</v>
      </c>
      <c r="AF584">
        <v>1</v>
      </c>
      <c r="AI584" t="s">
        <v>108</v>
      </c>
      <c r="AJ584" t="s">
        <v>52</v>
      </c>
      <c r="AK584" t="s">
        <v>52</v>
      </c>
      <c r="AL584" t="str">
        <f>HYPERLINK("https://scontent.xx.fbcdn.net/v/t1.0-9/s720x720/65013332_1231896030311006_3799744879437807616_o.jpg?_nc_cat=107&amp;_nc_oc=AQlWK4mltq15XFtMQDY-rJdImHZmkJGlmz3qP9tQJ6_njOM4P4JzktTW3vaxM-gtIy0&amp;_nc_ht=scontent.xx&amp;oh=371c31a2a0ac2e7859ef1496880cc6b3&amp;oe=5D7F993F")</f>
        <v>https://scontent.xx.fbcdn.net/v/t1.0-9/s720x720/65013332_1231896030311006_3799744879437807616_o.jpg?_nc_cat=107&amp;_nc_oc=AQlWK4mltq15XFtMQDY-rJdImHZmkJGlmz3qP9tQJ6_njOM4P4JzktTW3vaxM-gtIy0&amp;_nc_ht=scontent.xx&amp;oh=371c31a2a0ac2e7859ef1496880cc6b3&amp;oe=5D7F993F</v>
      </c>
      <c r="AM584" t="s">
        <v>52</v>
      </c>
      <c r="AN584" t="s">
        <v>53</v>
      </c>
    </row>
    <row r="585" spans="1:40">
      <c r="A585" t="s">
        <v>2370</v>
      </c>
      <c r="B585" t="s">
        <v>2395</v>
      </c>
      <c r="C585" t="s">
        <v>2398</v>
      </c>
      <c r="D585" t="s">
        <v>52</v>
      </c>
      <c r="E585" t="s">
        <v>2399</v>
      </c>
      <c r="F585" t="s">
        <v>45</v>
      </c>
      <c r="G585" t="str">
        <f>HYPERLINK("https://twitter.com/940632685390827520/status/1143366864036384768")</f>
        <v>https://twitter.com/940632685390827520/status/1143366864036384768</v>
      </c>
      <c r="H585" t="s">
        <v>46</v>
      </c>
      <c r="I585" t="s">
        <v>2400</v>
      </c>
      <c r="J585" t="str">
        <f>HYPERLINK("http://twitter.com/velvetdiablito")</f>
        <v>http://twitter.com/velvetdiablito</v>
      </c>
      <c r="K585">
        <v>36</v>
      </c>
      <c r="N585" t="s">
        <v>65</v>
      </c>
      <c r="R585" t="s">
        <v>60</v>
      </c>
      <c r="W585">
        <v>1</v>
      </c>
      <c r="X585">
        <v>1</v>
      </c>
      <c r="AE585">
        <v>0</v>
      </c>
      <c r="AF585">
        <v>0</v>
      </c>
      <c r="AM585" t="s">
        <v>52</v>
      </c>
      <c r="AN585" t="s">
        <v>53</v>
      </c>
    </row>
    <row r="586" spans="1:40">
      <c r="A586" t="s">
        <v>2370</v>
      </c>
      <c r="B586" t="s">
        <v>2395</v>
      </c>
      <c r="C586" t="s">
        <v>2398</v>
      </c>
      <c r="D586" t="s">
        <v>52</v>
      </c>
      <c r="E586" t="s">
        <v>2401</v>
      </c>
      <c r="F586" t="s">
        <v>95</v>
      </c>
      <c r="G586" t="str">
        <f>HYPERLINK("https://twitter.com/1104852576154120192/status/1143366858936074241")</f>
        <v>https://twitter.com/1104852576154120192/status/1143366858936074241</v>
      </c>
      <c r="H586" t="s">
        <v>46</v>
      </c>
      <c r="I586" t="s">
        <v>2402</v>
      </c>
      <c r="J586" t="str">
        <f>HYPERLINK("http://twitter.com/ShoopAzz")</f>
        <v>http://twitter.com/ShoopAzz</v>
      </c>
      <c r="K586">
        <v>1038</v>
      </c>
      <c r="N586" t="s">
        <v>65</v>
      </c>
      <c r="R586" t="s">
        <v>60</v>
      </c>
      <c r="S586" t="s">
        <v>387</v>
      </c>
      <c r="W586">
        <v>1</v>
      </c>
      <c r="X586">
        <v>1</v>
      </c>
      <c r="AE586">
        <v>1</v>
      </c>
      <c r="AF586">
        <v>0</v>
      </c>
      <c r="AM586" t="s">
        <v>52</v>
      </c>
      <c r="AN586" t="s">
        <v>53</v>
      </c>
    </row>
    <row r="587" spans="1:40">
      <c r="A587" t="s">
        <v>2370</v>
      </c>
      <c r="B587" t="s">
        <v>2395</v>
      </c>
      <c r="C587" t="s">
        <v>2403</v>
      </c>
      <c r="D587" t="s">
        <v>52</v>
      </c>
      <c r="E587" t="s">
        <v>2404</v>
      </c>
      <c r="F587" t="s">
        <v>45</v>
      </c>
      <c r="G587" t="str">
        <f>HYPERLINK("https://www.instagram.com/p/BzHk57kHoCA")</f>
        <v>https://www.instagram.com/p/BzHk57kHoCA</v>
      </c>
      <c r="H587" t="s">
        <v>46</v>
      </c>
      <c r="I587" t="s">
        <v>2405</v>
      </c>
      <c r="J587" t="str">
        <f>HYPERLINK("http://instagram.com/cute._threads")</f>
        <v>http://instagram.com/cute._threads</v>
      </c>
      <c r="K587">
        <v>255</v>
      </c>
      <c r="N587" t="s">
        <v>59</v>
      </c>
      <c r="O587" t="s">
        <v>2405</v>
      </c>
      <c r="P587" t="str">
        <f>HYPERLINK("http://instagram.com/cute._threads")</f>
        <v>http://instagram.com/cute._threads</v>
      </c>
      <c r="Q587">
        <v>255</v>
      </c>
      <c r="R587" t="s">
        <v>60</v>
      </c>
      <c r="W587">
        <v>54</v>
      </c>
      <c r="X587">
        <v>54</v>
      </c>
      <c r="AE587">
        <v>5</v>
      </c>
      <c r="AI587" t="s">
        <v>2406</v>
      </c>
      <c r="AJ587" t="s">
        <v>52</v>
      </c>
      <c r="AK587" t="s">
        <v>52</v>
      </c>
      <c r="AL587" t="str">
        <f>HYPERLINK("https://www.instagram.com/p/BzHk57kHoCA/media/?size=l")</f>
        <v>https://www.instagram.com/p/BzHk57kHoCA/media/?size=l</v>
      </c>
      <c r="AM587" t="s">
        <v>52</v>
      </c>
      <c r="AN587" t="s">
        <v>53</v>
      </c>
    </row>
    <row r="588" spans="1:40">
      <c r="A588" t="s">
        <v>2370</v>
      </c>
      <c r="B588" t="s">
        <v>2395</v>
      </c>
      <c r="C588" t="s">
        <v>2390</v>
      </c>
      <c r="D588" t="s">
        <v>52</v>
      </c>
      <c r="E588" t="s">
        <v>2391</v>
      </c>
      <c r="F588" t="s">
        <v>131</v>
      </c>
      <c r="G588" t="str">
        <f>HYPERLINK("https://twitter.com/956201738/status/1143366835191943168")</f>
        <v>https://twitter.com/956201738/status/1143366835191943168</v>
      </c>
      <c r="H588" t="s">
        <v>46</v>
      </c>
      <c r="I588" t="s">
        <v>2407</v>
      </c>
      <c r="J588" t="str">
        <f>HYPERLINK("http://twitter.com/cyndog7")</f>
        <v>http://twitter.com/cyndog7</v>
      </c>
      <c r="K588">
        <v>1387</v>
      </c>
      <c r="L588" t="s">
        <v>58</v>
      </c>
      <c r="N588" t="s">
        <v>65</v>
      </c>
      <c r="R588" t="s">
        <v>60</v>
      </c>
      <c r="S588" t="s">
        <v>2408</v>
      </c>
      <c r="T588" t="s">
        <v>2409</v>
      </c>
      <c r="U588" t="s">
        <v>2410</v>
      </c>
      <c r="W588">
        <v>0</v>
      </c>
      <c r="X588">
        <v>0</v>
      </c>
      <c r="AE588">
        <v>0</v>
      </c>
      <c r="AI588" t="s">
        <v>52</v>
      </c>
      <c r="AJ588" t="s">
        <v>458</v>
      </c>
      <c r="AK588" t="s">
        <v>110</v>
      </c>
      <c r="AL588" t="str">
        <f>HYPERLINK("https://pbs.twimg.com/tweet_video_thumb/D94MmRZVAAIF22V.jpg")</f>
        <v>https://pbs.twimg.com/tweet_video_thumb/D94MmRZVAAIF22V.jpg</v>
      </c>
      <c r="AM588" t="s">
        <v>52</v>
      </c>
      <c r="AN588" t="s">
        <v>53</v>
      </c>
    </row>
    <row r="589" spans="1:40">
      <c r="A589" t="s">
        <v>2370</v>
      </c>
      <c r="B589" t="s">
        <v>2395</v>
      </c>
      <c r="C589" t="s">
        <v>2390</v>
      </c>
      <c r="D589" t="s">
        <v>52</v>
      </c>
      <c r="E589" t="s">
        <v>2411</v>
      </c>
      <c r="F589" t="s">
        <v>131</v>
      </c>
      <c r="G589" t="str">
        <f>HYPERLINK("https://twitter.com/2465257345/status/1143366828229636098")</f>
        <v>https://twitter.com/2465257345/status/1143366828229636098</v>
      </c>
      <c r="H589" t="s">
        <v>46</v>
      </c>
      <c r="I589" t="s">
        <v>2412</v>
      </c>
      <c r="J589" t="str">
        <f>HYPERLINK("http://twitter.com/Delfi_Marcilese")</f>
        <v>http://twitter.com/Delfi_Marcilese</v>
      </c>
      <c r="K589">
        <v>781</v>
      </c>
      <c r="N589" t="s">
        <v>65</v>
      </c>
      <c r="R589" t="s">
        <v>60</v>
      </c>
      <c r="W589">
        <v>0</v>
      </c>
      <c r="X589">
        <v>0</v>
      </c>
      <c r="AE589">
        <v>0</v>
      </c>
      <c r="AM589" t="s">
        <v>52</v>
      </c>
      <c r="AN589" t="s">
        <v>53</v>
      </c>
    </row>
    <row r="590" spans="1:40">
      <c r="A590" t="s">
        <v>2370</v>
      </c>
      <c r="B590" t="s">
        <v>2395</v>
      </c>
      <c r="C590" t="s">
        <v>2413</v>
      </c>
      <c r="D590" t="s">
        <v>52</v>
      </c>
      <c r="E590" t="s">
        <v>2414</v>
      </c>
      <c r="F590" t="s">
        <v>95</v>
      </c>
      <c r="G590" t="str">
        <f>HYPERLINK("https://twitter.com/1104278385528791042/status/1143366809124593667")</f>
        <v>https://twitter.com/1104278385528791042/status/1143366809124593667</v>
      </c>
      <c r="H590" t="s">
        <v>215</v>
      </c>
      <c r="I590" t="s">
        <v>2415</v>
      </c>
      <c r="J590" t="str">
        <f>HYPERLINK("http://twitter.com/JomatoPlant")</f>
        <v>http://twitter.com/JomatoPlant</v>
      </c>
      <c r="K590">
        <v>76</v>
      </c>
      <c r="L590" t="s">
        <v>48</v>
      </c>
      <c r="N590" t="s">
        <v>65</v>
      </c>
      <c r="R590" t="s">
        <v>60</v>
      </c>
      <c r="S590" t="s">
        <v>2416</v>
      </c>
      <c r="T590" t="s">
        <v>2417</v>
      </c>
      <c r="U590" t="s">
        <v>2418</v>
      </c>
      <c r="W590">
        <v>1</v>
      </c>
      <c r="X590">
        <v>1</v>
      </c>
      <c r="AE590">
        <v>2</v>
      </c>
      <c r="AF590">
        <v>0</v>
      </c>
      <c r="AM590" t="s">
        <v>52</v>
      </c>
      <c r="AN590" t="s">
        <v>53</v>
      </c>
    </row>
    <row r="591" spans="1:40">
      <c r="A591" t="s">
        <v>2370</v>
      </c>
      <c r="B591" t="s">
        <v>2395</v>
      </c>
      <c r="C591" t="s">
        <v>2413</v>
      </c>
      <c r="D591" t="s">
        <v>52</v>
      </c>
      <c r="E591" t="s">
        <v>2391</v>
      </c>
      <c r="F591" t="s">
        <v>45</v>
      </c>
      <c r="G591" t="str">
        <f>HYPERLINK("https://twitter.com/36725909/status/1143366805416624128")</f>
        <v>https://twitter.com/36725909/status/1143366805416624128</v>
      </c>
      <c r="H591" t="s">
        <v>46</v>
      </c>
      <c r="I591" t="s">
        <v>2419</v>
      </c>
      <c r="J591" t="str">
        <f>HYPERLINK("http://twitter.com/AviatorsLV")</f>
        <v>http://twitter.com/AviatorsLV</v>
      </c>
      <c r="K591">
        <v>34183</v>
      </c>
      <c r="N591" t="s">
        <v>65</v>
      </c>
      <c r="R591" t="s">
        <v>60</v>
      </c>
      <c r="S591" t="s">
        <v>51</v>
      </c>
      <c r="T591" t="s">
        <v>2420</v>
      </c>
      <c r="U591" t="s">
        <v>2421</v>
      </c>
      <c r="W591">
        <v>15</v>
      </c>
      <c r="X591">
        <v>15</v>
      </c>
      <c r="AE591">
        <v>0</v>
      </c>
      <c r="AF591">
        <v>3</v>
      </c>
      <c r="AI591" t="s">
        <v>52</v>
      </c>
      <c r="AJ591" t="s">
        <v>458</v>
      </c>
      <c r="AK591" t="s">
        <v>110</v>
      </c>
      <c r="AL591" t="str">
        <f>HYPERLINK("https://pbs.twimg.com/tweet_video_thumb/D94MmRZVAAIF22V.jpg")</f>
        <v>https://pbs.twimg.com/tweet_video_thumb/D94MmRZVAAIF22V.jpg</v>
      </c>
      <c r="AM591" t="s">
        <v>52</v>
      </c>
      <c r="AN591" t="s">
        <v>53</v>
      </c>
    </row>
    <row r="592" spans="1:40">
      <c r="A592" t="s">
        <v>2370</v>
      </c>
      <c r="B592" t="s">
        <v>2395</v>
      </c>
      <c r="C592" t="s">
        <v>2413</v>
      </c>
      <c r="D592" t="s">
        <v>52</v>
      </c>
      <c r="E592" t="s">
        <v>2422</v>
      </c>
      <c r="F592" t="s">
        <v>95</v>
      </c>
      <c r="G592" t="str">
        <f>HYPERLINK("https://twitter.com/4077956650/status/1143366798601019392")</f>
        <v>https://twitter.com/4077956650/status/1143366798601019392</v>
      </c>
      <c r="H592" t="s">
        <v>46</v>
      </c>
      <c r="I592" t="s">
        <v>2423</v>
      </c>
      <c r="J592" t="str">
        <f>HYPERLINK("http://twitter.com/martinrdz_18")</f>
        <v>http://twitter.com/martinrdz_18</v>
      </c>
      <c r="K592">
        <v>265</v>
      </c>
      <c r="L592" t="s">
        <v>48</v>
      </c>
      <c r="N592" t="s">
        <v>65</v>
      </c>
      <c r="R592" t="s">
        <v>60</v>
      </c>
      <c r="W592">
        <v>0</v>
      </c>
      <c r="X592">
        <v>0</v>
      </c>
      <c r="AE592">
        <v>0</v>
      </c>
      <c r="AF592">
        <v>0</v>
      </c>
      <c r="AM592" t="s">
        <v>52</v>
      </c>
      <c r="AN592" t="s">
        <v>53</v>
      </c>
    </row>
    <row r="593" spans="1:40">
      <c r="A593" t="s">
        <v>2370</v>
      </c>
      <c r="B593" t="s">
        <v>2395</v>
      </c>
      <c r="C593" t="s">
        <v>2424</v>
      </c>
      <c r="D593" t="s">
        <v>52</v>
      </c>
      <c r="E593" t="s">
        <v>2425</v>
      </c>
      <c r="F593" t="s">
        <v>95</v>
      </c>
      <c r="G593" t="str">
        <f>HYPERLINK("https://twitter.com/445890086/status/1143366767189856256")</f>
        <v>https://twitter.com/445890086/status/1143366767189856256</v>
      </c>
      <c r="H593" t="s">
        <v>46</v>
      </c>
      <c r="I593" t="s">
        <v>2426</v>
      </c>
      <c r="J593" t="str">
        <f>HYPERLINK("http://twitter.com/6urris")</f>
        <v>http://twitter.com/6urris</v>
      </c>
      <c r="K593">
        <v>1203</v>
      </c>
      <c r="N593" t="s">
        <v>65</v>
      </c>
      <c r="R593" t="s">
        <v>60</v>
      </c>
      <c r="W593">
        <v>1</v>
      </c>
      <c r="X593">
        <v>1</v>
      </c>
      <c r="AE593">
        <v>0</v>
      </c>
      <c r="AF593">
        <v>0</v>
      </c>
      <c r="AM593" t="s">
        <v>52</v>
      </c>
      <c r="AN593" t="s">
        <v>53</v>
      </c>
    </row>
    <row r="594" spans="1:40">
      <c r="A594" t="s">
        <v>2370</v>
      </c>
      <c r="B594" t="s">
        <v>2427</v>
      </c>
      <c r="C594" t="s">
        <v>2428</v>
      </c>
      <c r="D594" t="s">
        <v>52</v>
      </c>
      <c r="E594" t="s">
        <v>2429</v>
      </c>
      <c r="F594" t="s">
        <v>45</v>
      </c>
      <c r="G594" t="str">
        <f>HYPERLINK("https://twitter.com/1015517852374167552/status/1143366680455852032")</f>
        <v>https://twitter.com/1015517852374167552/status/1143366680455852032</v>
      </c>
      <c r="H594" t="s">
        <v>46</v>
      </c>
      <c r="I594" t="s">
        <v>2430</v>
      </c>
      <c r="J594" t="str">
        <f>HYPERLINK("http://twitter.com/piranhas")</f>
        <v>http://twitter.com/piranhas</v>
      </c>
      <c r="K594">
        <v>288</v>
      </c>
      <c r="N594" t="s">
        <v>65</v>
      </c>
      <c r="R594" t="s">
        <v>60</v>
      </c>
      <c r="S594" t="s">
        <v>1857</v>
      </c>
      <c r="T594" t="s">
        <v>2431</v>
      </c>
      <c r="U594" t="s">
        <v>2432</v>
      </c>
      <c r="W594">
        <v>3</v>
      </c>
      <c r="X594">
        <v>3</v>
      </c>
      <c r="AE594">
        <v>0</v>
      </c>
      <c r="AF594">
        <v>0</v>
      </c>
      <c r="AM594" t="s">
        <v>52</v>
      </c>
      <c r="AN594" t="s">
        <v>53</v>
      </c>
    </row>
    <row r="595" spans="1:40">
      <c r="A595" t="s">
        <v>2370</v>
      </c>
      <c r="B595" t="s">
        <v>2433</v>
      </c>
      <c r="C595" t="s">
        <v>2428</v>
      </c>
      <c r="D595" t="s">
        <v>52</v>
      </c>
      <c r="E595" t="s">
        <v>2434</v>
      </c>
      <c r="F595" t="s">
        <v>45</v>
      </c>
      <c r="G595" t="str">
        <f>HYPERLINK("https://www.instagram.com/p/BzHkt_Ug1rp")</f>
        <v>https://www.instagram.com/p/BzHkt_Ug1rp</v>
      </c>
      <c r="H595" t="s">
        <v>46</v>
      </c>
      <c r="I595" t="s">
        <v>2435</v>
      </c>
      <c r="J595" t="str">
        <f>HYPERLINK("http://instagram.com/darlinity_")</f>
        <v>http://instagram.com/darlinity_</v>
      </c>
      <c r="K595">
        <v>150</v>
      </c>
      <c r="N595" t="s">
        <v>59</v>
      </c>
      <c r="O595" t="s">
        <v>2435</v>
      </c>
      <c r="P595" t="str">
        <f>HYPERLINK("http://instagram.com/darlinity_")</f>
        <v>http://instagram.com/darlinity_</v>
      </c>
      <c r="Q595">
        <v>150</v>
      </c>
      <c r="R595" t="s">
        <v>60</v>
      </c>
      <c r="S595" t="s">
        <v>444</v>
      </c>
      <c r="T595" t="s">
        <v>1062</v>
      </c>
      <c r="U595" t="s">
        <v>2436</v>
      </c>
      <c r="W595">
        <v>23</v>
      </c>
      <c r="X595">
        <v>23</v>
      </c>
      <c r="AE595">
        <v>2</v>
      </c>
      <c r="AI595" t="s">
        <v>108</v>
      </c>
      <c r="AJ595" t="s">
        <v>1182</v>
      </c>
      <c r="AK595" t="s">
        <v>52</v>
      </c>
      <c r="AL595" t="str">
        <f>HYPERLINK("https://www.instagram.com/p/BzHkt_Ug1rp/media/?size=l")</f>
        <v>https://www.instagram.com/p/BzHkt_Ug1rp/media/?size=l</v>
      </c>
      <c r="AM595" t="s">
        <v>52</v>
      </c>
      <c r="AN595" t="s">
        <v>53</v>
      </c>
    </row>
    <row r="596" spans="1:40">
      <c r="A596" t="s">
        <v>2370</v>
      </c>
      <c r="B596" t="s">
        <v>2437</v>
      </c>
      <c r="C596" t="s">
        <v>2428</v>
      </c>
      <c r="D596" t="s">
        <v>52</v>
      </c>
      <c r="E596" t="s">
        <v>2438</v>
      </c>
      <c r="F596" t="s">
        <v>45</v>
      </c>
      <c r="G596" t="str">
        <f>HYPERLINK("https://twitter.com/1131721542763548673/status/1143366179181883392")</f>
        <v>https://twitter.com/1131721542763548673/status/1143366179181883392</v>
      </c>
      <c r="H596" t="s">
        <v>46</v>
      </c>
      <c r="I596" t="s">
        <v>2439</v>
      </c>
      <c r="J596" t="str">
        <f>HYPERLINK("http://twitter.com/egirlhailey")</f>
        <v>http://twitter.com/egirlhailey</v>
      </c>
      <c r="K596">
        <v>34</v>
      </c>
      <c r="L596" t="s">
        <v>58</v>
      </c>
      <c r="N596" t="s">
        <v>65</v>
      </c>
      <c r="R596" t="s">
        <v>60</v>
      </c>
      <c r="W596">
        <v>1</v>
      </c>
      <c r="X596">
        <v>1</v>
      </c>
      <c r="AE596">
        <v>0</v>
      </c>
      <c r="AF596">
        <v>0</v>
      </c>
      <c r="AM596" t="s">
        <v>52</v>
      </c>
      <c r="AN596" t="s">
        <v>53</v>
      </c>
    </row>
    <row r="597" spans="1:40">
      <c r="A597" t="s">
        <v>2370</v>
      </c>
      <c r="B597" t="s">
        <v>2437</v>
      </c>
      <c r="C597" t="s">
        <v>2428</v>
      </c>
      <c r="D597" t="s">
        <v>52</v>
      </c>
      <c r="E597" t="s">
        <v>2440</v>
      </c>
      <c r="F597" t="s">
        <v>45</v>
      </c>
      <c r="G597" t="str">
        <f>HYPERLINK("https://twitter.com/83082051/status/1143365980514639877")</f>
        <v>https://twitter.com/83082051/status/1143365980514639877</v>
      </c>
      <c r="H597" t="s">
        <v>46</v>
      </c>
      <c r="I597" t="s">
        <v>2441</v>
      </c>
      <c r="J597" t="str">
        <f>HYPERLINK("http://twitter.com/cee_ohh")</f>
        <v>http://twitter.com/cee_ohh</v>
      </c>
      <c r="K597">
        <v>13</v>
      </c>
      <c r="L597" t="s">
        <v>58</v>
      </c>
      <c r="N597" t="s">
        <v>65</v>
      </c>
      <c r="R597" t="s">
        <v>60</v>
      </c>
      <c r="S597" t="s">
        <v>51</v>
      </c>
      <c r="T597" t="s">
        <v>1669</v>
      </c>
      <c r="U597" t="s">
        <v>2442</v>
      </c>
      <c r="W597">
        <v>0</v>
      </c>
      <c r="X597">
        <v>0</v>
      </c>
      <c r="AE597">
        <v>0</v>
      </c>
      <c r="AF597">
        <v>0</v>
      </c>
      <c r="AM597" t="s">
        <v>52</v>
      </c>
      <c r="AN597" t="s">
        <v>53</v>
      </c>
    </row>
    <row r="598" spans="1:40">
      <c r="A598" t="s">
        <v>2370</v>
      </c>
      <c r="B598" t="s">
        <v>2437</v>
      </c>
      <c r="C598" t="s">
        <v>2385</v>
      </c>
      <c r="D598" t="s">
        <v>52</v>
      </c>
      <c r="E598" t="s">
        <v>2443</v>
      </c>
      <c r="F598" t="s">
        <v>45</v>
      </c>
      <c r="G598" t="str">
        <f>HYPERLINK("https://www.instagram.com/p/BzHkgs0FMHc")</f>
        <v>https://www.instagram.com/p/BzHkgs0FMHc</v>
      </c>
      <c r="H598" t="s">
        <v>46</v>
      </c>
      <c r="I598" t="s">
        <v>2444</v>
      </c>
      <c r="J598" t="str">
        <f>HYPERLINK("http://instagram.com/t.delois_")</f>
        <v>http://instagram.com/t.delois_</v>
      </c>
      <c r="K598">
        <v>395</v>
      </c>
      <c r="L598" t="s">
        <v>58</v>
      </c>
      <c r="N598" t="s">
        <v>59</v>
      </c>
      <c r="O598" t="s">
        <v>2444</v>
      </c>
      <c r="P598" t="str">
        <f>HYPERLINK("http://instagram.com/t.delois_")</f>
        <v>http://instagram.com/t.delois_</v>
      </c>
      <c r="Q598">
        <v>395</v>
      </c>
      <c r="R598" t="s">
        <v>60</v>
      </c>
      <c r="W598">
        <v>20</v>
      </c>
      <c r="X598">
        <v>20</v>
      </c>
      <c r="AE598">
        <v>1</v>
      </c>
      <c r="AI598" t="s">
        <v>52</v>
      </c>
      <c r="AJ598" t="s">
        <v>2445</v>
      </c>
      <c r="AK598" t="s">
        <v>2446</v>
      </c>
      <c r="AL598" t="str">
        <f>HYPERLINK("https://www.instagram.com/p/BzHkgs0FMHc/media/?size=l")</f>
        <v>https://www.instagram.com/p/BzHkgs0FMHc/media/?size=l</v>
      </c>
      <c r="AM598" t="s">
        <v>52</v>
      </c>
      <c r="AN598" t="s">
        <v>53</v>
      </c>
    </row>
    <row r="599" spans="1:40">
      <c r="A599" t="s">
        <v>2370</v>
      </c>
      <c r="B599" t="s">
        <v>2447</v>
      </c>
      <c r="C599" t="s">
        <v>878</v>
      </c>
      <c r="D599" t="s">
        <v>52</v>
      </c>
      <c r="E599" t="s">
        <v>2448</v>
      </c>
      <c r="F599" t="s">
        <v>45</v>
      </c>
      <c r="G599" t="str">
        <f>HYPERLINK("https://www.facebook.com/2174604932756500/posts/2307594339457558")</f>
        <v>https://www.facebook.com/2174604932756500/posts/2307594339457558</v>
      </c>
      <c r="H599" t="s">
        <v>46</v>
      </c>
      <c r="I599" t="s">
        <v>2449</v>
      </c>
      <c r="J599" t="str">
        <f>HYPERLINK("https://www.facebook.com/2174604932756500")</f>
        <v>https://www.facebook.com/2174604932756500</v>
      </c>
      <c r="K599">
        <v>429661</v>
      </c>
      <c r="L599" t="s">
        <v>651</v>
      </c>
      <c r="N599" t="s">
        <v>1792</v>
      </c>
      <c r="O599" t="s">
        <v>2449</v>
      </c>
      <c r="P599" t="str">
        <f>HYPERLINK("https://www.facebook.com/2174604932756500")</f>
        <v>https://www.facebook.com/2174604932756500</v>
      </c>
      <c r="Q599">
        <v>429661</v>
      </c>
      <c r="R599" t="s">
        <v>60</v>
      </c>
      <c r="W599">
        <v>125</v>
      </c>
      <c r="X599">
        <v>125</v>
      </c>
      <c r="AE599">
        <v>210</v>
      </c>
      <c r="AF599">
        <v>640</v>
      </c>
      <c r="AI599" t="s">
        <v>52</v>
      </c>
      <c r="AJ599" t="s">
        <v>52</v>
      </c>
      <c r="AK599" t="s">
        <v>581</v>
      </c>
      <c r="AL599" t="str">
        <f>HYPERLINK("https://scontent.xx.fbcdn.net/v/t15.5256-10/65494879_456556818256033_1801685115055636480_n.jpg?_nc_cat=1&amp;_nc_oc=AQnKMnSk8SONSxy16ajedhO4iYfb3MqYLxqJnNdng7qGciVOm_lO2flajgVAVO-pXvg&amp;_nc_ht=scontent.xx&amp;oh=24e203818938e9b5a0038965ea675301&amp;oe=5D8E0D1E")</f>
        <v>https://scontent.xx.fbcdn.net/v/t15.5256-10/65494879_456556818256033_1801685115055636480_n.jpg?_nc_cat=1&amp;_nc_oc=AQnKMnSk8SONSxy16ajedhO4iYfb3MqYLxqJnNdng7qGciVOm_lO2flajgVAVO-pXvg&amp;_nc_ht=scontent.xx&amp;oh=24e203818938e9b5a0038965ea675301&amp;oe=5D8E0D1E</v>
      </c>
      <c r="AM599" t="s">
        <v>52</v>
      </c>
      <c r="AN599" t="s">
        <v>53</v>
      </c>
    </row>
    <row r="600" spans="1:40">
      <c r="A600" t="s">
        <v>2370</v>
      </c>
      <c r="B600" t="s">
        <v>2447</v>
      </c>
      <c r="C600" t="s">
        <v>2450</v>
      </c>
      <c r="D600" t="s">
        <v>52</v>
      </c>
      <c r="E600" t="s">
        <v>2451</v>
      </c>
      <c r="F600" t="s">
        <v>45</v>
      </c>
      <c r="G600" t="str">
        <f>HYPERLINK("https://twitter.com/346027873/status/1143365538325786624")</f>
        <v>https://twitter.com/346027873/status/1143365538325786624</v>
      </c>
      <c r="H600" t="s">
        <v>46</v>
      </c>
      <c r="I600" t="s">
        <v>2452</v>
      </c>
      <c r="J600" t="str">
        <f>HYPERLINK("http://twitter.com/behammi")</f>
        <v>http://twitter.com/behammi</v>
      </c>
      <c r="K600">
        <v>3</v>
      </c>
      <c r="L600" t="s">
        <v>48</v>
      </c>
      <c r="N600" t="s">
        <v>65</v>
      </c>
      <c r="R600" t="s">
        <v>60</v>
      </c>
      <c r="W600">
        <v>0</v>
      </c>
      <c r="X600">
        <v>0</v>
      </c>
      <c r="AE600">
        <v>0</v>
      </c>
      <c r="AF600">
        <v>0</v>
      </c>
      <c r="AM600" t="s">
        <v>52</v>
      </c>
      <c r="AN600" t="s">
        <v>53</v>
      </c>
    </row>
    <row r="601" spans="1:40">
      <c r="A601" t="s">
        <v>2370</v>
      </c>
      <c r="B601" t="s">
        <v>2453</v>
      </c>
      <c r="C601" t="s">
        <v>2454</v>
      </c>
      <c r="D601" t="s">
        <v>52</v>
      </c>
      <c r="E601" t="s">
        <v>2455</v>
      </c>
      <c r="F601" t="s">
        <v>95</v>
      </c>
      <c r="G601" t="str">
        <f>HYPERLINK("https://twitter.com/536333726/status/1143365412115144704")</f>
        <v>https://twitter.com/536333726/status/1143365412115144704</v>
      </c>
      <c r="H601" t="s">
        <v>46</v>
      </c>
      <c r="I601" t="s">
        <v>2456</v>
      </c>
      <c r="J601" t="str">
        <f>HYPERLINK("http://twitter.com/alexwragge_518")</f>
        <v>http://twitter.com/alexwragge_518</v>
      </c>
      <c r="K601">
        <v>983</v>
      </c>
      <c r="N601" t="s">
        <v>65</v>
      </c>
      <c r="R601" t="s">
        <v>60</v>
      </c>
      <c r="W601">
        <v>0</v>
      </c>
      <c r="X601">
        <v>0</v>
      </c>
      <c r="AE601">
        <v>0</v>
      </c>
      <c r="AF601">
        <v>0</v>
      </c>
      <c r="AM601" t="s">
        <v>52</v>
      </c>
      <c r="AN601" t="s">
        <v>53</v>
      </c>
    </row>
    <row r="602" spans="1:40">
      <c r="A602" t="s">
        <v>2370</v>
      </c>
      <c r="B602" t="s">
        <v>2453</v>
      </c>
      <c r="C602" t="s">
        <v>2454</v>
      </c>
      <c r="D602" t="s">
        <v>52</v>
      </c>
      <c r="E602" t="s">
        <v>2457</v>
      </c>
      <c r="F602" t="s">
        <v>95</v>
      </c>
      <c r="G602" t="str">
        <f>HYPERLINK("https://twitter.com/703795101441482753/status/1143365383413350400")</f>
        <v>https://twitter.com/703795101441482753/status/1143365383413350400</v>
      </c>
      <c r="H602" t="s">
        <v>46</v>
      </c>
      <c r="I602" t="s">
        <v>2458</v>
      </c>
      <c r="J602" t="str">
        <f>HYPERLINK("http://twitter.com/ckhammerhead")</f>
        <v>http://twitter.com/ckhammerhead</v>
      </c>
      <c r="K602">
        <v>41</v>
      </c>
      <c r="N602" t="s">
        <v>65</v>
      </c>
      <c r="R602" t="s">
        <v>60</v>
      </c>
      <c r="S602" t="s">
        <v>51</v>
      </c>
      <c r="T602" t="s">
        <v>1487</v>
      </c>
      <c r="U602" t="s">
        <v>2459</v>
      </c>
      <c r="W602">
        <v>0</v>
      </c>
      <c r="X602">
        <v>0</v>
      </c>
      <c r="AE602">
        <v>0</v>
      </c>
      <c r="AF602">
        <v>0</v>
      </c>
      <c r="AM602" t="s">
        <v>52</v>
      </c>
      <c r="AN602" t="s">
        <v>53</v>
      </c>
    </row>
    <row r="603" spans="1:40">
      <c r="A603" t="s">
        <v>2370</v>
      </c>
      <c r="B603" t="s">
        <v>2453</v>
      </c>
      <c r="C603" t="s">
        <v>2460</v>
      </c>
      <c r="D603" t="s">
        <v>52</v>
      </c>
      <c r="E603" t="s">
        <v>2461</v>
      </c>
      <c r="F603" t="s">
        <v>45</v>
      </c>
      <c r="G603" t="str">
        <f>HYPERLINK("https://www.instagram.com/p/BzHkLyBpwVV")</f>
        <v>https://www.instagram.com/p/BzHkLyBpwVV</v>
      </c>
      <c r="H603" t="s">
        <v>215</v>
      </c>
      <c r="I603" t="s">
        <v>2462</v>
      </c>
      <c r="J603" t="str">
        <f>HYPERLINK("http://instagram.com/3.rafi")</f>
        <v>http://instagram.com/3.rafi</v>
      </c>
      <c r="K603">
        <v>143</v>
      </c>
      <c r="L603" t="s">
        <v>48</v>
      </c>
      <c r="N603" t="s">
        <v>59</v>
      </c>
      <c r="O603" t="s">
        <v>2462</v>
      </c>
      <c r="P603" t="str">
        <f>HYPERLINK("http://instagram.com/3.rafi")</f>
        <v>http://instagram.com/3.rafi</v>
      </c>
      <c r="Q603">
        <v>143</v>
      </c>
      <c r="R603" t="s">
        <v>60</v>
      </c>
      <c r="W603">
        <v>37</v>
      </c>
      <c r="X603">
        <v>37</v>
      </c>
      <c r="AE603">
        <v>8</v>
      </c>
      <c r="AI603" t="s">
        <v>52</v>
      </c>
      <c r="AJ603" t="s">
        <v>52</v>
      </c>
      <c r="AK603" t="s">
        <v>2463</v>
      </c>
      <c r="AL603" t="str">
        <f>HYPERLINK("https://www.instagram.com/p/BzHkLyBpwVV/media/?size=l")</f>
        <v>https://www.instagram.com/p/BzHkLyBpwVV/media/?size=l</v>
      </c>
      <c r="AM603" t="s">
        <v>52</v>
      </c>
      <c r="AN603" t="s">
        <v>53</v>
      </c>
    </row>
    <row r="604" spans="1:40">
      <c r="A604" t="s">
        <v>2370</v>
      </c>
      <c r="B604" t="s">
        <v>2464</v>
      </c>
      <c r="C604" t="s">
        <v>2059</v>
      </c>
      <c r="D604" t="s">
        <v>108</v>
      </c>
      <c r="E604" t="s">
        <v>2465</v>
      </c>
      <c r="F604" t="s">
        <v>45</v>
      </c>
      <c r="G604" t="str">
        <f>HYPERLINK("https://www.youtube.com/watch?v=sw2uHcNil2c")</f>
        <v>https://www.youtube.com/watch?v=sw2uHcNil2c</v>
      </c>
      <c r="H604" t="s">
        <v>46</v>
      </c>
      <c r="I604" t="s">
        <v>2466</v>
      </c>
      <c r="J604" t="str">
        <f>HYPERLINK("https://www.youtube.com/channel/UCNGSMvIHhDXBIlbumKKWKiA")</f>
        <v>https://www.youtube.com/channel/UCNGSMvIHhDXBIlbumKKWKiA</v>
      </c>
      <c r="K604">
        <v>1</v>
      </c>
      <c r="N604" t="s">
        <v>116</v>
      </c>
      <c r="O604" t="s">
        <v>2466</v>
      </c>
      <c r="P604" t="str">
        <f>HYPERLINK("https://www.youtube.com/channel/UCNGSMvIHhDXBIlbumKKWKiA")</f>
        <v>https://www.youtube.com/channel/UCNGSMvIHhDXBIlbumKKWKiA</v>
      </c>
      <c r="Q604">
        <v>1</v>
      </c>
      <c r="R604" t="s">
        <v>60</v>
      </c>
      <c r="W604">
        <v>0</v>
      </c>
      <c r="X604">
        <v>0</v>
      </c>
      <c r="AD604">
        <v>0</v>
      </c>
      <c r="AE604">
        <v>0</v>
      </c>
      <c r="AG604">
        <v>5</v>
      </c>
      <c r="AI604" t="s">
        <v>52</v>
      </c>
      <c r="AJ604" t="s">
        <v>2467</v>
      </c>
      <c r="AK604" t="s">
        <v>2468</v>
      </c>
      <c r="AL604" t="str">
        <f>HYPERLINK("https://i.ytimg.com/vi/sw2uHcNil2c/maxresdefault.jpg")</f>
        <v>https://i.ytimg.com/vi/sw2uHcNil2c/maxresdefault.jpg</v>
      </c>
      <c r="AM604" t="s">
        <v>52</v>
      </c>
      <c r="AN604" t="s">
        <v>53</v>
      </c>
    </row>
    <row r="605" spans="1:40">
      <c r="A605" t="s">
        <v>2370</v>
      </c>
      <c r="B605" t="s">
        <v>2469</v>
      </c>
      <c r="C605" t="s">
        <v>2059</v>
      </c>
      <c r="D605" t="s">
        <v>2470</v>
      </c>
      <c r="E605" t="s">
        <v>2471</v>
      </c>
      <c r="F605" t="s">
        <v>45</v>
      </c>
      <c r="G605" t="str">
        <f>HYPERLINK("https://www.youtube.com/watch?v=XsZR2QbEQJw")</f>
        <v>https://www.youtube.com/watch?v=XsZR2QbEQJw</v>
      </c>
      <c r="H605" t="s">
        <v>46</v>
      </c>
      <c r="I605" t="s">
        <v>2472</v>
      </c>
      <c r="J605" t="str">
        <f>HYPERLINK("https://www.youtube.com/channel/UCHIfQxxxBDs39jW-d8pDQpw")</f>
        <v>https://www.youtube.com/channel/UCHIfQxxxBDs39jW-d8pDQpw</v>
      </c>
      <c r="K605">
        <v>6</v>
      </c>
      <c r="N605" t="s">
        <v>116</v>
      </c>
      <c r="O605" t="s">
        <v>2472</v>
      </c>
      <c r="P605" t="str">
        <f>HYPERLINK("https://www.youtube.com/channel/UCHIfQxxxBDs39jW-d8pDQpw")</f>
        <v>https://www.youtube.com/channel/UCHIfQxxxBDs39jW-d8pDQpw</v>
      </c>
      <c r="Q605">
        <v>6</v>
      </c>
      <c r="R605" t="s">
        <v>60</v>
      </c>
      <c r="W605">
        <v>4</v>
      </c>
      <c r="X605">
        <v>4</v>
      </c>
      <c r="AD605">
        <v>0</v>
      </c>
      <c r="AE605">
        <v>5</v>
      </c>
      <c r="AG605">
        <v>30</v>
      </c>
      <c r="AI605" t="s">
        <v>52</v>
      </c>
      <c r="AJ605" t="s">
        <v>52</v>
      </c>
      <c r="AK605" t="s">
        <v>52</v>
      </c>
      <c r="AL605" t="str">
        <f>HYPERLINK("https://i.ytimg.com/vi/XsZR2QbEQJw/maxresdefault.jpg")</f>
        <v>https://i.ytimg.com/vi/XsZR2QbEQJw/maxresdefault.jpg</v>
      </c>
      <c r="AM605" t="s">
        <v>52</v>
      </c>
      <c r="AN605" t="s">
        <v>53</v>
      </c>
    </row>
    <row r="606" spans="1:40">
      <c r="A606" t="s">
        <v>2370</v>
      </c>
      <c r="B606" t="s">
        <v>2473</v>
      </c>
      <c r="C606" t="s">
        <v>2454</v>
      </c>
      <c r="D606" t="s">
        <v>52</v>
      </c>
      <c r="E606" t="s">
        <v>2474</v>
      </c>
      <c r="F606" t="s">
        <v>95</v>
      </c>
      <c r="G606" t="str">
        <f>HYPERLINK("https://twitter.com/12092562/status/1143364686785593345")</f>
        <v>https://twitter.com/12092562/status/1143364686785593345</v>
      </c>
      <c r="H606" t="s">
        <v>46</v>
      </c>
      <c r="I606" t="s">
        <v>2475</v>
      </c>
      <c r="J606" t="str">
        <f>HYPERLINK("http://twitter.com/Anastasia_Fall")</f>
        <v>http://twitter.com/Anastasia_Fall</v>
      </c>
      <c r="K606">
        <v>795</v>
      </c>
      <c r="N606" t="s">
        <v>65</v>
      </c>
      <c r="R606" t="s">
        <v>60</v>
      </c>
      <c r="W606">
        <v>0</v>
      </c>
      <c r="X606">
        <v>0</v>
      </c>
      <c r="AE606">
        <v>0</v>
      </c>
      <c r="AF606">
        <v>0</v>
      </c>
      <c r="AM606" t="s">
        <v>52</v>
      </c>
      <c r="AN606" t="s">
        <v>53</v>
      </c>
    </row>
    <row r="607" spans="1:40">
      <c r="A607" t="s">
        <v>2370</v>
      </c>
      <c r="B607" t="s">
        <v>2476</v>
      </c>
      <c r="C607" t="s">
        <v>1084</v>
      </c>
      <c r="D607" t="s">
        <v>52</v>
      </c>
      <c r="E607" t="s">
        <v>2477</v>
      </c>
      <c r="F607" t="s">
        <v>45</v>
      </c>
      <c r="G607" t="str">
        <f>HYPERLINK("https://www.instagram.com/p/BzHjzzyHMT3")</f>
        <v>https://www.instagram.com/p/BzHjzzyHMT3</v>
      </c>
      <c r="H607" t="s">
        <v>46</v>
      </c>
      <c r="I607" t="s">
        <v>52</v>
      </c>
      <c r="J607" t="str">
        <f>HYPERLINK("http://instagram.com/maya_owicha_paka")</f>
        <v>http://instagram.com/maya_owicha_paka</v>
      </c>
      <c r="K607">
        <v>0</v>
      </c>
      <c r="N607" t="s">
        <v>59</v>
      </c>
      <c r="O607" t="s">
        <v>52</v>
      </c>
      <c r="P607" t="str">
        <f>HYPERLINK("http://instagram.com/maya_owicha_paka")</f>
        <v>http://instagram.com/maya_owicha_paka</v>
      </c>
      <c r="Q607">
        <v>0</v>
      </c>
      <c r="R607" t="s">
        <v>60</v>
      </c>
      <c r="W607">
        <v>9</v>
      </c>
      <c r="X607">
        <v>9</v>
      </c>
      <c r="AE607">
        <v>1</v>
      </c>
      <c r="AI607" t="s">
        <v>108</v>
      </c>
      <c r="AJ607" t="s">
        <v>52</v>
      </c>
      <c r="AK607" t="s">
        <v>52</v>
      </c>
      <c r="AL607" t="str">
        <f>HYPERLINK("https://www.instagram.com/p/BzHjzzyHMT3/media/?size=l")</f>
        <v>https://www.instagram.com/p/BzHjzzyHMT3/media/?size=l</v>
      </c>
      <c r="AM607" t="s">
        <v>52</v>
      </c>
      <c r="AN607" t="s">
        <v>53</v>
      </c>
    </row>
    <row r="608" spans="1:40">
      <c r="A608" t="s">
        <v>2370</v>
      </c>
      <c r="B608" t="s">
        <v>2476</v>
      </c>
      <c r="C608" t="s">
        <v>1075</v>
      </c>
      <c r="D608" t="s">
        <v>52</v>
      </c>
      <c r="E608" t="s">
        <v>2478</v>
      </c>
      <c r="F608" t="s">
        <v>45</v>
      </c>
      <c r="G608" t="str">
        <f>HYPERLINK("https://www.instagram.com/p/BzHjzDiA2Kk")</f>
        <v>https://www.instagram.com/p/BzHjzDiA2Kk</v>
      </c>
      <c r="H608" t="s">
        <v>46</v>
      </c>
      <c r="I608" t="s">
        <v>52</v>
      </c>
      <c r="J608" t="str">
        <f>HYPERLINK("http://instagram.com/gimmiemyg0ts")</f>
        <v>http://instagram.com/gimmiemyg0ts</v>
      </c>
      <c r="K608">
        <v>99</v>
      </c>
      <c r="N608" t="s">
        <v>59</v>
      </c>
      <c r="O608" t="s">
        <v>52</v>
      </c>
      <c r="P608" t="str">
        <f>HYPERLINK("http://instagram.com/gimmiemyg0ts")</f>
        <v>http://instagram.com/gimmiemyg0ts</v>
      </c>
      <c r="Q608">
        <v>99</v>
      </c>
      <c r="R608" t="s">
        <v>60</v>
      </c>
      <c r="W608">
        <v>7</v>
      </c>
      <c r="X608">
        <v>7</v>
      </c>
      <c r="AE608">
        <v>1</v>
      </c>
      <c r="AI608" t="s">
        <v>108</v>
      </c>
      <c r="AJ608" t="s">
        <v>2479</v>
      </c>
      <c r="AK608" t="s">
        <v>52</v>
      </c>
      <c r="AL608" t="str">
        <f>HYPERLINK("https://www.instagram.com/p/BzHjzDiA2Kk/media/?size=l")</f>
        <v>https://www.instagram.com/p/BzHjzDiA2Kk/media/?size=l</v>
      </c>
      <c r="AM608" t="s">
        <v>52</v>
      </c>
      <c r="AN608" t="s">
        <v>53</v>
      </c>
    </row>
    <row r="609" spans="1:40">
      <c r="A609" t="s">
        <v>2370</v>
      </c>
      <c r="B609" t="s">
        <v>2480</v>
      </c>
      <c r="C609" t="s">
        <v>2481</v>
      </c>
      <c r="D609" t="s">
        <v>52</v>
      </c>
      <c r="E609" t="s">
        <v>2482</v>
      </c>
      <c r="F609" t="s">
        <v>131</v>
      </c>
      <c r="G609" t="str">
        <f>HYPERLINK("https://twitter.com/1114786353261228034/status/1143363944955961344")</f>
        <v>https://twitter.com/1114786353261228034/status/1143363944955961344</v>
      </c>
      <c r="H609" t="s">
        <v>46</v>
      </c>
      <c r="I609" t="s">
        <v>2483</v>
      </c>
      <c r="J609" t="str">
        <f>HYPERLINK("http://twitter.com/angelboygone")</f>
        <v>http://twitter.com/angelboygone</v>
      </c>
      <c r="K609">
        <v>151</v>
      </c>
      <c r="N609" t="s">
        <v>65</v>
      </c>
      <c r="R609" t="s">
        <v>60</v>
      </c>
      <c r="S609" t="s">
        <v>1947</v>
      </c>
      <c r="T609" t="s">
        <v>2484</v>
      </c>
      <c r="U609" t="s">
        <v>2485</v>
      </c>
      <c r="W609">
        <v>0</v>
      </c>
      <c r="X609">
        <v>0</v>
      </c>
      <c r="AE609">
        <v>0</v>
      </c>
      <c r="AM609" t="s">
        <v>52</v>
      </c>
      <c r="AN609" t="s">
        <v>53</v>
      </c>
    </row>
    <row r="610" spans="1:40">
      <c r="A610" t="s">
        <v>2370</v>
      </c>
      <c r="B610" t="s">
        <v>2486</v>
      </c>
      <c r="C610" t="s">
        <v>2487</v>
      </c>
      <c r="D610" t="s">
        <v>52</v>
      </c>
      <c r="E610" t="s">
        <v>2488</v>
      </c>
      <c r="F610" t="s">
        <v>131</v>
      </c>
      <c r="G610" t="str">
        <f>HYPERLINK("https://twitter.com/140131259/status/1143363877662601219")</f>
        <v>https://twitter.com/140131259/status/1143363877662601219</v>
      </c>
      <c r="H610" t="s">
        <v>215</v>
      </c>
      <c r="I610" t="s">
        <v>1898</v>
      </c>
      <c r="J610" t="str">
        <f>HYPERLINK("http://twitter.com/AnaPatrcia_APRB")</f>
        <v>http://twitter.com/AnaPatrcia_APRB</v>
      </c>
      <c r="K610">
        <v>11122</v>
      </c>
      <c r="N610" t="s">
        <v>65</v>
      </c>
      <c r="R610" t="s">
        <v>60</v>
      </c>
      <c r="W610">
        <v>0</v>
      </c>
      <c r="X610">
        <v>0</v>
      </c>
      <c r="AE610">
        <v>0</v>
      </c>
      <c r="AM610" t="s">
        <v>52</v>
      </c>
      <c r="AN610" t="s">
        <v>53</v>
      </c>
    </row>
    <row r="611" spans="1:40">
      <c r="A611" t="s">
        <v>2370</v>
      </c>
      <c r="B611" t="s">
        <v>2489</v>
      </c>
      <c r="C611" t="s">
        <v>2450</v>
      </c>
      <c r="D611" t="s">
        <v>52</v>
      </c>
      <c r="E611" t="s">
        <v>2490</v>
      </c>
      <c r="F611" t="s">
        <v>95</v>
      </c>
      <c r="G611" t="str">
        <f>HYPERLINK("https://twitter.com/350149931/status/1143363667867475969")</f>
        <v>https://twitter.com/350149931/status/1143363667867475969</v>
      </c>
      <c r="H611" t="s">
        <v>46</v>
      </c>
      <c r="I611" t="s">
        <v>2491</v>
      </c>
      <c r="J611" t="str">
        <f>HYPERLINK("http://twitter.com/JoelVinson")</f>
        <v>http://twitter.com/JoelVinson</v>
      </c>
      <c r="K611">
        <v>548</v>
      </c>
      <c r="N611" t="s">
        <v>65</v>
      </c>
      <c r="R611" t="s">
        <v>60</v>
      </c>
      <c r="S611" t="s">
        <v>2118</v>
      </c>
      <c r="T611" t="s">
        <v>2492</v>
      </c>
      <c r="U611" t="s">
        <v>2493</v>
      </c>
      <c r="W611">
        <v>1</v>
      </c>
      <c r="X611">
        <v>1</v>
      </c>
      <c r="AE611">
        <v>0</v>
      </c>
      <c r="AF611">
        <v>0</v>
      </c>
      <c r="AM611" t="s">
        <v>52</v>
      </c>
      <c r="AN611" t="s">
        <v>53</v>
      </c>
    </row>
    <row r="612" spans="1:40">
      <c r="A612" t="s">
        <v>2370</v>
      </c>
      <c r="B612" t="s">
        <v>2489</v>
      </c>
      <c r="C612" t="s">
        <v>1406</v>
      </c>
      <c r="D612" t="s">
        <v>2494</v>
      </c>
      <c r="E612" t="s">
        <v>2495</v>
      </c>
      <c r="F612" t="s">
        <v>45</v>
      </c>
      <c r="G612" t="str">
        <f>HYPERLINK("https://instantcollegepapersforsale.blogspot.com/2019/06/consumersaaa-preferences-for-coca-cola.html")</f>
        <v>https://instantcollegepapersforsale.blogspot.com/2019/06/consumersaaa-preferences-for-coca-cola.html</v>
      </c>
      <c r="H612" t="s">
        <v>91</v>
      </c>
      <c r="I612" t="s">
        <v>2496</v>
      </c>
      <c r="J612" t="str">
        <f>HYPERLINK("https://instantcollegepapersforsale.blogspot.com/2019/06/consumersaaa-preferences-for-coca-cola.html")</f>
        <v>https://instantcollegepapersforsale.blogspot.com/2019/06/consumersaaa-preferences-for-coca-cola.html</v>
      </c>
      <c r="N612" t="s">
        <v>2497</v>
      </c>
      <c r="R612" t="s">
        <v>50</v>
      </c>
      <c r="S612" t="s">
        <v>51</v>
      </c>
      <c r="AM612" t="s">
        <v>52</v>
      </c>
      <c r="AN612" t="s">
        <v>53</v>
      </c>
    </row>
    <row r="613" spans="1:40">
      <c r="A613" t="s">
        <v>2370</v>
      </c>
      <c r="B613" t="s">
        <v>2498</v>
      </c>
      <c r="C613" t="s">
        <v>2499</v>
      </c>
      <c r="D613" t="s">
        <v>52</v>
      </c>
      <c r="E613" t="s">
        <v>2500</v>
      </c>
      <c r="F613" t="s">
        <v>45</v>
      </c>
      <c r="G613" t="str">
        <f>HYPERLINK("https://www.instagram.com/p/BzHi7cWB0zm")</f>
        <v>https://www.instagram.com/p/BzHi7cWB0zm</v>
      </c>
      <c r="H613" t="s">
        <v>46</v>
      </c>
      <c r="I613" t="s">
        <v>2501</v>
      </c>
      <c r="J613" t="str">
        <f>HYPERLINK("http://instagram.com/loverboy_hunter")</f>
        <v>http://instagram.com/loverboy_hunter</v>
      </c>
      <c r="K613">
        <v>1631</v>
      </c>
      <c r="N613" t="s">
        <v>59</v>
      </c>
      <c r="O613" t="s">
        <v>2501</v>
      </c>
      <c r="P613" t="str">
        <f>HYPERLINK("http://instagram.com/loverboy_hunter")</f>
        <v>http://instagram.com/loverboy_hunter</v>
      </c>
      <c r="Q613">
        <v>1631</v>
      </c>
      <c r="R613" t="s">
        <v>60</v>
      </c>
      <c r="W613">
        <v>119</v>
      </c>
      <c r="X613">
        <v>119</v>
      </c>
      <c r="AE613">
        <v>7</v>
      </c>
      <c r="AI613" t="s">
        <v>52</v>
      </c>
      <c r="AJ613" t="s">
        <v>2502</v>
      </c>
      <c r="AK613" t="s">
        <v>52</v>
      </c>
      <c r="AL613" t="str">
        <f>HYPERLINK("https://www.instagram.com/p/BzHi7cWB0zm/media/?size=l")</f>
        <v>https://www.instagram.com/p/BzHi7cWB0zm/media/?size=l</v>
      </c>
      <c r="AM613" t="s">
        <v>52</v>
      </c>
      <c r="AN613" t="s">
        <v>53</v>
      </c>
    </row>
    <row r="614" spans="1:40">
      <c r="A614" t="s">
        <v>2370</v>
      </c>
      <c r="B614" t="s">
        <v>2503</v>
      </c>
      <c r="C614" t="s">
        <v>2504</v>
      </c>
      <c r="D614" t="s">
        <v>52</v>
      </c>
      <c r="E614" t="s">
        <v>2505</v>
      </c>
      <c r="F614" t="s">
        <v>45</v>
      </c>
      <c r="G614" t="str">
        <f>HYPERLINK("https://twitter.com/754108975398936576/status/1143362048044220417")</f>
        <v>https://twitter.com/754108975398936576/status/1143362048044220417</v>
      </c>
      <c r="H614" t="s">
        <v>46</v>
      </c>
      <c r="I614" t="s">
        <v>2506</v>
      </c>
      <c r="J614" t="str">
        <f>HYPERLINK("http://twitter.com/MilagrosRebola")</f>
        <v>http://twitter.com/MilagrosRebola</v>
      </c>
      <c r="K614">
        <v>460</v>
      </c>
      <c r="N614" t="s">
        <v>65</v>
      </c>
      <c r="R614" t="s">
        <v>60</v>
      </c>
      <c r="W614">
        <v>0</v>
      </c>
      <c r="X614">
        <v>0</v>
      </c>
      <c r="AE614">
        <v>0</v>
      </c>
      <c r="AF614">
        <v>0</v>
      </c>
      <c r="AM614" t="s">
        <v>52</v>
      </c>
      <c r="AN614" t="s">
        <v>53</v>
      </c>
    </row>
    <row r="615" spans="1:40">
      <c r="A615" t="s">
        <v>2370</v>
      </c>
      <c r="B615" t="s">
        <v>2503</v>
      </c>
      <c r="C615" t="s">
        <v>2507</v>
      </c>
      <c r="D615" t="s">
        <v>52</v>
      </c>
      <c r="E615" t="s">
        <v>2508</v>
      </c>
      <c r="F615" t="s">
        <v>95</v>
      </c>
      <c r="G615" t="str">
        <f>HYPERLINK("https://twitter.com/86565439/status/1143361935645138945")</f>
        <v>https://twitter.com/86565439/status/1143361935645138945</v>
      </c>
      <c r="H615" t="s">
        <v>46</v>
      </c>
      <c r="I615" t="s">
        <v>2509</v>
      </c>
      <c r="J615" t="str">
        <f>HYPERLINK("http://twitter.com/vmanasvi")</f>
        <v>http://twitter.com/vmanasvi</v>
      </c>
      <c r="K615">
        <v>1621</v>
      </c>
      <c r="N615" t="s">
        <v>65</v>
      </c>
      <c r="R615" t="s">
        <v>60</v>
      </c>
      <c r="W615">
        <v>0</v>
      </c>
      <c r="X615">
        <v>0</v>
      </c>
      <c r="AE615">
        <v>1</v>
      </c>
      <c r="AF615">
        <v>0</v>
      </c>
      <c r="AI615" t="s">
        <v>52</v>
      </c>
      <c r="AJ615" t="s">
        <v>1106</v>
      </c>
      <c r="AK615" t="s">
        <v>2510</v>
      </c>
      <c r="AL615" t="str">
        <f>HYPERLINK("https://pbs.twimg.com/tweet_video_thumb/D94JnTcUYAE-HLb.jpg")</f>
        <v>https://pbs.twimg.com/tweet_video_thumb/D94JnTcUYAE-HLb.jpg</v>
      </c>
      <c r="AM615" t="s">
        <v>52</v>
      </c>
      <c r="AN615" t="s">
        <v>53</v>
      </c>
    </row>
    <row r="616" spans="1:40">
      <c r="A616" t="s">
        <v>2370</v>
      </c>
      <c r="B616" t="s">
        <v>2511</v>
      </c>
      <c r="C616" t="s">
        <v>2507</v>
      </c>
      <c r="D616" t="s">
        <v>52</v>
      </c>
      <c r="E616" t="s">
        <v>2512</v>
      </c>
      <c r="F616" t="s">
        <v>71</v>
      </c>
      <c r="G616" t="str">
        <f>HYPERLINK("https://twitter.com/789851383197474816/status/1143361920289955840")</f>
        <v>https://twitter.com/789851383197474816/status/1143361920289955840</v>
      </c>
      <c r="H616" t="s">
        <v>46</v>
      </c>
      <c r="I616" t="s">
        <v>2513</v>
      </c>
      <c r="J616" t="str">
        <f>HYPERLINK("http://twitter.com/_BangtanBunny_")</f>
        <v>http://twitter.com/_BangtanBunny_</v>
      </c>
      <c r="K616">
        <v>1078</v>
      </c>
      <c r="N616" t="s">
        <v>65</v>
      </c>
      <c r="R616" t="s">
        <v>60</v>
      </c>
      <c r="S616" t="s">
        <v>51</v>
      </c>
      <c r="W616">
        <v>1</v>
      </c>
      <c r="X616">
        <v>1</v>
      </c>
      <c r="AE616">
        <v>0</v>
      </c>
      <c r="AF616">
        <v>0</v>
      </c>
      <c r="AI616" t="s">
        <v>52</v>
      </c>
      <c r="AJ616" t="s">
        <v>52</v>
      </c>
      <c r="AK616" t="s">
        <v>52</v>
      </c>
      <c r="AL616" t="str">
        <f>HYPERLINK("https://pbs.twimg.com/tweet_video_thumb/D94JmmsW4AAIHIE.jpg")</f>
        <v>https://pbs.twimg.com/tweet_video_thumb/D94JmmsW4AAIHIE.jpg</v>
      </c>
      <c r="AM616" t="s">
        <v>52</v>
      </c>
      <c r="AN616" t="s">
        <v>53</v>
      </c>
    </row>
    <row r="617" spans="1:40">
      <c r="A617" t="s">
        <v>2370</v>
      </c>
      <c r="B617" t="s">
        <v>2511</v>
      </c>
      <c r="C617" t="s">
        <v>2514</v>
      </c>
      <c r="D617" t="s">
        <v>52</v>
      </c>
      <c r="E617" t="s">
        <v>2515</v>
      </c>
      <c r="F617" t="s">
        <v>71</v>
      </c>
      <c r="G617" t="str">
        <f>HYPERLINK("https://twitter.com/23890123/status/1143361711791136774")</f>
        <v>https://twitter.com/23890123/status/1143361711791136774</v>
      </c>
      <c r="H617" t="s">
        <v>46</v>
      </c>
      <c r="I617" t="s">
        <v>2516</v>
      </c>
      <c r="J617" t="str">
        <f>HYPERLINK("http://twitter.com/GMMYHERO")</f>
        <v>http://twitter.com/GMMYHERO</v>
      </c>
      <c r="K617">
        <v>40</v>
      </c>
      <c r="N617" t="s">
        <v>65</v>
      </c>
      <c r="R617" t="s">
        <v>60</v>
      </c>
      <c r="S617" t="s">
        <v>51</v>
      </c>
      <c r="T617" t="s">
        <v>73</v>
      </c>
      <c r="U617" t="s">
        <v>2517</v>
      </c>
      <c r="W617">
        <v>0</v>
      </c>
      <c r="X617">
        <v>0</v>
      </c>
      <c r="AE617">
        <v>0</v>
      </c>
      <c r="AF617">
        <v>0</v>
      </c>
      <c r="AM617" t="s">
        <v>52</v>
      </c>
      <c r="AN617" t="s">
        <v>53</v>
      </c>
    </row>
    <row r="618" spans="1:40">
      <c r="A618" t="s">
        <v>2370</v>
      </c>
      <c r="B618" t="s">
        <v>2518</v>
      </c>
      <c r="C618" t="s">
        <v>2519</v>
      </c>
      <c r="D618" t="s">
        <v>52</v>
      </c>
      <c r="E618" t="s">
        <v>2520</v>
      </c>
      <c r="F618" t="s">
        <v>95</v>
      </c>
      <c r="G618" t="str">
        <f>HYPERLINK("https://twitter.com/5541152/status/1143361477790691330")</f>
        <v>https://twitter.com/5541152/status/1143361477790691330</v>
      </c>
      <c r="H618" t="s">
        <v>46</v>
      </c>
      <c r="I618" t="s">
        <v>2521</v>
      </c>
      <c r="J618" t="str">
        <f>HYPERLINK("http://twitter.com/TommyLee")</f>
        <v>http://twitter.com/TommyLee</v>
      </c>
      <c r="K618">
        <v>6907</v>
      </c>
      <c r="L618" t="s">
        <v>48</v>
      </c>
      <c r="N618" t="s">
        <v>65</v>
      </c>
      <c r="R618" t="s">
        <v>60</v>
      </c>
      <c r="S618" t="s">
        <v>51</v>
      </c>
      <c r="T618" t="s">
        <v>2522</v>
      </c>
      <c r="U618" t="s">
        <v>2523</v>
      </c>
      <c r="W618">
        <v>2</v>
      </c>
      <c r="X618">
        <v>2</v>
      </c>
      <c r="AE618">
        <v>0</v>
      </c>
      <c r="AF618">
        <v>0</v>
      </c>
      <c r="AM618" t="s">
        <v>52</v>
      </c>
      <c r="AN618" t="s">
        <v>53</v>
      </c>
    </row>
    <row r="619" spans="1:40">
      <c r="A619" t="s">
        <v>2370</v>
      </c>
      <c r="B619" t="s">
        <v>2524</v>
      </c>
      <c r="C619" t="s">
        <v>1097</v>
      </c>
      <c r="D619" t="s">
        <v>52</v>
      </c>
      <c r="E619" t="s">
        <v>2525</v>
      </c>
      <c r="F619" t="s">
        <v>45</v>
      </c>
      <c r="G619" t="str">
        <f>HYPERLINK("https://www.instagram.com/p/BzHh1XMHyMZ")</f>
        <v>https://www.instagram.com/p/BzHh1XMHyMZ</v>
      </c>
      <c r="H619" t="s">
        <v>46</v>
      </c>
      <c r="I619" t="s">
        <v>2526</v>
      </c>
      <c r="J619" t="str">
        <f>HYPERLINK("http://instagram.com/ktnmunchkin")</f>
        <v>http://instagram.com/ktnmunchkin</v>
      </c>
      <c r="K619">
        <v>373</v>
      </c>
      <c r="N619" t="s">
        <v>59</v>
      </c>
      <c r="O619" t="s">
        <v>2526</v>
      </c>
      <c r="P619" t="str">
        <f>HYPERLINK("http://instagram.com/ktnmunchkin")</f>
        <v>http://instagram.com/ktnmunchkin</v>
      </c>
      <c r="Q619">
        <v>373</v>
      </c>
      <c r="R619" t="s">
        <v>60</v>
      </c>
      <c r="S619" t="s">
        <v>51</v>
      </c>
      <c r="T619" t="s">
        <v>2527</v>
      </c>
      <c r="U619" t="s">
        <v>2528</v>
      </c>
      <c r="W619">
        <v>4</v>
      </c>
      <c r="X619">
        <v>4</v>
      </c>
      <c r="AE619">
        <v>2</v>
      </c>
      <c r="AI619" t="s">
        <v>2529</v>
      </c>
      <c r="AJ619" t="s">
        <v>2530</v>
      </c>
      <c r="AK619" t="s">
        <v>52</v>
      </c>
      <c r="AL619" t="str">
        <f>HYPERLINK("https://www.instagram.com/p/BzHh1XMHyMZ/media/?size=l")</f>
        <v>https://www.instagram.com/p/BzHh1XMHyMZ/media/?size=l</v>
      </c>
      <c r="AM619" t="s">
        <v>52</v>
      </c>
      <c r="AN619" t="s">
        <v>53</v>
      </c>
    </row>
    <row r="620" spans="1:40">
      <c r="A620" t="s">
        <v>2370</v>
      </c>
      <c r="B620" t="s">
        <v>2524</v>
      </c>
      <c r="C620" t="s">
        <v>2531</v>
      </c>
      <c r="D620" t="s">
        <v>52</v>
      </c>
      <c r="E620" t="s">
        <v>2532</v>
      </c>
      <c r="F620" t="s">
        <v>45</v>
      </c>
      <c r="G620" t="str">
        <f>HYPERLINK("https://www.instagram.com/p/BzHhz4pBvUc")</f>
        <v>https://www.instagram.com/p/BzHhz4pBvUc</v>
      </c>
      <c r="H620" t="s">
        <v>215</v>
      </c>
      <c r="I620" t="s">
        <v>2533</v>
      </c>
      <c r="J620" t="str">
        <f>HYPERLINK("http://instagram.com/theunforgetablequeen")</f>
        <v>http://instagram.com/theunforgetablequeen</v>
      </c>
      <c r="K620">
        <v>567</v>
      </c>
      <c r="N620" t="s">
        <v>59</v>
      </c>
      <c r="O620" t="s">
        <v>2533</v>
      </c>
      <c r="P620" t="str">
        <f>HYPERLINK("http://instagram.com/theunforgetablequeen")</f>
        <v>http://instagram.com/theunforgetablequeen</v>
      </c>
      <c r="Q620">
        <v>567</v>
      </c>
      <c r="R620" t="s">
        <v>60</v>
      </c>
      <c r="W620">
        <v>10</v>
      </c>
      <c r="X620">
        <v>10</v>
      </c>
      <c r="AE620">
        <v>0</v>
      </c>
      <c r="AI620" t="s">
        <v>52</v>
      </c>
      <c r="AJ620" t="s">
        <v>2534</v>
      </c>
      <c r="AK620" t="s">
        <v>52</v>
      </c>
      <c r="AL620" t="str">
        <f>HYPERLINK("https://www.instagram.com/p/BzHhz4pBvUc/media/?size=l")</f>
        <v>https://www.instagram.com/p/BzHhz4pBvUc/media/?size=l</v>
      </c>
      <c r="AM620" t="s">
        <v>52</v>
      </c>
      <c r="AN620" t="s">
        <v>53</v>
      </c>
    </row>
    <row r="621" spans="1:40">
      <c r="A621" t="s">
        <v>2370</v>
      </c>
      <c r="B621" t="s">
        <v>2524</v>
      </c>
      <c r="C621" t="s">
        <v>1905</v>
      </c>
      <c r="D621" t="s">
        <v>2535</v>
      </c>
      <c r="E621" t="s">
        <v>2536</v>
      </c>
      <c r="F621" t="s">
        <v>45</v>
      </c>
      <c r="G621" t="str">
        <f>HYPERLINK("https://mayfieldrecorder.com/2019/06/24/johnson-financial-group-inc-has-4-35-million-position-in-pepsico-inc-pep.html")</f>
        <v>https://mayfieldrecorder.com/2019/06/24/johnson-financial-group-inc-has-4-35-million-position-in-pepsico-inc-pep.html</v>
      </c>
      <c r="H621" t="s">
        <v>91</v>
      </c>
      <c r="I621" t="s">
        <v>2537</v>
      </c>
      <c r="J621" t="str">
        <f>HYPERLINK("https://mayfieldrecorder.com/2019/06/24/johnson-financial-group-inc-has-4-35-million-position-in-pepsico-inc-pep.html")</f>
        <v>https://mayfieldrecorder.com/2019/06/24/johnson-financial-group-inc-has-4-35-million-position-in-pepsico-inc-pep.html</v>
      </c>
      <c r="L621" t="s">
        <v>48</v>
      </c>
      <c r="N621" t="s">
        <v>356</v>
      </c>
      <c r="R621" t="s">
        <v>357</v>
      </c>
      <c r="S621" t="s">
        <v>51</v>
      </c>
      <c r="AM621" t="s">
        <v>52</v>
      </c>
      <c r="AN621" t="s">
        <v>53</v>
      </c>
    </row>
    <row r="622" spans="1:40">
      <c r="A622" t="s">
        <v>2370</v>
      </c>
      <c r="B622" t="s">
        <v>2538</v>
      </c>
      <c r="C622" t="s">
        <v>2539</v>
      </c>
      <c r="D622" t="s">
        <v>52</v>
      </c>
      <c r="E622" t="s">
        <v>187</v>
      </c>
      <c r="F622" t="s">
        <v>95</v>
      </c>
      <c r="G622" t="str">
        <f>HYPERLINK("https://twitter.com/859956376541552641/status/1143359746608680960")</f>
        <v>https://twitter.com/859956376541552641/status/1143359746608680960</v>
      </c>
      <c r="H622" t="s">
        <v>46</v>
      </c>
      <c r="I622" t="s">
        <v>2540</v>
      </c>
      <c r="J622" t="str">
        <f>HYPERLINK("http://twitter.com/MarisaAra3")</f>
        <v>http://twitter.com/MarisaAra3</v>
      </c>
      <c r="K622">
        <v>633</v>
      </c>
      <c r="L622" t="s">
        <v>58</v>
      </c>
      <c r="N622" t="s">
        <v>65</v>
      </c>
      <c r="R622" t="s">
        <v>60</v>
      </c>
      <c r="W622">
        <v>5</v>
      </c>
      <c r="X622">
        <v>5</v>
      </c>
      <c r="AE622">
        <v>1</v>
      </c>
      <c r="AF622">
        <v>0</v>
      </c>
      <c r="AM622" t="s">
        <v>52</v>
      </c>
      <c r="AN622" t="s">
        <v>53</v>
      </c>
    </row>
    <row r="623" spans="1:40">
      <c r="A623" t="s">
        <v>2370</v>
      </c>
      <c r="B623" t="s">
        <v>2538</v>
      </c>
      <c r="C623" t="s">
        <v>2541</v>
      </c>
      <c r="D623" t="s">
        <v>2542</v>
      </c>
      <c r="E623" t="s">
        <v>2543</v>
      </c>
      <c r="F623" t="s">
        <v>45</v>
      </c>
      <c r="G623" t="str">
        <f>HYPERLINK("https://www.perthnow.com.au/technology/uber/ubereats-couch-food-to-deliver-lollies-24-hours-a-day-ng-b881241023z")</f>
        <v>https://www.perthnow.com.au/technology/uber/ubereats-couch-food-to-deliver-lollies-24-hours-a-day-ng-b881241023z</v>
      </c>
      <c r="H623" t="s">
        <v>215</v>
      </c>
      <c r="I623" t="s">
        <v>2544</v>
      </c>
      <c r="J623" t="str">
        <f>HYPERLINK("https://www.perthnow.com.au")</f>
        <v>https://www.perthnow.com.au</v>
      </c>
      <c r="N623" t="s">
        <v>2545</v>
      </c>
      <c r="R623" t="s">
        <v>357</v>
      </c>
      <c r="S623" t="s">
        <v>774</v>
      </c>
      <c r="AI623" t="s">
        <v>108</v>
      </c>
      <c r="AJ623" t="s">
        <v>2546</v>
      </c>
      <c r="AK623" t="s">
        <v>52</v>
      </c>
      <c r="AL623" t="str">
        <f>HYPERLINK("https://images.perthnow.com.au/publication/B881241023Z/1561432788857_G8N29GG0L.2-2.jpg?imwidth=668&amp;impolicy=pn_v3")</f>
        <v>https://images.perthnow.com.au/publication/B881241023Z/1561432788857_G8N29GG0L.2-2.jpg?imwidth=668&amp;impolicy=pn_v3</v>
      </c>
      <c r="AM623" t="s">
        <v>52</v>
      </c>
      <c r="AN623" t="s">
        <v>53</v>
      </c>
    </row>
    <row r="624" spans="1:40">
      <c r="A624" t="s">
        <v>2370</v>
      </c>
      <c r="B624" t="s">
        <v>2547</v>
      </c>
      <c r="C624" t="s">
        <v>2548</v>
      </c>
      <c r="D624" t="s">
        <v>52</v>
      </c>
      <c r="E624" t="s">
        <v>2549</v>
      </c>
      <c r="F624" t="s">
        <v>45</v>
      </c>
      <c r="G624" t="str">
        <f>HYPERLINK("https://twitter.com/3059623168/status/1143359121170632704")</f>
        <v>https://twitter.com/3059623168/status/1143359121170632704</v>
      </c>
      <c r="H624" t="s">
        <v>215</v>
      </c>
      <c r="I624" t="s">
        <v>2550</v>
      </c>
      <c r="J624" t="str">
        <f>HYPERLINK("http://twitter.com/MLGJAC3")</f>
        <v>http://twitter.com/MLGJAC3</v>
      </c>
      <c r="K624">
        <v>59</v>
      </c>
      <c r="N624" t="s">
        <v>65</v>
      </c>
      <c r="R624" t="s">
        <v>60</v>
      </c>
      <c r="W624">
        <v>0</v>
      </c>
      <c r="X624">
        <v>0</v>
      </c>
      <c r="AE624">
        <v>0</v>
      </c>
      <c r="AF624">
        <v>0</v>
      </c>
      <c r="AM624" t="s">
        <v>52</v>
      </c>
      <c r="AN624" t="s">
        <v>53</v>
      </c>
    </row>
    <row r="625" spans="1:40">
      <c r="A625" t="s">
        <v>2370</v>
      </c>
      <c r="B625" t="s">
        <v>2547</v>
      </c>
      <c r="C625" t="s">
        <v>2551</v>
      </c>
      <c r="D625" t="s">
        <v>52</v>
      </c>
      <c r="E625" t="s">
        <v>2552</v>
      </c>
      <c r="F625" t="s">
        <v>45</v>
      </c>
      <c r="G625" t="str">
        <f>HYPERLINK("https://www.instagram.com/p/BzHhRurHOmK")</f>
        <v>https://www.instagram.com/p/BzHhRurHOmK</v>
      </c>
      <c r="H625" t="s">
        <v>46</v>
      </c>
      <c r="I625" t="s">
        <v>2553</v>
      </c>
      <c r="J625" t="str">
        <f>HYPERLINK("http://instagram.com/mbpsoundnj")</f>
        <v>http://instagram.com/mbpsoundnj</v>
      </c>
      <c r="K625">
        <v>4122</v>
      </c>
      <c r="N625" t="s">
        <v>59</v>
      </c>
      <c r="O625" t="s">
        <v>2553</v>
      </c>
      <c r="P625" t="str">
        <f>HYPERLINK("http://instagram.com/mbpsoundnj")</f>
        <v>http://instagram.com/mbpsoundnj</v>
      </c>
      <c r="Q625">
        <v>4122</v>
      </c>
      <c r="R625" t="s">
        <v>60</v>
      </c>
      <c r="S625" t="s">
        <v>51</v>
      </c>
      <c r="T625" t="s">
        <v>137</v>
      </c>
      <c r="U625" t="s">
        <v>2554</v>
      </c>
      <c r="W625">
        <v>52</v>
      </c>
      <c r="X625">
        <v>52</v>
      </c>
      <c r="AE625">
        <v>12</v>
      </c>
      <c r="AG625">
        <v>229</v>
      </c>
      <c r="AI625" t="s">
        <v>52</v>
      </c>
      <c r="AJ625" t="s">
        <v>2277</v>
      </c>
      <c r="AK625" t="s">
        <v>52</v>
      </c>
      <c r="AL625" t="str">
        <f>HYPERLINK("https://www.instagram.com/p/BzHhRurHOmK/media/?size=l")</f>
        <v>https://www.instagram.com/p/BzHhRurHOmK/media/?size=l</v>
      </c>
      <c r="AM625" t="s">
        <v>52</v>
      </c>
      <c r="AN625" t="s">
        <v>53</v>
      </c>
    </row>
    <row r="626" spans="1:40">
      <c r="A626" t="s">
        <v>2370</v>
      </c>
      <c r="B626" t="s">
        <v>2555</v>
      </c>
      <c r="C626" t="s">
        <v>2556</v>
      </c>
      <c r="D626" t="s">
        <v>52</v>
      </c>
      <c r="E626" t="s">
        <v>526</v>
      </c>
      <c r="F626" t="s">
        <v>131</v>
      </c>
      <c r="G626" t="str">
        <f>HYPERLINK("https://twitter.com/843417558518845441/status/1143358519170818048")</f>
        <v>https://twitter.com/843417558518845441/status/1143358519170818048</v>
      </c>
      <c r="H626" t="s">
        <v>46</v>
      </c>
      <c r="I626" t="s">
        <v>2557</v>
      </c>
      <c r="J626" t="str">
        <f>HYPERLINK("http://twitter.com/rodrygosummers")</f>
        <v>http://twitter.com/rodrygosummers</v>
      </c>
      <c r="K626">
        <v>87</v>
      </c>
      <c r="L626" t="s">
        <v>48</v>
      </c>
      <c r="N626" t="s">
        <v>65</v>
      </c>
      <c r="R626" t="s">
        <v>60</v>
      </c>
      <c r="S626" t="s">
        <v>437</v>
      </c>
      <c r="T626" t="s">
        <v>528</v>
      </c>
      <c r="U626" t="s">
        <v>529</v>
      </c>
      <c r="W626">
        <v>0</v>
      </c>
      <c r="X626">
        <v>0</v>
      </c>
      <c r="AE626">
        <v>0</v>
      </c>
      <c r="AI626" t="s">
        <v>108</v>
      </c>
      <c r="AJ626" t="s">
        <v>52</v>
      </c>
      <c r="AK626" t="s">
        <v>52</v>
      </c>
      <c r="AL626" t="str">
        <f>HYPERLINK("https://pbs.twimg.com/ext_tw_video_thumb/1141360066962100224/pu/img/5_tGc4hLFQwcD07b.jpg")</f>
        <v>https://pbs.twimg.com/ext_tw_video_thumb/1141360066962100224/pu/img/5_tGc4hLFQwcD07b.jpg</v>
      </c>
      <c r="AM626" t="s">
        <v>52</v>
      </c>
      <c r="AN626" t="s">
        <v>53</v>
      </c>
    </row>
    <row r="627" spans="1:40">
      <c r="A627" t="s">
        <v>2370</v>
      </c>
      <c r="B627" t="s">
        <v>2558</v>
      </c>
      <c r="C627" t="s">
        <v>2499</v>
      </c>
      <c r="D627" t="s">
        <v>52</v>
      </c>
      <c r="E627" t="s">
        <v>2559</v>
      </c>
      <c r="F627" t="s">
        <v>45</v>
      </c>
      <c r="G627" t="str">
        <f>HYPERLINK("https://www.instagram.com/p/BzHg52gnYFy")</f>
        <v>https://www.instagram.com/p/BzHg52gnYFy</v>
      </c>
      <c r="H627" t="s">
        <v>46</v>
      </c>
      <c r="I627" t="s">
        <v>2560</v>
      </c>
      <c r="J627" t="str">
        <f>HYPERLINK("http://instagram.com/artez347")</f>
        <v>http://instagram.com/artez347</v>
      </c>
      <c r="K627">
        <v>50</v>
      </c>
      <c r="N627" t="s">
        <v>59</v>
      </c>
      <c r="O627" t="s">
        <v>2560</v>
      </c>
      <c r="P627" t="str">
        <f>HYPERLINK("http://instagram.com/artez347")</f>
        <v>http://instagram.com/artez347</v>
      </c>
      <c r="Q627">
        <v>50</v>
      </c>
      <c r="R627" t="s">
        <v>60</v>
      </c>
      <c r="W627">
        <v>1</v>
      </c>
      <c r="X627">
        <v>1</v>
      </c>
      <c r="AE627">
        <v>0</v>
      </c>
      <c r="AI627" t="s">
        <v>52</v>
      </c>
      <c r="AJ627" t="s">
        <v>52</v>
      </c>
      <c r="AK627" t="s">
        <v>601</v>
      </c>
      <c r="AL627" t="str">
        <f>HYPERLINK("https://www.instagram.com/p/BzHg52gnYFy/media/?size=l")</f>
        <v>https://www.instagram.com/p/BzHg52gnYFy/media/?size=l</v>
      </c>
      <c r="AM627" t="s">
        <v>52</v>
      </c>
      <c r="AN627" t="s">
        <v>53</v>
      </c>
    </row>
    <row r="628" spans="1:40">
      <c r="A628" t="s">
        <v>2370</v>
      </c>
      <c r="B628" t="s">
        <v>2561</v>
      </c>
      <c r="C628" t="s">
        <v>2562</v>
      </c>
      <c r="D628" t="s">
        <v>52</v>
      </c>
      <c r="E628" t="s">
        <v>2563</v>
      </c>
      <c r="F628" t="s">
        <v>45</v>
      </c>
      <c r="G628" t="str">
        <f>HYPERLINK("https://www.instagram.com/p/BzHgzaxBMXw")</f>
        <v>https://www.instagram.com/p/BzHgzaxBMXw</v>
      </c>
      <c r="H628" t="s">
        <v>46</v>
      </c>
      <c r="I628" t="s">
        <v>2564</v>
      </c>
      <c r="J628" t="str">
        <f>HYPERLINK("http://instagram.com/aubrie.haro")</f>
        <v>http://instagram.com/aubrie.haro</v>
      </c>
      <c r="K628">
        <v>2241</v>
      </c>
      <c r="N628" t="s">
        <v>59</v>
      </c>
      <c r="O628" t="s">
        <v>2564</v>
      </c>
      <c r="P628" t="str">
        <f>HYPERLINK("http://instagram.com/aubrie.haro")</f>
        <v>http://instagram.com/aubrie.haro</v>
      </c>
      <c r="Q628">
        <v>2241</v>
      </c>
      <c r="R628" t="s">
        <v>60</v>
      </c>
      <c r="S628" t="s">
        <v>51</v>
      </c>
      <c r="T628" t="s">
        <v>2420</v>
      </c>
      <c r="U628" t="s">
        <v>2421</v>
      </c>
      <c r="W628">
        <v>77</v>
      </c>
      <c r="X628">
        <v>77</v>
      </c>
      <c r="AE628">
        <v>6</v>
      </c>
      <c r="AI628" t="s">
        <v>108</v>
      </c>
      <c r="AJ628" t="s">
        <v>2072</v>
      </c>
      <c r="AK628" t="s">
        <v>2565</v>
      </c>
      <c r="AL628" t="str">
        <f>HYPERLINK("https://www.instagram.com/p/BzHgzaxBMXw/media/?size=l")</f>
        <v>https://www.instagram.com/p/BzHgzaxBMXw/media/?size=l</v>
      </c>
      <c r="AM628" t="s">
        <v>52</v>
      </c>
      <c r="AN628" t="s">
        <v>53</v>
      </c>
    </row>
    <row r="629" spans="1:40">
      <c r="A629" t="s">
        <v>2370</v>
      </c>
      <c r="B629" t="s">
        <v>2566</v>
      </c>
      <c r="C629" t="s">
        <v>2567</v>
      </c>
      <c r="D629" t="s">
        <v>52</v>
      </c>
      <c r="E629" t="s">
        <v>2568</v>
      </c>
      <c r="F629" t="s">
        <v>131</v>
      </c>
      <c r="G629" t="str">
        <f>HYPERLINK("https://twitter.com/3045214688/status/1143357569106350081")</f>
        <v>https://twitter.com/3045214688/status/1143357569106350081</v>
      </c>
      <c r="H629" t="s">
        <v>215</v>
      </c>
      <c r="I629" t="s">
        <v>2569</v>
      </c>
      <c r="J629" t="str">
        <f>HYPERLINK("http://twitter.com/_Maggaffle_")</f>
        <v>http://twitter.com/_Maggaffle_</v>
      </c>
      <c r="K629">
        <v>227</v>
      </c>
      <c r="N629" t="s">
        <v>65</v>
      </c>
      <c r="R629" t="s">
        <v>60</v>
      </c>
      <c r="W629">
        <v>0</v>
      </c>
      <c r="X629">
        <v>0</v>
      </c>
      <c r="AE629">
        <v>0</v>
      </c>
      <c r="AM629" t="s">
        <v>52</v>
      </c>
      <c r="AN629" t="s">
        <v>53</v>
      </c>
    </row>
    <row r="630" spans="1:40">
      <c r="A630" t="s">
        <v>2370</v>
      </c>
      <c r="B630" t="s">
        <v>2566</v>
      </c>
      <c r="C630" t="s">
        <v>2059</v>
      </c>
      <c r="D630" t="s">
        <v>2570</v>
      </c>
      <c r="E630" t="s">
        <v>2570</v>
      </c>
      <c r="F630" t="s">
        <v>45</v>
      </c>
      <c r="G630" t="str">
        <f>HYPERLINK("https://www.youtube.com/watch?v=5bwrqzpqVu4")</f>
        <v>https://www.youtube.com/watch?v=5bwrqzpqVu4</v>
      </c>
      <c r="H630" t="s">
        <v>46</v>
      </c>
      <c r="I630" t="s">
        <v>2571</v>
      </c>
      <c r="J630" t="str">
        <f>HYPERLINK("https://www.youtube.com/channel/UC_4TxVgSNWSruvjGtLdzs_Q")</f>
        <v>https://www.youtube.com/channel/UC_4TxVgSNWSruvjGtLdzs_Q</v>
      </c>
      <c r="K630">
        <v>51</v>
      </c>
      <c r="N630" t="s">
        <v>116</v>
      </c>
      <c r="O630" t="s">
        <v>2571</v>
      </c>
      <c r="P630" t="str">
        <f>HYPERLINK("https://www.youtube.com/channel/UC_4TxVgSNWSruvjGtLdzs_Q")</f>
        <v>https://www.youtube.com/channel/UC_4TxVgSNWSruvjGtLdzs_Q</v>
      </c>
      <c r="Q630">
        <v>51</v>
      </c>
      <c r="R630" t="s">
        <v>60</v>
      </c>
      <c r="W630">
        <v>0</v>
      </c>
      <c r="X630">
        <v>0</v>
      </c>
      <c r="AD630">
        <v>0</v>
      </c>
      <c r="AE630">
        <v>0</v>
      </c>
      <c r="AG630">
        <v>0</v>
      </c>
      <c r="AI630" t="s">
        <v>52</v>
      </c>
      <c r="AJ630" t="s">
        <v>52</v>
      </c>
      <c r="AK630" t="s">
        <v>52</v>
      </c>
      <c r="AL630" t="str">
        <f>HYPERLINK("https://i.ytimg.com/vi/5bwrqzpqVu4/hqdefault.jpg")</f>
        <v>https://i.ytimg.com/vi/5bwrqzpqVu4/hqdefault.jpg</v>
      </c>
      <c r="AM630" t="s">
        <v>52</v>
      </c>
      <c r="AN630" t="s">
        <v>53</v>
      </c>
    </row>
    <row r="631" spans="1:40">
      <c r="A631" t="s">
        <v>2370</v>
      </c>
      <c r="B631" t="s">
        <v>2572</v>
      </c>
      <c r="C631" t="s">
        <v>2573</v>
      </c>
      <c r="D631" t="s">
        <v>52</v>
      </c>
      <c r="E631" t="s">
        <v>2574</v>
      </c>
      <c r="F631" t="s">
        <v>45</v>
      </c>
      <c r="G631" t="str">
        <f>HYPERLINK("https://www.instagram.com/p/BzHgjOZp1SY")</f>
        <v>https://www.instagram.com/p/BzHgjOZp1SY</v>
      </c>
      <c r="H631" t="s">
        <v>215</v>
      </c>
      <c r="I631" t="s">
        <v>2575</v>
      </c>
      <c r="J631" t="str">
        <f>HYPERLINK("http://instagram.com/queens.rush")</f>
        <v>http://instagram.com/queens.rush</v>
      </c>
      <c r="K631">
        <v>1330</v>
      </c>
      <c r="N631" t="s">
        <v>59</v>
      </c>
      <c r="O631" t="s">
        <v>2575</v>
      </c>
      <c r="P631" t="str">
        <f>HYPERLINK("http://instagram.com/queens.rush")</f>
        <v>http://instagram.com/queens.rush</v>
      </c>
      <c r="Q631">
        <v>1330</v>
      </c>
      <c r="R631" t="s">
        <v>60</v>
      </c>
      <c r="W631">
        <v>11</v>
      </c>
      <c r="X631">
        <v>11</v>
      </c>
      <c r="AE631">
        <v>2</v>
      </c>
      <c r="AI631" t="s">
        <v>108</v>
      </c>
      <c r="AJ631" t="s">
        <v>52</v>
      </c>
      <c r="AK631" t="s">
        <v>2565</v>
      </c>
      <c r="AL631" t="str">
        <f>HYPERLINK("https://www.instagram.com/p/BzHgjOZp1SY/media/?size=l")</f>
        <v>https://www.instagram.com/p/BzHgjOZp1SY/media/?size=l</v>
      </c>
      <c r="AM631" t="s">
        <v>52</v>
      </c>
      <c r="AN631" t="s">
        <v>53</v>
      </c>
    </row>
    <row r="632" spans="1:40">
      <c r="A632" t="s">
        <v>2370</v>
      </c>
      <c r="B632" t="s">
        <v>2576</v>
      </c>
      <c r="C632" t="s">
        <v>2577</v>
      </c>
      <c r="D632" t="s">
        <v>52</v>
      </c>
      <c r="E632" t="s">
        <v>2578</v>
      </c>
      <c r="F632" t="s">
        <v>45</v>
      </c>
      <c r="G632" t="str">
        <f>HYPERLINK("https://twitter.com/29154705/status/1143357137009160193")</f>
        <v>https://twitter.com/29154705/status/1143357137009160193</v>
      </c>
      <c r="H632" t="s">
        <v>46</v>
      </c>
      <c r="I632" t="s">
        <v>2579</v>
      </c>
      <c r="J632" t="str">
        <f>HYPERLINK("http://twitter.com/quanye21")</f>
        <v>http://twitter.com/quanye21</v>
      </c>
      <c r="K632">
        <v>138</v>
      </c>
      <c r="N632" t="s">
        <v>65</v>
      </c>
      <c r="R632" t="s">
        <v>60</v>
      </c>
      <c r="W632">
        <v>0</v>
      </c>
      <c r="X632">
        <v>0</v>
      </c>
      <c r="AE632">
        <v>0</v>
      </c>
      <c r="AF632">
        <v>0</v>
      </c>
      <c r="AM632" t="s">
        <v>52</v>
      </c>
      <c r="AN632" t="s">
        <v>53</v>
      </c>
    </row>
    <row r="633" spans="1:40">
      <c r="A633" t="s">
        <v>2370</v>
      </c>
      <c r="B633" t="s">
        <v>2580</v>
      </c>
      <c r="C633" t="s">
        <v>2581</v>
      </c>
      <c r="D633" t="s">
        <v>52</v>
      </c>
      <c r="E633" t="s">
        <v>1500</v>
      </c>
      <c r="F633" t="s">
        <v>71</v>
      </c>
      <c r="G633" t="str">
        <f>HYPERLINK("https://twitter.com/1135239795670732802/status/1143356828409061376")</f>
        <v>https://twitter.com/1135239795670732802/status/1143356828409061376</v>
      </c>
      <c r="H633" t="s">
        <v>46</v>
      </c>
      <c r="I633" t="s">
        <v>2582</v>
      </c>
      <c r="J633" t="str">
        <f>HYPERLINK("http://twitter.com/Tropix22")</f>
        <v>http://twitter.com/Tropix22</v>
      </c>
      <c r="K633">
        <v>442</v>
      </c>
      <c r="N633" t="s">
        <v>65</v>
      </c>
      <c r="R633" t="s">
        <v>60</v>
      </c>
      <c r="W633">
        <v>0</v>
      </c>
      <c r="X633">
        <v>0</v>
      </c>
      <c r="AE633">
        <v>0</v>
      </c>
      <c r="AF633">
        <v>0</v>
      </c>
      <c r="AI633" t="s">
        <v>52</v>
      </c>
      <c r="AJ633" t="s">
        <v>52</v>
      </c>
      <c r="AK633" t="s">
        <v>52</v>
      </c>
      <c r="AL633" t="str">
        <f>HYPERLINK("https://pbs.twimg.com/media/D931w5HXoAENDHw.jpg")</f>
        <v>https://pbs.twimg.com/media/D931w5HXoAENDHw.jpg</v>
      </c>
      <c r="AM633" t="s">
        <v>52</v>
      </c>
      <c r="AN633" t="s">
        <v>53</v>
      </c>
    </row>
    <row r="634" spans="1:40">
      <c r="A634" t="s">
        <v>2370</v>
      </c>
      <c r="B634" t="s">
        <v>2580</v>
      </c>
      <c r="C634" t="s">
        <v>2583</v>
      </c>
      <c r="D634" t="s">
        <v>52</v>
      </c>
      <c r="E634" t="s">
        <v>2584</v>
      </c>
      <c r="F634" t="s">
        <v>45</v>
      </c>
      <c r="G634" t="str">
        <f>HYPERLINK("https://twitter.com/552480729/status/1143356797979439104")</f>
        <v>https://twitter.com/552480729/status/1143356797979439104</v>
      </c>
      <c r="H634" t="s">
        <v>46</v>
      </c>
      <c r="I634" t="s">
        <v>2585</v>
      </c>
      <c r="J634" t="str">
        <f>HYPERLINK("http://twitter.com/fuckmycalories")</f>
        <v>http://twitter.com/fuckmycalories</v>
      </c>
      <c r="K634">
        <v>30</v>
      </c>
      <c r="N634" t="s">
        <v>65</v>
      </c>
      <c r="R634" t="s">
        <v>60</v>
      </c>
      <c r="W634">
        <v>0</v>
      </c>
      <c r="X634">
        <v>0</v>
      </c>
      <c r="AE634">
        <v>1</v>
      </c>
      <c r="AF634">
        <v>0</v>
      </c>
      <c r="AM634" t="s">
        <v>52</v>
      </c>
      <c r="AN634" t="s">
        <v>53</v>
      </c>
    </row>
    <row r="635" spans="1:40">
      <c r="A635" t="s">
        <v>2370</v>
      </c>
      <c r="B635" t="s">
        <v>2580</v>
      </c>
      <c r="C635" t="s">
        <v>2583</v>
      </c>
      <c r="D635" t="s">
        <v>52</v>
      </c>
      <c r="E635" t="s">
        <v>2586</v>
      </c>
      <c r="F635" t="s">
        <v>45</v>
      </c>
      <c r="G635" t="str">
        <f>HYPERLINK("https://twitter.com/1267868336/status/1143356784599543814")</f>
        <v>https://twitter.com/1267868336/status/1143356784599543814</v>
      </c>
      <c r="H635" t="s">
        <v>46</v>
      </c>
      <c r="I635" t="s">
        <v>2587</v>
      </c>
      <c r="J635" t="str">
        <f>HYPERLINK("http://twitter.com/Ruben_f2015")</f>
        <v>http://twitter.com/Ruben_f2015</v>
      </c>
      <c r="K635">
        <v>334</v>
      </c>
      <c r="L635" t="s">
        <v>48</v>
      </c>
      <c r="N635" t="s">
        <v>65</v>
      </c>
      <c r="R635" t="s">
        <v>60</v>
      </c>
      <c r="S635" t="s">
        <v>51</v>
      </c>
      <c r="T635" t="s">
        <v>152</v>
      </c>
      <c r="U635" t="s">
        <v>2588</v>
      </c>
      <c r="W635">
        <v>0</v>
      </c>
      <c r="X635">
        <v>0</v>
      </c>
      <c r="AE635">
        <v>0</v>
      </c>
      <c r="AF635">
        <v>0</v>
      </c>
      <c r="AM635" t="s">
        <v>52</v>
      </c>
      <c r="AN635" t="s">
        <v>53</v>
      </c>
    </row>
    <row r="636" spans="1:40">
      <c r="A636" t="s">
        <v>2370</v>
      </c>
      <c r="B636" t="s">
        <v>2580</v>
      </c>
      <c r="C636" t="s">
        <v>2589</v>
      </c>
      <c r="D636" t="s">
        <v>52</v>
      </c>
      <c r="E636" t="s">
        <v>2590</v>
      </c>
      <c r="F636" t="s">
        <v>71</v>
      </c>
      <c r="G636" t="str">
        <f>HYPERLINK("https://twitter.com/996901232404033536/status/1143356737698881536")</f>
        <v>https://twitter.com/996901232404033536/status/1143356737698881536</v>
      </c>
      <c r="H636" t="s">
        <v>46</v>
      </c>
      <c r="I636" t="s">
        <v>2591</v>
      </c>
      <c r="J636" t="str">
        <f>HYPERLINK("http://twitter.com/m3gapuff1n")</f>
        <v>http://twitter.com/m3gapuff1n</v>
      </c>
      <c r="K636">
        <v>41</v>
      </c>
      <c r="N636" t="s">
        <v>65</v>
      </c>
      <c r="R636" t="s">
        <v>60</v>
      </c>
      <c r="W636">
        <v>4</v>
      </c>
      <c r="X636">
        <v>4</v>
      </c>
      <c r="AE636">
        <v>1</v>
      </c>
      <c r="AF636">
        <v>0</v>
      </c>
      <c r="AI636" t="s">
        <v>52</v>
      </c>
      <c r="AJ636" t="s">
        <v>2592</v>
      </c>
      <c r="AK636" t="s">
        <v>52</v>
      </c>
      <c r="AL636" t="str">
        <f>HYPERLINK("https://pbs.twimg.com/ext_tw_video_thumb/1142259823918010368/pu/img/o3a9pExcTjU62-ui.jpg")</f>
        <v>https://pbs.twimg.com/ext_tw_video_thumb/1142259823918010368/pu/img/o3a9pExcTjU62-ui.jpg</v>
      </c>
      <c r="AM636" t="s">
        <v>52</v>
      </c>
      <c r="AN636" t="s">
        <v>53</v>
      </c>
    </row>
    <row r="637" spans="1:40">
      <c r="A637" t="s">
        <v>2370</v>
      </c>
      <c r="B637" t="s">
        <v>2580</v>
      </c>
      <c r="C637" t="s">
        <v>2589</v>
      </c>
      <c r="D637" t="s">
        <v>52</v>
      </c>
      <c r="E637" t="s">
        <v>2593</v>
      </c>
      <c r="F637" t="s">
        <v>71</v>
      </c>
      <c r="G637" t="str">
        <f>HYPERLINK("https://twitter.com/1712203195/status/1143356726311149570")</f>
        <v>https://twitter.com/1712203195/status/1143356726311149570</v>
      </c>
      <c r="H637" t="s">
        <v>46</v>
      </c>
      <c r="I637" t="s">
        <v>2594</v>
      </c>
      <c r="J637" t="str">
        <f>HYPERLINK("http://twitter.com/breezelynmorita")</f>
        <v>http://twitter.com/breezelynmorita</v>
      </c>
      <c r="K637">
        <v>487</v>
      </c>
      <c r="N637" t="s">
        <v>65</v>
      </c>
      <c r="R637" t="s">
        <v>60</v>
      </c>
      <c r="S637" t="s">
        <v>51</v>
      </c>
      <c r="T637" t="s">
        <v>1916</v>
      </c>
      <c r="U637" t="s">
        <v>2595</v>
      </c>
      <c r="W637">
        <v>0</v>
      </c>
      <c r="X637">
        <v>0</v>
      </c>
      <c r="AE637">
        <v>0</v>
      </c>
      <c r="AF637">
        <v>0</v>
      </c>
      <c r="AI637" t="s">
        <v>52</v>
      </c>
      <c r="AJ637" t="s">
        <v>52</v>
      </c>
      <c r="AK637" t="s">
        <v>52</v>
      </c>
      <c r="AL637" t="str">
        <f>HYPERLINK("https://pbs.twimg.com/ext_tw_video_thumb/1142301035173539841/pu/img/20rbC5MGGxR8tgy3.jpg")</f>
        <v>https://pbs.twimg.com/ext_tw_video_thumb/1142301035173539841/pu/img/20rbC5MGGxR8tgy3.jpg</v>
      </c>
      <c r="AM637" t="s">
        <v>52</v>
      </c>
      <c r="AN637" t="s">
        <v>53</v>
      </c>
    </row>
    <row r="638" spans="1:40">
      <c r="A638" t="s">
        <v>2370</v>
      </c>
      <c r="B638" t="s">
        <v>2580</v>
      </c>
      <c r="C638" t="s">
        <v>2577</v>
      </c>
      <c r="D638" t="s">
        <v>52</v>
      </c>
      <c r="E638" t="s">
        <v>2596</v>
      </c>
      <c r="F638" t="s">
        <v>95</v>
      </c>
      <c r="G638" t="str">
        <f>HYPERLINK("https://twitter.com/1030855323060449280/status/1143356656031543297")</f>
        <v>https://twitter.com/1030855323060449280/status/1143356656031543297</v>
      </c>
      <c r="H638" t="s">
        <v>46</v>
      </c>
      <c r="I638" t="s">
        <v>2597</v>
      </c>
      <c r="J638" t="str">
        <f>HYPERLINK("http://twitter.com/JediMammoth")</f>
        <v>http://twitter.com/JediMammoth</v>
      </c>
      <c r="K638">
        <v>685</v>
      </c>
      <c r="N638" t="s">
        <v>65</v>
      </c>
      <c r="R638" t="s">
        <v>60</v>
      </c>
      <c r="S638" t="s">
        <v>51</v>
      </c>
      <c r="T638" t="s">
        <v>152</v>
      </c>
      <c r="W638">
        <v>1</v>
      </c>
      <c r="X638">
        <v>1</v>
      </c>
      <c r="AE638">
        <v>0</v>
      </c>
      <c r="AF638">
        <v>0</v>
      </c>
      <c r="AM638" t="s">
        <v>52</v>
      </c>
      <c r="AN638" t="s">
        <v>53</v>
      </c>
    </row>
    <row r="639" spans="1:40">
      <c r="A639" t="s">
        <v>2370</v>
      </c>
      <c r="B639" t="s">
        <v>2580</v>
      </c>
      <c r="C639" t="s">
        <v>2577</v>
      </c>
      <c r="D639" t="s">
        <v>52</v>
      </c>
      <c r="E639" t="s">
        <v>2598</v>
      </c>
      <c r="F639" t="s">
        <v>95</v>
      </c>
      <c r="G639" t="str">
        <f>HYPERLINK("https://twitter.com/1965697050/status/1143356653800185856")</f>
        <v>https://twitter.com/1965697050/status/1143356653800185856</v>
      </c>
      <c r="H639" t="s">
        <v>46</v>
      </c>
      <c r="I639" t="s">
        <v>2599</v>
      </c>
      <c r="J639" t="str">
        <f>HYPERLINK("http://twitter.com/JohnnyAllen1976")</f>
        <v>http://twitter.com/JohnnyAllen1976</v>
      </c>
      <c r="K639">
        <v>69</v>
      </c>
      <c r="L639" t="s">
        <v>48</v>
      </c>
      <c r="N639" t="s">
        <v>65</v>
      </c>
      <c r="R639" t="s">
        <v>60</v>
      </c>
      <c r="S639" t="s">
        <v>51</v>
      </c>
      <c r="T639" t="s">
        <v>497</v>
      </c>
      <c r="U639" t="s">
        <v>2600</v>
      </c>
      <c r="W639">
        <v>0</v>
      </c>
      <c r="X639">
        <v>0</v>
      </c>
      <c r="AE639">
        <v>0</v>
      </c>
      <c r="AF639">
        <v>0</v>
      </c>
      <c r="AI639" t="s">
        <v>52</v>
      </c>
      <c r="AJ639" t="s">
        <v>52</v>
      </c>
      <c r="AK639" t="s">
        <v>341</v>
      </c>
      <c r="AL639" t="str">
        <f>HYPERLINK("https://pbs.twimg.com/tweet_video_thumb/D94E0EtXUAIpKIn.jpg")</f>
        <v>https://pbs.twimg.com/tweet_video_thumb/D94E0EtXUAIpKIn.jpg</v>
      </c>
      <c r="AM639" t="s">
        <v>52</v>
      </c>
      <c r="AN639" t="s">
        <v>53</v>
      </c>
    </row>
    <row r="640" spans="1:40">
      <c r="A640" t="s">
        <v>2370</v>
      </c>
      <c r="B640" t="s">
        <v>2601</v>
      </c>
      <c r="C640" t="s">
        <v>2602</v>
      </c>
      <c r="D640" t="s">
        <v>52</v>
      </c>
      <c r="E640" t="s">
        <v>2603</v>
      </c>
      <c r="F640" t="s">
        <v>45</v>
      </c>
      <c r="G640" t="str">
        <f>HYPERLINK("https://www.instagram.com/p/BzHgNjTAUZu")</f>
        <v>https://www.instagram.com/p/BzHgNjTAUZu</v>
      </c>
      <c r="H640" t="s">
        <v>46</v>
      </c>
      <c r="I640" t="s">
        <v>2604</v>
      </c>
      <c r="J640" t="str">
        <f>HYPERLINK("http://instagram.com/criskevilyn")</f>
        <v>http://instagram.com/criskevilyn</v>
      </c>
      <c r="K640">
        <v>278</v>
      </c>
      <c r="N640" t="s">
        <v>59</v>
      </c>
      <c r="O640" t="s">
        <v>2604</v>
      </c>
      <c r="P640" t="str">
        <f>HYPERLINK("http://instagram.com/criskevilyn")</f>
        <v>http://instagram.com/criskevilyn</v>
      </c>
      <c r="Q640">
        <v>278</v>
      </c>
      <c r="R640" t="s">
        <v>60</v>
      </c>
      <c r="W640">
        <v>5</v>
      </c>
      <c r="X640">
        <v>5</v>
      </c>
      <c r="AE640">
        <v>0</v>
      </c>
      <c r="AI640" t="s">
        <v>108</v>
      </c>
      <c r="AJ640" t="s">
        <v>52</v>
      </c>
      <c r="AK640" t="s">
        <v>52</v>
      </c>
      <c r="AL640" t="str">
        <f>HYPERLINK("https://www.instagram.com/p/BzHgNjTAUZu/media/?size=l")</f>
        <v>https://www.instagram.com/p/BzHgNjTAUZu/media/?size=l</v>
      </c>
      <c r="AM640" t="s">
        <v>52</v>
      </c>
      <c r="AN640" t="s">
        <v>53</v>
      </c>
    </row>
    <row r="641" spans="1:40">
      <c r="A641" t="s">
        <v>2370</v>
      </c>
      <c r="B641" t="s">
        <v>2605</v>
      </c>
      <c r="C641" t="s">
        <v>2606</v>
      </c>
      <c r="D641" t="s">
        <v>52</v>
      </c>
      <c r="E641" t="s">
        <v>599</v>
      </c>
      <c r="F641" t="s">
        <v>131</v>
      </c>
      <c r="G641" t="str">
        <f>HYPERLINK("https://twitter.com/743137164368744448/status/1143355456989138945")</f>
        <v>https://twitter.com/743137164368744448/status/1143355456989138945</v>
      </c>
      <c r="H641" t="s">
        <v>46</v>
      </c>
      <c r="I641" t="s">
        <v>2607</v>
      </c>
      <c r="J641" t="str">
        <f>HYPERLINK("http://twitter.com/SonicFangarcia9")</f>
        <v>http://twitter.com/SonicFangarcia9</v>
      </c>
      <c r="K641">
        <v>425</v>
      </c>
      <c r="L641" t="s">
        <v>58</v>
      </c>
      <c r="N641" t="s">
        <v>65</v>
      </c>
      <c r="R641" t="s">
        <v>60</v>
      </c>
      <c r="S641" t="s">
        <v>444</v>
      </c>
      <c r="T641" t="s">
        <v>2608</v>
      </c>
      <c r="U641" t="s">
        <v>2609</v>
      </c>
      <c r="W641">
        <v>0</v>
      </c>
      <c r="X641">
        <v>0</v>
      </c>
      <c r="AE641">
        <v>0</v>
      </c>
      <c r="AI641" t="s">
        <v>108</v>
      </c>
      <c r="AJ641" t="s">
        <v>52</v>
      </c>
      <c r="AK641" t="s">
        <v>601</v>
      </c>
      <c r="AL641" t="str">
        <f>HYPERLINK("https://pbs.twimg.com/ext_tw_video_thumb/1143202185154584581/pu/img/K72qfBH8zIdbiUf-.jpg")</f>
        <v>https://pbs.twimg.com/ext_tw_video_thumb/1143202185154584581/pu/img/K72qfBH8zIdbiUf-.jpg</v>
      </c>
      <c r="AM641" t="s">
        <v>52</v>
      </c>
      <c r="AN641" t="s">
        <v>53</v>
      </c>
    </row>
    <row r="642" spans="1:40">
      <c r="A642" t="s">
        <v>2370</v>
      </c>
      <c r="B642" t="s">
        <v>2605</v>
      </c>
      <c r="C642" t="s">
        <v>2606</v>
      </c>
      <c r="D642" t="s">
        <v>52</v>
      </c>
      <c r="E642" t="s">
        <v>599</v>
      </c>
      <c r="F642" t="s">
        <v>131</v>
      </c>
      <c r="G642" t="str">
        <f>HYPERLINK("https://twitter.com/1030478221/status/1143355451762888705")</f>
        <v>https://twitter.com/1030478221/status/1143355451762888705</v>
      </c>
      <c r="H642" t="s">
        <v>46</v>
      </c>
      <c r="I642" t="s">
        <v>2610</v>
      </c>
      <c r="J642" t="str">
        <f>HYPERLINK("http://twitter.com/sabellasatyacha")</f>
        <v>http://twitter.com/sabellasatyacha</v>
      </c>
      <c r="K642">
        <v>27</v>
      </c>
      <c r="N642" t="s">
        <v>65</v>
      </c>
      <c r="R642" t="s">
        <v>60</v>
      </c>
      <c r="S642" t="s">
        <v>315</v>
      </c>
      <c r="T642" t="s">
        <v>2336</v>
      </c>
      <c r="U642" t="s">
        <v>2337</v>
      </c>
      <c r="W642">
        <v>0</v>
      </c>
      <c r="X642">
        <v>0</v>
      </c>
      <c r="AE642">
        <v>0</v>
      </c>
      <c r="AI642" t="s">
        <v>108</v>
      </c>
      <c r="AJ642" t="s">
        <v>52</v>
      </c>
      <c r="AK642" t="s">
        <v>601</v>
      </c>
      <c r="AL642" t="str">
        <f>HYPERLINK("https://pbs.twimg.com/ext_tw_video_thumb/1143202185154584581/pu/img/K72qfBH8zIdbiUf-.jpg")</f>
        <v>https://pbs.twimg.com/ext_tw_video_thumb/1143202185154584581/pu/img/K72qfBH8zIdbiUf-.jpg</v>
      </c>
      <c r="AM642" t="s">
        <v>52</v>
      </c>
      <c r="AN642" t="s">
        <v>53</v>
      </c>
    </row>
    <row r="643" spans="1:40">
      <c r="A643" t="s">
        <v>2370</v>
      </c>
      <c r="B643" t="s">
        <v>2611</v>
      </c>
      <c r="C643" t="s">
        <v>2612</v>
      </c>
      <c r="D643" t="s">
        <v>52</v>
      </c>
      <c r="E643" t="s">
        <v>2613</v>
      </c>
      <c r="F643" t="s">
        <v>95</v>
      </c>
      <c r="G643" t="str">
        <f>HYPERLINK("https://twitter.com/213957233/status/1143355345588379648")</f>
        <v>https://twitter.com/213957233/status/1143355345588379648</v>
      </c>
      <c r="H643" t="s">
        <v>46</v>
      </c>
      <c r="I643" t="s">
        <v>2614</v>
      </c>
      <c r="J643" t="str">
        <f>HYPERLINK("http://twitter.com/Girc26")</f>
        <v>http://twitter.com/Girc26</v>
      </c>
      <c r="K643">
        <v>1355</v>
      </c>
      <c r="N643" t="s">
        <v>65</v>
      </c>
      <c r="R643" t="s">
        <v>60</v>
      </c>
      <c r="S643" t="s">
        <v>2187</v>
      </c>
      <c r="W643">
        <v>0</v>
      </c>
      <c r="X643">
        <v>0</v>
      </c>
      <c r="AE643">
        <v>1</v>
      </c>
      <c r="AF643">
        <v>0</v>
      </c>
      <c r="AM643" t="s">
        <v>52</v>
      </c>
      <c r="AN643" t="s">
        <v>53</v>
      </c>
    </row>
    <row r="644" spans="1:40">
      <c r="A644" t="s">
        <v>2370</v>
      </c>
      <c r="B644" t="s">
        <v>2611</v>
      </c>
      <c r="C644" t="s">
        <v>2615</v>
      </c>
      <c r="D644" t="s">
        <v>52</v>
      </c>
      <c r="E644" t="s">
        <v>1194</v>
      </c>
      <c r="F644" t="s">
        <v>131</v>
      </c>
      <c r="G644" t="str">
        <f>HYPERLINK("https://twitter.com/103035452/status/1143355279758823425")</f>
        <v>https://twitter.com/103035452/status/1143355279758823425</v>
      </c>
      <c r="H644" t="s">
        <v>46</v>
      </c>
      <c r="I644" t="s">
        <v>2616</v>
      </c>
      <c r="J644" t="str">
        <f>HYPERLINK("http://twitter.com/carlyglez14")</f>
        <v>http://twitter.com/carlyglez14</v>
      </c>
      <c r="K644">
        <v>415</v>
      </c>
      <c r="N644" t="s">
        <v>65</v>
      </c>
      <c r="R644" t="s">
        <v>60</v>
      </c>
      <c r="S644" t="s">
        <v>437</v>
      </c>
      <c r="T644" t="s">
        <v>528</v>
      </c>
      <c r="U644" t="s">
        <v>529</v>
      </c>
      <c r="W644">
        <v>0</v>
      </c>
      <c r="X644">
        <v>0</v>
      </c>
      <c r="AE644">
        <v>0</v>
      </c>
      <c r="AI644" t="s">
        <v>52</v>
      </c>
      <c r="AJ644" t="s">
        <v>1196</v>
      </c>
      <c r="AK644" t="s">
        <v>52</v>
      </c>
      <c r="AL644" t="str">
        <f>HYPERLINK("https://pbs.twimg.com/media/D9xgk2YXkAAd2ql.jpg")</f>
        <v>https://pbs.twimg.com/media/D9xgk2YXkAAd2ql.jpg</v>
      </c>
      <c r="AM644" t="s">
        <v>52</v>
      </c>
      <c r="AN644" t="s">
        <v>53</v>
      </c>
    </row>
    <row r="645" spans="1:40">
      <c r="A645" t="s">
        <v>2370</v>
      </c>
      <c r="B645" t="s">
        <v>2611</v>
      </c>
      <c r="C645" t="s">
        <v>2615</v>
      </c>
      <c r="D645" t="s">
        <v>52</v>
      </c>
      <c r="E645" t="s">
        <v>2617</v>
      </c>
      <c r="F645" t="s">
        <v>45</v>
      </c>
      <c r="G645" t="str">
        <f>HYPERLINK("https://twitter.com/789184104315047937/status/1143355268115369985")</f>
        <v>https://twitter.com/789184104315047937/status/1143355268115369985</v>
      </c>
      <c r="H645" t="s">
        <v>215</v>
      </c>
      <c r="I645" t="s">
        <v>2618</v>
      </c>
      <c r="J645" t="str">
        <f>HYPERLINK("http://twitter.com/swagamilly")</f>
        <v>http://twitter.com/swagamilly</v>
      </c>
      <c r="K645">
        <v>42</v>
      </c>
      <c r="N645" t="s">
        <v>65</v>
      </c>
      <c r="R645" t="s">
        <v>60</v>
      </c>
      <c r="S645" t="s">
        <v>51</v>
      </c>
      <c r="T645" t="s">
        <v>137</v>
      </c>
      <c r="U645" t="s">
        <v>2619</v>
      </c>
      <c r="W645">
        <v>1</v>
      </c>
      <c r="X645">
        <v>1</v>
      </c>
      <c r="AE645">
        <v>0</v>
      </c>
      <c r="AF645">
        <v>0</v>
      </c>
      <c r="AM645" t="s">
        <v>52</v>
      </c>
      <c r="AN645" t="s">
        <v>53</v>
      </c>
    </row>
    <row r="646" spans="1:40">
      <c r="A646" t="s">
        <v>2370</v>
      </c>
      <c r="B646" t="s">
        <v>2611</v>
      </c>
      <c r="C646" t="s">
        <v>2615</v>
      </c>
      <c r="D646" t="s">
        <v>52</v>
      </c>
      <c r="E646" t="s">
        <v>2620</v>
      </c>
      <c r="F646" t="s">
        <v>95</v>
      </c>
      <c r="G646" t="str">
        <f>HYPERLINK("https://twitter.com/1095123891276660738/status/1143355268178350080")</f>
        <v>https://twitter.com/1095123891276660738/status/1143355268178350080</v>
      </c>
      <c r="H646" t="s">
        <v>46</v>
      </c>
      <c r="I646" t="s">
        <v>2621</v>
      </c>
      <c r="J646" t="str">
        <f>HYPERLINK("http://twitter.com/zhabibc")</f>
        <v>http://twitter.com/zhabibc</v>
      </c>
      <c r="K646">
        <v>42</v>
      </c>
      <c r="N646" t="s">
        <v>65</v>
      </c>
      <c r="R646" t="s">
        <v>60</v>
      </c>
      <c r="W646">
        <v>0</v>
      </c>
      <c r="X646">
        <v>0</v>
      </c>
      <c r="AE646">
        <v>0</v>
      </c>
      <c r="AF646">
        <v>0</v>
      </c>
      <c r="AM646" t="s">
        <v>52</v>
      </c>
      <c r="AN646" t="s">
        <v>53</v>
      </c>
    </row>
    <row r="647" spans="1:40">
      <c r="A647" t="s">
        <v>2370</v>
      </c>
      <c r="B647" t="s">
        <v>2622</v>
      </c>
      <c r="C647" t="s">
        <v>2623</v>
      </c>
      <c r="D647" t="s">
        <v>52</v>
      </c>
      <c r="E647" t="s">
        <v>2624</v>
      </c>
      <c r="F647" t="s">
        <v>45</v>
      </c>
      <c r="G647" t="str">
        <f>HYPERLINK("https://www.instagram.com/p/BzHfh3iFkss")</f>
        <v>https://www.instagram.com/p/BzHfh3iFkss</v>
      </c>
      <c r="H647" t="s">
        <v>46</v>
      </c>
      <c r="I647" t="s">
        <v>2625</v>
      </c>
      <c r="J647" t="str">
        <f>HYPERLINK("http://instagram.com/richieroesch")</f>
        <v>http://instagram.com/richieroesch</v>
      </c>
      <c r="K647">
        <v>0</v>
      </c>
      <c r="N647" t="s">
        <v>59</v>
      </c>
      <c r="O647" t="s">
        <v>2625</v>
      </c>
      <c r="P647" t="str">
        <f>HYPERLINK("http://instagram.com/richieroesch")</f>
        <v>http://instagram.com/richieroesch</v>
      </c>
      <c r="Q647">
        <v>0</v>
      </c>
      <c r="R647" t="s">
        <v>60</v>
      </c>
      <c r="W647">
        <v>14</v>
      </c>
      <c r="X647">
        <v>14</v>
      </c>
      <c r="AE647">
        <v>0</v>
      </c>
      <c r="AI647" t="s">
        <v>52</v>
      </c>
      <c r="AJ647" t="s">
        <v>52</v>
      </c>
      <c r="AK647" t="s">
        <v>52</v>
      </c>
      <c r="AL647" t="str">
        <f>HYPERLINK("https://www.instagram.com/p/BzHfh3iFkss/media/?size=l")</f>
        <v>https://www.instagram.com/p/BzHfh3iFkss/media/?size=l</v>
      </c>
      <c r="AM647" t="s">
        <v>52</v>
      </c>
      <c r="AN647" t="s">
        <v>53</v>
      </c>
    </row>
    <row r="648" spans="1:40">
      <c r="A648" t="s">
        <v>2370</v>
      </c>
      <c r="B648" t="s">
        <v>2626</v>
      </c>
      <c r="C648" t="s">
        <v>2627</v>
      </c>
      <c r="D648" t="s">
        <v>52</v>
      </c>
      <c r="E648" t="s">
        <v>2628</v>
      </c>
      <c r="F648" t="s">
        <v>95</v>
      </c>
      <c r="G648" t="str">
        <f>HYPERLINK("https://twitter.com/890916747741724672/status/1143354842565545984")</f>
        <v>https://twitter.com/890916747741724672/status/1143354842565545984</v>
      </c>
      <c r="H648" t="s">
        <v>46</v>
      </c>
      <c r="I648" t="s">
        <v>2629</v>
      </c>
      <c r="J648" t="str">
        <f>HYPERLINK("http://twitter.com/ConnorMiller59")</f>
        <v>http://twitter.com/ConnorMiller59</v>
      </c>
      <c r="K648">
        <v>136</v>
      </c>
      <c r="N648" t="s">
        <v>65</v>
      </c>
      <c r="R648" t="s">
        <v>60</v>
      </c>
      <c r="S648" t="s">
        <v>51</v>
      </c>
      <c r="T648" t="s">
        <v>490</v>
      </c>
      <c r="U648" t="s">
        <v>2630</v>
      </c>
      <c r="W648">
        <v>1</v>
      </c>
      <c r="X648">
        <v>1</v>
      </c>
      <c r="AE648">
        <v>1</v>
      </c>
      <c r="AF648">
        <v>0</v>
      </c>
      <c r="AM648" t="s">
        <v>52</v>
      </c>
      <c r="AN648" t="s">
        <v>53</v>
      </c>
    </row>
    <row r="649" spans="1:40">
      <c r="A649" t="s">
        <v>2370</v>
      </c>
      <c r="B649" t="s">
        <v>2626</v>
      </c>
      <c r="C649" t="s">
        <v>1242</v>
      </c>
      <c r="D649" t="s">
        <v>2631</v>
      </c>
      <c r="E649" t="s">
        <v>2632</v>
      </c>
      <c r="F649" t="s">
        <v>45</v>
      </c>
      <c r="G649" t="str">
        <f>HYPERLINK("https://slickdeals.net/f/13171189-frito-lay-incognito-doritos-sweepstakes-twitter-6-30-19")</f>
        <v>https://slickdeals.net/f/13171189-frito-lay-incognito-doritos-sweepstakes-twitter-6-30-19</v>
      </c>
      <c r="H649" t="s">
        <v>46</v>
      </c>
      <c r="I649" t="s">
        <v>2633</v>
      </c>
      <c r="J649" t="str">
        <f>HYPERLINK("https://slickdeals.net/f/13171189-frito-lay-incognito-doritos-sweepstakes-twitter-6-30-19")</f>
        <v>https://slickdeals.net/f/13171189-frito-lay-incognito-doritos-sweepstakes-twitter-6-30-19</v>
      </c>
      <c r="N649" t="s">
        <v>2634</v>
      </c>
      <c r="R649" t="s">
        <v>50</v>
      </c>
      <c r="S649" t="s">
        <v>51</v>
      </c>
      <c r="AM649" t="s">
        <v>52</v>
      </c>
      <c r="AN649" t="s">
        <v>53</v>
      </c>
    </row>
    <row r="650" spans="1:40">
      <c r="A650" t="s">
        <v>2370</v>
      </c>
      <c r="B650" t="s">
        <v>2626</v>
      </c>
      <c r="C650" t="s">
        <v>1406</v>
      </c>
      <c r="D650" t="s">
        <v>2631</v>
      </c>
      <c r="E650" t="s">
        <v>2635</v>
      </c>
      <c r="F650" t="s">
        <v>45</v>
      </c>
      <c r="G650" t="str">
        <f>HYPERLINK("https://slickdeals.net/f/13171189-frito-lay-incognito-doritos-sweepstakes-twitter-6-30-19?utm_source=rss&amp;utm_content=25&amp;utm_medium=RSS2")</f>
        <v>https://slickdeals.net/f/13171189-frito-lay-incognito-doritos-sweepstakes-twitter-6-30-19?utm_source=rss&amp;utm_content=25&amp;utm_medium=RSS2</v>
      </c>
      <c r="H650" t="s">
        <v>46</v>
      </c>
      <c r="I650" t="s">
        <v>2633</v>
      </c>
      <c r="J650" t="str">
        <f>HYPERLINK("https://slickdeals.net/f/13171189-frito-lay-incognito-doritos-sweepstakes-twitter-6-30-19?utm_source=rss&amp;utm_content=25&amp;utm_medium=RSS2")</f>
        <v>https://slickdeals.net/f/13171189-frito-lay-incognito-doritos-sweepstakes-twitter-6-30-19?utm_source=rss&amp;utm_content=25&amp;utm_medium=RSS2</v>
      </c>
      <c r="N650" t="s">
        <v>2634</v>
      </c>
      <c r="R650" t="s">
        <v>50</v>
      </c>
      <c r="S650" t="s">
        <v>51</v>
      </c>
      <c r="AM650" t="s">
        <v>52</v>
      </c>
      <c r="AN650" t="s">
        <v>53</v>
      </c>
    </row>
    <row r="651" spans="1:40">
      <c r="A651" t="s">
        <v>2370</v>
      </c>
      <c r="B651" t="s">
        <v>2636</v>
      </c>
      <c r="C651" t="s">
        <v>2637</v>
      </c>
      <c r="D651" t="s">
        <v>52</v>
      </c>
      <c r="E651" t="s">
        <v>2638</v>
      </c>
      <c r="F651" t="s">
        <v>71</v>
      </c>
      <c r="G651" t="str">
        <f>HYPERLINK("https://twitter.com/2921491139/status/1143354448850366464")</f>
        <v>https://twitter.com/2921491139/status/1143354448850366464</v>
      </c>
      <c r="H651" t="s">
        <v>46</v>
      </c>
      <c r="I651" t="s">
        <v>2639</v>
      </c>
      <c r="J651" t="str">
        <f>HYPERLINK("http://twitter.com/leNjandin")</f>
        <v>http://twitter.com/leNjandin</v>
      </c>
      <c r="K651">
        <v>848</v>
      </c>
      <c r="N651" t="s">
        <v>65</v>
      </c>
      <c r="R651" t="s">
        <v>60</v>
      </c>
      <c r="S651" t="s">
        <v>1071</v>
      </c>
      <c r="T651" t="s">
        <v>1072</v>
      </c>
      <c r="U651" t="s">
        <v>1073</v>
      </c>
      <c r="W651">
        <v>0</v>
      </c>
      <c r="X651">
        <v>0</v>
      </c>
      <c r="AE651">
        <v>0</v>
      </c>
      <c r="AF651">
        <v>0</v>
      </c>
      <c r="AM651" t="s">
        <v>52</v>
      </c>
      <c r="AN651" t="s">
        <v>53</v>
      </c>
    </row>
    <row r="652" spans="1:40">
      <c r="A652" t="s">
        <v>2370</v>
      </c>
      <c r="B652" t="s">
        <v>2640</v>
      </c>
      <c r="C652" t="s">
        <v>2615</v>
      </c>
      <c r="D652" t="s">
        <v>52</v>
      </c>
      <c r="E652" t="s">
        <v>2641</v>
      </c>
      <c r="F652" t="s">
        <v>45</v>
      </c>
      <c r="G652" t="str">
        <f>HYPERLINK("https://www.instagram.com/p/BzHew3qB3LQ")</f>
        <v>https://www.instagram.com/p/BzHew3qB3LQ</v>
      </c>
      <c r="H652" t="s">
        <v>46</v>
      </c>
      <c r="I652" t="s">
        <v>2642</v>
      </c>
      <c r="J652" t="str">
        <f>HYPERLINK("http://instagram.com/sammythejack")</f>
        <v>http://instagram.com/sammythejack</v>
      </c>
      <c r="K652">
        <v>83</v>
      </c>
      <c r="N652" t="s">
        <v>59</v>
      </c>
      <c r="O652" t="s">
        <v>2642</v>
      </c>
      <c r="P652" t="str">
        <f>HYPERLINK("http://instagram.com/sammythejack")</f>
        <v>http://instagram.com/sammythejack</v>
      </c>
      <c r="Q652">
        <v>83</v>
      </c>
      <c r="R652" t="s">
        <v>60</v>
      </c>
      <c r="W652">
        <v>6</v>
      </c>
      <c r="X652">
        <v>6</v>
      </c>
      <c r="AE652">
        <v>0</v>
      </c>
      <c r="AI652" t="s">
        <v>108</v>
      </c>
      <c r="AJ652" t="s">
        <v>2643</v>
      </c>
      <c r="AK652" t="s">
        <v>52</v>
      </c>
      <c r="AL652" t="str">
        <f>HYPERLINK("https://www.instagram.com/p/BzHew3qB3LQ/media/?size=l")</f>
        <v>https://www.instagram.com/p/BzHew3qB3LQ/media/?size=l</v>
      </c>
      <c r="AM652" t="s">
        <v>52</v>
      </c>
      <c r="AN652" t="s">
        <v>53</v>
      </c>
    </row>
    <row r="653" spans="1:40">
      <c r="A653" t="s">
        <v>2370</v>
      </c>
      <c r="B653" t="s">
        <v>2644</v>
      </c>
      <c r="C653" t="s">
        <v>2645</v>
      </c>
      <c r="D653" t="s">
        <v>52</v>
      </c>
      <c r="E653" t="s">
        <v>2646</v>
      </c>
      <c r="F653" t="s">
        <v>95</v>
      </c>
      <c r="G653" t="str">
        <f>HYPERLINK("https://twitter.com/390561966/status/1143352976146391040")</f>
        <v>https://twitter.com/390561966/status/1143352976146391040</v>
      </c>
      <c r="H653" t="s">
        <v>91</v>
      </c>
      <c r="I653" t="s">
        <v>2647</v>
      </c>
      <c r="J653" t="str">
        <f>HYPERLINK("http://twitter.com/rezonedzach")</f>
        <v>http://twitter.com/rezonedzach</v>
      </c>
      <c r="K653">
        <v>158</v>
      </c>
      <c r="N653" t="s">
        <v>65</v>
      </c>
      <c r="R653" t="s">
        <v>60</v>
      </c>
      <c r="S653" t="s">
        <v>51</v>
      </c>
      <c r="T653" t="s">
        <v>84</v>
      </c>
      <c r="U653" t="s">
        <v>85</v>
      </c>
      <c r="W653">
        <v>1</v>
      </c>
      <c r="X653">
        <v>1</v>
      </c>
      <c r="AE653">
        <v>1</v>
      </c>
      <c r="AF653">
        <v>0</v>
      </c>
      <c r="AM653" t="s">
        <v>52</v>
      </c>
      <c r="AN653" t="s">
        <v>53</v>
      </c>
    </row>
    <row r="654" spans="1:40">
      <c r="A654" t="s">
        <v>2370</v>
      </c>
      <c r="B654" t="s">
        <v>2644</v>
      </c>
      <c r="C654" t="s">
        <v>2623</v>
      </c>
      <c r="D654" t="s">
        <v>52</v>
      </c>
      <c r="E654" t="s">
        <v>2648</v>
      </c>
      <c r="F654" t="s">
        <v>131</v>
      </c>
      <c r="G654" t="str">
        <f>HYPERLINK("https://twitter.com/3122775999/status/1143352923885395968")</f>
        <v>https://twitter.com/3122775999/status/1143352923885395968</v>
      </c>
      <c r="H654" t="s">
        <v>46</v>
      </c>
      <c r="I654" t="s">
        <v>2649</v>
      </c>
      <c r="J654" t="str">
        <f>HYPERLINK("http://twitter.com/FeliAcevedo_")</f>
        <v>http://twitter.com/FeliAcevedo_</v>
      </c>
      <c r="K654">
        <v>775</v>
      </c>
      <c r="N654" t="s">
        <v>65</v>
      </c>
      <c r="R654" t="s">
        <v>60</v>
      </c>
      <c r="S654" t="s">
        <v>701</v>
      </c>
      <c r="T654" t="s">
        <v>2301</v>
      </c>
      <c r="W654">
        <v>0</v>
      </c>
      <c r="X654">
        <v>0</v>
      </c>
      <c r="AE654">
        <v>0</v>
      </c>
      <c r="AM654" t="s">
        <v>52</v>
      </c>
      <c r="AN654" t="s">
        <v>53</v>
      </c>
    </row>
    <row r="655" spans="1:40">
      <c r="A655" t="s">
        <v>2370</v>
      </c>
      <c r="B655" t="s">
        <v>2644</v>
      </c>
      <c r="C655" t="s">
        <v>2623</v>
      </c>
      <c r="D655" t="s">
        <v>52</v>
      </c>
      <c r="E655" t="s">
        <v>1500</v>
      </c>
      <c r="F655" t="s">
        <v>71</v>
      </c>
      <c r="G655" t="str">
        <f>HYPERLINK("https://twitter.com/1047232260481662981/status/1143352913038909440")</f>
        <v>https://twitter.com/1047232260481662981/status/1143352913038909440</v>
      </c>
      <c r="H655" t="s">
        <v>46</v>
      </c>
      <c r="I655" t="s">
        <v>2650</v>
      </c>
      <c r="J655" t="str">
        <f>HYPERLINK("http://twitter.com/Philliesveryown")</f>
        <v>http://twitter.com/Philliesveryown</v>
      </c>
      <c r="K655">
        <v>325</v>
      </c>
      <c r="N655" t="s">
        <v>65</v>
      </c>
      <c r="R655" t="s">
        <v>60</v>
      </c>
      <c r="W655">
        <v>0</v>
      </c>
      <c r="X655">
        <v>0</v>
      </c>
      <c r="AE655">
        <v>0</v>
      </c>
      <c r="AF655">
        <v>0</v>
      </c>
      <c r="AI655" t="s">
        <v>52</v>
      </c>
      <c r="AJ655" t="s">
        <v>52</v>
      </c>
      <c r="AK655" t="s">
        <v>52</v>
      </c>
      <c r="AL655" t="str">
        <f>HYPERLINK("https://pbs.twimg.com/media/D931w5HXoAENDHw.jpg")</f>
        <v>https://pbs.twimg.com/media/D931w5HXoAENDHw.jpg</v>
      </c>
      <c r="AM655" t="s">
        <v>52</v>
      </c>
      <c r="AN655" t="s">
        <v>53</v>
      </c>
    </row>
    <row r="656" spans="1:40">
      <c r="A656" t="s">
        <v>2370</v>
      </c>
      <c r="B656" t="s">
        <v>2644</v>
      </c>
      <c r="C656" t="s">
        <v>2627</v>
      </c>
      <c r="D656" t="s">
        <v>52</v>
      </c>
      <c r="E656" t="s">
        <v>2651</v>
      </c>
      <c r="F656" t="s">
        <v>131</v>
      </c>
      <c r="G656" t="str">
        <f>HYPERLINK("https://twitter.com/1006598232166854656/status/1143352866708643840")</f>
        <v>https://twitter.com/1006598232166854656/status/1143352866708643840</v>
      </c>
      <c r="H656" t="s">
        <v>46</v>
      </c>
      <c r="I656" t="s">
        <v>2652</v>
      </c>
      <c r="J656" t="str">
        <f>HYPERLINK("http://twitter.com/Amira85716559")</f>
        <v>http://twitter.com/Amira85716559</v>
      </c>
      <c r="K656">
        <v>289</v>
      </c>
      <c r="N656" t="s">
        <v>65</v>
      </c>
      <c r="R656" t="s">
        <v>60</v>
      </c>
      <c r="S656" t="s">
        <v>701</v>
      </c>
      <c r="T656" t="s">
        <v>2321</v>
      </c>
      <c r="U656" t="s">
        <v>2653</v>
      </c>
      <c r="W656">
        <v>0</v>
      </c>
      <c r="X656">
        <v>0</v>
      </c>
      <c r="AE656">
        <v>0</v>
      </c>
      <c r="AM656" t="s">
        <v>52</v>
      </c>
      <c r="AN656" t="s">
        <v>53</v>
      </c>
    </row>
    <row r="657" spans="1:40">
      <c r="A657" t="s">
        <v>2370</v>
      </c>
      <c r="B657" t="s">
        <v>2654</v>
      </c>
      <c r="C657" t="s">
        <v>2655</v>
      </c>
      <c r="D657" t="s">
        <v>52</v>
      </c>
      <c r="E657" t="s">
        <v>2656</v>
      </c>
      <c r="F657" t="s">
        <v>131</v>
      </c>
      <c r="G657" t="str">
        <f>HYPERLINK("https://twitter.com/434553933/status/1143352816242704386")</f>
        <v>https://twitter.com/434553933/status/1143352816242704386</v>
      </c>
      <c r="H657" t="s">
        <v>46</v>
      </c>
      <c r="I657" t="s">
        <v>2657</v>
      </c>
      <c r="J657" t="str">
        <f>HYPERLINK("http://twitter.com/TheBookOfTone")</f>
        <v>http://twitter.com/TheBookOfTone</v>
      </c>
      <c r="K657">
        <v>1886</v>
      </c>
      <c r="L657" t="s">
        <v>48</v>
      </c>
      <c r="N657" t="s">
        <v>65</v>
      </c>
      <c r="R657" t="s">
        <v>60</v>
      </c>
      <c r="S657" t="s">
        <v>51</v>
      </c>
      <c r="T657" t="s">
        <v>160</v>
      </c>
      <c r="U657" t="s">
        <v>2658</v>
      </c>
      <c r="W657">
        <v>0</v>
      </c>
      <c r="X657">
        <v>0</v>
      </c>
      <c r="AE657">
        <v>0</v>
      </c>
      <c r="AM657" t="s">
        <v>52</v>
      </c>
      <c r="AN657" t="s">
        <v>53</v>
      </c>
    </row>
    <row r="658" spans="1:40">
      <c r="A658" t="s">
        <v>2370</v>
      </c>
      <c r="B658" t="s">
        <v>2654</v>
      </c>
      <c r="C658" t="s">
        <v>2655</v>
      </c>
      <c r="D658" t="s">
        <v>52</v>
      </c>
      <c r="E658" t="s">
        <v>2659</v>
      </c>
      <c r="F658" t="s">
        <v>71</v>
      </c>
      <c r="G658" t="str">
        <f>HYPERLINK("https://twitter.com/434553933/status/1143352801453625344")</f>
        <v>https://twitter.com/434553933/status/1143352801453625344</v>
      </c>
      <c r="H658" t="s">
        <v>46</v>
      </c>
      <c r="I658" t="s">
        <v>2657</v>
      </c>
      <c r="J658" t="str">
        <f>HYPERLINK("http://twitter.com/TheBookOfTone")</f>
        <v>http://twitter.com/TheBookOfTone</v>
      </c>
      <c r="K658">
        <v>1886</v>
      </c>
      <c r="L658" t="s">
        <v>48</v>
      </c>
      <c r="N658" t="s">
        <v>65</v>
      </c>
      <c r="R658" t="s">
        <v>60</v>
      </c>
      <c r="S658" t="s">
        <v>51</v>
      </c>
      <c r="T658" t="s">
        <v>160</v>
      </c>
      <c r="U658" t="s">
        <v>2658</v>
      </c>
      <c r="W658">
        <v>0</v>
      </c>
      <c r="X658">
        <v>0</v>
      </c>
      <c r="AE658">
        <v>0</v>
      </c>
      <c r="AF658">
        <v>0</v>
      </c>
      <c r="AM658" t="s">
        <v>52</v>
      </c>
      <c r="AN658" t="s">
        <v>53</v>
      </c>
    </row>
    <row r="659" spans="1:40">
      <c r="A659" t="s">
        <v>2370</v>
      </c>
      <c r="B659" t="s">
        <v>2654</v>
      </c>
      <c r="C659" t="s">
        <v>2660</v>
      </c>
      <c r="D659" t="s">
        <v>52</v>
      </c>
      <c r="E659" t="s">
        <v>2648</v>
      </c>
      <c r="F659" t="s">
        <v>131</v>
      </c>
      <c r="G659" t="str">
        <f>HYPERLINK("https://twitter.com/989673716442451969/status/1143352660382363648")</f>
        <v>https://twitter.com/989673716442451969/status/1143352660382363648</v>
      </c>
      <c r="H659" t="s">
        <v>46</v>
      </c>
      <c r="I659" t="s">
        <v>52</v>
      </c>
      <c r="J659" t="str">
        <f>HYPERLINK("http://twitter.com/luanarod19")</f>
        <v>http://twitter.com/luanarod19</v>
      </c>
      <c r="K659">
        <v>1135</v>
      </c>
      <c r="N659" t="s">
        <v>65</v>
      </c>
      <c r="R659" t="s">
        <v>60</v>
      </c>
      <c r="S659" t="s">
        <v>701</v>
      </c>
      <c r="T659" t="s">
        <v>2301</v>
      </c>
      <c r="U659" t="s">
        <v>2661</v>
      </c>
      <c r="W659">
        <v>0</v>
      </c>
      <c r="X659">
        <v>0</v>
      </c>
      <c r="AE659">
        <v>0</v>
      </c>
      <c r="AM659" t="s">
        <v>52</v>
      </c>
      <c r="AN659" t="s">
        <v>53</v>
      </c>
    </row>
    <row r="660" spans="1:40">
      <c r="A660" t="s">
        <v>2370</v>
      </c>
      <c r="B660" t="s">
        <v>2654</v>
      </c>
      <c r="C660" t="s">
        <v>2660</v>
      </c>
      <c r="D660" t="s">
        <v>52</v>
      </c>
      <c r="E660" t="s">
        <v>2662</v>
      </c>
      <c r="F660" t="s">
        <v>45</v>
      </c>
      <c r="G660" t="str">
        <f>HYPERLINK("https://twitter.com/26290718/status/1143352647484870658")</f>
        <v>https://twitter.com/26290718/status/1143352647484870658</v>
      </c>
      <c r="H660" t="s">
        <v>46</v>
      </c>
      <c r="I660" t="s">
        <v>2663</v>
      </c>
      <c r="J660" t="str">
        <f>HYPERLINK("http://twitter.com/Rouxde")</f>
        <v>http://twitter.com/Rouxde</v>
      </c>
      <c r="K660">
        <v>511</v>
      </c>
      <c r="L660" t="s">
        <v>48</v>
      </c>
      <c r="N660" t="s">
        <v>65</v>
      </c>
      <c r="R660" t="s">
        <v>60</v>
      </c>
      <c r="S660" t="s">
        <v>51</v>
      </c>
      <c r="T660" t="s">
        <v>1669</v>
      </c>
      <c r="U660" t="s">
        <v>2664</v>
      </c>
      <c r="W660">
        <v>1</v>
      </c>
      <c r="X660">
        <v>1</v>
      </c>
      <c r="AE660">
        <v>0</v>
      </c>
      <c r="AF660">
        <v>0</v>
      </c>
      <c r="AM660" t="s">
        <v>52</v>
      </c>
      <c r="AN660" t="s">
        <v>53</v>
      </c>
    </row>
    <row r="661" spans="1:40">
      <c r="A661" t="s">
        <v>2370</v>
      </c>
      <c r="B661" t="s">
        <v>2665</v>
      </c>
      <c r="C661" t="s">
        <v>2666</v>
      </c>
      <c r="D661" t="s">
        <v>52</v>
      </c>
      <c r="E661" t="s">
        <v>2667</v>
      </c>
      <c r="F661" t="s">
        <v>95</v>
      </c>
      <c r="G661" t="str">
        <f>HYPERLINK("https://twitter.com/1409359111/status/1143352566933098498")</f>
        <v>https://twitter.com/1409359111/status/1143352566933098498</v>
      </c>
      <c r="H661" t="s">
        <v>91</v>
      </c>
      <c r="I661" t="s">
        <v>1614</v>
      </c>
      <c r="J661" t="str">
        <f>HYPERLINK("http://twitter.com/nudes4pizza")</f>
        <v>http://twitter.com/nudes4pizza</v>
      </c>
      <c r="K661">
        <v>185</v>
      </c>
      <c r="N661" t="s">
        <v>65</v>
      </c>
      <c r="R661" t="s">
        <v>60</v>
      </c>
      <c r="S661" t="s">
        <v>51</v>
      </c>
      <c r="T661" t="s">
        <v>84</v>
      </c>
      <c r="U661" t="s">
        <v>85</v>
      </c>
      <c r="W661">
        <v>1</v>
      </c>
      <c r="X661">
        <v>1</v>
      </c>
      <c r="AE661">
        <v>1</v>
      </c>
      <c r="AF661">
        <v>0</v>
      </c>
      <c r="AM661" t="s">
        <v>52</v>
      </c>
      <c r="AN661" t="s">
        <v>53</v>
      </c>
    </row>
    <row r="662" spans="1:40">
      <c r="A662" t="s">
        <v>2370</v>
      </c>
      <c r="B662" t="s">
        <v>2665</v>
      </c>
      <c r="C662" t="s">
        <v>2645</v>
      </c>
      <c r="D662" t="s">
        <v>52</v>
      </c>
      <c r="E662" t="s">
        <v>1194</v>
      </c>
      <c r="F662" t="s">
        <v>131</v>
      </c>
      <c r="G662" t="str">
        <f>HYPERLINK("https://twitter.com/2996304259/status/1143352473748430851")</f>
        <v>https://twitter.com/2996304259/status/1143352473748430851</v>
      </c>
      <c r="H662" t="s">
        <v>46</v>
      </c>
      <c r="I662" t="s">
        <v>2668</v>
      </c>
      <c r="J662" t="str">
        <f>HYPERLINK("http://twitter.com/hannah_cat1996")</f>
        <v>http://twitter.com/hannah_cat1996</v>
      </c>
      <c r="K662">
        <v>435</v>
      </c>
      <c r="N662" t="s">
        <v>65</v>
      </c>
      <c r="R662" t="s">
        <v>60</v>
      </c>
      <c r="S662" t="s">
        <v>437</v>
      </c>
      <c r="T662" t="s">
        <v>2669</v>
      </c>
      <c r="U662" t="s">
        <v>2670</v>
      </c>
      <c r="W662">
        <v>0</v>
      </c>
      <c r="X662">
        <v>0</v>
      </c>
      <c r="AE662">
        <v>0</v>
      </c>
      <c r="AI662" t="s">
        <v>52</v>
      </c>
      <c r="AJ662" t="s">
        <v>1196</v>
      </c>
      <c r="AK662" t="s">
        <v>52</v>
      </c>
      <c r="AL662" t="str">
        <f>HYPERLINK("https://pbs.twimg.com/media/D9xgk2YXkAAd2ql.jpg")</f>
        <v>https://pbs.twimg.com/media/D9xgk2YXkAAd2ql.jpg</v>
      </c>
      <c r="AM662" t="s">
        <v>52</v>
      </c>
      <c r="AN662" t="s">
        <v>53</v>
      </c>
    </row>
    <row r="663" spans="1:40">
      <c r="A663" t="s">
        <v>2370</v>
      </c>
      <c r="B663" t="s">
        <v>2671</v>
      </c>
      <c r="C663" t="s">
        <v>2672</v>
      </c>
      <c r="D663" t="s">
        <v>52</v>
      </c>
      <c r="E663" t="s">
        <v>2673</v>
      </c>
      <c r="F663" t="s">
        <v>71</v>
      </c>
      <c r="G663" t="str">
        <f>HYPERLINK("https://twitter.com/527980212/status/1143352149470056453")</f>
        <v>https://twitter.com/527980212/status/1143352149470056453</v>
      </c>
      <c r="H663" t="s">
        <v>46</v>
      </c>
      <c r="I663" t="s">
        <v>2674</v>
      </c>
      <c r="J663" t="str">
        <f>HYPERLINK("http://twitter.com/evilhedd13")</f>
        <v>http://twitter.com/evilhedd13</v>
      </c>
      <c r="K663">
        <v>70</v>
      </c>
      <c r="N663" t="s">
        <v>65</v>
      </c>
      <c r="R663" t="s">
        <v>60</v>
      </c>
      <c r="W663">
        <v>2</v>
      </c>
      <c r="X663">
        <v>2</v>
      </c>
      <c r="AE663">
        <v>0</v>
      </c>
      <c r="AF663">
        <v>0</v>
      </c>
      <c r="AM663" t="s">
        <v>52</v>
      </c>
      <c r="AN663" t="s">
        <v>53</v>
      </c>
    </row>
    <row r="664" spans="1:40">
      <c r="A664" t="s">
        <v>2370</v>
      </c>
      <c r="B664" t="s">
        <v>2675</v>
      </c>
      <c r="C664" t="s">
        <v>2676</v>
      </c>
      <c r="D664" t="s">
        <v>52</v>
      </c>
      <c r="E664" t="s">
        <v>2677</v>
      </c>
      <c r="F664" t="s">
        <v>45</v>
      </c>
      <c r="G664" t="str">
        <f>HYPERLINK("https://www.instagram.com/p/BzHeHtRIj-q")</f>
        <v>https://www.instagram.com/p/BzHeHtRIj-q</v>
      </c>
      <c r="H664" t="s">
        <v>46</v>
      </c>
      <c r="I664" t="s">
        <v>2678</v>
      </c>
      <c r="J664" t="str">
        <f>HYPERLINK("http://instagram.com/convenienceworldmagazine")</f>
        <v>http://instagram.com/convenienceworldmagazine</v>
      </c>
      <c r="K664">
        <v>167</v>
      </c>
      <c r="N664" t="s">
        <v>59</v>
      </c>
      <c r="O664" t="s">
        <v>2678</v>
      </c>
      <c r="P664" t="str">
        <f>HYPERLINK("http://instagram.com/convenienceworldmagazine")</f>
        <v>http://instagram.com/convenienceworldmagazine</v>
      </c>
      <c r="Q664">
        <v>167</v>
      </c>
      <c r="R664" t="s">
        <v>60</v>
      </c>
      <c r="S664" t="s">
        <v>774</v>
      </c>
      <c r="T664" t="s">
        <v>2679</v>
      </c>
      <c r="U664" t="s">
        <v>2680</v>
      </c>
      <c r="W664">
        <v>4</v>
      </c>
      <c r="X664">
        <v>4</v>
      </c>
      <c r="AE664">
        <v>0</v>
      </c>
      <c r="AI664" t="s">
        <v>2681</v>
      </c>
      <c r="AJ664" t="s">
        <v>2682</v>
      </c>
      <c r="AK664" t="s">
        <v>52</v>
      </c>
      <c r="AL664" t="str">
        <f>HYPERLINK("https://www.instagram.com/p/BzHeHtRIj-q/media/?size=l")</f>
        <v>https://www.instagram.com/p/BzHeHtRIj-q/media/?size=l</v>
      </c>
      <c r="AM664" t="s">
        <v>52</v>
      </c>
      <c r="AN664" t="s">
        <v>53</v>
      </c>
    </row>
    <row r="665" spans="1:40">
      <c r="A665" t="s">
        <v>2370</v>
      </c>
      <c r="B665" t="s">
        <v>2683</v>
      </c>
      <c r="C665" t="s">
        <v>2684</v>
      </c>
      <c r="D665" t="s">
        <v>52</v>
      </c>
      <c r="E665" t="s">
        <v>599</v>
      </c>
      <c r="F665" t="s">
        <v>131</v>
      </c>
      <c r="G665" t="str">
        <f>HYPERLINK("https://twitter.com/839260128608194560/status/1143351647260827649")</f>
        <v>https://twitter.com/839260128608194560/status/1143351647260827649</v>
      </c>
      <c r="H665" t="s">
        <v>46</v>
      </c>
      <c r="I665" t="s">
        <v>2685</v>
      </c>
      <c r="J665" t="str">
        <f>HYPERLINK("http://twitter.com/mcuhollands")</f>
        <v>http://twitter.com/mcuhollands</v>
      </c>
      <c r="K665">
        <v>56</v>
      </c>
      <c r="L665" t="s">
        <v>58</v>
      </c>
      <c r="N665" t="s">
        <v>65</v>
      </c>
      <c r="R665" t="s">
        <v>60</v>
      </c>
      <c r="S665" t="s">
        <v>51</v>
      </c>
      <c r="T665" t="s">
        <v>73</v>
      </c>
      <c r="W665">
        <v>0</v>
      </c>
      <c r="X665">
        <v>0</v>
      </c>
      <c r="AE665">
        <v>0</v>
      </c>
      <c r="AI665" t="s">
        <v>108</v>
      </c>
      <c r="AJ665" t="s">
        <v>52</v>
      </c>
      <c r="AK665" t="s">
        <v>601</v>
      </c>
      <c r="AL665" t="str">
        <f>HYPERLINK("https://pbs.twimg.com/ext_tw_video_thumb/1143202185154584581/pu/img/K72qfBH8zIdbiUf-.jpg")</f>
        <v>https://pbs.twimg.com/ext_tw_video_thumb/1143202185154584581/pu/img/K72qfBH8zIdbiUf-.jpg</v>
      </c>
      <c r="AM665" t="s">
        <v>52</v>
      </c>
      <c r="AN665" t="s">
        <v>53</v>
      </c>
    </row>
    <row r="666" spans="1:40">
      <c r="A666" t="s">
        <v>2370</v>
      </c>
      <c r="B666" t="s">
        <v>2683</v>
      </c>
      <c r="C666" t="s">
        <v>2686</v>
      </c>
      <c r="D666" t="s">
        <v>2687</v>
      </c>
      <c r="E666" t="s">
        <v>2688</v>
      </c>
      <c r="F666" t="s">
        <v>45</v>
      </c>
      <c r="G666" t="str">
        <f>HYPERLINK("https://www.reddit.com/r/worldnews/comments/c4ur0v/we_have_no_other_choice_as_china_erodes_democracy/?sort=new#thing_t1_eryob48")</f>
        <v>https://www.reddit.com/r/worldnews/comments/c4ur0v/we_have_no_other_choice_as_china_erodes_democracy/?sort=new#thing_t1_eryob48</v>
      </c>
      <c r="H666" t="s">
        <v>46</v>
      </c>
      <c r="I666" t="s">
        <v>2689</v>
      </c>
      <c r="J666" t="str">
        <f>HYPERLINK("https://www.reddit.com/r/worldnews/comments/c4ur0v/we_have_no_other_choice_as_china_erodes_democracy/?sort=new#thing_t1_eryob48")</f>
        <v>https://www.reddit.com/r/worldnews/comments/c4ur0v/we_have_no_other_choice_as_china_erodes_democracy/?sort=new#thing_t1_eryob48</v>
      </c>
      <c r="N666" t="s">
        <v>545</v>
      </c>
      <c r="O666" t="s">
        <v>2690</v>
      </c>
      <c r="P666" t="str">
        <f>HYPERLINK("https://www.reddit.com/r/worldnews/")</f>
        <v>https://www.reddit.com/r/worldnews/</v>
      </c>
      <c r="R666" t="s">
        <v>516</v>
      </c>
      <c r="S666" t="s">
        <v>51</v>
      </c>
      <c r="AM666" t="s">
        <v>52</v>
      </c>
      <c r="AN666" t="s">
        <v>53</v>
      </c>
    </row>
    <row r="667" spans="1:40">
      <c r="A667" t="s">
        <v>2370</v>
      </c>
      <c r="B667" t="s">
        <v>2691</v>
      </c>
      <c r="C667" t="s">
        <v>2692</v>
      </c>
      <c r="D667" t="s">
        <v>52</v>
      </c>
      <c r="E667" t="s">
        <v>2693</v>
      </c>
      <c r="F667" t="s">
        <v>45</v>
      </c>
      <c r="G667" t="str">
        <f>HYPERLINK("https://www.instagram.com/p/BzHdrd5BEDX")</f>
        <v>https://www.instagram.com/p/BzHdrd5BEDX</v>
      </c>
      <c r="H667" t="s">
        <v>46</v>
      </c>
      <c r="I667" t="s">
        <v>2694</v>
      </c>
      <c r="J667" t="str">
        <f>HYPERLINK("http://instagram.com/ilikeeat___")</f>
        <v>http://instagram.com/ilikeeat___</v>
      </c>
      <c r="K667">
        <v>0</v>
      </c>
      <c r="N667" t="s">
        <v>59</v>
      </c>
      <c r="O667" t="s">
        <v>2694</v>
      </c>
      <c r="P667" t="str">
        <f>HYPERLINK("http://instagram.com/ilikeeat___")</f>
        <v>http://instagram.com/ilikeeat___</v>
      </c>
      <c r="Q667">
        <v>0</v>
      </c>
      <c r="R667" t="s">
        <v>60</v>
      </c>
      <c r="W667">
        <v>10</v>
      </c>
      <c r="X667">
        <v>10</v>
      </c>
      <c r="AE667">
        <v>0</v>
      </c>
      <c r="AI667" t="s">
        <v>52</v>
      </c>
      <c r="AJ667" t="s">
        <v>2695</v>
      </c>
      <c r="AK667" t="s">
        <v>52</v>
      </c>
      <c r="AL667" t="str">
        <f>HYPERLINK("https://www.instagram.com/p/BzHdrd5BEDX/media/?size=l")</f>
        <v>https://www.instagram.com/p/BzHdrd5BEDX/media/?size=l</v>
      </c>
      <c r="AM667" t="s">
        <v>52</v>
      </c>
      <c r="AN667" t="s">
        <v>53</v>
      </c>
    </row>
    <row r="668" spans="1:40">
      <c r="A668" t="s">
        <v>2370</v>
      </c>
      <c r="B668" t="s">
        <v>2696</v>
      </c>
      <c r="C668" t="s">
        <v>2637</v>
      </c>
      <c r="D668" t="s">
        <v>52</v>
      </c>
      <c r="E668" t="s">
        <v>2697</v>
      </c>
      <c r="F668" t="s">
        <v>45</v>
      </c>
      <c r="G668" t="str">
        <f>HYPERLINK("https://www.instagram.com/p/BzHdoRgFDw7")</f>
        <v>https://www.instagram.com/p/BzHdoRgFDw7</v>
      </c>
      <c r="H668" t="s">
        <v>46</v>
      </c>
      <c r="I668" t="s">
        <v>2698</v>
      </c>
      <c r="J668" t="str">
        <f>HYPERLINK("http://instagram.com/jerryggarcia")</f>
        <v>http://instagram.com/jerryggarcia</v>
      </c>
      <c r="K668">
        <v>251</v>
      </c>
      <c r="N668" t="s">
        <v>59</v>
      </c>
      <c r="O668" t="s">
        <v>2698</v>
      </c>
      <c r="P668" t="str">
        <f>HYPERLINK("http://instagram.com/jerryggarcia")</f>
        <v>http://instagram.com/jerryggarcia</v>
      </c>
      <c r="Q668">
        <v>251</v>
      </c>
      <c r="R668" t="s">
        <v>60</v>
      </c>
      <c r="W668">
        <v>9</v>
      </c>
      <c r="X668">
        <v>9</v>
      </c>
      <c r="AE668">
        <v>0</v>
      </c>
      <c r="AI668" t="s">
        <v>52</v>
      </c>
      <c r="AJ668" t="s">
        <v>740</v>
      </c>
      <c r="AK668" t="s">
        <v>52</v>
      </c>
      <c r="AL668" t="str">
        <f>HYPERLINK("https://www.instagram.com/p/BzHdoRgFDw7/media/?size=l")</f>
        <v>https://www.instagram.com/p/BzHdoRgFDw7/media/?size=l</v>
      </c>
      <c r="AM668" t="s">
        <v>52</v>
      </c>
      <c r="AN668" t="s">
        <v>53</v>
      </c>
    </row>
    <row r="669" spans="1:40">
      <c r="A669" t="s">
        <v>2370</v>
      </c>
      <c r="B669" t="s">
        <v>2696</v>
      </c>
      <c r="C669" t="s">
        <v>2583</v>
      </c>
      <c r="D669" t="s">
        <v>2699</v>
      </c>
      <c r="E669" t="s">
        <v>2700</v>
      </c>
      <c r="F669" t="s">
        <v>95</v>
      </c>
      <c r="G669" t="str">
        <f>HYPERLINK("https://www.breitbart.com/politics/2019/06/24/truth-ocasio-cortez-likens-migrant-detention-centers-torture-facilities/#comment-4514996715")</f>
        <v>https://www.breitbart.com/politics/2019/06/24/truth-ocasio-cortez-likens-migrant-detention-centers-torture-facilities/#comment-4514996715</v>
      </c>
      <c r="H669" t="s">
        <v>46</v>
      </c>
      <c r="I669" t="s">
        <v>2701</v>
      </c>
      <c r="J669" t="str">
        <f>HYPERLINK("https://disqus.com/by/disqus_r1tasTxla2/")</f>
        <v>https://disqus.com/by/disqus_r1tasTxla2/</v>
      </c>
      <c r="K669">
        <v>0</v>
      </c>
      <c r="N669" t="s">
        <v>2702</v>
      </c>
      <c r="O669" t="s">
        <v>2703</v>
      </c>
      <c r="P669" t="str">
        <f>HYPERLINK("https://disqus.com/home/forum/breitbartproduction/")</f>
        <v>https://disqus.com/home/forum/breitbartproduction/</v>
      </c>
      <c r="R669" t="s">
        <v>50</v>
      </c>
      <c r="W669">
        <v>0</v>
      </c>
      <c r="X669">
        <v>0</v>
      </c>
      <c r="AM669" t="s">
        <v>52</v>
      </c>
      <c r="AN669" t="s">
        <v>53</v>
      </c>
    </row>
    <row r="670" spans="1:40">
      <c r="A670" t="s">
        <v>2370</v>
      </c>
      <c r="B670" t="s">
        <v>2704</v>
      </c>
      <c r="C670" t="s">
        <v>2705</v>
      </c>
      <c r="D670" t="s">
        <v>52</v>
      </c>
      <c r="E670" t="s">
        <v>2706</v>
      </c>
      <c r="F670" t="s">
        <v>45</v>
      </c>
      <c r="G670" t="str">
        <f>HYPERLINK("https://www.instagram.com/p/BzHdcelgv8l")</f>
        <v>https://www.instagram.com/p/BzHdcelgv8l</v>
      </c>
      <c r="H670" t="s">
        <v>46</v>
      </c>
      <c r="I670" t="s">
        <v>2707</v>
      </c>
      <c r="J670" t="str">
        <f>HYPERLINK("http://instagram.com/skygeminii")</f>
        <v>http://instagram.com/skygeminii</v>
      </c>
      <c r="K670">
        <v>231</v>
      </c>
      <c r="N670" t="s">
        <v>59</v>
      </c>
      <c r="O670" t="s">
        <v>2707</v>
      </c>
      <c r="P670" t="str">
        <f>HYPERLINK("http://instagram.com/skygeminii")</f>
        <v>http://instagram.com/skygeminii</v>
      </c>
      <c r="Q670">
        <v>231</v>
      </c>
      <c r="R670" t="s">
        <v>60</v>
      </c>
      <c r="W670">
        <v>25</v>
      </c>
      <c r="X670">
        <v>25</v>
      </c>
      <c r="AE670">
        <v>1</v>
      </c>
      <c r="AG670">
        <v>53</v>
      </c>
      <c r="AI670" t="s">
        <v>52</v>
      </c>
      <c r="AJ670" t="s">
        <v>52</v>
      </c>
      <c r="AK670" t="s">
        <v>52</v>
      </c>
      <c r="AL670" t="str">
        <f>HYPERLINK("https://www.instagram.com/p/BzHdcelgv8l/media/?size=l")</f>
        <v>https://www.instagram.com/p/BzHdcelgv8l/media/?size=l</v>
      </c>
      <c r="AM670" t="s">
        <v>52</v>
      </c>
      <c r="AN670" t="s">
        <v>53</v>
      </c>
    </row>
    <row r="671" spans="1:40">
      <c r="A671" t="s">
        <v>2370</v>
      </c>
      <c r="B671" t="s">
        <v>2704</v>
      </c>
      <c r="C671" t="s">
        <v>2637</v>
      </c>
      <c r="D671" t="s">
        <v>52</v>
      </c>
      <c r="E671" t="s">
        <v>2708</v>
      </c>
      <c r="F671" t="s">
        <v>45</v>
      </c>
      <c r="G671" t="str">
        <f>HYPERLINK("https://www.instagram.com/p/BzHdeP-F9jW")</f>
        <v>https://www.instagram.com/p/BzHdeP-F9jW</v>
      </c>
      <c r="H671" t="s">
        <v>46</v>
      </c>
      <c r="I671" t="s">
        <v>2709</v>
      </c>
      <c r="J671" t="str">
        <f>HYPERLINK("http://instagram.com/benlikestapes")</f>
        <v>http://instagram.com/benlikestapes</v>
      </c>
      <c r="K671">
        <v>459</v>
      </c>
      <c r="L671" t="s">
        <v>48</v>
      </c>
      <c r="N671" t="s">
        <v>59</v>
      </c>
      <c r="O671" t="s">
        <v>2709</v>
      </c>
      <c r="P671" t="str">
        <f>HYPERLINK("http://instagram.com/benlikestapes")</f>
        <v>http://instagram.com/benlikestapes</v>
      </c>
      <c r="Q671">
        <v>459</v>
      </c>
      <c r="R671" t="s">
        <v>60</v>
      </c>
      <c r="S671" t="s">
        <v>51</v>
      </c>
      <c r="T671" t="s">
        <v>1218</v>
      </c>
      <c r="U671" t="s">
        <v>2710</v>
      </c>
      <c r="W671">
        <v>17</v>
      </c>
      <c r="X671">
        <v>17</v>
      </c>
      <c r="AE671">
        <v>0</v>
      </c>
      <c r="AI671" t="s">
        <v>108</v>
      </c>
      <c r="AJ671" t="s">
        <v>1853</v>
      </c>
      <c r="AK671" t="s">
        <v>52</v>
      </c>
      <c r="AL671" t="str">
        <f>HYPERLINK("https://www.instagram.com/p/BzHdeP-F9jW/media/?size=l")</f>
        <v>https://www.instagram.com/p/BzHdeP-F9jW/media/?size=l</v>
      </c>
      <c r="AM671" t="s">
        <v>52</v>
      </c>
      <c r="AN671" t="s">
        <v>53</v>
      </c>
    </row>
    <row r="672" spans="1:40">
      <c r="A672" t="s">
        <v>2370</v>
      </c>
      <c r="B672" t="s">
        <v>2711</v>
      </c>
      <c r="C672" t="s">
        <v>2004</v>
      </c>
      <c r="D672" t="s">
        <v>2712</v>
      </c>
      <c r="E672" t="s">
        <v>2712</v>
      </c>
      <c r="F672" t="s">
        <v>45</v>
      </c>
      <c r="G672" t="str">
        <f>HYPERLINK("https://www.youtube.com/watch?v=2y6700pQ2qs")</f>
        <v>https://www.youtube.com/watch?v=2y6700pQ2qs</v>
      </c>
      <c r="H672" t="s">
        <v>46</v>
      </c>
      <c r="I672" t="s">
        <v>2713</v>
      </c>
      <c r="J672" t="str">
        <f>HYPERLINK("https://www.youtube.com/channel/UCfxJUEARvUFBsXZKmeriP-A")</f>
        <v>https://www.youtube.com/channel/UCfxJUEARvUFBsXZKmeriP-A</v>
      </c>
      <c r="K672">
        <v>29</v>
      </c>
      <c r="N672" t="s">
        <v>116</v>
      </c>
      <c r="O672" t="s">
        <v>2713</v>
      </c>
      <c r="P672" t="str">
        <f>HYPERLINK("https://www.youtube.com/channel/UCfxJUEARvUFBsXZKmeriP-A")</f>
        <v>https://www.youtube.com/channel/UCfxJUEARvUFBsXZKmeriP-A</v>
      </c>
      <c r="Q672">
        <v>29</v>
      </c>
      <c r="R672" t="s">
        <v>60</v>
      </c>
      <c r="W672">
        <v>0</v>
      </c>
      <c r="X672">
        <v>0</v>
      </c>
      <c r="AD672">
        <v>0</v>
      </c>
      <c r="AE672">
        <v>6</v>
      </c>
      <c r="AG672">
        <v>10</v>
      </c>
      <c r="AI672" t="s">
        <v>52</v>
      </c>
      <c r="AJ672" t="s">
        <v>52</v>
      </c>
      <c r="AK672" t="s">
        <v>52</v>
      </c>
      <c r="AL672" t="str">
        <f>HYPERLINK("https://i.ytimg.com/vi/2y6700pQ2qs/maxresdefault.jpg")</f>
        <v>https://i.ytimg.com/vi/2y6700pQ2qs/maxresdefault.jpg</v>
      </c>
      <c r="AM672" t="s">
        <v>52</v>
      </c>
      <c r="AN672" t="s">
        <v>53</v>
      </c>
    </row>
    <row r="673" spans="1:40">
      <c r="A673" t="s">
        <v>2370</v>
      </c>
      <c r="B673" t="s">
        <v>2711</v>
      </c>
      <c r="C673" t="s">
        <v>2705</v>
      </c>
      <c r="D673" t="s">
        <v>52</v>
      </c>
      <c r="E673" t="s">
        <v>2714</v>
      </c>
      <c r="F673" t="s">
        <v>45</v>
      </c>
      <c r="G673" t="str">
        <f>HYPERLINK("https://twitter.com/3290006267/status/1143350158803066880")</f>
        <v>https://twitter.com/3290006267/status/1143350158803066880</v>
      </c>
      <c r="H673" t="s">
        <v>46</v>
      </c>
      <c r="I673" t="s">
        <v>2715</v>
      </c>
      <c r="J673" t="str">
        <f>HYPERLINK("http://twitter.com/Cooolllaazzoooo")</f>
        <v>http://twitter.com/Cooolllaazzoooo</v>
      </c>
      <c r="K673">
        <v>193</v>
      </c>
      <c r="N673" t="s">
        <v>65</v>
      </c>
      <c r="R673" t="s">
        <v>60</v>
      </c>
      <c r="W673">
        <v>0</v>
      </c>
      <c r="X673">
        <v>0</v>
      </c>
      <c r="AE673">
        <v>0</v>
      </c>
      <c r="AF673">
        <v>0</v>
      </c>
      <c r="AM673" t="s">
        <v>52</v>
      </c>
      <c r="AN673" t="s">
        <v>53</v>
      </c>
    </row>
    <row r="674" spans="1:40">
      <c r="A674" t="s">
        <v>2370</v>
      </c>
      <c r="B674" t="s">
        <v>2716</v>
      </c>
      <c r="C674" t="s">
        <v>2717</v>
      </c>
      <c r="D674" t="s">
        <v>52</v>
      </c>
      <c r="E674" t="s">
        <v>2718</v>
      </c>
      <c r="F674" t="s">
        <v>95</v>
      </c>
      <c r="G674" t="str">
        <f>HYPERLINK("https://twitter.com/707016985868107777/status/1143350066582831104")</f>
        <v>https://twitter.com/707016985868107777/status/1143350066582831104</v>
      </c>
      <c r="H674" t="s">
        <v>46</v>
      </c>
      <c r="I674" t="s">
        <v>2719</v>
      </c>
      <c r="J674" t="str">
        <f>HYPERLINK("http://twitter.com/KimBurnette3")</f>
        <v>http://twitter.com/KimBurnette3</v>
      </c>
      <c r="K674">
        <v>14</v>
      </c>
      <c r="N674" t="s">
        <v>65</v>
      </c>
      <c r="R674" t="s">
        <v>60</v>
      </c>
      <c r="S674" t="s">
        <v>51</v>
      </c>
      <c r="T674" t="s">
        <v>2720</v>
      </c>
      <c r="W674">
        <v>0</v>
      </c>
      <c r="X674">
        <v>0</v>
      </c>
      <c r="AE674">
        <v>0</v>
      </c>
      <c r="AF674">
        <v>0</v>
      </c>
      <c r="AI674" t="s">
        <v>52</v>
      </c>
      <c r="AJ674" t="s">
        <v>52</v>
      </c>
      <c r="AK674" t="s">
        <v>52</v>
      </c>
      <c r="AL674" t="str">
        <f>HYPERLINK("https://pbs.twimg.com/tweet_video_thumb/D93-0hCWsAANjuo.jpg")</f>
        <v>https://pbs.twimg.com/tweet_video_thumb/D93-0hCWsAANjuo.jpg</v>
      </c>
      <c r="AM674" t="s">
        <v>52</v>
      </c>
      <c r="AN674" t="s">
        <v>53</v>
      </c>
    </row>
    <row r="675" spans="1:40">
      <c r="A675" t="s">
        <v>2370</v>
      </c>
      <c r="B675" t="s">
        <v>2716</v>
      </c>
      <c r="C675" t="s">
        <v>2721</v>
      </c>
      <c r="D675" t="s">
        <v>52</v>
      </c>
      <c r="E675" t="s">
        <v>2722</v>
      </c>
      <c r="F675" t="s">
        <v>71</v>
      </c>
      <c r="G675" t="str">
        <f>HYPERLINK("https://twitter.com/16751932/status/1143350048144732160")</f>
        <v>https://twitter.com/16751932/status/1143350048144732160</v>
      </c>
      <c r="H675" t="s">
        <v>46</v>
      </c>
      <c r="I675" t="s">
        <v>2723</v>
      </c>
      <c r="J675" t="str">
        <f>HYPERLINK("http://twitter.com/PatrickRKay")</f>
        <v>http://twitter.com/PatrickRKay</v>
      </c>
      <c r="K675">
        <v>439</v>
      </c>
      <c r="L675" t="s">
        <v>48</v>
      </c>
      <c r="N675" t="s">
        <v>65</v>
      </c>
      <c r="R675" t="s">
        <v>60</v>
      </c>
      <c r="S675" t="s">
        <v>444</v>
      </c>
      <c r="T675" t="s">
        <v>2608</v>
      </c>
      <c r="U675" t="s">
        <v>2724</v>
      </c>
      <c r="W675">
        <v>0</v>
      </c>
      <c r="X675">
        <v>0</v>
      </c>
      <c r="AE675">
        <v>0</v>
      </c>
      <c r="AF675">
        <v>0</v>
      </c>
      <c r="AI675" t="s">
        <v>52</v>
      </c>
      <c r="AJ675" t="s">
        <v>52</v>
      </c>
      <c r="AK675" t="s">
        <v>52</v>
      </c>
      <c r="AL675" t="str">
        <f>HYPERLINK("https://pbs.twimg.com/media/D9iPBEJXsAA8-1n.jpg")</f>
        <v>https://pbs.twimg.com/media/D9iPBEJXsAA8-1n.jpg</v>
      </c>
      <c r="AM675" t="s">
        <v>52</v>
      </c>
      <c r="AN675" t="s">
        <v>53</v>
      </c>
    </row>
    <row r="676" spans="1:40">
      <c r="A676" t="s">
        <v>2370</v>
      </c>
      <c r="B676" t="s">
        <v>2725</v>
      </c>
      <c r="C676" t="s">
        <v>2726</v>
      </c>
      <c r="D676" t="s">
        <v>52</v>
      </c>
      <c r="E676" t="s">
        <v>2727</v>
      </c>
      <c r="F676" t="s">
        <v>45</v>
      </c>
      <c r="G676" t="str">
        <f>HYPERLINK("https://www.instagram.com/p/BzHc81ThE_Y")</f>
        <v>https://www.instagram.com/p/BzHc81ThE_Y</v>
      </c>
      <c r="H676" t="s">
        <v>46</v>
      </c>
      <c r="I676" t="s">
        <v>2728</v>
      </c>
      <c r="J676" t="str">
        <f>HYPERLINK("http://instagram.com/rotary_compression_tester")</f>
        <v>http://instagram.com/rotary_compression_tester</v>
      </c>
      <c r="K676">
        <v>17696</v>
      </c>
      <c r="N676" t="s">
        <v>59</v>
      </c>
      <c r="O676" t="s">
        <v>2728</v>
      </c>
      <c r="P676" t="str">
        <f>HYPERLINK("http://instagram.com/rotary_compression_tester")</f>
        <v>http://instagram.com/rotary_compression_tester</v>
      </c>
      <c r="Q676">
        <v>17696</v>
      </c>
      <c r="R676" t="s">
        <v>60</v>
      </c>
      <c r="S676" t="s">
        <v>51</v>
      </c>
      <c r="T676" t="s">
        <v>2729</v>
      </c>
      <c r="U676" t="s">
        <v>2730</v>
      </c>
      <c r="W676">
        <v>148</v>
      </c>
      <c r="X676">
        <v>148</v>
      </c>
      <c r="AE676">
        <v>4</v>
      </c>
      <c r="AI676" t="s">
        <v>52</v>
      </c>
      <c r="AJ676" t="s">
        <v>52</v>
      </c>
      <c r="AK676" t="s">
        <v>52</v>
      </c>
      <c r="AL676" t="str">
        <f>HYPERLINK("https://www.instagram.com/p/BzHc81ThE_Y/media/?size=l")</f>
        <v>https://www.instagram.com/p/BzHc81ThE_Y/media/?size=l</v>
      </c>
      <c r="AM676" t="s">
        <v>52</v>
      </c>
      <c r="AN676" t="s">
        <v>53</v>
      </c>
    </row>
    <row r="677" spans="1:40">
      <c r="A677" t="s">
        <v>2370</v>
      </c>
      <c r="B677" t="s">
        <v>2731</v>
      </c>
      <c r="C677" t="s">
        <v>1678</v>
      </c>
      <c r="D677" t="s">
        <v>2732</v>
      </c>
      <c r="E677" t="s">
        <v>2733</v>
      </c>
      <c r="F677" t="s">
        <v>95</v>
      </c>
      <c r="G677" t="str">
        <f>HYPERLINK("https://www.youtube.com/watch?v=pxaqAOUZ3P4&amp;lc=Ugy_4Z7LGYaCWV-4HkV4AaABAg.8w_nnEoUBEx8w_xcd-YS5U")</f>
        <v>https://www.youtube.com/watch?v=pxaqAOUZ3P4&amp;lc=Ugy_4Z7LGYaCWV-4HkV4AaABAg.8w_nnEoUBEx8w_xcd-YS5U</v>
      </c>
      <c r="H677" t="s">
        <v>46</v>
      </c>
      <c r="I677" t="s">
        <v>2734</v>
      </c>
      <c r="J677" t="str">
        <f>HYPERLINK("https://www.youtube.com/channel/UCACIL0lKJSNmekPiwslMMSQ")</f>
        <v>https://www.youtube.com/channel/UCACIL0lKJSNmekPiwslMMSQ</v>
      </c>
      <c r="K677">
        <v>15</v>
      </c>
      <c r="N677" t="s">
        <v>116</v>
      </c>
      <c r="O677" t="s">
        <v>2735</v>
      </c>
      <c r="P677" t="str">
        <f>HYPERLINK("https://www.youtube.com/channel/UCbY3apgA8e1JIQMx8OBu83Q")</f>
        <v>https://www.youtube.com/channel/UCbY3apgA8e1JIQMx8OBu83Q</v>
      </c>
      <c r="Q677">
        <v>22</v>
      </c>
      <c r="R677" t="s">
        <v>60</v>
      </c>
      <c r="W677">
        <v>0</v>
      </c>
      <c r="X677">
        <v>0</v>
      </c>
      <c r="AM677" t="s">
        <v>52</v>
      </c>
      <c r="AN677" t="s">
        <v>53</v>
      </c>
    </row>
    <row r="678" spans="1:40">
      <c r="A678" t="s">
        <v>2370</v>
      </c>
      <c r="B678" t="s">
        <v>2736</v>
      </c>
      <c r="C678" t="s">
        <v>2737</v>
      </c>
      <c r="D678" t="s">
        <v>2738</v>
      </c>
      <c r="E678" t="s">
        <v>2739</v>
      </c>
      <c r="F678" t="s">
        <v>95</v>
      </c>
      <c r="G678" t="str">
        <f>HYPERLINK("https://www.youtube.com/watch?v=4w8g4Lna3Yo&amp;lc=UgwCQqGUgsCc5XLWDQ54AaABAg")</f>
        <v>https://www.youtube.com/watch?v=4w8g4Lna3Yo&amp;lc=UgwCQqGUgsCc5XLWDQ54AaABAg</v>
      </c>
      <c r="H678" t="s">
        <v>46</v>
      </c>
      <c r="I678" t="s">
        <v>2740</v>
      </c>
      <c r="J678" t="str">
        <f>HYPERLINK("https://www.youtube.com/channel/UCGks9b8GpwqkMHexsiWucDg")</f>
        <v>https://www.youtube.com/channel/UCGks9b8GpwqkMHexsiWucDg</v>
      </c>
      <c r="K678">
        <v>1</v>
      </c>
      <c r="L678" t="s">
        <v>48</v>
      </c>
      <c r="N678" t="s">
        <v>116</v>
      </c>
      <c r="O678" t="s">
        <v>2741</v>
      </c>
      <c r="P678" t="str">
        <f>HYPERLINK("https://www.youtube.com/channel/UCRw1ldT_5jkzY4nwtoBf56w")</f>
        <v>https://www.youtube.com/channel/UCRw1ldT_5jkzY4nwtoBf56w</v>
      </c>
      <c r="Q678">
        <v>855</v>
      </c>
      <c r="R678" t="s">
        <v>60</v>
      </c>
      <c r="W678">
        <v>0</v>
      </c>
      <c r="X678">
        <v>0</v>
      </c>
      <c r="AE678">
        <v>0</v>
      </c>
      <c r="AM678" t="s">
        <v>52</v>
      </c>
      <c r="AN678" t="s">
        <v>53</v>
      </c>
    </row>
    <row r="679" spans="1:40">
      <c r="A679" t="s">
        <v>2370</v>
      </c>
      <c r="B679" t="s">
        <v>2736</v>
      </c>
      <c r="C679" t="s">
        <v>2742</v>
      </c>
      <c r="D679" t="s">
        <v>52</v>
      </c>
      <c r="E679" t="s">
        <v>2743</v>
      </c>
      <c r="F679" t="s">
        <v>95</v>
      </c>
      <c r="G679" t="str">
        <f>HYPERLINK("https://twitter.com/29765587/status/1143348611343888384")</f>
        <v>https://twitter.com/29765587/status/1143348611343888384</v>
      </c>
      <c r="H679" t="s">
        <v>46</v>
      </c>
      <c r="I679" t="s">
        <v>2744</v>
      </c>
      <c r="J679" t="str">
        <f>HYPERLINK("http://twitter.com/Zero_Killed")</f>
        <v>http://twitter.com/Zero_Killed</v>
      </c>
      <c r="K679">
        <v>132</v>
      </c>
      <c r="N679" t="s">
        <v>65</v>
      </c>
      <c r="R679" t="s">
        <v>60</v>
      </c>
      <c r="S679" t="s">
        <v>639</v>
      </c>
      <c r="T679" t="s">
        <v>2745</v>
      </c>
      <c r="U679" t="s">
        <v>2746</v>
      </c>
      <c r="W679">
        <v>0</v>
      </c>
      <c r="X679">
        <v>0</v>
      </c>
      <c r="AE679">
        <v>0</v>
      </c>
      <c r="AF679">
        <v>0</v>
      </c>
      <c r="AI679" t="s">
        <v>52</v>
      </c>
      <c r="AJ679" t="s">
        <v>52</v>
      </c>
      <c r="AK679" t="s">
        <v>52</v>
      </c>
      <c r="AL679" t="str">
        <f>HYPERLINK("https://pbs.twimg.com/ext_tw_video_thumb/1139626103654535170/pu/img/13TRtdNCm6VxekuO.jpg")</f>
        <v>https://pbs.twimg.com/ext_tw_video_thumb/1139626103654535170/pu/img/13TRtdNCm6VxekuO.jpg</v>
      </c>
      <c r="AM679" t="s">
        <v>52</v>
      </c>
      <c r="AN679" t="s">
        <v>53</v>
      </c>
    </row>
    <row r="680" spans="1:40">
      <c r="A680" t="s">
        <v>2370</v>
      </c>
      <c r="B680" t="s">
        <v>2747</v>
      </c>
      <c r="C680" t="s">
        <v>2666</v>
      </c>
      <c r="D680" t="s">
        <v>2748</v>
      </c>
      <c r="E680" t="s">
        <v>2749</v>
      </c>
      <c r="F680" t="s">
        <v>45</v>
      </c>
      <c r="G680" t="str">
        <f>HYPERLINK("https://www.youtube.com/watch?v=VyPKPOFxHXo")</f>
        <v>https://www.youtube.com/watch?v=VyPKPOFxHXo</v>
      </c>
      <c r="H680" t="s">
        <v>46</v>
      </c>
      <c r="I680" t="s">
        <v>2750</v>
      </c>
      <c r="J680" t="str">
        <f>HYPERLINK("https://www.youtube.com/channel/UCDTsDUrjQqQY0URtsjV-Kog")</f>
        <v>https://www.youtube.com/channel/UCDTsDUrjQqQY0URtsjV-Kog</v>
      </c>
      <c r="K680">
        <v>4</v>
      </c>
      <c r="L680" t="s">
        <v>58</v>
      </c>
      <c r="N680" t="s">
        <v>116</v>
      </c>
      <c r="O680" t="s">
        <v>2750</v>
      </c>
      <c r="P680" t="str">
        <f>HYPERLINK("https://www.youtube.com/channel/UCDTsDUrjQqQY0URtsjV-Kog")</f>
        <v>https://www.youtube.com/channel/UCDTsDUrjQqQY0URtsjV-Kog</v>
      </c>
      <c r="Q680">
        <v>4</v>
      </c>
      <c r="R680" t="s">
        <v>60</v>
      </c>
      <c r="W680">
        <v>4</v>
      </c>
      <c r="X680">
        <v>4</v>
      </c>
      <c r="AD680">
        <v>0</v>
      </c>
      <c r="AE680">
        <v>2</v>
      </c>
      <c r="AG680">
        <v>27</v>
      </c>
      <c r="AI680" t="s">
        <v>52</v>
      </c>
      <c r="AJ680" t="s">
        <v>2235</v>
      </c>
      <c r="AK680" t="s">
        <v>52</v>
      </c>
      <c r="AL680" t="str">
        <f>HYPERLINK("https://i.ytimg.com/vi/VyPKPOFxHXo/maxresdefault.jpg")</f>
        <v>https://i.ytimg.com/vi/VyPKPOFxHXo/maxresdefault.jpg</v>
      </c>
      <c r="AM680" t="s">
        <v>52</v>
      </c>
      <c r="AN680" t="s">
        <v>53</v>
      </c>
    </row>
    <row r="681" spans="1:40">
      <c r="A681" t="s">
        <v>2370</v>
      </c>
      <c r="B681" t="s">
        <v>2747</v>
      </c>
      <c r="C681" t="s">
        <v>2751</v>
      </c>
      <c r="D681" t="s">
        <v>52</v>
      </c>
      <c r="E681" t="s">
        <v>2752</v>
      </c>
      <c r="F681" t="s">
        <v>45</v>
      </c>
      <c r="G681" t="str">
        <f>HYPERLINK("https://twitter.com/156740560/status/1143348156689768449")</f>
        <v>https://twitter.com/156740560/status/1143348156689768449</v>
      </c>
      <c r="H681" t="s">
        <v>46</v>
      </c>
      <c r="I681" t="s">
        <v>2753</v>
      </c>
      <c r="J681" t="str">
        <f>HYPERLINK("http://twitter.com/laurynnsierra")</f>
        <v>http://twitter.com/laurynnsierra</v>
      </c>
      <c r="K681">
        <v>463</v>
      </c>
      <c r="N681" t="s">
        <v>65</v>
      </c>
      <c r="R681" t="s">
        <v>60</v>
      </c>
      <c r="S681" t="s">
        <v>51</v>
      </c>
      <c r="T681" t="s">
        <v>1669</v>
      </c>
      <c r="W681">
        <v>0</v>
      </c>
      <c r="X681">
        <v>0</v>
      </c>
      <c r="AE681">
        <v>0</v>
      </c>
      <c r="AF681">
        <v>0</v>
      </c>
      <c r="AM681" t="s">
        <v>52</v>
      </c>
      <c r="AN681" t="s">
        <v>53</v>
      </c>
    </row>
    <row r="682" spans="1:40">
      <c r="A682" t="s">
        <v>2370</v>
      </c>
      <c r="B682" t="s">
        <v>2747</v>
      </c>
      <c r="C682" t="s">
        <v>2751</v>
      </c>
      <c r="D682" t="s">
        <v>52</v>
      </c>
      <c r="E682" t="s">
        <v>2754</v>
      </c>
      <c r="F682" t="s">
        <v>71</v>
      </c>
      <c r="G682" t="str">
        <f>HYPERLINK("https://twitter.com/72902971/status/1143348149446164480")</f>
        <v>https://twitter.com/72902971/status/1143348149446164480</v>
      </c>
      <c r="H682" t="s">
        <v>46</v>
      </c>
      <c r="I682" t="s">
        <v>2755</v>
      </c>
      <c r="J682" t="str">
        <f>HYPERLINK("http://twitter.com/mircelania")</f>
        <v>http://twitter.com/mircelania</v>
      </c>
      <c r="K682">
        <v>184</v>
      </c>
      <c r="L682" t="s">
        <v>58</v>
      </c>
      <c r="N682" t="s">
        <v>65</v>
      </c>
      <c r="R682" t="s">
        <v>60</v>
      </c>
      <c r="S682" t="s">
        <v>432</v>
      </c>
      <c r="T682" t="s">
        <v>2756</v>
      </c>
      <c r="U682" t="s">
        <v>2757</v>
      </c>
      <c r="W682">
        <v>0</v>
      </c>
      <c r="X682">
        <v>0</v>
      </c>
      <c r="AE682">
        <v>0</v>
      </c>
      <c r="AF682">
        <v>0</v>
      </c>
      <c r="AI682" t="s">
        <v>52</v>
      </c>
      <c r="AJ682" t="s">
        <v>52</v>
      </c>
      <c r="AK682" t="s">
        <v>52</v>
      </c>
      <c r="AL682" t="str">
        <f>HYPERLINK("https://pbs.twimg.com/ext_tw_video_thumb/1143012090820603909/pu/img/l-OK7rusEP3k_Dii.jpg")</f>
        <v>https://pbs.twimg.com/ext_tw_video_thumb/1143012090820603909/pu/img/l-OK7rusEP3k_Dii.jpg</v>
      </c>
      <c r="AM682" t="s">
        <v>52</v>
      </c>
      <c r="AN682" t="s">
        <v>53</v>
      </c>
    </row>
    <row r="683" spans="1:40">
      <c r="A683" t="s">
        <v>2370</v>
      </c>
      <c r="B683" t="s">
        <v>2747</v>
      </c>
      <c r="C683" t="s">
        <v>2751</v>
      </c>
      <c r="D683" t="s">
        <v>52</v>
      </c>
      <c r="E683" t="s">
        <v>2758</v>
      </c>
      <c r="F683" t="s">
        <v>131</v>
      </c>
      <c r="G683" t="str">
        <f>HYPERLINK("https://twitter.com/720331104163471361/status/1143348136779239424")</f>
        <v>https://twitter.com/720331104163471361/status/1143348136779239424</v>
      </c>
      <c r="H683" t="s">
        <v>46</v>
      </c>
      <c r="I683" t="s">
        <v>2759</v>
      </c>
      <c r="J683" t="str">
        <f>HYPERLINK("http://twitter.com/hkmillls")</f>
        <v>http://twitter.com/hkmillls</v>
      </c>
      <c r="K683">
        <v>151</v>
      </c>
      <c r="N683" t="s">
        <v>65</v>
      </c>
      <c r="R683" t="s">
        <v>60</v>
      </c>
      <c r="S683" t="s">
        <v>51</v>
      </c>
      <c r="T683" t="s">
        <v>173</v>
      </c>
      <c r="U683" t="s">
        <v>2760</v>
      </c>
      <c r="W683">
        <v>0</v>
      </c>
      <c r="X683">
        <v>0</v>
      </c>
      <c r="AE683">
        <v>0</v>
      </c>
      <c r="AM683" t="s">
        <v>52</v>
      </c>
      <c r="AN683" t="s">
        <v>53</v>
      </c>
    </row>
    <row r="684" spans="1:40">
      <c r="A684" t="s">
        <v>2370</v>
      </c>
      <c r="B684" t="s">
        <v>2761</v>
      </c>
      <c r="C684" t="s">
        <v>2726</v>
      </c>
      <c r="D684" t="s">
        <v>52</v>
      </c>
      <c r="E684" t="s">
        <v>599</v>
      </c>
      <c r="F684" t="s">
        <v>131</v>
      </c>
      <c r="G684" t="str">
        <f>HYPERLINK("https://twitter.com/3251690400/status/1143348054264819714")</f>
        <v>https://twitter.com/3251690400/status/1143348054264819714</v>
      </c>
      <c r="H684" t="s">
        <v>46</v>
      </c>
      <c r="I684" t="s">
        <v>2762</v>
      </c>
      <c r="J684" t="str">
        <f>HYPERLINK("http://twitter.com/jessica031025")</f>
        <v>http://twitter.com/jessica031025</v>
      </c>
      <c r="K684">
        <v>16</v>
      </c>
      <c r="N684" t="s">
        <v>65</v>
      </c>
      <c r="R684" t="s">
        <v>60</v>
      </c>
      <c r="W684">
        <v>0</v>
      </c>
      <c r="X684">
        <v>0</v>
      </c>
      <c r="AE684">
        <v>0</v>
      </c>
      <c r="AI684" t="s">
        <v>108</v>
      </c>
      <c r="AJ684" t="s">
        <v>52</v>
      </c>
      <c r="AK684" t="s">
        <v>601</v>
      </c>
      <c r="AL684" t="str">
        <f>HYPERLINK("https://pbs.twimg.com/ext_tw_video_thumb/1143202185154584581/pu/img/K72qfBH8zIdbiUf-.jpg")</f>
        <v>https://pbs.twimg.com/ext_tw_video_thumb/1143202185154584581/pu/img/K72qfBH8zIdbiUf-.jpg</v>
      </c>
      <c r="AM684" t="s">
        <v>52</v>
      </c>
      <c r="AN684" t="s">
        <v>53</v>
      </c>
    </row>
    <row r="685" spans="1:40">
      <c r="A685" t="s">
        <v>2370</v>
      </c>
      <c r="B685" t="s">
        <v>2761</v>
      </c>
      <c r="C685" t="s">
        <v>2726</v>
      </c>
      <c r="D685" t="s">
        <v>52</v>
      </c>
      <c r="E685" t="s">
        <v>1194</v>
      </c>
      <c r="F685" t="s">
        <v>131</v>
      </c>
      <c r="G685" t="str">
        <f>HYPERLINK("https://twitter.com/1049905187081609216/status/1143348051228184576")</f>
        <v>https://twitter.com/1049905187081609216/status/1143348051228184576</v>
      </c>
      <c r="H685" t="s">
        <v>46</v>
      </c>
      <c r="I685" t="s">
        <v>2509</v>
      </c>
      <c r="J685" t="str">
        <f>HYPERLINK("http://twitter.com/prohoe")</f>
        <v>http://twitter.com/prohoe</v>
      </c>
      <c r="K685">
        <v>66</v>
      </c>
      <c r="N685" t="s">
        <v>65</v>
      </c>
      <c r="R685" t="s">
        <v>60</v>
      </c>
      <c r="W685">
        <v>0</v>
      </c>
      <c r="X685">
        <v>0</v>
      </c>
      <c r="AE685">
        <v>0</v>
      </c>
      <c r="AI685" t="s">
        <v>52</v>
      </c>
      <c r="AJ685" t="s">
        <v>1196</v>
      </c>
      <c r="AK685" t="s">
        <v>52</v>
      </c>
      <c r="AL685" t="str">
        <f>HYPERLINK("https://pbs.twimg.com/media/D9xgk2YXkAAd2ql.jpg")</f>
        <v>https://pbs.twimg.com/media/D9xgk2YXkAAd2ql.jpg</v>
      </c>
      <c r="AM685" t="s">
        <v>52</v>
      </c>
      <c r="AN685" t="s">
        <v>53</v>
      </c>
    </row>
    <row r="686" spans="1:40">
      <c r="A686" t="s">
        <v>2370</v>
      </c>
      <c r="B686" t="s">
        <v>2761</v>
      </c>
      <c r="C686" t="s">
        <v>2726</v>
      </c>
      <c r="D686" t="s">
        <v>52</v>
      </c>
      <c r="E686" t="s">
        <v>1194</v>
      </c>
      <c r="F686" t="s">
        <v>131</v>
      </c>
      <c r="G686" t="str">
        <f>HYPERLINK("https://twitter.com/816283680/status/1143348036292284416")</f>
        <v>https://twitter.com/816283680/status/1143348036292284416</v>
      </c>
      <c r="H686" t="s">
        <v>46</v>
      </c>
      <c r="I686" t="s">
        <v>2763</v>
      </c>
      <c r="J686" t="str">
        <f>HYPERLINK("http://twitter.com/stonefruitny")</f>
        <v>http://twitter.com/stonefruitny</v>
      </c>
      <c r="K686">
        <v>294</v>
      </c>
      <c r="N686" t="s">
        <v>65</v>
      </c>
      <c r="R686" t="s">
        <v>60</v>
      </c>
      <c r="S686" t="s">
        <v>51</v>
      </c>
      <c r="T686" t="s">
        <v>380</v>
      </c>
      <c r="U686" t="s">
        <v>380</v>
      </c>
      <c r="W686">
        <v>0</v>
      </c>
      <c r="X686">
        <v>0</v>
      </c>
      <c r="AE686">
        <v>0</v>
      </c>
      <c r="AI686" t="s">
        <v>52</v>
      </c>
      <c r="AJ686" t="s">
        <v>1196</v>
      </c>
      <c r="AK686" t="s">
        <v>52</v>
      </c>
      <c r="AL686" t="str">
        <f>HYPERLINK("https://pbs.twimg.com/media/D9xgk2YXkAAd2ql.jpg")</f>
        <v>https://pbs.twimg.com/media/D9xgk2YXkAAd2ql.jpg</v>
      </c>
      <c r="AM686" t="s">
        <v>52</v>
      </c>
      <c r="AN686" t="s">
        <v>53</v>
      </c>
    </row>
    <row r="687" spans="1:40">
      <c r="A687" t="s">
        <v>2370</v>
      </c>
      <c r="B687" t="s">
        <v>2761</v>
      </c>
      <c r="C687" t="s">
        <v>2764</v>
      </c>
      <c r="D687" t="s">
        <v>52</v>
      </c>
      <c r="E687" t="s">
        <v>2765</v>
      </c>
      <c r="F687" t="s">
        <v>131</v>
      </c>
      <c r="G687" t="str">
        <f>HYPERLINK("https://twitter.com/387837294/status/1143347980868706304")</f>
        <v>https://twitter.com/387837294/status/1143347980868706304</v>
      </c>
      <c r="H687" t="s">
        <v>46</v>
      </c>
      <c r="I687" t="s">
        <v>2766</v>
      </c>
      <c r="J687" t="str">
        <f>HYPERLINK("http://twitter.com/agusgollino")</f>
        <v>http://twitter.com/agusgollino</v>
      </c>
      <c r="K687">
        <v>2257</v>
      </c>
      <c r="N687" t="s">
        <v>65</v>
      </c>
      <c r="R687" t="s">
        <v>60</v>
      </c>
      <c r="W687">
        <v>0</v>
      </c>
      <c r="X687">
        <v>0</v>
      </c>
      <c r="AE687">
        <v>0</v>
      </c>
      <c r="AM687" t="s">
        <v>52</v>
      </c>
      <c r="AN687" t="s">
        <v>53</v>
      </c>
    </row>
    <row r="688" spans="1:40">
      <c r="A688" t="s">
        <v>2370</v>
      </c>
      <c r="B688" t="s">
        <v>2761</v>
      </c>
      <c r="C688" t="s">
        <v>2764</v>
      </c>
      <c r="D688" t="s">
        <v>52</v>
      </c>
      <c r="E688" t="s">
        <v>2767</v>
      </c>
      <c r="F688" t="s">
        <v>131</v>
      </c>
      <c r="G688" t="str">
        <f>HYPERLINK("https://twitter.com/851959099642261505/status/1143347970085048321")</f>
        <v>https://twitter.com/851959099642261505/status/1143347970085048321</v>
      </c>
      <c r="H688" t="s">
        <v>46</v>
      </c>
      <c r="I688" t="s">
        <v>2768</v>
      </c>
      <c r="J688" t="str">
        <f>HYPERLINK("http://twitter.com/Gomezmartin10_")</f>
        <v>http://twitter.com/Gomezmartin10_</v>
      </c>
      <c r="K688">
        <v>299</v>
      </c>
      <c r="L688" t="s">
        <v>48</v>
      </c>
      <c r="N688" t="s">
        <v>65</v>
      </c>
      <c r="R688" t="s">
        <v>60</v>
      </c>
      <c r="S688" t="s">
        <v>701</v>
      </c>
      <c r="T688" t="s">
        <v>2321</v>
      </c>
      <c r="W688">
        <v>0</v>
      </c>
      <c r="X688">
        <v>0</v>
      </c>
      <c r="AE688">
        <v>0</v>
      </c>
      <c r="AM688" t="s">
        <v>52</v>
      </c>
      <c r="AN688" t="s">
        <v>53</v>
      </c>
    </row>
    <row r="689" spans="1:40">
      <c r="A689" t="s">
        <v>2370</v>
      </c>
      <c r="B689" t="s">
        <v>2761</v>
      </c>
      <c r="C689" t="s">
        <v>2764</v>
      </c>
      <c r="D689" t="s">
        <v>52</v>
      </c>
      <c r="E689" t="s">
        <v>2769</v>
      </c>
      <c r="F689" t="s">
        <v>45</v>
      </c>
      <c r="G689" t="str">
        <f>HYPERLINK("https://twitter.com/3540042920/status/1143347949109481478")</f>
        <v>https://twitter.com/3540042920/status/1143347949109481478</v>
      </c>
      <c r="H689" t="s">
        <v>46</v>
      </c>
      <c r="I689" t="s">
        <v>2770</v>
      </c>
      <c r="J689" t="str">
        <f>HYPERLINK("http://twitter.com/almalinda_")</f>
        <v>http://twitter.com/almalinda_</v>
      </c>
      <c r="K689">
        <v>197</v>
      </c>
      <c r="N689" t="s">
        <v>65</v>
      </c>
      <c r="R689" t="s">
        <v>60</v>
      </c>
      <c r="S689" t="s">
        <v>51</v>
      </c>
      <c r="T689" t="s">
        <v>152</v>
      </c>
      <c r="U689" t="s">
        <v>2771</v>
      </c>
      <c r="W689">
        <v>3</v>
      </c>
      <c r="X689">
        <v>3</v>
      </c>
      <c r="AE689">
        <v>1</v>
      </c>
      <c r="AF689">
        <v>0</v>
      </c>
      <c r="AM689" t="s">
        <v>52</v>
      </c>
      <c r="AN689" t="s">
        <v>53</v>
      </c>
    </row>
    <row r="690" spans="1:40">
      <c r="A690" t="s">
        <v>2370</v>
      </c>
      <c r="B690" t="s">
        <v>2761</v>
      </c>
      <c r="C690" t="s">
        <v>2772</v>
      </c>
      <c r="D690" t="s">
        <v>52</v>
      </c>
      <c r="E690" t="s">
        <v>1500</v>
      </c>
      <c r="F690" t="s">
        <v>71</v>
      </c>
      <c r="G690" t="str">
        <f>HYPERLINK("https://twitter.com/411911019/status/1143347900145180679")</f>
        <v>https://twitter.com/411911019/status/1143347900145180679</v>
      </c>
      <c r="H690" t="s">
        <v>46</v>
      </c>
      <c r="I690" t="s">
        <v>2773</v>
      </c>
      <c r="J690" t="str">
        <f>HYPERLINK("http://twitter.com/Larrayy")</f>
        <v>http://twitter.com/Larrayy</v>
      </c>
      <c r="K690">
        <v>1857</v>
      </c>
      <c r="L690" t="s">
        <v>48</v>
      </c>
      <c r="N690" t="s">
        <v>65</v>
      </c>
      <c r="R690" t="s">
        <v>60</v>
      </c>
      <c r="S690" t="s">
        <v>51</v>
      </c>
      <c r="T690" t="s">
        <v>152</v>
      </c>
      <c r="U690" t="s">
        <v>236</v>
      </c>
      <c r="W690">
        <v>0</v>
      </c>
      <c r="X690">
        <v>0</v>
      </c>
      <c r="AE690">
        <v>0</v>
      </c>
      <c r="AF690">
        <v>0</v>
      </c>
      <c r="AI690" t="s">
        <v>52</v>
      </c>
      <c r="AJ690" t="s">
        <v>52</v>
      </c>
      <c r="AK690" t="s">
        <v>52</v>
      </c>
      <c r="AL690" t="str">
        <f>HYPERLINK("https://pbs.twimg.com/media/D931w5HXoAENDHw.jpg")</f>
        <v>https://pbs.twimg.com/media/D931w5HXoAENDHw.jpg</v>
      </c>
      <c r="AM690" t="s">
        <v>52</v>
      </c>
      <c r="AN690" t="s">
        <v>53</v>
      </c>
    </row>
    <row r="691" spans="1:40">
      <c r="A691" t="s">
        <v>2370</v>
      </c>
      <c r="B691" t="s">
        <v>2761</v>
      </c>
      <c r="C691" t="s">
        <v>2772</v>
      </c>
      <c r="D691" t="s">
        <v>52</v>
      </c>
      <c r="E691" t="s">
        <v>1194</v>
      </c>
      <c r="F691" t="s">
        <v>131</v>
      </c>
      <c r="G691" t="str">
        <f>HYPERLINK("https://twitter.com/159430485/status/1143347874282872832")</f>
        <v>https://twitter.com/159430485/status/1143347874282872832</v>
      </c>
      <c r="H691" t="s">
        <v>46</v>
      </c>
      <c r="I691" t="s">
        <v>2774</v>
      </c>
      <c r="J691" t="str">
        <f>HYPERLINK("http://twitter.com/s0yab3an")</f>
        <v>http://twitter.com/s0yab3an</v>
      </c>
      <c r="K691">
        <v>262</v>
      </c>
      <c r="N691" t="s">
        <v>65</v>
      </c>
      <c r="R691" t="s">
        <v>60</v>
      </c>
      <c r="W691">
        <v>0</v>
      </c>
      <c r="X691">
        <v>0</v>
      </c>
      <c r="AE691">
        <v>0</v>
      </c>
      <c r="AI691" t="s">
        <v>52</v>
      </c>
      <c r="AJ691" t="s">
        <v>1196</v>
      </c>
      <c r="AK691" t="s">
        <v>52</v>
      </c>
      <c r="AL691" t="str">
        <f>HYPERLINK("https://pbs.twimg.com/media/D9xgk2YXkAAd2ql.jpg")</f>
        <v>https://pbs.twimg.com/media/D9xgk2YXkAAd2ql.jpg</v>
      </c>
      <c r="AM691" t="s">
        <v>52</v>
      </c>
      <c r="AN691" t="s">
        <v>53</v>
      </c>
    </row>
    <row r="692" spans="1:40">
      <c r="A692" t="s">
        <v>2370</v>
      </c>
      <c r="B692" t="s">
        <v>2775</v>
      </c>
      <c r="C692" t="s">
        <v>2751</v>
      </c>
      <c r="D692" t="s">
        <v>52</v>
      </c>
      <c r="E692" t="s">
        <v>2776</v>
      </c>
      <c r="F692" t="s">
        <v>45</v>
      </c>
      <c r="G692" t="str">
        <f>HYPERLINK("https://twitter.com/24379476/status/1143347387265503233")</f>
        <v>https://twitter.com/24379476/status/1143347387265503233</v>
      </c>
      <c r="H692" t="s">
        <v>46</v>
      </c>
      <c r="I692" t="s">
        <v>2777</v>
      </c>
      <c r="J692" t="str">
        <f>HYPERLINK("http://twitter.com/jenpiacenti")</f>
        <v>http://twitter.com/jenpiacenti</v>
      </c>
      <c r="K692">
        <v>2396</v>
      </c>
      <c r="L692" t="s">
        <v>58</v>
      </c>
      <c r="N692" t="s">
        <v>65</v>
      </c>
      <c r="R692" t="s">
        <v>60</v>
      </c>
      <c r="S692" t="s">
        <v>51</v>
      </c>
      <c r="T692" t="s">
        <v>173</v>
      </c>
      <c r="U692" t="s">
        <v>1214</v>
      </c>
      <c r="W692">
        <v>13</v>
      </c>
      <c r="X692">
        <v>13</v>
      </c>
      <c r="AE692">
        <v>5</v>
      </c>
      <c r="AF692">
        <v>0</v>
      </c>
      <c r="AM692" t="s">
        <v>52</v>
      </c>
      <c r="AN692" t="s">
        <v>53</v>
      </c>
    </row>
    <row r="693" spans="1:40">
      <c r="A693" t="s">
        <v>2370</v>
      </c>
      <c r="B693" t="s">
        <v>2778</v>
      </c>
      <c r="C693" t="s">
        <v>2779</v>
      </c>
      <c r="D693" t="s">
        <v>52</v>
      </c>
      <c r="E693" t="s">
        <v>2780</v>
      </c>
      <c r="F693" t="s">
        <v>45</v>
      </c>
      <c r="G693" t="str">
        <f>HYPERLINK("https://twitter.com/959448660219228160/status/1143346691262812161")</f>
        <v>https://twitter.com/959448660219228160/status/1143346691262812161</v>
      </c>
      <c r="H693" t="s">
        <v>46</v>
      </c>
      <c r="I693" t="s">
        <v>2781</v>
      </c>
      <c r="J693" t="str">
        <f>HYPERLINK("http://twitter.com/boyydivison")</f>
        <v>http://twitter.com/boyydivison</v>
      </c>
      <c r="K693">
        <v>1495</v>
      </c>
      <c r="N693" t="s">
        <v>65</v>
      </c>
      <c r="R693" t="s">
        <v>60</v>
      </c>
      <c r="W693">
        <v>1</v>
      </c>
      <c r="X693">
        <v>1</v>
      </c>
      <c r="AE693">
        <v>1</v>
      </c>
      <c r="AF693">
        <v>0</v>
      </c>
      <c r="AI693" t="s">
        <v>52</v>
      </c>
      <c r="AJ693" t="s">
        <v>52</v>
      </c>
      <c r="AK693" t="s">
        <v>2782</v>
      </c>
      <c r="AL693" t="str">
        <f>HYPERLINK("https://pbs.twimg.com/media/D937vNqWwAACw0F.jpg")</f>
        <v>https://pbs.twimg.com/media/D937vNqWwAACw0F.jpg</v>
      </c>
      <c r="AM693" t="s">
        <v>52</v>
      </c>
      <c r="AN693" t="s">
        <v>53</v>
      </c>
    </row>
    <row r="694" spans="1:40">
      <c r="A694" t="s">
        <v>2370</v>
      </c>
      <c r="B694" t="s">
        <v>2778</v>
      </c>
      <c r="C694" t="s">
        <v>2779</v>
      </c>
      <c r="D694" t="s">
        <v>52</v>
      </c>
      <c r="E694" t="s">
        <v>2220</v>
      </c>
      <c r="F694" t="s">
        <v>45</v>
      </c>
      <c r="G694" t="str">
        <f>HYPERLINK("https://twitter.com/998855899354628096/status/1143346616289681408")</f>
        <v>https://twitter.com/998855899354628096/status/1143346616289681408</v>
      </c>
      <c r="H694" t="s">
        <v>46</v>
      </c>
      <c r="I694" t="s">
        <v>2783</v>
      </c>
      <c r="J694" t="str">
        <f>HYPERLINK("http://twitter.com/Fortguy1")</f>
        <v>http://twitter.com/Fortguy1</v>
      </c>
      <c r="K694">
        <v>72</v>
      </c>
      <c r="N694" t="s">
        <v>65</v>
      </c>
      <c r="R694" t="s">
        <v>60</v>
      </c>
      <c r="S694" t="s">
        <v>51</v>
      </c>
      <c r="T694" t="s">
        <v>84</v>
      </c>
      <c r="U694" t="s">
        <v>85</v>
      </c>
      <c r="W694">
        <v>4</v>
      </c>
      <c r="X694">
        <v>4</v>
      </c>
      <c r="AE694">
        <v>0</v>
      </c>
      <c r="AF694">
        <v>1</v>
      </c>
      <c r="AI694" t="s">
        <v>52</v>
      </c>
      <c r="AJ694" t="s">
        <v>52</v>
      </c>
      <c r="AK694" t="s">
        <v>2222</v>
      </c>
      <c r="AL694" t="str">
        <f>HYPERLINK("https://pbs.twimg.com/ext_tw_video_thumb/1143346388648026119/pu/img/0NUW3ns7dxvxBhp_.jpg")</f>
        <v>https://pbs.twimg.com/ext_tw_video_thumb/1143346388648026119/pu/img/0NUW3ns7dxvxBhp_.jpg</v>
      </c>
      <c r="AM694" t="s">
        <v>52</v>
      </c>
      <c r="AN694" t="s">
        <v>53</v>
      </c>
    </row>
    <row r="695" spans="1:40">
      <c r="A695" t="s">
        <v>2370</v>
      </c>
      <c r="B695" t="s">
        <v>2784</v>
      </c>
      <c r="C695" t="s">
        <v>2785</v>
      </c>
      <c r="D695" t="s">
        <v>52</v>
      </c>
      <c r="E695" t="s">
        <v>2786</v>
      </c>
      <c r="F695" t="s">
        <v>95</v>
      </c>
      <c r="G695" t="str">
        <f>HYPERLINK("https://twitter.com/616645184/status/1143346387041562625")</f>
        <v>https://twitter.com/616645184/status/1143346387041562625</v>
      </c>
      <c r="H695" t="s">
        <v>46</v>
      </c>
      <c r="I695" t="s">
        <v>2787</v>
      </c>
      <c r="J695" t="str">
        <f>HYPERLINK("http://twitter.com/klegane6122")</f>
        <v>http://twitter.com/klegane6122</v>
      </c>
      <c r="K695">
        <v>386</v>
      </c>
      <c r="N695" t="s">
        <v>65</v>
      </c>
      <c r="R695" t="s">
        <v>60</v>
      </c>
      <c r="W695">
        <v>0</v>
      </c>
      <c r="X695">
        <v>0</v>
      </c>
      <c r="AE695">
        <v>0</v>
      </c>
      <c r="AF695">
        <v>0</v>
      </c>
      <c r="AM695" t="s">
        <v>52</v>
      </c>
      <c r="AN695" t="s">
        <v>53</v>
      </c>
    </row>
    <row r="696" spans="1:40">
      <c r="A696" t="s">
        <v>2370</v>
      </c>
      <c r="B696" t="s">
        <v>2788</v>
      </c>
      <c r="C696" t="s">
        <v>1905</v>
      </c>
      <c r="D696" t="s">
        <v>52</v>
      </c>
      <c r="E696" t="s">
        <v>2789</v>
      </c>
      <c r="F696" t="s">
        <v>45</v>
      </c>
      <c r="G696" t="str">
        <f>HYPERLINK("https://twitter.com/1074391580285509634/status/1143345841396178945")</f>
        <v>https://twitter.com/1074391580285509634/status/1143345841396178945</v>
      </c>
      <c r="H696" t="s">
        <v>46</v>
      </c>
      <c r="I696" t="s">
        <v>709</v>
      </c>
      <c r="J696" t="str">
        <f>HYPERLINK("http://twitter.com/vikii_lacuesta")</f>
        <v>http://twitter.com/vikii_lacuesta</v>
      </c>
      <c r="K696">
        <v>63</v>
      </c>
      <c r="N696" t="s">
        <v>65</v>
      </c>
      <c r="R696" t="s">
        <v>60</v>
      </c>
      <c r="S696" t="s">
        <v>710</v>
      </c>
      <c r="T696" t="s">
        <v>711</v>
      </c>
      <c r="U696" t="s">
        <v>711</v>
      </c>
      <c r="W696">
        <v>1</v>
      </c>
      <c r="X696">
        <v>1</v>
      </c>
      <c r="AE696">
        <v>0</v>
      </c>
      <c r="AF696">
        <v>0</v>
      </c>
      <c r="AM696" t="s">
        <v>52</v>
      </c>
      <c r="AN696" t="s">
        <v>53</v>
      </c>
    </row>
    <row r="697" spans="1:40">
      <c r="A697" t="s">
        <v>2370</v>
      </c>
      <c r="B697" t="s">
        <v>2788</v>
      </c>
      <c r="C697" t="s">
        <v>1148</v>
      </c>
      <c r="D697" t="s">
        <v>2790</v>
      </c>
      <c r="E697" t="s">
        <v>2791</v>
      </c>
      <c r="F697" t="s">
        <v>45</v>
      </c>
      <c r="G697" t="str">
        <f>HYPERLINK("https://www.youtube.com/watch?v=2c5Y7rFrbME")</f>
        <v>https://www.youtube.com/watch?v=2c5Y7rFrbME</v>
      </c>
      <c r="H697" t="s">
        <v>46</v>
      </c>
      <c r="I697" t="s">
        <v>2792</v>
      </c>
      <c r="J697" t="str">
        <f>HYPERLINK("https://www.youtube.com/channel/UCXwohDNk1oMK1I3rZlsz85g")</f>
        <v>https://www.youtube.com/channel/UCXwohDNk1oMK1I3rZlsz85g</v>
      </c>
      <c r="K697">
        <v>20676</v>
      </c>
      <c r="N697" t="s">
        <v>116</v>
      </c>
      <c r="O697" t="s">
        <v>2792</v>
      </c>
      <c r="P697" t="str">
        <f>HYPERLINK("https://www.youtube.com/channel/UCXwohDNk1oMK1I3rZlsz85g")</f>
        <v>https://www.youtube.com/channel/UCXwohDNk1oMK1I3rZlsz85g</v>
      </c>
      <c r="Q697">
        <v>20676</v>
      </c>
      <c r="R697" t="s">
        <v>60</v>
      </c>
      <c r="S697" t="s">
        <v>51</v>
      </c>
      <c r="W697">
        <v>131</v>
      </c>
      <c r="X697">
        <v>131</v>
      </c>
      <c r="AD697">
        <v>4</v>
      </c>
      <c r="AE697">
        <v>116</v>
      </c>
      <c r="AG697">
        <v>904</v>
      </c>
      <c r="AI697" t="s">
        <v>108</v>
      </c>
      <c r="AJ697" t="s">
        <v>2793</v>
      </c>
      <c r="AK697" t="s">
        <v>52</v>
      </c>
      <c r="AL697" t="str">
        <f>HYPERLINK("https://i.ytimg.com/vi/2c5Y7rFrbME/maxresdefault.jpg")</f>
        <v>https://i.ytimg.com/vi/2c5Y7rFrbME/maxresdefault.jpg</v>
      </c>
      <c r="AM697" t="s">
        <v>52</v>
      </c>
      <c r="AN697" t="s">
        <v>53</v>
      </c>
    </row>
    <row r="698" spans="1:40">
      <c r="A698" t="s">
        <v>2370</v>
      </c>
      <c r="B698" t="s">
        <v>2794</v>
      </c>
      <c r="C698" t="s">
        <v>2795</v>
      </c>
      <c r="D698" t="s">
        <v>52</v>
      </c>
      <c r="E698" t="s">
        <v>2796</v>
      </c>
      <c r="F698" t="s">
        <v>45</v>
      </c>
      <c r="G698" t="str">
        <f>HYPERLINK("https://twitter.com/88374464/status/1143345350578790401")</f>
        <v>https://twitter.com/88374464/status/1143345350578790401</v>
      </c>
      <c r="H698" t="s">
        <v>46</v>
      </c>
      <c r="I698" t="s">
        <v>2797</v>
      </c>
      <c r="J698" t="str">
        <f>HYPERLINK("http://twitter.com/LETMEISAWINNER")</f>
        <v>http://twitter.com/LETMEISAWINNER</v>
      </c>
      <c r="K698">
        <v>1096</v>
      </c>
      <c r="N698" t="s">
        <v>65</v>
      </c>
      <c r="R698" t="s">
        <v>60</v>
      </c>
      <c r="S698" t="s">
        <v>51</v>
      </c>
      <c r="T698" t="s">
        <v>678</v>
      </c>
      <c r="U698" t="s">
        <v>2798</v>
      </c>
      <c r="W698">
        <v>0</v>
      </c>
      <c r="X698">
        <v>0</v>
      </c>
      <c r="AE698">
        <v>0</v>
      </c>
      <c r="AF698">
        <v>0</v>
      </c>
      <c r="AM698" t="s">
        <v>52</v>
      </c>
      <c r="AN698" t="s">
        <v>53</v>
      </c>
    </row>
    <row r="699" spans="1:40">
      <c r="A699" t="s">
        <v>2370</v>
      </c>
      <c r="B699" t="s">
        <v>2799</v>
      </c>
      <c r="C699" t="s">
        <v>2800</v>
      </c>
      <c r="D699" t="s">
        <v>52</v>
      </c>
      <c r="E699" t="s">
        <v>2801</v>
      </c>
      <c r="F699" t="s">
        <v>71</v>
      </c>
      <c r="G699" t="str">
        <f>HYPERLINK("https://twitter.com/1014883845315923968/status/1143345171456831488")</f>
        <v>https://twitter.com/1014883845315923968/status/1143345171456831488</v>
      </c>
      <c r="H699" t="s">
        <v>46</v>
      </c>
      <c r="I699" t="s">
        <v>2802</v>
      </c>
      <c r="J699" t="str">
        <f>HYPERLINK("http://twitter.com/hennyprivy")</f>
        <v>http://twitter.com/hennyprivy</v>
      </c>
      <c r="K699">
        <v>88</v>
      </c>
      <c r="N699" t="s">
        <v>65</v>
      </c>
      <c r="R699" t="s">
        <v>60</v>
      </c>
      <c r="S699" t="s">
        <v>97</v>
      </c>
      <c r="T699" t="s">
        <v>177</v>
      </c>
      <c r="U699" t="s">
        <v>2803</v>
      </c>
      <c r="W699">
        <v>0</v>
      </c>
      <c r="X699">
        <v>0</v>
      </c>
      <c r="AE699">
        <v>0</v>
      </c>
      <c r="AF699">
        <v>0</v>
      </c>
      <c r="AI699" t="s">
        <v>52</v>
      </c>
      <c r="AJ699" t="s">
        <v>52</v>
      </c>
      <c r="AK699" t="s">
        <v>2804</v>
      </c>
      <c r="AL699" t="str">
        <f>HYPERLINK("https://pbs.twimg.com/media/D93x4UFU0AA1CSb.jpg")</f>
        <v>https://pbs.twimg.com/media/D93x4UFU0AA1CSb.jpg</v>
      </c>
      <c r="AM699" t="s">
        <v>52</v>
      </c>
      <c r="AN699" t="s">
        <v>53</v>
      </c>
    </row>
    <row r="700" spans="1:40">
      <c r="A700" t="s">
        <v>2370</v>
      </c>
      <c r="B700" t="s">
        <v>2799</v>
      </c>
      <c r="C700" t="s">
        <v>2805</v>
      </c>
      <c r="D700" t="s">
        <v>52</v>
      </c>
      <c r="E700" t="s">
        <v>2806</v>
      </c>
      <c r="F700" t="s">
        <v>95</v>
      </c>
      <c r="G700" t="str">
        <f>HYPERLINK("https://twitter.com/2440967817/status/1143345100795326464")</f>
        <v>https://twitter.com/2440967817/status/1143345100795326464</v>
      </c>
      <c r="H700" t="s">
        <v>46</v>
      </c>
      <c r="I700" t="s">
        <v>2807</v>
      </c>
      <c r="J700" t="str">
        <f>HYPERLINK("http://twitter.com/kayley_huskonen")</f>
        <v>http://twitter.com/kayley_huskonen</v>
      </c>
      <c r="K700">
        <v>862</v>
      </c>
      <c r="N700" t="s">
        <v>65</v>
      </c>
      <c r="R700" t="s">
        <v>60</v>
      </c>
      <c r="W700">
        <v>3</v>
      </c>
      <c r="X700">
        <v>3</v>
      </c>
      <c r="AE700">
        <v>1</v>
      </c>
      <c r="AF700">
        <v>0</v>
      </c>
      <c r="AM700" t="s">
        <v>52</v>
      </c>
      <c r="AN700" t="s">
        <v>53</v>
      </c>
    </row>
    <row r="701" spans="1:40">
      <c r="A701" t="s">
        <v>2370</v>
      </c>
      <c r="B701" t="s">
        <v>2808</v>
      </c>
      <c r="C701" t="s">
        <v>2785</v>
      </c>
      <c r="D701" t="s">
        <v>52</v>
      </c>
      <c r="E701" t="s">
        <v>1500</v>
      </c>
      <c r="F701" t="s">
        <v>71</v>
      </c>
      <c r="G701" t="str">
        <f>HYPERLINK("https://twitter.com/1133325198936035328/status/1143344896675217409")</f>
        <v>https://twitter.com/1133325198936035328/status/1143344896675217409</v>
      </c>
      <c r="H701" t="s">
        <v>46</v>
      </c>
      <c r="I701" t="s">
        <v>2809</v>
      </c>
      <c r="J701" t="str">
        <f>HYPERLINK("http://twitter.com/markellkiandra")</f>
        <v>http://twitter.com/markellkiandra</v>
      </c>
      <c r="K701">
        <v>542</v>
      </c>
      <c r="N701" t="s">
        <v>65</v>
      </c>
      <c r="R701" t="s">
        <v>60</v>
      </c>
      <c r="W701">
        <v>0</v>
      </c>
      <c r="X701">
        <v>0</v>
      </c>
      <c r="AE701">
        <v>0</v>
      </c>
      <c r="AF701">
        <v>0</v>
      </c>
      <c r="AI701" t="s">
        <v>52</v>
      </c>
      <c r="AJ701" t="s">
        <v>52</v>
      </c>
      <c r="AK701" t="s">
        <v>52</v>
      </c>
      <c r="AL701" t="str">
        <f>HYPERLINK("https://pbs.twimg.com/media/D931w5HXoAENDHw.jpg")</f>
        <v>https://pbs.twimg.com/media/D931w5HXoAENDHw.jpg</v>
      </c>
      <c r="AM701" t="s">
        <v>52</v>
      </c>
      <c r="AN701" t="s">
        <v>53</v>
      </c>
    </row>
    <row r="702" spans="1:40">
      <c r="A702" t="s">
        <v>2370</v>
      </c>
      <c r="B702" t="s">
        <v>2810</v>
      </c>
      <c r="C702" t="s">
        <v>2811</v>
      </c>
      <c r="D702" t="s">
        <v>52</v>
      </c>
      <c r="E702" t="s">
        <v>2812</v>
      </c>
      <c r="F702" t="s">
        <v>95</v>
      </c>
      <c r="G702" t="str">
        <f>HYPERLINK("https://twitter.com/1138809129038823424/status/1143344733407727622")</f>
        <v>https://twitter.com/1138809129038823424/status/1143344733407727622</v>
      </c>
      <c r="H702" t="s">
        <v>46</v>
      </c>
      <c r="I702" t="s">
        <v>2813</v>
      </c>
      <c r="J702" t="str">
        <f>HYPERLINK("http://twitter.com/sarcastikx")</f>
        <v>http://twitter.com/sarcastikx</v>
      </c>
      <c r="K702">
        <v>25</v>
      </c>
      <c r="N702" t="s">
        <v>65</v>
      </c>
      <c r="R702" t="s">
        <v>60</v>
      </c>
      <c r="W702">
        <v>0</v>
      </c>
      <c r="X702">
        <v>0</v>
      </c>
      <c r="AE702">
        <v>1</v>
      </c>
      <c r="AF702">
        <v>0</v>
      </c>
      <c r="AM702" t="s">
        <v>52</v>
      </c>
      <c r="AN702" t="s">
        <v>53</v>
      </c>
    </row>
    <row r="703" spans="1:40">
      <c r="A703" t="s">
        <v>2370</v>
      </c>
      <c r="B703" t="s">
        <v>2810</v>
      </c>
      <c r="C703" t="s">
        <v>1905</v>
      </c>
      <c r="D703" t="s">
        <v>52</v>
      </c>
      <c r="E703" t="s">
        <v>2814</v>
      </c>
      <c r="F703" t="s">
        <v>45</v>
      </c>
      <c r="G703" t="str">
        <f>HYPERLINK("https://twitter.com/1130116970542714882/status/1143344602826661889")</f>
        <v>https://twitter.com/1130116970542714882/status/1143344602826661889</v>
      </c>
      <c r="H703" t="s">
        <v>46</v>
      </c>
      <c r="I703" t="s">
        <v>2815</v>
      </c>
      <c r="J703" t="str">
        <f>HYPERLINK("http://twitter.com/chinnnnni2")</f>
        <v>http://twitter.com/chinnnnni2</v>
      </c>
      <c r="K703">
        <v>24</v>
      </c>
      <c r="N703" t="s">
        <v>65</v>
      </c>
      <c r="R703" t="s">
        <v>60</v>
      </c>
      <c r="S703" t="s">
        <v>701</v>
      </c>
      <c r="T703" t="s">
        <v>2528</v>
      </c>
      <c r="U703" t="s">
        <v>2816</v>
      </c>
      <c r="W703">
        <v>0</v>
      </c>
      <c r="X703">
        <v>0</v>
      </c>
      <c r="AE703">
        <v>0</v>
      </c>
      <c r="AF703">
        <v>0</v>
      </c>
      <c r="AM703" t="s">
        <v>52</v>
      </c>
      <c r="AN703" t="s">
        <v>53</v>
      </c>
    </row>
    <row r="704" spans="1:40">
      <c r="A704" t="s">
        <v>2370</v>
      </c>
      <c r="B704" t="s">
        <v>2817</v>
      </c>
      <c r="C704" t="s">
        <v>2818</v>
      </c>
      <c r="D704" t="s">
        <v>52</v>
      </c>
      <c r="E704" t="s">
        <v>1500</v>
      </c>
      <c r="F704" t="s">
        <v>71</v>
      </c>
      <c r="G704" t="str">
        <f>HYPERLINK("https://twitter.com/1030164340840656896/status/1143344097324781568")</f>
        <v>https://twitter.com/1030164340840656896/status/1143344097324781568</v>
      </c>
      <c r="H704" t="s">
        <v>46</v>
      </c>
      <c r="I704" t="s">
        <v>2819</v>
      </c>
      <c r="J704" t="str">
        <f>HYPERLINK("http://twitter.com/amaurysrevenge")</f>
        <v>http://twitter.com/amaurysrevenge</v>
      </c>
      <c r="K704">
        <v>256</v>
      </c>
      <c r="N704" t="s">
        <v>65</v>
      </c>
      <c r="R704" t="s">
        <v>60</v>
      </c>
      <c r="W704">
        <v>0</v>
      </c>
      <c r="X704">
        <v>0</v>
      </c>
      <c r="AE704">
        <v>0</v>
      </c>
      <c r="AF704">
        <v>0</v>
      </c>
      <c r="AI704" t="s">
        <v>52</v>
      </c>
      <c r="AJ704" t="s">
        <v>52</v>
      </c>
      <c r="AK704" t="s">
        <v>52</v>
      </c>
      <c r="AL704" t="str">
        <f>HYPERLINK("https://pbs.twimg.com/media/D931w5HXoAENDHw.jpg")</f>
        <v>https://pbs.twimg.com/media/D931w5HXoAENDHw.jpg</v>
      </c>
      <c r="AM704" t="s">
        <v>52</v>
      </c>
      <c r="AN704" t="s">
        <v>53</v>
      </c>
    </row>
    <row r="705" spans="1:40">
      <c r="A705" t="s">
        <v>2370</v>
      </c>
      <c r="B705" t="s">
        <v>2820</v>
      </c>
      <c r="C705" t="s">
        <v>2818</v>
      </c>
      <c r="D705" t="s">
        <v>52</v>
      </c>
      <c r="E705" t="s">
        <v>1500</v>
      </c>
      <c r="F705" t="s">
        <v>71</v>
      </c>
      <c r="G705" t="str">
        <f>HYPERLINK("https://twitter.com/1134894985470500875/status/1143344055553650688")</f>
        <v>https://twitter.com/1134894985470500875/status/1143344055553650688</v>
      </c>
      <c r="H705" t="s">
        <v>46</v>
      </c>
      <c r="I705" t="s">
        <v>2821</v>
      </c>
      <c r="J705" t="str">
        <f>HYPERLINK("http://twitter.com/Beatingmyass")</f>
        <v>http://twitter.com/Beatingmyass</v>
      </c>
      <c r="K705">
        <v>282</v>
      </c>
      <c r="N705" t="s">
        <v>65</v>
      </c>
      <c r="R705" t="s">
        <v>60</v>
      </c>
      <c r="S705" t="s">
        <v>51</v>
      </c>
      <c r="T705" t="s">
        <v>2822</v>
      </c>
      <c r="U705" t="s">
        <v>2522</v>
      </c>
      <c r="W705">
        <v>0</v>
      </c>
      <c r="X705">
        <v>0</v>
      </c>
      <c r="AE705">
        <v>0</v>
      </c>
      <c r="AF705">
        <v>0</v>
      </c>
      <c r="AI705" t="s">
        <v>52</v>
      </c>
      <c r="AJ705" t="s">
        <v>52</v>
      </c>
      <c r="AK705" t="s">
        <v>52</v>
      </c>
      <c r="AL705" t="str">
        <f>HYPERLINK("https://pbs.twimg.com/media/D931w5HXoAENDHw.jpg")</f>
        <v>https://pbs.twimg.com/media/D931w5HXoAENDHw.jpg</v>
      </c>
      <c r="AM705" t="s">
        <v>52</v>
      </c>
      <c r="AN705" t="s">
        <v>53</v>
      </c>
    </row>
    <row r="706" spans="1:40">
      <c r="A706" t="s">
        <v>2370</v>
      </c>
      <c r="B706" t="s">
        <v>2820</v>
      </c>
      <c r="C706" t="s">
        <v>1189</v>
      </c>
      <c r="D706" t="s">
        <v>52</v>
      </c>
      <c r="E706" t="s">
        <v>2823</v>
      </c>
      <c r="F706" t="s">
        <v>45</v>
      </c>
      <c r="G706" t="str">
        <f>HYPERLINK("https://www.instagram.com/p/BzHacCXARab")</f>
        <v>https://www.instagram.com/p/BzHacCXARab</v>
      </c>
      <c r="H706" t="s">
        <v>46</v>
      </c>
      <c r="I706" t="s">
        <v>52</v>
      </c>
      <c r="J706" t="str">
        <f>HYPERLINK("http://instagram.com/_utilidxdes")</f>
        <v>http://instagram.com/_utilidxdes</v>
      </c>
      <c r="K706">
        <v>403</v>
      </c>
      <c r="N706" t="s">
        <v>59</v>
      </c>
      <c r="O706" t="s">
        <v>52</v>
      </c>
      <c r="P706" t="str">
        <f>HYPERLINK("http://instagram.com/_utilidxdes")</f>
        <v>http://instagram.com/_utilidxdes</v>
      </c>
      <c r="Q706">
        <v>403</v>
      </c>
      <c r="R706" t="s">
        <v>60</v>
      </c>
      <c r="W706">
        <v>31</v>
      </c>
      <c r="X706">
        <v>31</v>
      </c>
      <c r="AE706">
        <v>0</v>
      </c>
      <c r="AI706" t="s">
        <v>108</v>
      </c>
      <c r="AJ706" t="s">
        <v>52</v>
      </c>
      <c r="AK706" t="s">
        <v>52</v>
      </c>
      <c r="AL706" t="str">
        <f>HYPERLINK("https://www.instagram.com/p/BzHacCXARab/media/?size=l")</f>
        <v>https://www.instagram.com/p/BzHacCXARab/media/?size=l</v>
      </c>
      <c r="AM706" t="s">
        <v>52</v>
      </c>
      <c r="AN706" t="s">
        <v>53</v>
      </c>
    </row>
    <row r="707" spans="1:40">
      <c r="A707" t="s">
        <v>2370</v>
      </c>
      <c r="B707" t="s">
        <v>2824</v>
      </c>
      <c r="C707" t="s">
        <v>2825</v>
      </c>
      <c r="D707" t="s">
        <v>52</v>
      </c>
      <c r="E707" t="s">
        <v>2826</v>
      </c>
      <c r="F707" t="s">
        <v>45</v>
      </c>
      <c r="G707" t="str">
        <f>HYPERLINK("https://www.facebook.com/195582548294/posts/10156474468283295")</f>
        <v>https://www.facebook.com/195582548294/posts/10156474468283295</v>
      </c>
      <c r="H707" t="s">
        <v>46</v>
      </c>
      <c r="I707" t="s">
        <v>2827</v>
      </c>
      <c r="J707" t="str">
        <f>HYPERLINK("https://www.facebook.com/195582548294")</f>
        <v>https://www.facebook.com/195582548294</v>
      </c>
      <c r="K707">
        <v>6393</v>
      </c>
      <c r="L707" t="s">
        <v>651</v>
      </c>
      <c r="N707" t="s">
        <v>1792</v>
      </c>
      <c r="O707" t="s">
        <v>2827</v>
      </c>
      <c r="P707" t="str">
        <f>HYPERLINK("https://www.facebook.com/195582548294")</f>
        <v>https://www.facebook.com/195582548294</v>
      </c>
      <c r="Q707">
        <v>6393</v>
      </c>
      <c r="R707" t="s">
        <v>60</v>
      </c>
      <c r="S707" t="s">
        <v>51</v>
      </c>
      <c r="W707">
        <v>19</v>
      </c>
      <c r="X707">
        <v>19</v>
      </c>
      <c r="AE707">
        <v>0</v>
      </c>
      <c r="AF707">
        <v>0</v>
      </c>
      <c r="AI707" t="s">
        <v>52</v>
      </c>
      <c r="AJ707" t="s">
        <v>2828</v>
      </c>
      <c r="AK707" t="s">
        <v>52</v>
      </c>
      <c r="AL707" t="str">
        <f>HYPERLINK("https://i.ytimg.com/vi/4Stmz0tAoUw/maxresdefault.jpg")</f>
        <v>https://i.ytimg.com/vi/4Stmz0tAoUw/maxresdefault.jpg</v>
      </c>
      <c r="AM707" t="s">
        <v>52</v>
      </c>
      <c r="AN707" t="s">
        <v>53</v>
      </c>
    </row>
    <row r="708" spans="1:40">
      <c r="A708" t="s">
        <v>2370</v>
      </c>
      <c r="B708" t="s">
        <v>2829</v>
      </c>
      <c r="C708" t="s">
        <v>2830</v>
      </c>
      <c r="D708" t="s">
        <v>52</v>
      </c>
      <c r="E708" t="s">
        <v>1500</v>
      </c>
      <c r="F708" t="s">
        <v>71</v>
      </c>
      <c r="G708" t="str">
        <f>HYPERLINK("https://twitter.com/1133900676436844545/status/1143343456598855682")</f>
        <v>https://twitter.com/1133900676436844545/status/1143343456598855682</v>
      </c>
      <c r="H708" t="s">
        <v>46</v>
      </c>
      <c r="I708" t="s">
        <v>2831</v>
      </c>
      <c r="J708" t="str">
        <f>HYPERLINK("http://twitter.com/hunchojames_")</f>
        <v>http://twitter.com/hunchojames_</v>
      </c>
      <c r="K708">
        <v>54</v>
      </c>
      <c r="N708" t="s">
        <v>65</v>
      </c>
      <c r="R708" t="s">
        <v>60</v>
      </c>
      <c r="W708">
        <v>0</v>
      </c>
      <c r="X708">
        <v>0</v>
      </c>
      <c r="AE708">
        <v>0</v>
      </c>
      <c r="AF708">
        <v>0</v>
      </c>
      <c r="AI708" t="s">
        <v>52</v>
      </c>
      <c r="AJ708" t="s">
        <v>52</v>
      </c>
      <c r="AK708" t="s">
        <v>52</v>
      </c>
      <c r="AL708" t="str">
        <f>HYPERLINK("https://pbs.twimg.com/media/D931w5HXoAENDHw.jpg")</f>
        <v>https://pbs.twimg.com/media/D931w5HXoAENDHw.jpg</v>
      </c>
      <c r="AM708" t="s">
        <v>52</v>
      </c>
      <c r="AN708" t="s">
        <v>53</v>
      </c>
    </row>
    <row r="709" spans="1:40">
      <c r="A709" t="s">
        <v>2370</v>
      </c>
      <c r="B709" t="s">
        <v>2829</v>
      </c>
      <c r="C709" t="s">
        <v>2832</v>
      </c>
      <c r="D709" t="s">
        <v>52</v>
      </c>
      <c r="E709" t="s">
        <v>2833</v>
      </c>
      <c r="F709" t="s">
        <v>71</v>
      </c>
      <c r="G709" t="str">
        <f>HYPERLINK("https://twitter.com/1004184157931606016/status/1143343442526965760")</f>
        <v>https://twitter.com/1004184157931606016/status/1143343442526965760</v>
      </c>
      <c r="H709" t="s">
        <v>46</v>
      </c>
      <c r="I709" t="s">
        <v>2834</v>
      </c>
      <c r="J709" t="str">
        <f>HYPERLINK("http://twitter.com/ChippedToothJaz")</f>
        <v>http://twitter.com/ChippedToothJaz</v>
      </c>
      <c r="K709">
        <v>144</v>
      </c>
      <c r="N709" t="s">
        <v>65</v>
      </c>
      <c r="R709" t="s">
        <v>60</v>
      </c>
      <c r="W709">
        <v>0</v>
      </c>
      <c r="X709">
        <v>0</v>
      </c>
      <c r="AE709">
        <v>0</v>
      </c>
      <c r="AF709">
        <v>0</v>
      </c>
      <c r="AM709" t="s">
        <v>52</v>
      </c>
      <c r="AN709" t="s">
        <v>53</v>
      </c>
    </row>
    <row r="710" spans="1:40">
      <c r="A710" t="s">
        <v>2370</v>
      </c>
      <c r="B710" t="s">
        <v>2829</v>
      </c>
      <c r="C710" t="s">
        <v>2835</v>
      </c>
      <c r="D710" t="s">
        <v>52</v>
      </c>
      <c r="E710" t="s">
        <v>1194</v>
      </c>
      <c r="F710" t="s">
        <v>131</v>
      </c>
      <c r="G710" t="str">
        <f>HYPERLINK("https://twitter.com/592039199/status/1143343418963386368")</f>
        <v>https://twitter.com/592039199/status/1143343418963386368</v>
      </c>
      <c r="H710" t="s">
        <v>46</v>
      </c>
      <c r="I710" t="s">
        <v>2836</v>
      </c>
      <c r="J710" t="str">
        <f>HYPERLINK("http://twitter.com/kenia53_")</f>
        <v>http://twitter.com/kenia53_</v>
      </c>
      <c r="K710">
        <v>712</v>
      </c>
      <c r="N710" t="s">
        <v>65</v>
      </c>
      <c r="R710" t="s">
        <v>60</v>
      </c>
      <c r="W710">
        <v>0</v>
      </c>
      <c r="X710">
        <v>0</v>
      </c>
      <c r="AE710">
        <v>0</v>
      </c>
      <c r="AI710" t="s">
        <v>52</v>
      </c>
      <c r="AJ710" t="s">
        <v>1196</v>
      </c>
      <c r="AK710" t="s">
        <v>52</v>
      </c>
      <c r="AL710" t="str">
        <f>HYPERLINK("https://pbs.twimg.com/media/D9xgk2YXkAAd2ql.jpg")</f>
        <v>https://pbs.twimg.com/media/D9xgk2YXkAAd2ql.jpg</v>
      </c>
      <c r="AM710" t="s">
        <v>52</v>
      </c>
      <c r="AN710" t="s">
        <v>53</v>
      </c>
    </row>
    <row r="711" spans="1:40">
      <c r="A711" t="s">
        <v>2370</v>
      </c>
      <c r="B711" t="s">
        <v>2829</v>
      </c>
      <c r="C711" t="s">
        <v>2835</v>
      </c>
      <c r="D711" t="s">
        <v>52</v>
      </c>
      <c r="E711" t="s">
        <v>1194</v>
      </c>
      <c r="F711" t="s">
        <v>131</v>
      </c>
      <c r="G711" t="str">
        <f>HYPERLINK("https://twitter.com/873853512383291392/status/1143343399824588800")</f>
        <v>https://twitter.com/873853512383291392/status/1143343399824588800</v>
      </c>
      <c r="H711" t="s">
        <v>46</v>
      </c>
      <c r="I711" t="s">
        <v>52</v>
      </c>
      <c r="J711" t="str">
        <f>HYPERLINK("http://twitter.com/krizamagdy")</f>
        <v>http://twitter.com/krizamagdy</v>
      </c>
      <c r="K711">
        <v>53</v>
      </c>
      <c r="N711" t="s">
        <v>65</v>
      </c>
      <c r="R711" t="s">
        <v>60</v>
      </c>
      <c r="W711">
        <v>0</v>
      </c>
      <c r="X711">
        <v>0</v>
      </c>
      <c r="AE711">
        <v>0</v>
      </c>
      <c r="AI711" t="s">
        <v>52</v>
      </c>
      <c r="AJ711" t="s">
        <v>1196</v>
      </c>
      <c r="AK711" t="s">
        <v>52</v>
      </c>
      <c r="AL711" t="str">
        <f>HYPERLINK("https://pbs.twimg.com/media/D9xgk2YXkAAd2ql.jpg")</f>
        <v>https://pbs.twimg.com/media/D9xgk2YXkAAd2ql.jpg</v>
      </c>
      <c r="AM711" t="s">
        <v>52</v>
      </c>
      <c r="AN711" t="s">
        <v>53</v>
      </c>
    </row>
    <row r="712" spans="1:40">
      <c r="A712" t="s">
        <v>2370</v>
      </c>
      <c r="B712" t="s">
        <v>2829</v>
      </c>
      <c r="C712" t="s">
        <v>2837</v>
      </c>
      <c r="D712" t="s">
        <v>52</v>
      </c>
      <c r="E712" t="s">
        <v>2838</v>
      </c>
      <c r="F712" t="s">
        <v>71</v>
      </c>
      <c r="G712" t="str">
        <f>HYPERLINK("https://twitter.com/1074166785040101376/status/1143343377385250820")</f>
        <v>https://twitter.com/1074166785040101376/status/1143343377385250820</v>
      </c>
      <c r="H712" t="s">
        <v>46</v>
      </c>
      <c r="I712" t="s">
        <v>52</v>
      </c>
      <c r="J712" t="str">
        <f>HYPERLINK("http://twitter.com/lisztomaynia")</f>
        <v>http://twitter.com/lisztomaynia</v>
      </c>
      <c r="K712">
        <v>887</v>
      </c>
      <c r="N712" t="s">
        <v>65</v>
      </c>
      <c r="R712" t="s">
        <v>60</v>
      </c>
      <c r="S712" t="s">
        <v>387</v>
      </c>
      <c r="T712" t="s">
        <v>2839</v>
      </c>
      <c r="U712" t="s">
        <v>2840</v>
      </c>
      <c r="W712">
        <v>1</v>
      </c>
      <c r="X712">
        <v>1</v>
      </c>
      <c r="AE712">
        <v>0</v>
      </c>
      <c r="AF712">
        <v>0</v>
      </c>
      <c r="AM712" t="s">
        <v>52</v>
      </c>
      <c r="AN712" t="s">
        <v>53</v>
      </c>
    </row>
    <row r="713" spans="1:40">
      <c r="A713" t="s">
        <v>2370</v>
      </c>
      <c r="B713" t="s">
        <v>2841</v>
      </c>
      <c r="C713" t="s">
        <v>2830</v>
      </c>
      <c r="D713" t="s">
        <v>52</v>
      </c>
      <c r="E713" t="s">
        <v>1500</v>
      </c>
      <c r="F713" t="s">
        <v>71</v>
      </c>
      <c r="G713" t="str">
        <f>HYPERLINK("https://twitter.com/2509108993/status/1143343233210015744")</f>
        <v>https://twitter.com/2509108993/status/1143343233210015744</v>
      </c>
      <c r="H713" t="s">
        <v>46</v>
      </c>
      <c r="I713" t="s">
        <v>2842</v>
      </c>
      <c r="J713" t="str">
        <f>HYPERLINK("http://twitter.com/Durant_Larry")</f>
        <v>http://twitter.com/Durant_Larry</v>
      </c>
      <c r="K713">
        <v>143</v>
      </c>
      <c r="L713" t="s">
        <v>48</v>
      </c>
      <c r="N713" t="s">
        <v>65</v>
      </c>
      <c r="R713" t="s">
        <v>60</v>
      </c>
      <c r="S713" t="s">
        <v>51</v>
      </c>
      <c r="T713" t="s">
        <v>173</v>
      </c>
      <c r="W713">
        <v>0</v>
      </c>
      <c r="X713">
        <v>0</v>
      </c>
      <c r="AE713">
        <v>0</v>
      </c>
      <c r="AF713">
        <v>0</v>
      </c>
      <c r="AI713" t="s">
        <v>52</v>
      </c>
      <c r="AJ713" t="s">
        <v>52</v>
      </c>
      <c r="AK713" t="s">
        <v>52</v>
      </c>
      <c r="AL713" t="str">
        <f>HYPERLINK("https://pbs.twimg.com/media/D931w5HXoAENDHw.jpg")</f>
        <v>https://pbs.twimg.com/media/D931w5HXoAENDHw.jpg</v>
      </c>
      <c r="AM713" t="s">
        <v>52</v>
      </c>
      <c r="AN713" t="s">
        <v>53</v>
      </c>
    </row>
    <row r="714" spans="1:40">
      <c r="A714" t="s">
        <v>2370</v>
      </c>
      <c r="B714" t="s">
        <v>2841</v>
      </c>
      <c r="C714" t="s">
        <v>2832</v>
      </c>
      <c r="D714" t="s">
        <v>52</v>
      </c>
      <c r="E714" t="s">
        <v>2843</v>
      </c>
      <c r="F714" t="s">
        <v>95</v>
      </c>
      <c r="G714" t="str">
        <f>HYPERLINK("https://twitter.com/18616635/status/1143343211492052993")</f>
        <v>https://twitter.com/18616635/status/1143343211492052993</v>
      </c>
      <c r="H714" t="s">
        <v>46</v>
      </c>
      <c r="I714" t="s">
        <v>2844</v>
      </c>
      <c r="J714" t="str">
        <f>HYPERLINK("http://twitter.com/cigarmike")</f>
        <v>http://twitter.com/cigarmike</v>
      </c>
      <c r="K714">
        <v>3509</v>
      </c>
      <c r="N714" t="s">
        <v>65</v>
      </c>
      <c r="R714" t="s">
        <v>60</v>
      </c>
      <c r="S714" t="s">
        <v>51</v>
      </c>
      <c r="T714" t="s">
        <v>497</v>
      </c>
      <c r="U714" t="s">
        <v>2845</v>
      </c>
      <c r="W714">
        <v>2</v>
      </c>
      <c r="X714">
        <v>2</v>
      </c>
      <c r="AE714">
        <v>2</v>
      </c>
      <c r="AF714">
        <v>0</v>
      </c>
      <c r="AM714" t="s">
        <v>52</v>
      </c>
      <c r="AN714" t="s">
        <v>53</v>
      </c>
    </row>
    <row r="715" spans="1:40">
      <c r="A715" t="s">
        <v>2370</v>
      </c>
      <c r="B715" t="s">
        <v>2841</v>
      </c>
      <c r="C715" t="s">
        <v>2832</v>
      </c>
      <c r="D715" t="s">
        <v>52</v>
      </c>
      <c r="E715" t="s">
        <v>2846</v>
      </c>
      <c r="F715" t="s">
        <v>45</v>
      </c>
      <c r="G715" t="str">
        <f>HYPERLINK("https://www.instagram.com/p/BzHaHP0ndQZ")</f>
        <v>https://www.instagram.com/p/BzHaHP0ndQZ</v>
      </c>
      <c r="H715" t="s">
        <v>46</v>
      </c>
      <c r="I715" t="s">
        <v>2847</v>
      </c>
      <c r="J715" t="str">
        <f>HYPERLINK("http://instagram.com/thelittleredplate")</f>
        <v>http://instagram.com/thelittleredplate</v>
      </c>
      <c r="K715">
        <v>25</v>
      </c>
      <c r="N715" t="s">
        <v>59</v>
      </c>
      <c r="O715" t="s">
        <v>2847</v>
      </c>
      <c r="P715" t="str">
        <f>HYPERLINK("http://instagram.com/thelittleredplate")</f>
        <v>http://instagram.com/thelittleredplate</v>
      </c>
      <c r="Q715">
        <v>25</v>
      </c>
      <c r="R715" t="s">
        <v>60</v>
      </c>
      <c r="W715">
        <v>11</v>
      </c>
      <c r="X715">
        <v>11</v>
      </c>
      <c r="AE715">
        <v>0</v>
      </c>
      <c r="AI715" t="s">
        <v>52</v>
      </c>
      <c r="AJ715" t="s">
        <v>2848</v>
      </c>
      <c r="AK715" t="s">
        <v>52</v>
      </c>
      <c r="AL715" t="str">
        <f>HYPERLINK("https://www.instagram.com/p/BzHaHP0ndQZ/media/?size=l")</f>
        <v>https://www.instagram.com/p/BzHaHP0ndQZ/media/?size=l</v>
      </c>
      <c r="AM715" t="s">
        <v>52</v>
      </c>
      <c r="AN715" t="s">
        <v>53</v>
      </c>
    </row>
    <row r="716" spans="1:40">
      <c r="A716" t="s">
        <v>2370</v>
      </c>
      <c r="B716" t="s">
        <v>2849</v>
      </c>
      <c r="C716" t="s">
        <v>2850</v>
      </c>
      <c r="D716" t="s">
        <v>52</v>
      </c>
      <c r="E716" t="s">
        <v>2851</v>
      </c>
      <c r="F716" t="s">
        <v>45</v>
      </c>
      <c r="G716" t="str">
        <f>HYPERLINK("https://twitter.com/253731141/status/1143343015383175168")</f>
        <v>https://twitter.com/253731141/status/1143343015383175168</v>
      </c>
      <c r="H716" t="s">
        <v>46</v>
      </c>
      <c r="I716" t="s">
        <v>2852</v>
      </c>
      <c r="J716" t="str">
        <f>HYPERLINK("http://twitter.com/_kyleamarie")</f>
        <v>http://twitter.com/_kyleamarie</v>
      </c>
      <c r="K716">
        <v>615</v>
      </c>
      <c r="N716" t="s">
        <v>65</v>
      </c>
      <c r="R716" t="s">
        <v>60</v>
      </c>
      <c r="W716">
        <v>2</v>
      </c>
      <c r="X716">
        <v>2</v>
      </c>
      <c r="AE716">
        <v>0</v>
      </c>
      <c r="AF716">
        <v>0</v>
      </c>
      <c r="AM716" t="s">
        <v>52</v>
      </c>
      <c r="AN716" t="s">
        <v>53</v>
      </c>
    </row>
    <row r="717" spans="1:40">
      <c r="A717" t="s">
        <v>2370</v>
      </c>
      <c r="B717" t="s">
        <v>2849</v>
      </c>
      <c r="C717" t="s">
        <v>2837</v>
      </c>
      <c r="D717" t="s">
        <v>52</v>
      </c>
      <c r="E717" t="s">
        <v>2853</v>
      </c>
      <c r="F717" t="s">
        <v>45</v>
      </c>
      <c r="G717" t="str">
        <f>HYPERLINK("https://twitter.com/1077607726799339521/status/1143342997951660033")</f>
        <v>https://twitter.com/1077607726799339521/status/1143342997951660033</v>
      </c>
      <c r="H717" t="s">
        <v>46</v>
      </c>
      <c r="I717" t="s">
        <v>2854</v>
      </c>
      <c r="J717" t="str">
        <f>HYPERLINK("http://twitter.com/CachersColombi2")</f>
        <v>http://twitter.com/CachersColombi2</v>
      </c>
      <c r="K717">
        <v>273</v>
      </c>
      <c r="N717" t="s">
        <v>65</v>
      </c>
      <c r="R717" t="s">
        <v>60</v>
      </c>
      <c r="W717">
        <v>1</v>
      </c>
      <c r="X717">
        <v>1</v>
      </c>
      <c r="AE717">
        <v>0</v>
      </c>
      <c r="AF717">
        <v>0</v>
      </c>
      <c r="AI717" t="s">
        <v>52</v>
      </c>
      <c r="AJ717" t="s">
        <v>52</v>
      </c>
      <c r="AK717" t="s">
        <v>680</v>
      </c>
      <c r="AL717" t="str">
        <f>HYPERLINK("https://pbs.twimg.com/media/D934Yo7WwAALCKb.jpg")</f>
        <v>https://pbs.twimg.com/media/D934Yo7WwAALCKb.jpg</v>
      </c>
      <c r="AM717" t="s">
        <v>52</v>
      </c>
      <c r="AN717" t="s">
        <v>53</v>
      </c>
    </row>
    <row r="718" spans="1:40">
      <c r="A718" t="s">
        <v>2370</v>
      </c>
      <c r="B718" t="s">
        <v>2849</v>
      </c>
      <c r="C718" t="s">
        <v>2666</v>
      </c>
      <c r="D718" t="s">
        <v>2855</v>
      </c>
      <c r="E718" t="s">
        <v>2856</v>
      </c>
      <c r="F718" t="s">
        <v>45</v>
      </c>
      <c r="G718" t="str">
        <f>HYPERLINK("https://www.youtube.com/watch?v=4pmgR0HGP4s")</f>
        <v>https://www.youtube.com/watch?v=4pmgR0HGP4s</v>
      </c>
      <c r="H718" t="s">
        <v>46</v>
      </c>
      <c r="I718" t="s">
        <v>2857</v>
      </c>
      <c r="J718" t="str">
        <f>HYPERLINK("https://www.youtube.com/channel/UCRPN6dmC7Wg6wGOgO_Uv5gQ")</f>
        <v>https://www.youtube.com/channel/UCRPN6dmC7Wg6wGOgO_Uv5gQ</v>
      </c>
      <c r="K718">
        <v>7</v>
      </c>
      <c r="N718" t="s">
        <v>116</v>
      </c>
      <c r="O718" t="s">
        <v>2857</v>
      </c>
      <c r="P718" t="str">
        <f>HYPERLINK("https://www.youtube.com/channel/UCRPN6dmC7Wg6wGOgO_Uv5gQ")</f>
        <v>https://www.youtube.com/channel/UCRPN6dmC7Wg6wGOgO_Uv5gQ</v>
      </c>
      <c r="Q718">
        <v>7</v>
      </c>
      <c r="R718" t="s">
        <v>60</v>
      </c>
      <c r="W718">
        <v>1</v>
      </c>
      <c r="X718">
        <v>1</v>
      </c>
      <c r="AD718">
        <v>0</v>
      </c>
      <c r="AE718">
        <v>0</v>
      </c>
      <c r="AG718">
        <v>1</v>
      </c>
      <c r="AI718" t="s">
        <v>52</v>
      </c>
      <c r="AJ718" t="s">
        <v>2277</v>
      </c>
      <c r="AK718" t="s">
        <v>52</v>
      </c>
      <c r="AL718" t="str">
        <f>HYPERLINK("https://i.ytimg.com/vi/4pmgR0HGP4s/maxresdefault.jpg")</f>
        <v>https://i.ytimg.com/vi/4pmgR0HGP4s/maxresdefault.jpg</v>
      </c>
      <c r="AM718" t="s">
        <v>52</v>
      </c>
      <c r="AN718" t="s">
        <v>53</v>
      </c>
    </row>
    <row r="719" spans="1:40">
      <c r="A719" t="s">
        <v>2370</v>
      </c>
      <c r="B719" t="s">
        <v>2858</v>
      </c>
      <c r="C719" t="s">
        <v>2850</v>
      </c>
      <c r="D719" t="s">
        <v>52</v>
      </c>
      <c r="E719" t="s">
        <v>2859</v>
      </c>
      <c r="F719" t="s">
        <v>45</v>
      </c>
      <c r="G719" t="str">
        <f>HYPERLINK("https://www.instagram.com/p/BzHZ0oIhiei")</f>
        <v>https://www.instagram.com/p/BzHZ0oIhiei</v>
      </c>
      <c r="H719" t="s">
        <v>46</v>
      </c>
      <c r="I719" t="s">
        <v>2860</v>
      </c>
      <c r="J719" t="str">
        <f>HYPERLINK("http://instagram.com/mrhorrordraws")</f>
        <v>http://instagram.com/mrhorrordraws</v>
      </c>
      <c r="K719">
        <v>756</v>
      </c>
      <c r="N719" t="s">
        <v>59</v>
      </c>
      <c r="O719" t="s">
        <v>2860</v>
      </c>
      <c r="P719" t="str">
        <f>HYPERLINK("http://instagram.com/mrhorrordraws")</f>
        <v>http://instagram.com/mrhorrordraws</v>
      </c>
      <c r="Q719">
        <v>756</v>
      </c>
      <c r="R719" t="s">
        <v>60</v>
      </c>
      <c r="W719">
        <v>60</v>
      </c>
      <c r="X719">
        <v>60</v>
      </c>
      <c r="AE719">
        <v>2</v>
      </c>
      <c r="AI719" t="s">
        <v>52</v>
      </c>
      <c r="AJ719" t="s">
        <v>458</v>
      </c>
      <c r="AK719" t="s">
        <v>2861</v>
      </c>
      <c r="AL719" t="str">
        <f>HYPERLINK("https://www.instagram.com/p/BzHZ0oIhiei/media/?size=l")</f>
        <v>https://www.instagram.com/p/BzHZ0oIhiei/media/?size=l</v>
      </c>
      <c r="AM719" t="s">
        <v>52</v>
      </c>
      <c r="AN719" t="s">
        <v>53</v>
      </c>
    </row>
    <row r="720" spans="1:40">
      <c r="A720" t="s">
        <v>2370</v>
      </c>
      <c r="B720" t="s">
        <v>2862</v>
      </c>
      <c r="C720" t="s">
        <v>2850</v>
      </c>
      <c r="D720" t="s">
        <v>52</v>
      </c>
      <c r="E720" t="s">
        <v>1194</v>
      </c>
      <c r="F720" t="s">
        <v>131</v>
      </c>
      <c r="G720" t="str">
        <f>HYPERLINK("https://twitter.com/1530085777/status/1143342005780566016")</f>
        <v>https://twitter.com/1530085777/status/1143342005780566016</v>
      </c>
      <c r="H720" t="s">
        <v>46</v>
      </c>
      <c r="I720" t="s">
        <v>2863</v>
      </c>
      <c r="J720" t="str">
        <f>HYPERLINK("http://twitter.com/beaarable")</f>
        <v>http://twitter.com/beaarable</v>
      </c>
      <c r="K720">
        <v>329</v>
      </c>
      <c r="N720" t="s">
        <v>65</v>
      </c>
      <c r="R720" t="s">
        <v>60</v>
      </c>
      <c r="W720">
        <v>0</v>
      </c>
      <c r="X720">
        <v>0</v>
      </c>
      <c r="AE720">
        <v>0</v>
      </c>
      <c r="AI720" t="s">
        <v>52</v>
      </c>
      <c r="AJ720" t="s">
        <v>1196</v>
      </c>
      <c r="AK720" t="s">
        <v>52</v>
      </c>
      <c r="AL720" t="str">
        <f>HYPERLINK("https://pbs.twimg.com/media/D9xgk2YXkAAd2ql.jpg")</f>
        <v>https://pbs.twimg.com/media/D9xgk2YXkAAd2ql.jpg</v>
      </c>
      <c r="AM720" t="s">
        <v>52</v>
      </c>
      <c r="AN720" t="s">
        <v>53</v>
      </c>
    </row>
    <row r="721" spans="1:40">
      <c r="A721" t="s">
        <v>2370</v>
      </c>
      <c r="B721" t="s">
        <v>2862</v>
      </c>
      <c r="C721" t="s">
        <v>2864</v>
      </c>
      <c r="D721" t="s">
        <v>52</v>
      </c>
      <c r="E721" t="s">
        <v>2865</v>
      </c>
      <c r="F721" t="s">
        <v>71</v>
      </c>
      <c r="G721" t="str">
        <f>HYPERLINK("https://twitter.com/3188123263/status/1143341987086721024")</f>
        <v>https://twitter.com/3188123263/status/1143341987086721024</v>
      </c>
      <c r="H721" t="s">
        <v>46</v>
      </c>
      <c r="I721" t="s">
        <v>2866</v>
      </c>
      <c r="J721" t="str">
        <f>HYPERLINK("http://twitter.com/cryghouls")</f>
        <v>http://twitter.com/cryghouls</v>
      </c>
      <c r="K721">
        <v>94</v>
      </c>
      <c r="N721" t="s">
        <v>65</v>
      </c>
      <c r="R721" t="s">
        <v>60</v>
      </c>
      <c r="W721">
        <v>0</v>
      </c>
      <c r="X721">
        <v>0</v>
      </c>
      <c r="AE721">
        <v>0</v>
      </c>
      <c r="AF721">
        <v>0</v>
      </c>
      <c r="AI721" t="s">
        <v>52</v>
      </c>
      <c r="AJ721" t="s">
        <v>1196</v>
      </c>
      <c r="AK721" t="s">
        <v>52</v>
      </c>
      <c r="AL721" t="str">
        <f>HYPERLINK("https://pbs.twimg.com/media/D9xgk2YXkAAd2ql.jpg")</f>
        <v>https://pbs.twimg.com/media/D9xgk2YXkAAd2ql.jpg</v>
      </c>
      <c r="AM721" t="s">
        <v>52</v>
      </c>
      <c r="AN721" t="s">
        <v>53</v>
      </c>
    </row>
    <row r="722" spans="1:40">
      <c r="A722" t="s">
        <v>2370</v>
      </c>
      <c r="B722" t="s">
        <v>2862</v>
      </c>
      <c r="C722" t="s">
        <v>2864</v>
      </c>
      <c r="D722" t="s">
        <v>52</v>
      </c>
      <c r="E722" t="s">
        <v>2867</v>
      </c>
      <c r="F722" t="s">
        <v>45</v>
      </c>
      <c r="G722" t="str">
        <f>HYPERLINK("https://twitter.com/810181453/status/1143341985131982848")</f>
        <v>https://twitter.com/810181453/status/1143341985131982848</v>
      </c>
      <c r="H722" t="s">
        <v>91</v>
      </c>
      <c r="I722" t="s">
        <v>2868</v>
      </c>
      <c r="J722" t="str">
        <f>HYPERLINK("http://twitter.com/burntleprechaun")</f>
        <v>http://twitter.com/burntleprechaun</v>
      </c>
      <c r="K722">
        <v>94</v>
      </c>
      <c r="N722" t="s">
        <v>65</v>
      </c>
      <c r="R722" t="s">
        <v>60</v>
      </c>
      <c r="W722">
        <v>0</v>
      </c>
      <c r="X722">
        <v>0</v>
      </c>
      <c r="AE722">
        <v>0</v>
      </c>
      <c r="AF722">
        <v>0</v>
      </c>
      <c r="AM722" t="s">
        <v>52</v>
      </c>
      <c r="AN722" t="s">
        <v>53</v>
      </c>
    </row>
    <row r="723" spans="1:40">
      <c r="A723" t="s">
        <v>2370</v>
      </c>
      <c r="B723" t="s">
        <v>2862</v>
      </c>
      <c r="C723" t="s">
        <v>2864</v>
      </c>
      <c r="D723" t="s">
        <v>52</v>
      </c>
      <c r="E723" t="s">
        <v>2869</v>
      </c>
      <c r="F723" t="s">
        <v>95</v>
      </c>
      <c r="G723" t="str">
        <f>HYPERLINK("https://twitter.com/1116367691265257472/status/1143341960763252736")</f>
        <v>https://twitter.com/1116367691265257472/status/1143341960763252736</v>
      </c>
      <c r="H723" t="s">
        <v>215</v>
      </c>
      <c r="I723" t="s">
        <v>2870</v>
      </c>
      <c r="J723" t="str">
        <f>HYPERLINK("http://twitter.com/jimmy_lippitt")</f>
        <v>http://twitter.com/jimmy_lippitt</v>
      </c>
      <c r="K723">
        <v>162</v>
      </c>
      <c r="N723" t="s">
        <v>65</v>
      </c>
      <c r="R723" t="s">
        <v>60</v>
      </c>
      <c r="S723" t="s">
        <v>51</v>
      </c>
      <c r="W723">
        <v>1</v>
      </c>
      <c r="X723">
        <v>1</v>
      </c>
      <c r="AE723">
        <v>0</v>
      </c>
      <c r="AF723">
        <v>0</v>
      </c>
      <c r="AM723" t="s">
        <v>52</v>
      </c>
      <c r="AN723" t="s">
        <v>53</v>
      </c>
    </row>
    <row r="724" spans="1:40">
      <c r="A724" t="s">
        <v>2370</v>
      </c>
      <c r="B724" t="s">
        <v>2862</v>
      </c>
      <c r="C724" t="s">
        <v>2871</v>
      </c>
      <c r="D724" t="s">
        <v>52</v>
      </c>
      <c r="E724" t="s">
        <v>2872</v>
      </c>
      <c r="F724" t="s">
        <v>45</v>
      </c>
      <c r="G724" t="str">
        <f>HYPERLINK("https://twitter.com/927740282728312833/status/1143341884594696197")</f>
        <v>https://twitter.com/927740282728312833/status/1143341884594696197</v>
      </c>
      <c r="H724" t="s">
        <v>215</v>
      </c>
      <c r="I724" t="s">
        <v>2873</v>
      </c>
      <c r="J724" t="str">
        <f>HYPERLINK("http://twitter.com/brokeniceberg")</f>
        <v>http://twitter.com/brokeniceberg</v>
      </c>
      <c r="K724">
        <v>19</v>
      </c>
      <c r="N724" t="s">
        <v>65</v>
      </c>
      <c r="R724" t="s">
        <v>60</v>
      </c>
      <c r="W724">
        <v>1</v>
      </c>
      <c r="X724">
        <v>1</v>
      </c>
      <c r="AE724">
        <v>0</v>
      </c>
      <c r="AF724">
        <v>0</v>
      </c>
      <c r="AM724" t="s">
        <v>52</v>
      </c>
      <c r="AN724" t="s">
        <v>53</v>
      </c>
    </row>
    <row r="725" spans="1:40">
      <c r="A725" t="s">
        <v>2370</v>
      </c>
      <c r="B725" t="s">
        <v>2862</v>
      </c>
      <c r="C725" t="s">
        <v>2874</v>
      </c>
      <c r="D725" t="s">
        <v>52</v>
      </c>
      <c r="E725" t="s">
        <v>2875</v>
      </c>
      <c r="F725" t="s">
        <v>95</v>
      </c>
      <c r="G725" t="str">
        <f>HYPERLINK("https://twitter.com/972900897729769474/status/1143341813866123265")</f>
        <v>https://twitter.com/972900897729769474/status/1143341813866123265</v>
      </c>
      <c r="H725" t="s">
        <v>46</v>
      </c>
      <c r="I725" t="s">
        <v>2876</v>
      </c>
      <c r="J725" t="str">
        <f>HYPERLINK("http://twitter.com/kiIIthisIuv")</f>
        <v>http://twitter.com/kiIIthisIuv</v>
      </c>
      <c r="K725">
        <v>232</v>
      </c>
      <c r="N725" t="s">
        <v>65</v>
      </c>
      <c r="R725" t="s">
        <v>60</v>
      </c>
      <c r="S725" t="s">
        <v>693</v>
      </c>
      <c r="T725" t="s">
        <v>2877</v>
      </c>
      <c r="U725" t="s">
        <v>2878</v>
      </c>
      <c r="W725">
        <v>4</v>
      </c>
      <c r="X725">
        <v>4</v>
      </c>
      <c r="AE725">
        <v>2</v>
      </c>
      <c r="AF725">
        <v>0</v>
      </c>
      <c r="AM725" t="s">
        <v>52</v>
      </c>
      <c r="AN725" t="s">
        <v>53</v>
      </c>
    </row>
    <row r="726" spans="1:40">
      <c r="A726" t="s">
        <v>2370</v>
      </c>
      <c r="B726" t="s">
        <v>2879</v>
      </c>
      <c r="C726" t="s">
        <v>2880</v>
      </c>
      <c r="D726" t="s">
        <v>52</v>
      </c>
      <c r="E726" t="s">
        <v>2881</v>
      </c>
      <c r="F726" t="s">
        <v>45</v>
      </c>
      <c r="G726" t="str">
        <f>HYPERLINK("https://www.instagram.com/p/BzHZAQAAM51")</f>
        <v>https://www.instagram.com/p/BzHZAQAAM51</v>
      </c>
      <c r="H726" t="s">
        <v>46</v>
      </c>
      <c r="I726" t="s">
        <v>2882</v>
      </c>
      <c r="J726" t="str">
        <f>HYPERLINK("http://instagram.com/veras_journey_")</f>
        <v>http://instagram.com/veras_journey_</v>
      </c>
      <c r="K726">
        <v>175</v>
      </c>
      <c r="N726" t="s">
        <v>59</v>
      </c>
      <c r="O726" t="s">
        <v>2882</v>
      </c>
      <c r="P726" t="str">
        <f>HYPERLINK("http://instagram.com/veras_journey_")</f>
        <v>http://instagram.com/veras_journey_</v>
      </c>
      <c r="Q726">
        <v>175</v>
      </c>
      <c r="R726" t="s">
        <v>60</v>
      </c>
      <c r="W726">
        <v>28</v>
      </c>
      <c r="X726">
        <v>28</v>
      </c>
      <c r="AE726">
        <v>2</v>
      </c>
      <c r="AI726" t="s">
        <v>108</v>
      </c>
      <c r="AJ726" t="s">
        <v>659</v>
      </c>
      <c r="AK726" t="s">
        <v>52</v>
      </c>
      <c r="AL726" t="str">
        <f>HYPERLINK("https://www.instagram.com/p/BzHZAQAAM51/media/?size=l")</f>
        <v>https://www.instagram.com/p/BzHZAQAAM51/media/?size=l</v>
      </c>
      <c r="AM726" t="s">
        <v>52</v>
      </c>
      <c r="AN726" t="s">
        <v>53</v>
      </c>
    </row>
    <row r="727" spans="1:40">
      <c r="A727" t="s">
        <v>2370</v>
      </c>
      <c r="B727" t="s">
        <v>2879</v>
      </c>
      <c r="C727" t="s">
        <v>2883</v>
      </c>
      <c r="D727" t="s">
        <v>52</v>
      </c>
      <c r="E727" t="s">
        <v>2765</v>
      </c>
      <c r="F727" t="s">
        <v>131</v>
      </c>
      <c r="G727" t="str">
        <f>HYPERLINK("https://twitter.com/2539859787/status/1143340582472966145")</f>
        <v>https://twitter.com/2539859787/status/1143340582472966145</v>
      </c>
      <c r="H727" t="s">
        <v>46</v>
      </c>
      <c r="I727" t="s">
        <v>2884</v>
      </c>
      <c r="J727" t="str">
        <f>HYPERLINK("http://twitter.com/vcordoba_")</f>
        <v>http://twitter.com/vcordoba_</v>
      </c>
      <c r="K727">
        <v>730</v>
      </c>
      <c r="L727" t="s">
        <v>58</v>
      </c>
      <c r="N727" t="s">
        <v>65</v>
      </c>
      <c r="R727" t="s">
        <v>60</v>
      </c>
      <c r="W727">
        <v>0</v>
      </c>
      <c r="X727">
        <v>0</v>
      </c>
      <c r="AE727">
        <v>0</v>
      </c>
      <c r="AM727" t="s">
        <v>52</v>
      </c>
      <c r="AN727" t="s">
        <v>53</v>
      </c>
    </row>
    <row r="728" spans="1:40">
      <c r="A728" t="s">
        <v>2370</v>
      </c>
      <c r="B728" t="s">
        <v>2879</v>
      </c>
      <c r="C728" t="s">
        <v>2883</v>
      </c>
      <c r="D728" t="s">
        <v>52</v>
      </c>
      <c r="E728" t="s">
        <v>2885</v>
      </c>
      <c r="F728" t="s">
        <v>95</v>
      </c>
      <c r="G728" t="str">
        <f>HYPERLINK("https://twitter.com/1111289710054268928/status/1143340573341806592")</f>
        <v>https://twitter.com/1111289710054268928/status/1143340573341806592</v>
      </c>
      <c r="H728" t="s">
        <v>46</v>
      </c>
      <c r="I728" t="s">
        <v>2886</v>
      </c>
      <c r="J728" t="str">
        <f>HYPERLINK("http://twitter.com/AgrawalAadit")</f>
        <v>http://twitter.com/AgrawalAadit</v>
      </c>
      <c r="K728">
        <v>12</v>
      </c>
      <c r="N728" t="s">
        <v>65</v>
      </c>
      <c r="R728" t="s">
        <v>60</v>
      </c>
      <c r="S728" t="s">
        <v>774</v>
      </c>
      <c r="T728" t="s">
        <v>2887</v>
      </c>
      <c r="U728" t="s">
        <v>2888</v>
      </c>
      <c r="W728">
        <v>0</v>
      </c>
      <c r="X728">
        <v>0</v>
      </c>
      <c r="AE728">
        <v>0</v>
      </c>
      <c r="AF728">
        <v>0</v>
      </c>
      <c r="AM728" t="s">
        <v>52</v>
      </c>
      <c r="AN728" t="s">
        <v>53</v>
      </c>
    </row>
    <row r="729" spans="1:40">
      <c r="A729" t="s">
        <v>2370</v>
      </c>
      <c r="B729" t="s">
        <v>2889</v>
      </c>
      <c r="C729" t="s">
        <v>2880</v>
      </c>
      <c r="D729" t="s">
        <v>52</v>
      </c>
      <c r="E729" t="s">
        <v>2890</v>
      </c>
      <c r="F729" t="s">
        <v>131</v>
      </c>
      <c r="G729" t="str">
        <f>HYPERLINK("https://twitter.com/752705273957978116/status/1143340515544502275")</f>
        <v>https://twitter.com/752705273957978116/status/1143340515544502275</v>
      </c>
      <c r="H729" t="s">
        <v>46</v>
      </c>
      <c r="I729" t="s">
        <v>2891</v>
      </c>
      <c r="J729" t="str">
        <f>HYPERLINK("http://twitter.com/CandeLuque3")</f>
        <v>http://twitter.com/CandeLuque3</v>
      </c>
      <c r="K729">
        <v>655</v>
      </c>
      <c r="N729" t="s">
        <v>65</v>
      </c>
      <c r="R729" t="s">
        <v>60</v>
      </c>
      <c r="W729">
        <v>0</v>
      </c>
      <c r="X729">
        <v>0</v>
      </c>
      <c r="AE729">
        <v>0</v>
      </c>
      <c r="AM729" t="s">
        <v>52</v>
      </c>
      <c r="AN729" t="s">
        <v>53</v>
      </c>
    </row>
    <row r="730" spans="1:40">
      <c r="A730" t="s">
        <v>2370</v>
      </c>
      <c r="B730" t="s">
        <v>2889</v>
      </c>
      <c r="C730" t="s">
        <v>2880</v>
      </c>
      <c r="D730" t="s">
        <v>52</v>
      </c>
      <c r="E730" t="s">
        <v>599</v>
      </c>
      <c r="F730" t="s">
        <v>131</v>
      </c>
      <c r="G730" t="str">
        <f>HYPERLINK("https://twitter.com/1111289710054268928/status/1143340483252330496")</f>
        <v>https://twitter.com/1111289710054268928/status/1143340483252330496</v>
      </c>
      <c r="H730" t="s">
        <v>46</v>
      </c>
      <c r="I730" t="s">
        <v>2886</v>
      </c>
      <c r="J730" t="str">
        <f>HYPERLINK("http://twitter.com/AgrawalAadit")</f>
        <v>http://twitter.com/AgrawalAadit</v>
      </c>
      <c r="K730">
        <v>12</v>
      </c>
      <c r="N730" t="s">
        <v>65</v>
      </c>
      <c r="R730" t="s">
        <v>60</v>
      </c>
      <c r="S730" t="s">
        <v>774</v>
      </c>
      <c r="T730" t="s">
        <v>2887</v>
      </c>
      <c r="U730" t="s">
        <v>2888</v>
      </c>
      <c r="W730">
        <v>0</v>
      </c>
      <c r="X730">
        <v>0</v>
      </c>
      <c r="AE730">
        <v>0</v>
      </c>
      <c r="AI730" t="s">
        <v>108</v>
      </c>
      <c r="AJ730" t="s">
        <v>52</v>
      </c>
      <c r="AK730" t="s">
        <v>601</v>
      </c>
      <c r="AL730" t="str">
        <f>HYPERLINK("https://pbs.twimg.com/ext_tw_video_thumb/1143202185154584581/pu/img/K72qfBH8zIdbiUf-.jpg")</f>
        <v>https://pbs.twimg.com/ext_tw_video_thumb/1143202185154584581/pu/img/K72qfBH8zIdbiUf-.jpg</v>
      </c>
      <c r="AM730" t="s">
        <v>52</v>
      </c>
      <c r="AN730" t="s">
        <v>53</v>
      </c>
    </row>
    <row r="731" spans="1:40">
      <c r="A731" t="s">
        <v>2370</v>
      </c>
      <c r="B731" t="s">
        <v>2889</v>
      </c>
      <c r="C731" t="s">
        <v>2892</v>
      </c>
      <c r="D731" t="s">
        <v>52</v>
      </c>
      <c r="E731" t="s">
        <v>1510</v>
      </c>
      <c r="F731" t="s">
        <v>95</v>
      </c>
      <c r="G731" t="str">
        <f>HYPERLINK("https://twitter.com/1061343426296274944/status/1143340454282268675")</f>
        <v>https://twitter.com/1061343426296274944/status/1143340454282268675</v>
      </c>
      <c r="H731" t="s">
        <v>46</v>
      </c>
      <c r="I731" t="s">
        <v>2893</v>
      </c>
      <c r="J731" t="str">
        <f>HYPERLINK("http://twitter.com/DiabolicalMorty")</f>
        <v>http://twitter.com/DiabolicalMorty</v>
      </c>
      <c r="K731">
        <v>6889</v>
      </c>
      <c r="L731" t="s">
        <v>48</v>
      </c>
      <c r="N731" t="s">
        <v>65</v>
      </c>
      <c r="R731" t="s">
        <v>60</v>
      </c>
      <c r="S731" t="s">
        <v>387</v>
      </c>
      <c r="T731" t="s">
        <v>2251</v>
      </c>
      <c r="U731" t="s">
        <v>2252</v>
      </c>
      <c r="W731">
        <v>10</v>
      </c>
      <c r="X731">
        <v>10</v>
      </c>
      <c r="AE731">
        <v>2</v>
      </c>
      <c r="AF731">
        <v>3</v>
      </c>
      <c r="AM731" t="s">
        <v>52</v>
      </c>
      <c r="AN731" t="s">
        <v>53</v>
      </c>
    </row>
    <row r="732" spans="1:40">
      <c r="A732" t="s">
        <v>2370</v>
      </c>
      <c r="B732" t="s">
        <v>2889</v>
      </c>
      <c r="C732" t="s">
        <v>2894</v>
      </c>
      <c r="D732" t="s">
        <v>52</v>
      </c>
      <c r="E732" t="s">
        <v>2890</v>
      </c>
      <c r="F732" t="s">
        <v>131</v>
      </c>
      <c r="G732" t="str">
        <f>HYPERLINK("https://twitter.com/997997970430754817/status/1143340430924419073")</f>
        <v>https://twitter.com/997997970430754817/status/1143340430924419073</v>
      </c>
      <c r="H732" t="s">
        <v>46</v>
      </c>
      <c r="I732" t="s">
        <v>2891</v>
      </c>
      <c r="J732" t="str">
        <f>HYPERLINK("http://twitter.com/CandeeRiera")</f>
        <v>http://twitter.com/CandeeRiera</v>
      </c>
      <c r="K732">
        <v>1050</v>
      </c>
      <c r="N732" t="s">
        <v>65</v>
      </c>
      <c r="R732" t="s">
        <v>60</v>
      </c>
      <c r="S732" t="s">
        <v>701</v>
      </c>
      <c r="T732" t="s">
        <v>2321</v>
      </c>
      <c r="U732" t="s">
        <v>2895</v>
      </c>
      <c r="W732">
        <v>0</v>
      </c>
      <c r="X732">
        <v>0</v>
      </c>
      <c r="AE732">
        <v>0</v>
      </c>
      <c r="AM732" t="s">
        <v>52</v>
      </c>
      <c r="AN732" t="s">
        <v>53</v>
      </c>
    </row>
    <row r="733" spans="1:40">
      <c r="A733" t="s">
        <v>2370</v>
      </c>
      <c r="B733" t="s">
        <v>2889</v>
      </c>
      <c r="C733" t="s">
        <v>2894</v>
      </c>
      <c r="D733" t="s">
        <v>52</v>
      </c>
      <c r="E733" t="s">
        <v>2890</v>
      </c>
      <c r="F733" t="s">
        <v>131</v>
      </c>
      <c r="G733" t="str">
        <f>HYPERLINK("https://twitter.com/2482938608/status/1143340421575315456")</f>
        <v>https://twitter.com/2482938608/status/1143340421575315456</v>
      </c>
      <c r="H733" t="s">
        <v>46</v>
      </c>
      <c r="I733" t="s">
        <v>2896</v>
      </c>
      <c r="J733" t="str">
        <f>HYPERLINK("http://twitter.com/FedeCotella")</f>
        <v>http://twitter.com/FedeCotella</v>
      </c>
      <c r="K733">
        <v>1157</v>
      </c>
      <c r="N733" t="s">
        <v>65</v>
      </c>
      <c r="R733" t="s">
        <v>60</v>
      </c>
      <c r="S733" t="s">
        <v>51</v>
      </c>
      <c r="T733" t="s">
        <v>173</v>
      </c>
      <c r="U733" t="s">
        <v>1625</v>
      </c>
      <c r="W733">
        <v>0</v>
      </c>
      <c r="X733">
        <v>0</v>
      </c>
      <c r="AE733">
        <v>0</v>
      </c>
      <c r="AM733" t="s">
        <v>52</v>
      </c>
      <c r="AN733" t="s">
        <v>53</v>
      </c>
    </row>
    <row r="734" spans="1:40">
      <c r="A734" t="s">
        <v>2370</v>
      </c>
      <c r="B734" t="s">
        <v>2889</v>
      </c>
      <c r="C734" t="s">
        <v>2892</v>
      </c>
      <c r="D734" t="s">
        <v>52</v>
      </c>
      <c r="E734" t="s">
        <v>2897</v>
      </c>
      <c r="F734" t="s">
        <v>45</v>
      </c>
      <c r="G734" t="str">
        <f>HYPERLINK("https://twitter.com/3003969743/status/1143340334258302981")</f>
        <v>https://twitter.com/3003969743/status/1143340334258302981</v>
      </c>
      <c r="H734" t="s">
        <v>46</v>
      </c>
      <c r="I734" t="s">
        <v>2898</v>
      </c>
      <c r="J734" t="str">
        <f>HYPERLINK("http://twitter.com/AaantoLs")</f>
        <v>http://twitter.com/AaantoLs</v>
      </c>
      <c r="K734">
        <v>1391</v>
      </c>
      <c r="L734" t="s">
        <v>58</v>
      </c>
      <c r="N734" t="s">
        <v>65</v>
      </c>
      <c r="R734" t="s">
        <v>60</v>
      </c>
      <c r="W734">
        <v>0</v>
      </c>
      <c r="X734">
        <v>0</v>
      </c>
      <c r="AE734">
        <v>0</v>
      </c>
      <c r="AF734">
        <v>0</v>
      </c>
      <c r="AM734" t="s">
        <v>52</v>
      </c>
      <c r="AN734" t="s">
        <v>53</v>
      </c>
    </row>
    <row r="735" spans="1:40">
      <c r="A735" t="s">
        <v>2370</v>
      </c>
      <c r="B735" t="s">
        <v>2899</v>
      </c>
      <c r="C735" t="s">
        <v>2880</v>
      </c>
      <c r="D735" t="s">
        <v>52</v>
      </c>
      <c r="E735" t="s">
        <v>526</v>
      </c>
      <c r="F735" t="s">
        <v>131</v>
      </c>
      <c r="G735" t="str">
        <f>HYPERLINK("https://twitter.com/854529444031148032/status/1143339691929952256")</f>
        <v>https://twitter.com/854529444031148032/status/1143339691929952256</v>
      </c>
      <c r="H735" t="s">
        <v>46</v>
      </c>
      <c r="I735" t="s">
        <v>2900</v>
      </c>
      <c r="J735" t="str">
        <f>HYPERLINK("http://twitter.com/SaraLucio4")</f>
        <v>http://twitter.com/SaraLucio4</v>
      </c>
      <c r="K735">
        <v>551</v>
      </c>
      <c r="N735" t="s">
        <v>65</v>
      </c>
      <c r="R735" t="s">
        <v>60</v>
      </c>
      <c r="W735">
        <v>0</v>
      </c>
      <c r="X735">
        <v>0</v>
      </c>
      <c r="AE735">
        <v>0</v>
      </c>
      <c r="AI735" t="s">
        <v>108</v>
      </c>
      <c r="AJ735" t="s">
        <v>52</v>
      </c>
      <c r="AK735" t="s">
        <v>52</v>
      </c>
      <c r="AL735" t="str">
        <f>HYPERLINK("https://pbs.twimg.com/ext_tw_video_thumb/1141360066962100224/pu/img/5_tGc4hLFQwcD07b.jpg")</f>
        <v>https://pbs.twimg.com/ext_tw_video_thumb/1141360066962100224/pu/img/5_tGc4hLFQwcD07b.jpg</v>
      </c>
      <c r="AM735" t="s">
        <v>52</v>
      </c>
      <c r="AN735" t="s">
        <v>53</v>
      </c>
    </row>
    <row r="736" spans="1:40">
      <c r="A736" t="s">
        <v>2370</v>
      </c>
      <c r="B736" t="s">
        <v>2901</v>
      </c>
      <c r="C736" t="s">
        <v>2902</v>
      </c>
      <c r="D736" t="s">
        <v>52</v>
      </c>
      <c r="E736" t="s">
        <v>599</v>
      </c>
      <c r="F736" t="s">
        <v>131</v>
      </c>
      <c r="G736" t="str">
        <f>HYPERLINK("https://twitter.com/119306489/status/1143339375809499136")</f>
        <v>https://twitter.com/119306489/status/1143339375809499136</v>
      </c>
      <c r="H736" t="s">
        <v>46</v>
      </c>
      <c r="I736" t="s">
        <v>2903</v>
      </c>
      <c r="J736" t="str">
        <f>HYPERLINK("http://twitter.com/Jasdannia")</f>
        <v>http://twitter.com/Jasdannia</v>
      </c>
      <c r="K736">
        <v>126</v>
      </c>
      <c r="N736" t="s">
        <v>65</v>
      </c>
      <c r="R736" t="s">
        <v>60</v>
      </c>
      <c r="W736">
        <v>0</v>
      </c>
      <c r="X736">
        <v>0</v>
      </c>
      <c r="AE736">
        <v>0</v>
      </c>
      <c r="AI736" t="s">
        <v>108</v>
      </c>
      <c r="AJ736" t="s">
        <v>52</v>
      </c>
      <c r="AK736" t="s">
        <v>601</v>
      </c>
      <c r="AL736" t="str">
        <f>HYPERLINK("https://pbs.twimg.com/ext_tw_video_thumb/1143202185154584581/pu/img/K72qfBH8zIdbiUf-.jpg")</f>
        <v>https://pbs.twimg.com/ext_tw_video_thumb/1143202185154584581/pu/img/K72qfBH8zIdbiUf-.jpg</v>
      </c>
      <c r="AM736" t="s">
        <v>52</v>
      </c>
      <c r="AN736" t="s">
        <v>53</v>
      </c>
    </row>
    <row r="737" spans="1:40">
      <c r="A737" t="s">
        <v>2370</v>
      </c>
      <c r="B737" t="s">
        <v>2901</v>
      </c>
      <c r="C737" t="s">
        <v>2904</v>
      </c>
      <c r="D737" t="s">
        <v>52</v>
      </c>
      <c r="E737" t="s">
        <v>2905</v>
      </c>
      <c r="F737" t="s">
        <v>95</v>
      </c>
      <c r="G737" t="str">
        <f>HYPERLINK("https://twitter.com/950591234770321408/status/1143339357090115584")</f>
        <v>https://twitter.com/950591234770321408/status/1143339357090115584</v>
      </c>
      <c r="H737" t="s">
        <v>46</v>
      </c>
      <c r="I737" t="s">
        <v>2906</v>
      </c>
      <c r="J737" t="str">
        <f>HYPERLINK("http://twitter.com/JayChaosMaster")</f>
        <v>http://twitter.com/JayChaosMaster</v>
      </c>
      <c r="K737">
        <v>1102</v>
      </c>
      <c r="N737" t="s">
        <v>65</v>
      </c>
      <c r="R737" t="s">
        <v>60</v>
      </c>
      <c r="S737" t="s">
        <v>51</v>
      </c>
      <c r="T737" t="s">
        <v>173</v>
      </c>
      <c r="W737">
        <v>0</v>
      </c>
      <c r="X737">
        <v>0</v>
      </c>
      <c r="AE737">
        <v>0</v>
      </c>
      <c r="AF737">
        <v>0</v>
      </c>
      <c r="AM737" t="s">
        <v>52</v>
      </c>
      <c r="AN737" t="s">
        <v>53</v>
      </c>
    </row>
    <row r="738" spans="1:40">
      <c r="A738" t="s">
        <v>2370</v>
      </c>
      <c r="B738" t="s">
        <v>2907</v>
      </c>
      <c r="C738" t="s">
        <v>2908</v>
      </c>
      <c r="D738" t="s">
        <v>52</v>
      </c>
      <c r="E738" t="s">
        <v>2909</v>
      </c>
      <c r="F738" t="s">
        <v>45</v>
      </c>
      <c r="G738" t="str">
        <f>HYPERLINK("https://www.instagram.com/p/BzHYQTEldFq")</f>
        <v>https://www.instagram.com/p/BzHYQTEldFq</v>
      </c>
      <c r="H738" t="s">
        <v>46</v>
      </c>
      <c r="I738" t="s">
        <v>2910</v>
      </c>
      <c r="J738" t="str">
        <f>HYPERLINK("http://instagram.com/poopavacodo")</f>
        <v>http://instagram.com/poopavacodo</v>
      </c>
      <c r="K738">
        <v>4</v>
      </c>
      <c r="N738" t="s">
        <v>59</v>
      </c>
      <c r="O738" t="s">
        <v>2910</v>
      </c>
      <c r="P738" t="str">
        <f>HYPERLINK("http://instagram.com/poopavacodo")</f>
        <v>http://instagram.com/poopavacodo</v>
      </c>
      <c r="Q738">
        <v>4</v>
      </c>
      <c r="R738" t="s">
        <v>60</v>
      </c>
      <c r="W738">
        <v>5</v>
      </c>
      <c r="X738">
        <v>5</v>
      </c>
      <c r="AE738">
        <v>0</v>
      </c>
      <c r="AI738" t="s">
        <v>52</v>
      </c>
      <c r="AJ738" t="s">
        <v>52</v>
      </c>
      <c r="AK738" t="s">
        <v>52</v>
      </c>
      <c r="AL738" t="str">
        <f>HYPERLINK("https://www.instagram.com/p/BzHYQTEldFq/media/?size=l")</f>
        <v>https://www.instagram.com/p/BzHYQTEldFq/media/?size=l</v>
      </c>
      <c r="AM738" t="s">
        <v>52</v>
      </c>
      <c r="AN738" t="s">
        <v>53</v>
      </c>
    </row>
    <row r="739" spans="1:40">
      <c r="A739" t="s">
        <v>2370</v>
      </c>
      <c r="B739" t="s">
        <v>2907</v>
      </c>
      <c r="C739" t="s">
        <v>2908</v>
      </c>
      <c r="D739" t="s">
        <v>52</v>
      </c>
      <c r="E739" t="s">
        <v>2911</v>
      </c>
      <c r="F739" t="s">
        <v>45</v>
      </c>
      <c r="G739" t="str">
        <f>HYPERLINK("https://twitter.com/607320737/status/1143339008325386240")</f>
        <v>https://twitter.com/607320737/status/1143339008325386240</v>
      </c>
      <c r="H739" t="s">
        <v>46</v>
      </c>
      <c r="I739" t="s">
        <v>2912</v>
      </c>
      <c r="J739" t="str">
        <f>HYPERLINK("http://twitter.com/Darthux")</f>
        <v>http://twitter.com/Darthux</v>
      </c>
      <c r="K739">
        <v>4</v>
      </c>
      <c r="N739" t="s">
        <v>65</v>
      </c>
      <c r="R739" t="s">
        <v>60</v>
      </c>
      <c r="W739">
        <v>0</v>
      </c>
      <c r="X739">
        <v>0</v>
      </c>
      <c r="AE739">
        <v>0</v>
      </c>
      <c r="AF739">
        <v>0</v>
      </c>
      <c r="AM739" t="s">
        <v>52</v>
      </c>
      <c r="AN739" t="s">
        <v>53</v>
      </c>
    </row>
    <row r="740" spans="1:40">
      <c r="A740" t="s">
        <v>2370</v>
      </c>
      <c r="B740" t="s">
        <v>2907</v>
      </c>
      <c r="C740" t="s">
        <v>1695</v>
      </c>
      <c r="D740" t="s">
        <v>2732</v>
      </c>
      <c r="E740" t="s">
        <v>2913</v>
      </c>
      <c r="F740" t="s">
        <v>95</v>
      </c>
      <c r="G740" t="str">
        <f>HYPERLINK("https://www.youtube.com/watch?v=pxaqAOUZ3P4&amp;lc=UgyvDGAgz6wyaA9QZEB4AaABAg")</f>
        <v>https://www.youtube.com/watch?v=pxaqAOUZ3P4&amp;lc=UgyvDGAgz6wyaA9QZEB4AaABAg</v>
      </c>
      <c r="H740" t="s">
        <v>46</v>
      </c>
      <c r="I740" t="s">
        <v>2914</v>
      </c>
      <c r="J740" t="str">
        <f>HYPERLINK("https://www.youtube.com/channel/UCumLsEDrfYzFlh2yKNtyyXg")</f>
        <v>https://www.youtube.com/channel/UCumLsEDrfYzFlh2yKNtyyXg</v>
      </c>
      <c r="K740">
        <v>381</v>
      </c>
      <c r="N740" t="s">
        <v>116</v>
      </c>
      <c r="O740" t="s">
        <v>2735</v>
      </c>
      <c r="P740" t="str">
        <f>HYPERLINK("https://www.youtube.com/channel/UCbY3apgA8e1JIQMx8OBu83Q")</f>
        <v>https://www.youtube.com/channel/UCbY3apgA8e1JIQMx8OBu83Q</v>
      </c>
      <c r="Q740">
        <v>22</v>
      </c>
      <c r="R740" t="s">
        <v>60</v>
      </c>
      <c r="W740">
        <v>0</v>
      </c>
      <c r="X740">
        <v>0</v>
      </c>
      <c r="AE740">
        <v>0</v>
      </c>
      <c r="AM740" t="s">
        <v>52</v>
      </c>
      <c r="AN740" t="s">
        <v>53</v>
      </c>
    </row>
    <row r="741" spans="1:40">
      <c r="A741" t="s">
        <v>2370</v>
      </c>
      <c r="B741" t="s">
        <v>2915</v>
      </c>
      <c r="C741" t="s">
        <v>2916</v>
      </c>
      <c r="D741" t="s">
        <v>52</v>
      </c>
      <c r="E741" t="s">
        <v>2917</v>
      </c>
      <c r="F741" t="s">
        <v>45</v>
      </c>
      <c r="G741" t="str">
        <f>HYPERLINK("https://www.instagram.com/p/BzHYDFYgqd_")</f>
        <v>https://www.instagram.com/p/BzHYDFYgqd_</v>
      </c>
      <c r="H741" t="s">
        <v>46</v>
      </c>
      <c r="I741" t="s">
        <v>2918</v>
      </c>
      <c r="J741" t="str">
        <f>HYPERLINK("http://instagram.com/_random.relate_")</f>
        <v>http://instagram.com/_random.relate_</v>
      </c>
      <c r="K741">
        <v>1</v>
      </c>
      <c r="N741" t="s">
        <v>59</v>
      </c>
      <c r="O741" t="s">
        <v>2918</v>
      </c>
      <c r="P741" t="str">
        <f>HYPERLINK("http://instagram.com/_random.relate_")</f>
        <v>http://instagram.com/_random.relate_</v>
      </c>
      <c r="Q741">
        <v>1</v>
      </c>
      <c r="R741" t="s">
        <v>60</v>
      </c>
      <c r="W741">
        <v>8</v>
      </c>
      <c r="X741">
        <v>8</v>
      </c>
      <c r="AE741">
        <v>1</v>
      </c>
      <c r="AI741" t="s">
        <v>108</v>
      </c>
      <c r="AJ741" t="s">
        <v>716</v>
      </c>
      <c r="AK741" t="s">
        <v>52</v>
      </c>
      <c r="AL741" t="str">
        <f>HYPERLINK("https://www.instagram.com/p/BzHYDFYgqd_/media/?size=l")</f>
        <v>https://www.instagram.com/p/BzHYDFYgqd_/media/?size=l</v>
      </c>
      <c r="AM741" t="s">
        <v>52</v>
      </c>
      <c r="AN741" t="s">
        <v>53</v>
      </c>
    </row>
    <row r="742" spans="1:40">
      <c r="A742" t="s">
        <v>2370</v>
      </c>
      <c r="B742" t="s">
        <v>2919</v>
      </c>
      <c r="C742" t="s">
        <v>2920</v>
      </c>
      <c r="D742" t="s">
        <v>52</v>
      </c>
      <c r="E742" t="s">
        <v>2921</v>
      </c>
      <c r="F742" t="s">
        <v>45</v>
      </c>
      <c r="G742" t="str">
        <f>HYPERLINK("https://www.instagram.com/p/BzHXzlGjFTI")</f>
        <v>https://www.instagram.com/p/BzHXzlGjFTI</v>
      </c>
      <c r="H742" t="s">
        <v>46</v>
      </c>
      <c r="I742" t="s">
        <v>2922</v>
      </c>
      <c r="J742" t="str">
        <f>HYPERLINK("http://instagram.com/sexyhackersclothing")</f>
        <v>http://instagram.com/sexyhackersclothing</v>
      </c>
      <c r="K742">
        <v>247</v>
      </c>
      <c r="N742" t="s">
        <v>59</v>
      </c>
      <c r="O742" t="s">
        <v>2922</v>
      </c>
      <c r="P742" t="str">
        <f>HYPERLINK("http://instagram.com/sexyhackersclothing")</f>
        <v>http://instagram.com/sexyhackersclothing</v>
      </c>
      <c r="Q742">
        <v>247</v>
      </c>
      <c r="R742" t="s">
        <v>60</v>
      </c>
      <c r="S742" t="s">
        <v>51</v>
      </c>
      <c r="T742" t="s">
        <v>2923</v>
      </c>
      <c r="U742" t="s">
        <v>2924</v>
      </c>
      <c r="W742">
        <v>11</v>
      </c>
      <c r="X742">
        <v>11</v>
      </c>
      <c r="AE742">
        <v>0</v>
      </c>
      <c r="AI742" t="s">
        <v>52</v>
      </c>
      <c r="AJ742" t="s">
        <v>2925</v>
      </c>
      <c r="AK742" t="s">
        <v>52</v>
      </c>
      <c r="AL742" t="str">
        <f>HYPERLINK("https://www.instagram.com/p/BzHXzlGjFTI/media/?size=l")</f>
        <v>https://www.instagram.com/p/BzHXzlGjFTI/media/?size=l</v>
      </c>
      <c r="AM742" t="s">
        <v>52</v>
      </c>
      <c r="AN742" t="s">
        <v>53</v>
      </c>
    </row>
    <row r="743" spans="1:40">
      <c r="A743" t="s">
        <v>2370</v>
      </c>
      <c r="B743" t="s">
        <v>2926</v>
      </c>
      <c r="C743" t="s">
        <v>2927</v>
      </c>
      <c r="D743" t="s">
        <v>52</v>
      </c>
      <c r="E743" t="s">
        <v>2928</v>
      </c>
      <c r="F743" t="s">
        <v>45</v>
      </c>
      <c r="G743" t="str">
        <f>HYPERLINK("https://www.instagram.com/p/BzHXp-vF6Ku")</f>
        <v>https://www.instagram.com/p/BzHXp-vF6Ku</v>
      </c>
      <c r="H743" t="s">
        <v>46</v>
      </c>
      <c r="I743" t="s">
        <v>2929</v>
      </c>
      <c r="J743" t="str">
        <f>HYPERLINK("http://instagram.com/jager_da_toxic_master")</f>
        <v>http://instagram.com/jager_da_toxic_master</v>
      </c>
      <c r="K743">
        <v>1018</v>
      </c>
      <c r="N743" t="s">
        <v>59</v>
      </c>
      <c r="O743" t="s">
        <v>2929</v>
      </c>
      <c r="P743" t="str">
        <f>HYPERLINK("http://instagram.com/jager_da_toxic_master")</f>
        <v>http://instagram.com/jager_da_toxic_master</v>
      </c>
      <c r="Q743">
        <v>1018</v>
      </c>
      <c r="R743" t="s">
        <v>60</v>
      </c>
      <c r="W743">
        <v>22</v>
      </c>
      <c r="X743">
        <v>22</v>
      </c>
      <c r="AE743">
        <v>0</v>
      </c>
      <c r="AG743">
        <v>70</v>
      </c>
      <c r="AI743" t="s">
        <v>52</v>
      </c>
      <c r="AJ743" t="s">
        <v>52</v>
      </c>
      <c r="AK743" t="s">
        <v>52</v>
      </c>
      <c r="AL743" t="str">
        <f>HYPERLINK("https://www.instagram.com/p/BzHXp-vF6Ku/media/?size=l")</f>
        <v>https://www.instagram.com/p/BzHXp-vF6Ku/media/?size=l</v>
      </c>
      <c r="AM743" t="s">
        <v>52</v>
      </c>
      <c r="AN743" t="s">
        <v>53</v>
      </c>
    </row>
    <row r="744" spans="1:40">
      <c r="A744" t="s">
        <v>2370</v>
      </c>
      <c r="B744" t="s">
        <v>2930</v>
      </c>
      <c r="C744" t="s">
        <v>2927</v>
      </c>
      <c r="D744" t="s">
        <v>52</v>
      </c>
      <c r="E744" t="s">
        <v>1194</v>
      </c>
      <c r="F744" t="s">
        <v>131</v>
      </c>
      <c r="G744" t="str">
        <f>HYPERLINK("https://twitter.com/555815210/status/1143337289403080705")</f>
        <v>https://twitter.com/555815210/status/1143337289403080705</v>
      </c>
      <c r="H744" t="s">
        <v>46</v>
      </c>
      <c r="I744" t="s">
        <v>2931</v>
      </c>
      <c r="J744" t="str">
        <f>HYPERLINK("http://twitter.com/emiyjan")</f>
        <v>http://twitter.com/emiyjan</v>
      </c>
      <c r="K744">
        <v>324</v>
      </c>
      <c r="L744" t="s">
        <v>48</v>
      </c>
      <c r="N744" t="s">
        <v>65</v>
      </c>
      <c r="R744" t="s">
        <v>60</v>
      </c>
      <c r="S744" t="s">
        <v>1741</v>
      </c>
      <c r="W744">
        <v>0</v>
      </c>
      <c r="X744">
        <v>0</v>
      </c>
      <c r="AE744">
        <v>0</v>
      </c>
      <c r="AI744" t="s">
        <v>52</v>
      </c>
      <c r="AJ744" t="s">
        <v>1196</v>
      </c>
      <c r="AK744" t="s">
        <v>52</v>
      </c>
      <c r="AL744" t="str">
        <f>HYPERLINK("https://pbs.twimg.com/media/D9xgk2YXkAAd2ql.jpg")</f>
        <v>https://pbs.twimg.com/media/D9xgk2YXkAAd2ql.jpg</v>
      </c>
      <c r="AM744" t="s">
        <v>52</v>
      </c>
      <c r="AN744" t="s">
        <v>53</v>
      </c>
    </row>
    <row r="745" spans="1:40">
      <c r="A745" t="s">
        <v>2370</v>
      </c>
      <c r="B745" t="s">
        <v>2930</v>
      </c>
      <c r="C745" t="s">
        <v>2932</v>
      </c>
      <c r="D745" t="s">
        <v>52</v>
      </c>
      <c r="E745" t="s">
        <v>2933</v>
      </c>
      <c r="F745" t="s">
        <v>131</v>
      </c>
      <c r="G745" t="str">
        <f>HYPERLINK("https://twitter.com/1580190823/status/1143337269568442368")</f>
        <v>https://twitter.com/1580190823/status/1143337269568442368</v>
      </c>
      <c r="H745" t="s">
        <v>46</v>
      </c>
      <c r="I745" t="s">
        <v>2934</v>
      </c>
      <c r="J745" t="str">
        <f>HYPERLINK("http://twitter.com/BrunoHernandeez")</f>
        <v>http://twitter.com/BrunoHernandeez</v>
      </c>
      <c r="K745">
        <v>660</v>
      </c>
      <c r="L745" t="s">
        <v>48</v>
      </c>
      <c r="N745" t="s">
        <v>65</v>
      </c>
      <c r="R745" t="s">
        <v>60</v>
      </c>
      <c r="W745">
        <v>0</v>
      </c>
      <c r="X745">
        <v>0</v>
      </c>
      <c r="AE745">
        <v>0</v>
      </c>
      <c r="AM745" t="s">
        <v>52</v>
      </c>
      <c r="AN745" t="s">
        <v>53</v>
      </c>
    </row>
    <row r="746" spans="1:40">
      <c r="A746" t="s">
        <v>2370</v>
      </c>
      <c r="B746" t="s">
        <v>2935</v>
      </c>
      <c r="C746" t="s">
        <v>2936</v>
      </c>
      <c r="D746" t="s">
        <v>52</v>
      </c>
      <c r="E746" t="s">
        <v>2937</v>
      </c>
      <c r="F746" t="s">
        <v>95</v>
      </c>
      <c r="G746" t="str">
        <f>HYPERLINK("https://twitter.com/4474978221/status/1143337228808196101")</f>
        <v>https://twitter.com/4474978221/status/1143337228808196101</v>
      </c>
      <c r="H746" t="s">
        <v>46</v>
      </c>
      <c r="I746" t="s">
        <v>2938</v>
      </c>
      <c r="J746" t="str">
        <f>HYPERLINK("http://twitter.com/DIONYSOEK")</f>
        <v>http://twitter.com/DIONYSOEK</v>
      </c>
      <c r="K746">
        <v>1073</v>
      </c>
      <c r="N746" t="s">
        <v>65</v>
      </c>
      <c r="R746" t="s">
        <v>60</v>
      </c>
      <c r="W746">
        <v>0</v>
      </c>
      <c r="X746">
        <v>0</v>
      </c>
      <c r="AE746">
        <v>1</v>
      </c>
      <c r="AF746">
        <v>0</v>
      </c>
      <c r="AM746" t="s">
        <v>52</v>
      </c>
      <c r="AN746" t="s">
        <v>53</v>
      </c>
    </row>
    <row r="747" spans="1:40">
      <c r="A747" t="s">
        <v>2370</v>
      </c>
      <c r="B747" t="s">
        <v>2935</v>
      </c>
      <c r="C747" t="s">
        <v>2939</v>
      </c>
      <c r="D747" t="s">
        <v>52</v>
      </c>
      <c r="E747" t="s">
        <v>2651</v>
      </c>
      <c r="F747" t="s">
        <v>131</v>
      </c>
      <c r="G747" t="str">
        <f>HYPERLINK("https://twitter.com/740333364457115649/status/1143337169643331589")</f>
        <v>https://twitter.com/740333364457115649/status/1143337169643331589</v>
      </c>
      <c r="H747" t="s">
        <v>46</v>
      </c>
      <c r="I747" t="s">
        <v>2940</v>
      </c>
      <c r="J747" t="str">
        <f>HYPERLINK("http://twitter.com/VirLujan15")</f>
        <v>http://twitter.com/VirLujan15</v>
      </c>
      <c r="K747">
        <v>564</v>
      </c>
      <c r="N747" t="s">
        <v>65</v>
      </c>
      <c r="R747" t="s">
        <v>60</v>
      </c>
      <c r="S747" t="s">
        <v>701</v>
      </c>
      <c r="T747" t="s">
        <v>2321</v>
      </c>
      <c r="U747" t="s">
        <v>2653</v>
      </c>
      <c r="W747">
        <v>0</v>
      </c>
      <c r="X747">
        <v>0</v>
      </c>
      <c r="AE747">
        <v>0</v>
      </c>
      <c r="AM747" t="s">
        <v>52</v>
      </c>
      <c r="AN747" t="s">
        <v>53</v>
      </c>
    </row>
    <row r="748" spans="1:40">
      <c r="A748" t="s">
        <v>2370</v>
      </c>
      <c r="B748" t="s">
        <v>2941</v>
      </c>
      <c r="C748" t="s">
        <v>476</v>
      </c>
      <c r="D748" t="s">
        <v>2942</v>
      </c>
      <c r="E748" t="s">
        <v>2943</v>
      </c>
      <c r="F748" t="s">
        <v>45</v>
      </c>
      <c r="G748" t="str">
        <f>HYPERLINK("https://www.youtube.com/watch?v=S3lxuAmV5Rc")</f>
        <v>https://www.youtube.com/watch?v=S3lxuAmV5Rc</v>
      </c>
      <c r="H748" t="s">
        <v>46</v>
      </c>
      <c r="I748" t="s">
        <v>2944</v>
      </c>
      <c r="J748" t="str">
        <f>HYPERLINK("https://www.youtube.com/channel/UCVj9Wyyv2zdAWH6I2U8s-lg")</f>
        <v>https://www.youtube.com/channel/UCVj9Wyyv2zdAWH6I2U8s-lg</v>
      </c>
      <c r="K748">
        <v>11</v>
      </c>
      <c r="N748" t="s">
        <v>116</v>
      </c>
      <c r="O748" t="s">
        <v>2944</v>
      </c>
      <c r="P748" t="str">
        <f>HYPERLINK("https://www.youtube.com/channel/UCVj9Wyyv2zdAWH6I2U8s-lg")</f>
        <v>https://www.youtube.com/channel/UCVj9Wyyv2zdAWH6I2U8s-lg</v>
      </c>
      <c r="Q748">
        <v>11</v>
      </c>
      <c r="R748" t="s">
        <v>60</v>
      </c>
      <c r="W748">
        <v>2</v>
      </c>
      <c r="X748">
        <v>2</v>
      </c>
      <c r="AD748">
        <v>0</v>
      </c>
      <c r="AE748">
        <v>0</v>
      </c>
      <c r="AG748">
        <v>12</v>
      </c>
      <c r="AI748" t="s">
        <v>108</v>
      </c>
      <c r="AJ748" t="s">
        <v>52</v>
      </c>
      <c r="AK748" t="s">
        <v>52</v>
      </c>
      <c r="AL748" t="str">
        <f>HYPERLINK("https://i.ytimg.com/vi/S3lxuAmV5Rc/sddefault.jpg")</f>
        <v>https://i.ytimg.com/vi/S3lxuAmV5Rc/sddefault.jpg</v>
      </c>
      <c r="AM748" t="s">
        <v>52</v>
      </c>
      <c r="AN748" t="s">
        <v>53</v>
      </c>
    </row>
    <row r="749" spans="1:40">
      <c r="A749" t="s">
        <v>2370</v>
      </c>
      <c r="B749" t="s">
        <v>2941</v>
      </c>
      <c r="C749" t="s">
        <v>2939</v>
      </c>
      <c r="D749" t="s">
        <v>52</v>
      </c>
      <c r="E749" t="s">
        <v>1174</v>
      </c>
      <c r="F749" t="s">
        <v>131</v>
      </c>
      <c r="G749" t="str">
        <f>HYPERLINK("https://twitter.com/383127568/status/1143336789685542913")</f>
        <v>https://twitter.com/383127568/status/1143336789685542913</v>
      </c>
      <c r="H749" t="s">
        <v>46</v>
      </c>
      <c r="I749" t="s">
        <v>2945</v>
      </c>
      <c r="J749" t="str">
        <f>HYPERLINK("http://twitter.com/ashesevrywherre")</f>
        <v>http://twitter.com/ashesevrywherre</v>
      </c>
      <c r="K749">
        <v>197</v>
      </c>
      <c r="N749" t="s">
        <v>65</v>
      </c>
      <c r="R749" t="s">
        <v>60</v>
      </c>
      <c r="S749" t="s">
        <v>51</v>
      </c>
      <c r="T749" t="s">
        <v>851</v>
      </c>
      <c r="U749" t="s">
        <v>2946</v>
      </c>
      <c r="W749">
        <v>0</v>
      </c>
      <c r="X749">
        <v>0</v>
      </c>
      <c r="AE749">
        <v>0</v>
      </c>
      <c r="AI749" t="s">
        <v>1176</v>
      </c>
      <c r="AJ749" t="s">
        <v>1177</v>
      </c>
      <c r="AK749" t="s">
        <v>52</v>
      </c>
      <c r="AL749" t="str">
        <f>HYPERLINK("https://pbs.twimg.com/ext_tw_video_thumb/1143268619956056064/pu/img/SLb27Fb_f5FBj8oQ.jpg")</f>
        <v>https://pbs.twimg.com/ext_tw_video_thumb/1143268619956056064/pu/img/SLb27Fb_f5FBj8oQ.jpg</v>
      </c>
      <c r="AM749" t="s">
        <v>52</v>
      </c>
      <c r="AN749" t="s">
        <v>53</v>
      </c>
    </row>
    <row r="750" spans="1:40">
      <c r="A750" t="s">
        <v>2370</v>
      </c>
      <c r="B750" t="s">
        <v>2947</v>
      </c>
      <c r="C750" t="s">
        <v>2948</v>
      </c>
      <c r="D750" t="s">
        <v>52</v>
      </c>
      <c r="E750" t="s">
        <v>2949</v>
      </c>
      <c r="F750" t="s">
        <v>45</v>
      </c>
      <c r="G750" t="str">
        <f>HYPERLINK("https://www.instagram.com/p/BzHXKoRF4h4")</f>
        <v>https://www.instagram.com/p/BzHXKoRF4h4</v>
      </c>
      <c r="H750" t="s">
        <v>46</v>
      </c>
      <c r="I750" t="s">
        <v>2950</v>
      </c>
      <c r="J750" t="str">
        <f>HYPERLINK("http://instagram.com/livnews")</f>
        <v>http://instagram.com/livnews</v>
      </c>
      <c r="K750">
        <v>26860</v>
      </c>
      <c r="N750" t="s">
        <v>59</v>
      </c>
      <c r="O750" t="s">
        <v>2950</v>
      </c>
      <c r="P750" t="str">
        <f>HYPERLINK("http://instagram.com/livnews")</f>
        <v>http://instagram.com/livnews</v>
      </c>
      <c r="Q750">
        <v>26860</v>
      </c>
      <c r="R750" t="s">
        <v>60</v>
      </c>
      <c r="S750" t="s">
        <v>51</v>
      </c>
      <c r="T750" t="s">
        <v>173</v>
      </c>
      <c r="U750" t="s">
        <v>1214</v>
      </c>
      <c r="W750">
        <v>292</v>
      </c>
      <c r="X750">
        <v>292</v>
      </c>
      <c r="AE750">
        <v>36</v>
      </c>
      <c r="AI750" t="s">
        <v>52</v>
      </c>
      <c r="AJ750" t="s">
        <v>52</v>
      </c>
      <c r="AK750" t="s">
        <v>2951</v>
      </c>
      <c r="AL750" t="str">
        <f>HYPERLINK("https://www.instagram.com/p/BzHXKoRF4h4/media/?size=l")</f>
        <v>https://www.instagram.com/p/BzHXKoRF4h4/media/?size=l</v>
      </c>
      <c r="AM750" t="s">
        <v>52</v>
      </c>
      <c r="AN750" t="s">
        <v>53</v>
      </c>
    </row>
    <row r="751" spans="1:40">
      <c r="A751" t="s">
        <v>2370</v>
      </c>
      <c r="B751" t="s">
        <v>2952</v>
      </c>
      <c r="C751" t="s">
        <v>2953</v>
      </c>
      <c r="D751" t="s">
        <v>52</v>
      </c>
      <c r="E751" t="s">
        <v>2954</v>
      </c>
      <c r="F751" t="s">
        <v>95</v>
      </c>
      <c r="G751" t="str">
        <f>HYPERLINK("https://twitter.com/953478947253161984/status/1143336265028440064")</f>
        <v>https://twitter.com/953478947253161984/status/1143336265028440064</v>
      </c>
      <c r="H751" t="s">
        <v>46</v>
      </c>
      <c r="I751" t="s">
        <v>2955</v>
      </c>
      <c r="J751" t="str">
        <f>HYPERLINK("http://twitter.com/JosephDOlmo")</f>
        <v>http://twitter.com/JosephDOlmo</v>
      </c>
      <c r="K751">
        <v>247</v>
      </c>
      <c r="N751" t="s">
        <v>65</v>
      </c>
      <c r="R751" t="s">
        <v>60</v>
      </c>
      <c r="S751" t="s">
        <v>51</v>
      </c>
      <c r="T751" t="s">
        <v>73</v>
      </c>
      <c r="U751" t="s">
        <v>2956</v>
      </c>
      <c r="W751">
        <v>0</v>
      </c>
      <c r="X751">
        <v>0</v>
      </c>
      <c r="AE751">
        <v>1</v>
      </c>
      <c r="AF751">
        <v>0</v>
      </c>
      <c r="AM751" t="s">
        <v>52</v>
      </c>
      <c r="AN751" t="s">
        <v>53</v>
      </c>
    </row>
    <row r="752" spans="1:40">
      <c r="A752" t="s">
        <v>2370</v>
      </c>
      <c r="B752" t="s">
        <v>2957</v>
      </c>
      <c r="C752" t="s">
        <v>2864</v>
      </c>
      <c r="D752" t="s">
        <v>52</v>
      </c>
      <c r="E752" t="s">
        <v>2958</v>
      </c>
      <c r="F752" t="s">
        <v>45</v>
      </c>
      <c r="G752" t="str">
        <f>HYPERLINK("https://www.instagram.com/p/BzHW7ilnrLO")</f>
        <v>https://www.instagram.com/p/BzHW7ilnrLO</v>
      </c>
      <c r="H752" t="s">
        <v>46</v>
      </c>
      <c r="I752" t="s">
        <v>2959</v>
      </c>
      <c r="J752" t="str">
        <f>HYPERLINK("http://instagram.com/paige.oakleyanderson")</f>
        <v>http://instagram.com/paige.oakleyanderson</v>
      </c>
      <c r="K752">
        <v>600</v>
      </c>
      <c r="L752" t="s">
        <v>58</v>
      </c>
      <c r="N752" t="s">
        <v>59</v>
      </c>
      <c r="O752" t="s">
        <v>2959</v>
      </c>
      <c r="P752" t="str">
        <f>HYPERLINK("http://instagram.com/paige.oakleyanderson")</f>
        <v>http://instagram.com/paige.oakleyanderson</v>
      </c>
      <c r="Q752">
        <v>600</v>
      </c>
      <c r="R752" t="s">
        <v>60</v>
      </c>
      <c r="W752">
        <v>6</v>
      </c>
      <c r="X752">
        <v>6</v>
      </c>
      <c r="AE752">
        <v>0</v>
      </c>
      <c r="AG752">
        <v>44</v>
      </c>
      <c r="AI752" t="s">
        <v>52</v>
      </c>
      <c r="AJ752" t="s">
        <v>52</v>
      </c>
      <c r="AK752" t="s">
        <v>52</v>
      </c>
      <c r="AL752" t="str">
        <f>HYPERLINK("https://www.instagram.com/p/BzHW7ilnrLO/media/?size=l")</f>
        <v>https://www.instagram.com/p/BzHW7ilnrLO/media/?size=l</v>
      </c>
      <c r="AM752" t="s">
        <v>52</v>
      </c>
      <c r="AN752" t="s">
        <v>53</v>
      </c>
    </row>
    <row r="753" spans="1:40">
      <c r="A753" t="s">
        <v>2370</v>
      </c>
      <c r="B753" t="s">
        <v>2960</v>
      </c>
      <c r="C753" t="s">
        <v>2953</v>
      </c>
      <c r="D753" t="s">
        <v>52</v>
      </c>
      <c r="E753" t="s">
        <v>2961</v>
      </c>
      <c r="F753" t="s">
        <v>45</v>
      </c>
      <c r="G753" t="str">
        <f>HYPERLINK("https://twitter.com/813211375019425793/status/1143335519457337344")</f>
        <v>https://twitter.com/813211375019425793/status/1143335519457337344</v>
      </c>
      <c r="H753" t="s">
        <v>91</v>
      </c>
      <c r="I753" t="s">
        <v>2962</v>
      </c>
      <c r="J753" t="str">
        <f>HYPERLINK("http://twitter.com/dontisc")</f>
        <v>http://twitter.com/dontisc</v>
      </c>
      <c r="K753">
        <v>318</v>
      </c>
      <c r="N753" t="s">
        <v>65</v>
      </c>
      <c r="R753" t="s">
        <v>60</v>
      </c>
      <c r="W753">
        <v>6</v>
      </c>
      <c r="X753">
        <v>6</v>
      </c>
      <c r="AE753">
        <v>1</v>
      </c>
      <c r="AF753">
        <v>0</v>
      </c>
      <c r="AM753" t="s">
        <v>52</v>
      </c>
      <c r="AN753" t="s">
        <v>53</v>
      </c>
    </row>
    <row r="754" spans="1:40">
      <c r="A754" t="s">
        <v>2370</v>
      </c>
      <c r="B754" t="s">
        <v>2960</v>
      </c>
      <c r="C754" t="s">
        <v>2948</v>
      </c>
      <c r="D754" t="s">
        <v>52</v>
      </c>
      <c r="E754" t="s">
        <v>2963</v>
      </c>
      <c r="F754" t="s">
        <v>45</v>
      </c>
      <c r="G754" t="str">
        <f>HYPERLINK("https://www.instagram.com/p/BzHWqQkBX78")</f>
        <v>https://www.instagram.com/p/BzHWqQkBX78</v>
      </c>
      <c r="H754" t="s">
        <v>46</v>
      </c>
      <c r="I754" t="s">
        <v>2964</v>
      </c>
      <c r="J754" t="str">
        <f>HYPERLINK("http://instagram.com/curious_snax")</f>
        <v>http://instagram.com/curious_snax</v>
      </c>
      <c r="K754">
        <v>471</v>
      </c>
      <c r="L754" t="s">
        <v>651</v>
      </c>
      <c r="N754" t="s">
        <v>59</v>
      </c>
      <c r="O754" t="s">
        <v>2964</v>
      </c>
      <c r="P754" t="str">
        <f>HYPERLINK("http://instagram.com/curious_snax")</f>
        <v>http://instagram.com/curious_snax</v>
      </c>
      <c r="Q754">
        <v>471</v>
      </c>
      <c r="R754" t="s">
        <v>60</v>
      </c>
      <c r="S754" t="s">
        <v>51</v>
      </c>
      <c r="T754" t="s">
        <v>73</v>
      </c>
      <c r="U754" t="s">
        <v>2965</v>
      </c>
      <c r="W754">
        <v>19</v>
      </c>
      <c r="X754">
        <v>19</v>
      </c>
      <c r="AE754">
        <v>1</v>
      </c>
      <c r="AI754" t="s">
        <v>108</v>
      </c>
      <c r="AJ754" t="s">
        <v>52</v>
      </c>
      <c r="AK754" t="s">
        <v>52</v>
      </c>
      <c r="AL754" t="str">
        <f>HYPERLINK("https://www.instagram.com/p/BzHWqQkBX78/media/?size=l")</f>
        <v>https://www.instagram.com/p/BzHWqQkBX78/media/?size=l</v>
      </c>
      <c r="AM754" t="s">
        <v>52</v>
      </c>
      <c r="AN754" t="s">
        <v>53</v>
      </c>
    </row>
    <row r="755" spans="1:40">
      <c r="A755" t="s">
        <v>2370</v>
      </c>
      <c r="B755" t="s">
        <v>2966</v>
      </c>
      <c r="C755" t="s">
        <v>2967</v>
      </c>
      <c r="D755" t="s">
        <v>52</v>
      </c>
      <c r="E755" t="s">
        <v>2968</v>
      </c>
      <c r="F755" t="s">
        <v>131</v>
      </c>
      <c r="G755" t="str">
        <f>HYPERLINK("https://twitter.com/991398749598560257/status/1143335371301937154")</f>
        <v>https://twitter.com/991398749598560257/status/1143335371301937154</v>
      </c>
      <c r="H755" t="s">
        <v>46</v>
      </c>
      <c r="I755" t="s">
        <v>2969</v>
      </c>
      <c r="J755" t="str">
        <f>HYPERLINK("http://twitter.com/Delfinagaido1")</f>
        <v>http://twitter.com/Delfinagaido1</v>
      </c>
      <c r="K755">
        <v>117</v>
      </c>
      <c r="N755" t="s">
        <v>65</v>
      </c>
      <c r="R755" t="s">
        <v>60</v>
      </c>
      <c r="W755">
        <v>0</v>
      </c>
      <c r="X755">
        <v>0</v>
      </c>
      <c r="AE755">
        <v>0</v>
      </c>
      <c r="AM755" t="s">
        <v>52</v>
      </c>
      <c r="AN755" t="s">
        <v>53</v>
      </c>
    </row>
    <row r="756" spans="1:40">
      <c r="A756" t="s">
        <v>2370</v>
      </c>
      <c r="B756" t="s">
        <v>2966</v>
      </c>
      <c r="C756" t="s">
        <v>2970</v>
      </c>
      <c r="D756" t="s">
        <v>52</v>
      </c>
      <c r="E756" t="s">
        <v>2971</v>
      </c>
      <c r="F756" t="s">
        <v>95</v>
      </c>
      <c r="G756" t="str">
        <f>HYPERLINK("https://twitter.com/58028184/status/1143335367225069568")</f>
        <v>https://twitter.com/58028184/status/1143335367225069568</v>
      </c>
      <c r="H756" t="s">
        <v>46</v>
      </c>
      <c r="I756" t="s">
        <v>2972</v>
      </c>
      <c r="J756" t="str">
        <f>HYPERLINK("http://twitter.com/buyCoyaplants")</f>
        <v>http://twitter.com/buyCoyaplants</v>
      </c>
      <c r="K756">
        <v>1763</v>
      </c>
      <c r="N756" t="s">
        <v>65</v>
      </c>
      <c r="R756" t="s">
        <v>60</v>
      </c>
      <c r="S756" t="s">
        <v>1521</v>
      </c>
      <c r="T756" t="s">
        <v>2973</v>
      </c>
      <c r="U756" t="s">
        <v>2974</v>
      </c>
      <c r="W756">
        <v>0</v>
      </c>
      <c r="X756">
        <v>0</v>
      </c>
      <c r="AE756">
        <v>0</v>
      </c>
      <c r="AF756">
        <v>0</v>
      </c>
      <c r="AM756" t="s">
        <v>52</v>
      </c>
      <c r="AN756" t="s">
        <v>53</v>
      </c>
    </row>
    <row r="757" spans="1:40">
      <c r="A757" t="s">
        <v>2370</v>
      </c>
      <c r="B757" t="s">
        <v>2966</v>
      </c>
      <c r="C757" t="s">
        <v>2970</v>
      </c>
      <c r="D757" t="s">
        <v>52</v>
      </c>
      <c r="E757" t="s">
        <v>599</v>
      </c>
      <c r="F757" t="s">
        <v>131</v>
      </c>
      <c r="G757" t="str">
        <f>HYPERLINK("https://twitter.com/3063833365/status/1143335345175650304")</f>
        <v>https://twitter.com/3063833365/status/1143335345175650304</v>
      </c>
      <c r="H757" t="s">
        <v>46</v>
      </c>
      <c r="I757" t="s">
        <v>2975</v>
      </c>
      <c r="J757" t="str">
        <f>HYPERLINK("http://twitter.com/cecil_lxpez")</f>
        <v>http://twitter.com/cecil_lxpez</v>
      </c>
      <c r="K757">
        <v>725</v>
      </c>
      <c r="N757" t="s">
        <v>65</v>
      </c>
      <c r="R757" t="s">
        <v>60</v>
      </c>
      <c r="S757" t="s">
        <v>51</v>
      </c>
      <c r="T757" t="s">
        <v>152</v>
      </c>
      <c r="U757" t="s">
        <v>2976</v>
      </c>
      <c r="W757">
        <v>0</v>
      </c>
      <c r="X757">
        <v>0</v>
      </c>
      <c r="AE757">
        <v>0</v>
      </c>
      <c r="AI757" t="s">
        <v>108</v>
      </c>
      <c r="AJ757" t="s">
        <v>52</v>
      </c>
      <c r="AK757" t="s">
        <v>601</v>
      </c>
      <c r="AL757" t="str">
        <f>HYPERLINK("https://pbs.twimg.com/ext_tw_video_thumb/1143202185154584581/pu/img/K72qfBH8zIdbiUf-.jpg")</f>
        <v>https://pbs.twimg.com/ext_tw_video_thumb/1143202185154584581/pu/img/K72qfBH8zIdbiUf-.jpg</v>
      </c>
      <c r="AM757" t="s">
        <v>52</v>
      </c>
      <c r="AN757" t="s">
        <v>53</v>
      </c>
    </row>
    <row r="758" spans="1:40">
      <c r="A758" t="s">
        <v>2370</v>
      </c>
      <c r="B758" t="s">
        <v>2977</v>
      </c>
      <c r="C758" t="s">
        <v>2978</v>
      </c>
      <c r="D758" t="s">
        <v>52</v>
      </c>
      <c r="E758" t="s">
        <v>2979</v>
      </c>
      <c r="F758" t="s">
        <v>45</v>
      </c>
      <c r="G758" t="str">
        <f>HYPERLINK("https://twitter.com/1041960149043142657/status/1143335169593446400")</f>
        <v>https://twitter.com/1041960149043142657/status/1143335169593446400</v>
      </c>
      <c r="H758" t="s">
        <v>46</v>
      </c>
      <c r="I758" t="s">
        <v>2980</v>
      </c>
      <c r="J758" t="str">
        <f>HYPERLINK("http://twitter.com/ultdreamies")</f>
        <v>http://twitter.com/ultdreamies</v>
      </c>
      <c r="K758">
        <v>377</v>
      </c>
      <c r="N758" t="s">
        <v>65</v>
      </c>
      <c r="R758" t="s">
        <v>60</v>
      </c>
      <c r="S758" t="s">
        <v>387</v>
      </c>
      <c r="T758" t="s">
        <v>2981</v>
      </c>
      <c r="U758" t="s">
        <v>2982</v>
      </c>
      <c r="W758">
        <v>1</v>
      </c>
      <c r="X758">
        <v>1</v>
      </c>
      <c r="AE758">
        <v>0</v>
      </c>
      <c r="AF758">
        <v>0</v>
      </c>
      <c r="AM758" t="s">
        <v>52</v>
      </c>
      <c r="AN758" t="s">
        <v>53</v>
      </c>
    </row>
    <row r="759" spans="1:40">
      <c r="A759" t="s">
        <v>2370</v>
      </c>
      <c r="B759" t="s">
        <v>2977</v>
      </c>
      <c r="C759" t="s">
        <v>2978</v>
      </c>
      <c r="D759" t="s">
        <v>52</v>
      </c>
      <c r="E759" t="s">
        <v>2983</v>
      </c>
      <c r="F759" t="s">
        <v>45</v>
      </c>
      <c r="G759" t="str">
        <f>HYPERLINK("https://www.instagram.com/p/BzHWf7BDrlW")</f>
        <v>https://www.instagram.com/p/BzHWf7BDrlW</v>
      </c>
      <c r="H759" t="s">
        <v>46</v>
      </c>
      <c r="I759" t="s">
        <v>2984</v>
      </c>
      <c r="J759" t="str">
        <f>HYPERLINK("http://instagram.com/b25clan")</f>
        <v>http://instagram.com/b25clan</v>
      </c>
      <c r="K759">
        <v>6515</v>
      </c>
      <c r="N759" t="s">
        <v>59</v>
      </c>
      <c r="O759" t="s">
        <v>2984</v>
      </c>
      <c r="P759" t="str">
        <f>HYPERLINK("http://instagram.com/b25clan")</f>
        <v>http://instagram.com/b25clan</v>
      </c>
      <c r="Q759">
        <v>6515</v>
      </c>
      <c r="R759" t="s">
        <v>60</v>
      </c>
      <c r="W759">
        <v>22</v>
      </c>
      <c r="X759">
        <v>22</v>
      </c>
      <c r="AE759">
        <v>1</v>
      </c>
      <c r="AI759" t="s">
        <v>52</v>
      </c>
      <c r="AJ759" t="s">
        <v>2985</v>
      </c>
      <c r="AK759" t="s">
        <v>2986</v>
      </c>
      <c r="AL759" t="str">
        <f>HYPERLINK("https://www.instagram.com/p/BzHWf7BDrlW/media/?size=l")</f>
        <v>https://www.instagram.com/p/BzHWf7BDrlW/media/?size=l</v>
      </c>
      <c r="AM759" t="s">
        <v>52</v>
      </c>
      <c r="AN759" t="s">
        <v>53</v>
      </c>
    </row>
    <row r="760" spans="1:40">
      <c r="A760" t="s">
        <v>2370</v>
      </c>
      <c r="B760" t="s">
        <v>2987</v>
      </c>
      <c r="C760" t="s">
        <v>1972</v>
      </c>
      <c r="D760" t="s">
        <v>2988</v>
      </c>
      <c r="E760" t="s">
        <v>2989</v>
      </c>
      <c r="F760" t="s">
        <v>45</v>
      </c>
      <c r="G760" t="str">
        <f>HYPERLINK("https://flamsterette.wordpress.com/2019/06/24/general-booty-alec-rash-walker-weickel-collin-wiles-sports-man")</f>
        <v>https://flamsterette.wordpress.com/2019/06/24/general-booty-alec-rash-walker-weickel-collin-wiles-sports-man</v>
      </c>
      <c r="H760" t="s">
        <v>46</v>
      </c>
      <c r="I760" t="s">
        <v>2990</v>
      </c>
      <c r="J760" t="str">
        <f>HYPERLINK("https://flamsterette.wordpress.com/2019/06/24/general-booty-alec-rash-walker-weickel-collin-wiles-sports-man/")</f>
        <v>https://flamsterette.wordpress.com/2019/06/24/general-booty-alec-rash-walker-weickel-collin-wiles-sports-man/</v>
      </c>
      <c r="N760" t="s">
        <v>2991</v>
      </c>
      <c r="R760" t="s">
        <v>50</v>
      </c>
      <c r="S760" t="s">
        <v>51</v>
      </c>
      <c r="AM760" t="s">
        <v>52</v>
      </c>
      <c r="AN760" t="s">
        <v>53</v>
      </c>
    </row>
    <row r="761" spans="1:40">
      <c r="A761" t="s">
        <v>2370</v>
      </c>
      <c r="B761" t="s">
        <v>2992</v>
      </c>
      <c r="C761" t="s">
        <v>2993</v>
      </c>
      <c r="D761" t="s">
        <v>2994</v>
      </c>
      <c r="E761" t="s">
        <v>2995</v>
      </c>
      <c r="F761" t="s">
        <v>45</v>
      </c>
      <c r="G761" t="str">
        <f>HYPERLINK("https://techknowbits.com/2019/06/24/mckinley-capital-management-llc-delaware-grows-stake-in-pepsico-inc-pep.html")</f>
        <v>https://techknowbits.com/2019/06/24/mckinley-capital-management-llc-delaware-grows-stake-in-pepsico-inc-pep.html</v>
      </c>
      <c r="H761" t="s">
        <v>91</v>
      </c>
      <c r="I761" t="s">
        <v>2996</v>
      </c>
      <c r="J761" t="str">
        <f>HYPERLINK("https://techknowbits.com/2019/06/24/mckinley-capital-management-llc-delaware-grows-stake-in-pepsico-inc-pep.html")</f>
        <v>https://techknowbits.com/2019/06/24/mckinley-capital-management-llc-delaware-grows-stake-in-pepsico-inc-pep.html</v>
      </c>
      <c r="L761" t="s">
        <v>48</v>
      </c>
      <c r="N761" t="s">
        <v>49</v>
      </c>
      <c r="R761" t="s">
        <v>50</v>
      </c>
      <c r="S761" t="s">
        <v>51</v>
      </c>
      <c r="AM761" t="s">
        <v>52</v>
      </c>
      <c r="AN761" t="s">
        <v>53</v>
      </c>
    </row>
    <row r="762" spans="1:40">
      <c r="A762" t="s">
        <v>2370</v>
      </c>
      <c r="B762" t="s">
        <v>2997</v>
      </c>
      <c r="C762" t="s">
        <v>2998</v>
      </c>
      <c r="D762" t="s">
        <v>52</v>
      </c>
      <c r="E762" t="s">
        <v>2999</v>
      </c>
      <c r="F762" t="s">
        <v>45</v>
      </c>
      <c r="G762" t="str">
        <f>HYPERLINK("https://www.facebook.com/951290481552448/posts/2735720913109387")</f>
        <v>https://www.facebook.com/951290481552448/posts/2735720913109387</v>
      </c>
      <c r="H762" t="s">
        <v>46</v>
      </c>
      <c r="I762" t="s">
        <v>3000</v>
      </c>
      <c r="J762" t="str">
        <f>HYPERLINK("https://www.facebook.com/951290481552448")</f>
        <v>https://www.facebook.com/951290481552448</v>
      </c>
      <c r="K762">
        <v>15216</v>
      </c>
      <c r="L762" t="s">
        <v>651</v>
      </c>
      <c r="N762" t="s">
        <v>1792</v>
      </c>
      <c r="O762" t="s">
        <v>3000</v>
      </c>
      <c r="P762" t="str">
        <f>HYPERLINK("https://www.facebook.com/951290481552448")</f>
        <v>https://www.facebook.com/951290481552448</v>
      </c>
      <c r="Q762">
        <v>15216</v>
      </c>
      <c r="R762" t="s">
        <v>60</v>
      </c>
      <c r="W762">
        <v>0</v>
      </c>
      <c r="X762">
        <v>0</v>
      </c>
      <c r="Y762">
        <v>0</v>
      </c>
      <c r="Z762">
        <v>0</v>
      </c>
      <c r="AA762">
        <v>0</v>
      </c>
      <c r="AB762">
        <v>0</v>
      </c>
      <c r="AC762">
        <v>0</v>
      </c>
      <c r="AE762">
        <v>0</v>
      </c>
      <c r="AF762">
        <v>0</v>
      </c>
      <c r="AI762" t="s">
        <v>108</v>
      </c>
      <c r="AJ762" t="s">
        <v>52</v>
      </c>
      <c r="AK762" t="s">
        <v>601</v>
      </c>
      <c r="AL762" t="str">
        <f>HYPERLINK("https://scontent.xx.fbcdn.net/v/t15.5256-10/65563936_426053468250265_6278125697118502912_n.jpg?_nc_cat=105&amp;_nc_oc=AQm_4kIrW4-lxo_EPXdKclPHAVysFTcZmivtWCgVj729G3Fi6CSS_eoAtKCG6DwiZ0Y&amp;_nc_ht=scontent.xx&amp;oh=720428ded491d95292eaee5e124b0866&amp;oe=5D7FCF01")</f>
        <v>https://scontent.xx.fbcdn.net/v/t15.5256-10/65563936_426053468250265_6278125697118502912_n.jpg?_nc_cat=105&amp;_nc_oc=AQm_4kIrW4-lxo_EPXdKclPHAVysFTcZmivtWCgVj729G3Fi6CSS_eoAtKCG6DwiZ0Y&amp;_nc_ht=scontent.xx&amp;oh=720428ded491d95292eaee5e124b0866&amp;oe=5D7FCF01</v>
      </c>
      <c r="AM762" t="s">
        <v>52</v>
      </c>
      <c r="AN762" t="s">
        <v>53</v>
      </c>
    </row>
    <row r="763" spans="1:40">
      <c r="A763" t="s">
        <v>2370</v>
      </c>
      <c r="B763" t="s">
        <v>3001</v>
      </c>
      <c r="C763" t="s">
        <v>3002</v>
      </c>
      <c r="D763" t="s">
        <v>52</v>
      </c>
      <c r="E763" t="s">
        <v>3003</v>
      </c>
      <c r="F763" t="s">
        <v>131</v>
      </c>
      <c r="G763" t="str">
        <f>HYPERLINK("https://twitter.com/1121404306308124672/status/1143333808386826240")</f>
        <v>https://twitter.com/1121404306308124672/status/1143333808386826240</v>
      </c>
      <c r="H763" t="s">
        <v>46</v>
      </c>
      <c r="I763" t="s">
        <v>3004</v>
      </c>
      <c r="J763" t="str">
        <f>HYPERLINK("http://twitter.com/gormygoesketo")</f>
        <v>http://twitter.com/gormygoesketo</v>
      </c>
      <c r="K763">
        <v>843</v>
      </c>
      <c r="N763" t="s">
        <v>65</v>
      </c>
      <c r="R763" t="s">
        <v>60</v>
      </c>
      <c r="S763" t="s">
        <v>51</v>
      </c>
      <c r="T763" t="s">
        <v>169</v>
      </c>
      <c r="W763">
        <v>0</v>
      </c>
      <c r="X763">
        <v>0</v>
      </c>
      <c r="AE763">
        <v>0</v>
      </c>
      <c r="AI763" t="s">
        <v>52</v>
      </c>
      <c r="AJ763" t="s">
        <v>52</v>
      </c>
      <c r="AK763" t="s">
        <v>341</v>
      </c>
      <c r="AL763" t="str">
        <f>HYPERLINK("https://pbs.twimg.com/media/D923ClTW4AIxIEQ.jpg")</f>
        <v>https://pbs.twimg.com/media/D923ClTW4AIxIEQ.jpg</v>
      </c>
      <c r="AM763" t="s">
        <v>52</v>
      </c>
      <c r="AN763" t="s">
        <v>53</v>
      </c>
    </row>
    <row r="764" spans="1:40">
      <c r="A764" t="s">
        <v>2370</v>
      </c>
      <c r="B764" t="s">
        <v>3001</v>
      </c>
      <c r="C764" t="s">
        <v>3002</v>
      </c>
      <c r="D764" t="s">
        <v>52</v>
      </c>
      <c r="E764" t="s">
        <v>2758</v>
      </c>
      <c r="F764" t="s">
        <v>131</v>
      </c>
      <c r="G764" t="str">
        <f>HYPERLINK("https://twitter.com/1078891453269520384/status/1143333787712946176")</f>
        <v>https://twitter.com/1078891453269520384/status/1143333787712946176</v>
      </c>
      <c r="H764" t="s">
        <v>46</v>
      </c>
      <c r="I764" t="s">
        <v>3005</v>
      </c>
      <c r="J764" t="str">
        <f>HYPERLINK("http://twitter.com/_Mijo562_")</f>
        <v>http://twitter.com/_Mijo562_</v>
      </c>
      <c r="K764">
        <v>172</v>
      </c>
      <c r="N764" t="s">
        <v>65</v>
      </c>
      <c r="R764" t="s">
        <v>60</v>
      </c>
      <c r="S764" t="s">
        <v>51</v>
      </c>
      <c r="T764" t="s">
        <v>173</v>
      </c>
      <c r="U764" t="s">
        <v>2760</v>
      </c>
      <c r="W764">
        <v>0</v>
      </c>
      <c r="X764">
        <v>0</v>
      </c>
      <c r="AE764">
        <v>0</v>
      </c>
      <c r="AM764" t="s">
        <v>52</v>
      </c>
      <c r="AN764" t="s">
        <v>53</v>
      </c>
    </row>
    <row r="765" spans="1:40">
      <c r="A765" t="s">
        <v>2370</v>
      </c>
      <c r="B765" t="s">
        <v>3001</v>
      </c>
      <c r="C765" t="s">
        <v>3006</v>
      </c>
      <c r="D765" t="s">
        <v>52</v>
      </c>
      <c r="E765" t="s">
        <v>3007</v>
      </c>
      <c r="F765" t="s">
        <v>45</v>
      </c>
      <c r="G765" t="str">
        <f>HYPERLINK("https://twitter.com/794795657668096000/status/1143333783367630848")</f>
        <v>https://twitter.com/794795657668096000/status/1143333783367630848</v>
      </c>
      <c r="H765" t="s">
        <v>91</v>
      </c>
      <c r="I765" t="s">
        <v>52</v>
      </c>
      <c r="J765" t="str">
        <f>HYPERLINK("http://twitter.com/duskflcwers")</f>
        <v>http://twitter.com/duskflcwers</v>
      </c>
      <c r="K765">
        <v>1185</v>
      </c>
      <c r="N765" t="s">
        <v>65</v>
      </c>
      <c r="R765" t="s">
        <v>60</v>
      </c>
      <c r="S765" t="s">
        <v>210</v>
      </c>
      <c r="T765" t="s">
        <v>3008</v>
      </c>
      <c r="U765" t="s">
        <v>3009</v>
      </c>
      <c r="W765">
        <v>0</v>
      </c>
      <c r="X765">
        <v>0</v>
      </c>
      <c r="AE765">
        <v>2</v>
      </c>
      <c r="AF765">
        <v>0</v>
      </c>
      <c r="AM765" t="s">
        <v>52</v>
      </c>
      <c r="AN765" t="s">
        <v>53</v>
      </c>
    </row>
    <row r="766" spans="1:40">
      <c r="A766" t="s">
        <v>2370</v>
      </c>
      <c r="B766" t="s">
        <v>3001</v>
      </c>
      <c r="C766" t="s">
        <v>3006</v>
      </c>
      <c r="D766" t="s">
        <v>52</v>
      </c>
      <c r="E766" t="s">
        <v>3010</v>
      </c>
      <c r="F766" t="s">
        <v>45</v>
      </c>
      <c r="G766" t="str">
        <f>HYPERLINK("https://twitter.com/884326598618558464/status/1143333775042068481")</f>
        <v>https://twitter.com/884326598618558464/status/1143333775042068481</v>
      </c>
      <c r="H766" t="s">
        <v>46</v>
      </c>
      <c r="I766" t="s">
        <v>3011</v>
      </c>
      <c r="J766" t="str">
        <f>HYPERLINK("http://twitter.com/Enchinadita1")</f>
        <v>http://twitter.com/Enchinadita1</v>
      </c>
      <c r="K766">
        <v>1570</v>
      </c>
      <c r="L766" t="s">
        <v>58</v>
      </c>
      <c r="N766" t="s">
        <v>65</v>
      </c>
      <c r="R766" t="s">
        <v>60</v>
      </c>
      <c r="W766">
        <v>4</v>
      </c>
      <c r="X766">
        <v>4</v>
      </c>
      <c r="AE766">
        <v>0</v>
      </c>
      <c r="AF766">
        <v>1</v>
      </c>
      <c r="AM766" t="s">
        <v>52</v>
      </c>
      <c r="AN766" t="s">
        <v>53</v>
      </c>
    </row>
    <row r="767" spans="1:40">
      <c r="A767" t="s">
        <v>2370</v>
      </c>
      <c r="B767" t="s">
        <v>3012</v>
      </c>
      <c r="C767" t="s">
        <v>3013</v>
      </c>
      <c r="D767" t="s">
        <v>52</v>
      </c>
      <c r="E767" t="s">
        <v>3014</v>
      </c>
      <c r="F767" t="s">
        <v>45</v>
      </c>
      <c r="G767" t="str">
        <f>HYPERLINK("https://www.instagram.com/p/BzHV13UJ9pk")</f>
        <v>https://www.instagram.com/p/BzHV13UJ9pk</v>
      </c>
      <c r="H767" t="s">
        <v>46</v>
      </c>
      <c r="I767" t="s">
        <v>3015</v>
      </c>
      <c r="J767" t="str">
        <f>HYPERLINK("http://instagram.com/karlaconntreras_")</f>
        <v>http://instagram.com/karlaconntreras_</v>
      </c>
      <c r="K767">
        <v>84</v>
      </c>
      <c r="N767" t="s">
        <v>59</v>
      </c>
      <c r="O767" t="s">
        <v>3015</v>
      </c>
      <c r="P767" t="str">
        <f>HYPERLINK("http://instagram.com/karlaconntreras_")</f>
        <v>http://instagram.com/karlaconntreras_</v>
      </c>
      <c r="Q767">
        <v>84</v>
      </c>
      <c r="R767" t="s">
        <v>60</v>
      </c>
      <c r="W767">
        <v>9</v>
      </c>
      <c r="X767">
        <v>9</v>
      </c>
      <c r="AE767">
        <v>3</v>
      </c>
      <c r="AI767" t="s">
        <v>108</v>
      </c>
      <c r="AJ767" t="s">
        <v>321</v>
      </c>
      <c r="AK767" t="s">
        <v>52</v>
      </c>
      <c r="AL767" t="str">
        <f>HYPERLINK("https://www.instagram.com/p/BzHV13UJ9pk/media/?size=l")</f>
        <v>https://www.instagram.com/p/BzHV13UJ9pk/media/?size=l</v>
      </c>
      <c r="AM767" t="s">
        <v>52</v>
      </c>
      <c r="AN767" t="s">
        <v>53</v>
      </c>
    </row>
    <row r="768" spans="1:40">
      <c r="A768" t="s">
        <v>2370</v>
      </c>
      <c r="B768" t="s">
        <v>3012</v>
      </c>
      <c r="C768" t="s">
        <v>3016</v>
      </c>
      <c r="D768" t="s">
        <v>52</v>
      </c>
      <c r="E768" t="s">
        <v>3017</v>
      </c>
      <c r="F768" t="s">
        <v>45</v>
      </c>
      <c r="G768" t="str">
        <f>HYPERLINK("https://twitter.com/3216582355/status/1143333615511756800")</f>
        <v>https://twitter.com/3216582355/status/1143333615511756800</v>
      </c>
      <c r="H768" t="s">
        <v>46</v>
      </c>
      <c r="I768" t="s">
        <v>3018</v>
      </c>
      <c r="J768" t="str">
        <f>HYPERLINK("http://twitter.com/highimalexus")</f>
        <v>http://twitter.com/highimalexus</v>
      </c>
      <c r="K768">
        <v>810</v>
      </c>
      <c r="N768" t="s">
        <v>65</v>
      </c>
      <c r="R768" t="s">
        <v>60</v>
      </c>
      <c r="W768">
        <v>2</v>
      </c>
      <c r="X768">
        <v>2</v>
      </c>
      <c r="AE768">
        <v>1</v>
      </c>
      <c r="AF768">
        <v>0</v>
      </c>
      <c r="AM768" t="s">
        <v>52</v>
      </c>
      <c r="AN768" t="s">
        <v>53</v>
      </c>
    </row>
    <row r="769" spans="1:40">
      <c r="A769" t="s">
        <v>2370</v>
      </c>
      <c r="B769" t="s">
        <v>3019</v>
      </c>
      <c r="C769" t="s">
        <v>2939</v>
      </c>
      <c r="D769" t="s">
        <v>52</v>
      </c>
      <c r="E769" t="s">
        <v>3020</v>
      </c>
      <c r="F769" t="s">
        <v>45</v>
      </c>
      <c r="G769" t="str">
        <f>HYPERLINK("https://www.instagram.com/p/BzHVsYLBAFt")</f>
        <v>https://www.instagram.com/p/BzHVsYLBAFt</v>
      </c>
      <c r="H769" t="s">
        <v>46</v>
      </c>
      <c r="I769" t="s">
        <v>3021</v>
      </c>
      <c r="J769" t="str">
        <f>HYPERLINK("http://instagram.com/mandymitchell84")</f>
        <v>http://instagram.com/mandymitchell84</v>
      </c>
      <c r="K769">
        <v>188</v>
      </c>
      <c r="N769" t="s">
        <v>59</v>
      </c>
      <c r="O769" t="s">
        <v>3021</v>
      </c>
      <c r="P769" t="str">
        <f>HYPERLINK("http://instagram.com/mandymitchell84")</f>
        <v>http://instagram.com/mandymitchell84</v>
      </c>
      <c r="Q769">
        <v>188</v>
      </c>
      <c r="R769" t="s">
        <v>60</v>
      </c>
      <c r="W769">
        <v>19</v>
      </c>
      <c r="X769">
        <v>19</v>
      </c>
      <c r="AE769">
        <v>1</v>
      </c>
      <c r="AI769" t="s">
        <v>52</v>
      </c>
      <c r="AJ769" t="s">
        <v>52</v>
      </c>
      <c r="AK769" t="s">
        <v>52</v>
      </c>
      <c r="AL769" t="str">
        <f>HYPERLINK("https://www.instagram.com/p/BzHVsYLBAFt/media/?size=l")</f>
        <v>https://www.instagram.com/p/BzHVsYLBAFt/media/?size=l</v>
      </c>
      <c r="AM769" t="s">
        <v>52</v>
      </c>
      <c r="AN769" t="s">
        <v>53</v>
      </c>
    </row>
    <row r="770" spans="1:40">
      <c r="A770" t="s">
        <v>2370</v>
      </c>
      <c r="B770" t="s">
        <v>3022</v>
      </c>
      <c r="C770" t="s">
        <v>3013</v>
      </c>
      <c r="D770" t="s">
        <v>52</v>
      </c>
      <c r="E770" t="s">
        <v>3023</v>
      </c>
      <c r="F770" t="s">
        <v>71</v>
      </c>
      <c r="G770" t="str">
        <f>HYPERLINK("https://twitter.com/858670302/status/1143333187252379648")</f>
        <v>https://twitter.com/858670302/status/1143333187252379648</v>
      </c>
      <c r="H770" t="s">
        <v>46</v>
      </c>
      <c r="I770" t="s">
        <v>3024</v>
      </c>
      <c r="J770" t="str">
        <f>HYPERLINK("http://twitter.com/GraceSgr")</f>
        <v>http://twitter.com/GraceSgr</v>
      </c>
      <c r="K770">
        <v>340</v>
      </c>
      <c r="L770" t="s">
        <v>58</v>
      </c>
      <c r="N770" t="s">
        <v>65</v>
      </c>
      <c r="R770" t="s">
        <v>60</v>
      </c>
      <c r="S770" t="s">
        <v>51</v>
      </c>
      <c r="T770" t="s">
        <v>497</v>
      </c>
      <c r="U770" t="s">
        <v>3025</v>
      </c>
      <c r="W770">
        <v>0</v>
      </c>
      <c r="X770">
        <v>0</v>
      </c>
      <c r="AE770">
        <v>0</v>
      </c>
      <c r="AF770">
        <v>0</v>
      </c>
      <c r="AI770" t="s">
        <v>52</v>
      </c>
      <c r="AJ770" t="s">
        <v>659</v>
      </c>
      <c r="AK770" t="s">
        <v>52</v>
      </c>
      <c r="AL770" t="str">
        <f>HYPERLINK("https://pbs.twimg.com/media/D93Q_wDX4AA3Ezm.jpg")</f>
        <v>https://pbs.twimg.com/media/D93Q_wDX4AA3Ezm.jpg</v>
      </c>
      <c r="AM770" t="s">
        <v>52</v>
      </c>
      <c r="AN770" t="s">
        <v>53</v>
      </c>
    </row>
    <row r="771" spans="1:40">
      <c r="A771" t="s">
        <v>2370</v>
      </c>
      <c r="B771" t="s">
        <v>3026</v>
      </c>
      <c r="C771" t="s">
        <v>2864</v>
      </c>
      <c r="D771" t="s">
        <v>52</v>
      </c>
      <c r="E771" t="s">
        <v>3027</v>
      </c>
      <c r="F771" t="s">
        <v>45</v>
      </c>
      <c r="G771" t="str">
        <f>HYPERLINK("https://www.instagram.com/p/BzHVTGoFUOi")</f>
        <v>https://www.instagram.com/p/BzHVTGoFUOi</v>
      </c>
      <c r="H771" t="s">
        <v>46</v>
      </c>
      <c r="I771" t="s">
        <v>3028</v>
      </c>
      <c r="J771" t="str">
        <f>HYPERLINK("http://instagram.com/garfieldfrommemory")</f>
        <v>http://instagram.com/garfieldfrommemory</v>
      </c>
      <c r="K771">
        <v>460</v>
      </c>
      <c r="N771" t="s">
        <v>59</v>
      </c>
      <c r="O771" t="s">
        <v>3028</v>
      </c>
      <c r="P771" t="str">
        <f>HYPERLINK("http://instagram.com/garfieldfrommemory")</f>
        <v>http://instagram.com/garfieldfrommemory</v>
      </c>
      <c r="Q771">
        <v>460</v>
      </c>
      <c r="R771" t="s">
        <v>60</v>
      </c>
      <c r="W771">
        <v>108</v>
      </c>
      <c r="X771">
        <v>108</v>
      </c>
      <c r="AE771">
        <v>1</v>
      </c>
      <c r="AI771" t="s">
        <v>52</v>
      </c>
      <c r="AJ771" t="s">
        <v>52</v>
      </c>
      <c r="AK771" t="s">
        <v>110</v>
      </c>
      <c r="AL771" t="str">
        <f>HYPERLINK("https://www.instagram.com/p/BzHVTGoFUOi/media/?size=l")</f>
        <v>https://www.instagram.com/p/BzHVTGoFUOi/media/?size=l</v>
      </c>
      <c r="AM771" t="s">
        <v>52</v>
      </c>
      <c r="AN771" t="s">
        <v>53</v>
      </c>
    </row>
    <row r="772" spans="1:40">
      <c r="A772" t="s">
        <v>2370</v>
      </c>
      <c r="B772" t="s">
        <v>3029</v>
      </c>
      <c r="C772" t="s">
        <v>3030</v>
      </c>
      <c r="D772" t="s">
        <v>52</v>
      </c>
      <c r="E772" t="s">
        <v>3031</v>
      </c>
      <c r="F772" t="s">
        <v>131</v>
      </c>
      <c r="G772" t="str">
        <f>HYPERLINK("https://twitter.com/1093688784686854145/status/1143331862359810048")</f>
        <v>https://twitter.com/1093688784686854145/status/1143331862359810048</v>
      </c>
      <c r="H772" t="s">
        <v>46</v>
      </c>
      <c r="I772" t="s">
        <v>277</v>
      </c>
      <c r="J772" t="str">
        <f>HYPERLINK("http://twitter.com/qt_razer")</f>
        <v>http://twitter.com/qt_razer</v>
      </c>
      <c r="K772">
        <v>824</v>
      </c>
      <c r="N772" t="s">
        <v>65</v>
      </c>
      <c r="R772" t="s">
        <v>60</v>
      </c>
      <c r="W772">
        <v>0</v>
      </c>
      <c r="X772">
        <v>0</v>
      </c>
      <c r="AE772">
        <v>0</v>
      </c>
      <c r="AI772" t="s">
        <v>108</v>
      </c>
      <c r="AJ772" t="s">
        <v>52</v>
      </c>
      <c r="AK772" t="s">
        <v>52</v>
      </c>
      <c r="AL772" t="str">
        <f>HYPERLINK("https://pbs.twimg.com/tweet_video_thumb/D9cjm2HUYAAJ9R9.jpg")</f>
        <v>https://pbs.twimg.com/tweet_video_thumb/D9cjm2HUYAAJ9R9.jpg</v>
      </c>
      <c r="AM772" t="s">
        <v>52</v>
      </c>
      <c r="AN772" t="s">
        <v>53</v>
      </c>
    </row>
    <row r="773" spans="1:40">
      <c r="A773" t="s">
        <v>2370</v>
      </c>
      <c r="B773" t="s">
        <v>3032</v>
      </c>
      <c r="C773" t="s">
        <v>3033</v>
      </c>
      <c r="D773" t="s">
        <v>52</v>
      </c>
      <c r="E773" t="s">
        <v>3034</v>
      </c>
      <c r="F773" t="s">
        <v>95</v>
      </c>
      <c r="G773" t="str">
        <f>HYPERLINK("https://twitter.com/94020418/status/1143331604489748481")</f>
        <v>https://twitter.com/94020418/status/1143331604489748481</v>
      </c>
      <c r="H773" t="s">
        <v>91</v>
      </c>
      <c r="I773" t="s">
        <v>3035</v>
      </c>
      <c r="J773" t="str">
        <f>HYPERLINK("http://twitter.com/Kimberly_BVal")</f>
        <v>http://twitter.com/Kimberly_BVal</v>
      </c>
      <c r="K773">
        <v>692</v>
      </c>
      <c r="L773" t="s">
        <v>58</v>
      </c>
      <c r="N773" t="s">
        <v>65</v>
      </c>
      <c r="R773" t="s">
        <v>60</v>
      </c>
      <c r="S773" t="s">
        <v>3036</v>
      </c>
      <c r="T773" t="s">
        <v>3037</v>
      </c>
      <c r="U773" t="s">
        <v>3038</v>
      </c>
      <c r="W773">
        <v>1</v>
      </c>
      <c r="X773">
        <v>1</v>
      </c>
      <c r="AE773">
        <v>0</v>
      </c>
      <c r="AF773">
        <v>0</v>
      </c>
      <c r="AM773" t="s">
        <v>52</v>
      </c>
      <c r="AN773" t="s">
        <v>53</v>
      </c>
    </row>
    <row r="774" spans="1:40">
      <c r="A774" t="s">
        <v>2370</v>
      </c>
      <c r="B774" t="s">
        <v>3032</v>
      </c>
      <c r="C774" t="s">
        <v>3039</v>
      </c>
      <c r="D774" t="s">
        <v>52</v>
      </c>
      <c r="E774" t="s">
        <v>3040</v>
      </c>
      <c r="F774" t="s">
        <v>95</v>
      </c>
      <c r="G774" t="str">
        <f>HYPERLINK("https://twitter.com/1010203568/status/1143331480795410434")</f>
        <v>https://twitter.com/1010203568/status/1143331480795410434</v>
      </c>
      <c r="H774" t="s">
        <v>46</v>
      </c>
      <c r="I774" t="s">
        <v>3041</v>
      </c>
      <c r="J774" t="str">
        <f>HYPERLINK("http://twitter.com/AntonHand")</f>
        <v>http://twitter.com/AntonHand</v>
      </c>
      <c r="K774">
        <v>3566</v>
      </c>
      <c r="N774" t="s">
        <v>65</v>
      </c>
      <c r="R774" t="s">
        <v>60</v>
      </c>
      <c r="S774" t="s">
        <v>51</v>
      </c>
      <c r="T774" t="s">
        <v>173</v>
      </c>
      <c r="U774" t="s">
        <v>3042</v>
      </c>
      <c r="W774">
        <v>13</v>
      </c>
      <c r="X774">
        <v>13</v>
      </c>
      <c r="AE774">
        <v>0</v>
      </c>
      <c r="AF774">
        <v>0</v>
      </c>
      <c r="AM774" t="s">
        <v>52</v>
      </c>
      <c r="AN774" t="s">
        <v>53</v>
      </c>
    </row>
    <row r="775" spans="1:40">
      <c r="A775" t="s">
        <v>2370</v>
      </c>
      <c r="B775" t="s">
        <v>3043</v>
      </c>
      <c r="C775" t="s">
        <v>613</v>
      </c>
      <c r="D775" t="s">
        <v>52</v>
      </c>
      <c r="E775" t="s">
        <v>3044</v>
      </c>
      <c r="F775" t="s">
        <v>45</v>
      </c>
      <c r="G775" t="str">
        <f>HYPERLINK("https://www.facebook.com/119913991613/posts/10157635854361614")</f>
        <v>https://www.facebook.com/119913991613/posts/10157635854361614</v>
      </c>
      <c r="H775" t="s">
        <v>46</v>
      </c>
      <c r="I775" t="s">
        <v>3045</v>
      </c>
      <c r="J775" t="str">
        <f>HYPERLINK("https://www.facebook.com/119913991613")</f>
        <v>https://www.facebook.com/119913991613</v>
      </c>
      <c r="K775">
        <v>137458</v>
      </c>
      <c r="L775" t="s">
        <v>651</v>
      </c>
      <c r="N775" t="s">
        <v>1792</v>
      </c>
      <c r="O775" t="s">
        <v>3045</v>
      </c>
      <c r="P775" t="str">
        <f>HYPERLINK("https://www.facebook.com/119913991613")</f>
        <v>https://www.facebook.com/119913991613</v>
      </c>
      <c r="Q775">
        <v>137458</v>
      </c>
      <c r="R775" t="s">
        <v>60</v>
      </c>
      <c r="S775" t="s">
        <v>51</v>
      </c>
      <c r="W775">
        <v>905</v>
      </c>
      <c r="X775">
        <v>905</v>
      </c>
      <c r="AE775">
        <v>126</v>
      </c>
      <c r="AF775">
        <v>17</v>
      </c>
      <c r="AI775" t="s">
        <v>52</v>
      </c>
      <c r="AJ775" t="s">
        <v>985</v>
      </c>
      <c r="AK775" t="s">
        <v>52</v>
      </c>
      <c r="AL775" t="s">
        <v>3046</v>
      </c>
      <c r="AM775" t="s">
        <v>52</v>
      </c>
      <c r="AN775" t="s">
        <v>53</v>
      </c>
    </row>
    <row r="776" spans="1:40">
      <c r="A776" t="s">
        <v>2370</v>
      </c>
      <c r="B776" t="s">
        <v>3047</v>
      </c>
      <c r="C776" t="s">
        <v>3030</v>
      </c>
      <c r="D776" t="s">
        <v>52</v>
      </c>
      <c r="E776" t="s">
        <v>3048</v>
      </c>
      <c r="F776" t="s">
        <v>45</v>
      </c>
      <c r="G776" t="str">
        <f>HYPERLINK("https://www.instagram.com/p/BzHUbkDhiDR")</f>
        <v>https://www.instagram.com/p/BzHUbkDhiDR</v>
      </c>
      <c r="H776" t="s">
        <v>46</v>
      </c>
      <c r="I776" t="s">
        <v>52</v>
      </c>
      <c r="J776" t="str">
        <f>HYPERLINK("http://instagram.com/memes_are_dank_fire")</f>
        <v>http://instagram.com/memes_are_dank_fire</v>
      </c>
      <c r="K776">
        <v>1244</v>
      </c>
      <c r="N776" t="s">
        <v>59</v>
      </c>
      <c r="O776" t="s">
        <v>52</v>
      </c>
      <c r="P776" t="str">
        <f>HYPERLINK("http://instagram.com/memes_are_dank_fire")</f>
        <v>http://instagram.com/memes_are_dank_fire</v>
      </c>
      <c r="Q776">
        <v>1244</v>
      </c>
      <c r="R776" t="s">
        <v>60</v>
      </c>
      <c r="W776">
        <v>17</v>
      </c>
      <c r="X776">
        <v>17</v>
      </c>
      <c r="AE776">
        <v>1</v>
      </c>
      <c r="AG776">
        <v>26</v>
      </c>
      <c r="AI776" t="s">
        <v>52</v>
      </c>
      <c r="AJ776" t="s">
        <v>52</v>
      </c>
      <c r="AK776" t="s">
        <v>3049</v>
      </c>
      <c r="AL776" t="str">
        <f>HYPERLINK("https://www.instagram.com/p/BzHUbkDhiDR/media/?size=l")</f>
        <v>https://www.instagram.com/p/BzHUbkDhiDR/media/?size=l</v>
      </c>
      <c r="AM776" t="s">
        <v>52</v>
      </c>
      <c r="AN776" t="s">
        <v>53</v>
      </c>
    </row>
    <row r="777" spans="1:40">
      <c r="A777" t="s">
        <v>2370</v>
      </c>
      <c r="B777" t="s">
        <v>3050</v>
      </c>
      <c r="C777" t="s">
        <v>3051</v>
      </c>
      <c r="D777" t="s">
        <v>52</v>
      </c>
      <c r="E777" t="s">
        <v>3052</v>
      </c>
      <c r="F777" t="s">
        <v>45</v>
      </c>
      <c r="G777" t="str">
        <f>HYPERLINK("https://www.instagram.com/p/BzHUh8XHiQ4")</f>
        <v>https://www.instagram.com/p/BzHUh8XHiQ4</v>
      </c>
      <c r="H777" t="s">
        <v>46</v>
      </c>
      <c r="I777" t="s">
        <v>3053</v>
      </c>
      <c r="J777" t="str">
        <f>HYPERLINK("http://instagram.com/los_doritos_de_los_bts")</f>
        <v>http://instagram.com/los_doritos_de_los_bts</v>
      </c>
      <c r="K777">
        <v>1</v>
      </c>
      <c r="N777" t="s">
        <v>59</v>
      </c>
      <c r="O777" t="s">
        <v>3053</v>
      </c>
      <c r="P777" t="str">
        <f>HYPERLINK("http://instagram.com/los_doritos_de_los_bts")</f>
        <v>http://instagram.com/los_doritos_de_los_bts</v>
      </c>
      <c r="Q777">
        <v>1</v>
      </c>
      <c r="R777" t="s">
        <v>60</v>
      </c>
      <c r="W777">
        <v>3</v>
      </c>
      <c r="X777">
        <v>3</v>
      </c>
      <c r="AE777">
        <v>0</v>
      </c>
      <c r="AG777">
        <v>6</v>
      </c>
      <c r="AI777" t="s">
        <v>52</v>
      </c>
      <c r="AJ777" t="s">
        <v>52</v>
      </c>
      <c r="AK777" t="s">
        <v>52</v>
      </c>
      <c r="AL777" t="str">
        <f>HYPERLINK("https://www.instagram.com/p/BzHUh8XHiQ4/media/?size=l")</f>
        <v>https://www.instagram.com/p/BzHUh8XHiQ4/media/?size=l</v>
      </c>
      <c r="AM777" t="s">
        <v>52</v>
      </c>
      <c r="AN777" t="s">
        <v>53</v>
      </c>
    </row>
    <row r="778" spans="1:40">
      <c r="A778" t="s">
        <v>2370</v>
      </c>
      <c r="B778" t="s">
        <v>3054</v>
      </c>
      <c r="C778" t="s">
        <v>3055</v>
      </c>
      <c r="D778" t="s">
        <v>52</v>
      </c>
      <c r="E778" t="s">
        <v>3056</v>
      </c>
      <c r="F778" t="s">
        <v>45</v>
      </c>
      <c r="G778" t="str">
        <f>HYPERLINK("https://www.instagram.com/p/BzHUdVQFBUc")</f>
        <v>https://www.instagram.com/p/BzHUdVQFBUc</v>
      </c>
      <c r="H778" t="s">
        <v>215</v>
      </c>
      <c r="I778" t="s">
        <v>3057</v>
      </c>
      <c r="J778" t="str">
        <f>HYPERLINK("http://instagram.com/murilo.rik8")</f>
        <v>http://instagram.com/murilo.rik8</v>
      </c>
      <c r="K778">
        <v>7320</v>
      </c>
      <c r="L778" t="s">
        <v>48</v>
      </c>
      <c r="N778" t="s">
        <v>59</v>
      </c>
      <c r="O778" t="s">
        <v>3057</v>
      </c>
      <c r="P778" t="str">
        <f>HYPERLINK("http://instagram.com/murilo.rik8")</f>
        <v>http://instagram.com/murilo.rik8</v>
      </c>
      <c r="Q778">
        <v>7320</v>
      </c>
      <c r="R778" t="s">
        <v>60</v>
      </c>
      <c r="W778">
        <v>79</v>
      </c>
      <c r="X778">
        <v>79</v>
      </c>
      <c r="AE778">
        <v>0</v>
      </c>
      <c r="AI778" t="s">
        <v>108</v>
      </c>
      <c r="AJ778" t="s">
        <v>52</v>
      </c>
      <c r="AK778" t="s">
        <v>52</v>
      </c>
      <c r="AL778" t="str">
        <f>HYPERLINK("https://www.instagram.com/p/BzHUdVQFBUc/media/?size=l")</f>
        <v>https://www.instagram.com/p/BzHUdVQFBUc/media/?size=l</v>
      </c>
      <c r="AM778" t="s">
        <v>52</v>
      </c>
      <c r="AN778" t="s">
        <v>53</v>
      </c>
    </row>
    <row r="779" spans="1:40">
      <c r="A779" t="s">
        <v>2370</v>
      </c>
      <c r="B779" t="s">
        <v>3054</v>
      </c>
      <c r="C779" t="s">
        <v>3058</v>
      </c>
      <c r="D779" t="s">
        <v>52</v>
      </c>
      <c r="E779" t="s">
        <v>3059</v>
      </c>
      <c r="F779" t="s">
        <v>45</v>
      </c>
      <c r="G779" t="str">
        <f>HYPERLINK("https://twitter.com/1110314623876501504/status/1143330478692417538")</f>
        <v>https://twitter.com/1110314623876501504/status/1143330478692417538</v>
      </c>
      <c r="H779" t="s">
        <v>46</v>
      </c>
      <c r="I779" t="s">
        <v>3060</v>
      </c>
      <c r="J779" t="str">
        <f>HYPERLINK("http://twitter.com/kaya_live")</f>
        <v>http://twitter.com/kaya_live</v>
      </c>
      <c r="K779">
        <v>84</v>
      </c>
      <c r="N779" t="s">
        <v>65</v>
      </c>
      <c r="R779" t="s">
        <v>60</v>
      </c>
      <c r="S779" t="s">
        <v>51</v>
      </c>
      <c r="T779" t="s">
        <v>2420</v>
      </c>
      <c r="U779" t="s">
        <v>3061</v>
      </c>
      <c r="W779">
        <v>0</v>
      </c>
      <c r="X779">
        <v>0</v>
      </c>
      <c r="AE779">
        <v>0</v>
      </c>
      <c r="AF779">
        <v>0</v>
      </c>
      <c r="AI779" t="s">
        <v>52</v>
      </c>
      <c r="AJ779" t="s">
        <v>52</v>
      </c>
      <c r="AK779" t="s">
        <v>52</v>
      </c>
      <c r="AL779" t="str">
        <f>HYPERLINK("https://pbs.twimg.com/media/D93tAutWsAAIEJ9.jpg")</f>
        <v>https://pbs.twimg.com/media/D93tAutWsAAIEJ9.jpg</v>
      </c>
      <c r="AM779" t="s">
        <v>52</v>
      </c>
      <c r="AN779" t="s">
        <v>53</v>
      </c>
    </row>
    <row r="780" spans="1:40">
      <c r="A780" t="s">
        <v>2370</v>
      </c>
      <c r="B780" t="s">
        <v>3062</v>
      </c>
      <c r="C780" t="s">
        <v>3063</v>
      </c>
      <c r="D780" t="s">
        <v>52</v>
      </c>
      <c r="E780" t="s">
        <v>3064</v>
      </c>
      <c r="F780" t="s">
        <v>95</v>
      </c>
      <c r="G780" t="str">
        <f>HYPERLINK("https://twitter.com/405477222/status/1143329763186135040")</f>
        <v>https://twitter.com/405477222/status/1143329763186135040</v>
      </c>
      <c r="H780" t="s">
        <v>46</v>
      </c>
      <c r="I780" t="s">
        <v>3065</v>
      </c>
      <c r="J780" t="str">
        <f>HYPERLINK("http://twitter.com/miraclepeace_")</f>
        <v>http://twitter.com/miraclepeace_</v>
      </c>
      <c r="K780">
        <v>159</v>
      </c>
      <c r="N780" t="s">
        <v>65</v>
      </c>
      <c r="R780" t="s">
        <v>60</v>
      </c>
      <c r="S780" t="s">
        <v>51</v>
      </c>
      <c r="T780" t="s">
        <v>380</v>
      </c>
      <c r="U780" t="s">
        <v>380</v>
      </c>
      <c r="W780">
        <v>0</v>
      </c>
      <c r="X780">
        <v>0</v>
      </c>
      <c r="AE780">
        <v>0</v>
      </c>
      <c r="AF780">
        <v>0</v>
      </c>
      <c r="AM780" t="s">
        <v>52</v>
      </c>
      <c r="AN780" t="s">
        <v>53</v>
      </c>
    </row>
    <row r="781" spans="1:40">
      <c r="A781" t="s">
        <v>2370</v>
      </c>
      <c r="B781" t="s">
        <v>3066</v>
      </c>
      <c r="C781" t="s">
        <v>3067</v>
      </c>
      <c r="D781" t="s">
        <v>52</v>
      </c>
      <c r="E781" t="s">
        <v>3068</v>
      </c>
      <c r="F781" t="s">
        <v>45</v>
      </c>
      <c r="G781" t="str">
        <f>HYPERLINK("https://www.instagram.com/p/BzHTm3CnIR8")</f>
        <v>https://www.instagram.com/p/BzHTm3CnIR8</v>
      </c>
      <c r="H781" t="s">
        <v>46</v>
      </c>
      <c r="I781" t="s">
        <v>3069</v>
      </c>
      <c r="J781" t="str">
        <f>HYPERLINK("http://instagram.com/gr00vyniche")</f>
        <v>http://instagram.com/gr00vyniche</v>
      </c>
      <c r="K781">
        <v>1</v>
      </c>
      <c r="N781" t="s">
        <v>59</v>
      </c>
      <c r="O781" t="s">
        <v>3069</v>
      </c>
      <c r="P781" t="str">
        <f>HYPERLINK("http://instagram.com/gr00vyniche")</f>
        <v>http://instagram.com/gr00vyniche</v>
      </c>
      <c r="Q781">
        <v>1</v>
      </c>
      <c r="R781" t="s">
        <v>60</v>
      </c>
      <c r="W781">
        <v>10</v>
      </c>
      <c r="X781">
        <v>10</v>
      </c>
      <c r="AE781">
        <v>5</v>
      </c>
      <c r="AI781" t="s">
        <v>108</v>
      </c>
      <c r="AJ781" t="s">
        <v>52</v>
      </c>
      <c r="AK781" t="s">
        <v>52</v>
      </c>
      <c r="AL781" t="str">
        <f>HYPERLINK("https://www.instagram.com/p/BzHTm3CnIR8/media/?size=l")</f>
        <v>https://www.instagram.com/p/BzHTm3CnIR8/media/?size=l</v>
      </c>
      <c r="AM781" t="s">
        <v>52</v>
      </c>
      <c r="AN781" t="s">
        <v>53</v>
      </c>
    </row>
    <row r="782" spans="1:40">
      <c r="A782" t="s">
        <v>2370</v>
      </c>
      <c r="B782" t="s">
        <v>3066</v>
      </c>
      <c r="C782" t="s">
        <v>3070</v>
      </c>
      <c r="D782" t="s">
        <v>52</v>
      </c>
      <c r="E782" t="s">
        <v>3071</v>
      </c>
      <c r="F782" t="s">
        <v>131</v>
      </c>
      <c r="G782" t="str">
        <f>HYPERLINK("https://twitter.com/1146280572/status/1143328773468823554")</f>
        <v>https://twitter.com/1146280572/status/1143328773468823554</v>
      </c>
      <c r="H782" t="s">
        <v>46</v>
      </c>
      <c r="I782" t="s">
        <v>3072</v>
      </c>
      <c r="J782" t="str">
        <f>HYPERLINK("http://twitter.com/PWilliamKitty")</f>
        <v>http://twitter.com/PWilliamKitty</v>
      </c>
      <c r="K782">
        <v>537</v>
      </c>
      <c r="N782" t="s">
        <v>65</v>
      </c>
      <c r="R782" t="s">
        <v>60</v>
      </c>
      <c r="W782">
        <v>0</v>
      </c>
      <c r="X782">
        <v>0</v>
      </c>
      <c r="AE782">
        <v>0</v>
      </c>
      <c r="AM782" t="s">
        <v>52</v>
      </c>
      <c r="AN782" t="s">
        <v>53</v>
      </c>
    </row>
    <row r="783" spans="1:40">
      <c r="A783" t="s">
        <v>2370</v>
      </c>
      <c r="B783" t="s">
        <v>3073</v>
      </c>
      <c r="C783" t="s">
        <v>3074</v>
      </c>
      <c r="D783" t="s">
        <v>52</v>
      </c>
      <c r="E783" t="s">
        <v>3075</v>
      </c>
      <c r="F783" t="s">
        <v>95</v>
      </c>
      <c r="G783" t="str">
        <f>HYPERLINK("https://twitter.com/2750806684/status/1143328670833975296")</f>
        <v>https://twitter.com/2750806684/status/1143328670833975296</v>
      </c>
      <c r="H783" t="s">
        <v>46</v>
      </c>
      <c r="I783" t="s">
        <v>3076</v>
      </c>
      <c r="J783" t="str">
        <f>HYPERLINK("http://twitter.com/JEON_BTS_JK97")</f>
        <v>http://twitter.com/JEON_BTS_JK97</v>
      </c>
      <c r="K783">
        <v>491</v>
      </c>
      <c r="N783" t="s">
        <v>65</v>
      </c>
      <c r="R783" t="s">
        <v>60</v>
      </c>
      <c r="W783">
        <v>0</v>
      </c>
      <c r="X783">
        <v>0</v>
      </c>
      <c r="AE783">
        <v>1</v>
      </c>
      <c r="AF783">
        <v>0</v>
      </c>
      <c r="AM783" t="s">
        <v>52</v>
      </c>
      <c r="AN783" t="s">
        <v>53</v>
      </c>
    </row>
    <row r="784" spans="1:40">
      <c r="A784" t="s">
        <v>2370</v>
      </c>
      <c r="B784" t="s">
        <v>3077</v>
      </c>
      <c r="C784" t="s">
        <v>2666</v>
      </c>
      <c r="D784" t="s">
        <v>3078</v>
      </c>
      <c r="E784" t="s">
        <v>3078</v>
      </c>
      <c r="F784" t="s">
        <v>45</v>
      </c>
      <c r="G784" t="str">
        <f>HYPERLINK("https://www.youtube.com/watch?v=CMX0Wg-HjsE")</f>
        <v>https://www.youtube.com/watch?v=CMX0Wg-HjsE</v>
      </c>
      <c r="H784" t="s">
        <v>215</v>
      </c>
      <c r="I784" t="s">
        <v>3079</v>
      </c>
      <c r="J784" t="str">
        <f>HYPERLINK("https://www.youtube.com/channel/UCjFh4fvdnHK8bdC6u_J4DUQ")</f>
        <v>https://www.youtube.com/channel/UCjFh4fvdnHK8bdC6u_J4DUQ</v>
      </c>
      <c r="K784">
        <v>45</v>
      </c>
      <c r="L784" t="s">
        <v>48</v>
      </c>
      <c r="N784" t="s">
        <v>116</v>
      </c>
      <c r="O784" t="s">
        <v>3079</v>
      </c>
      <c r="P784" t="str">
        <f>HYPERLINK("https://www.youtube.com/channel/UCjFh4fvdnHK8bdC6u_J4DUQ")</f>
        <v>https://www.youtube.com/channel/UCjFh4fvdnHK8bdC6u_J4DUQ</v>
      </c>
      <c r="Q784">
        <v>45</v>
      </c>
      <c r="R784" t="s">
        <v>60</v>
      </c>
      <c r="W784">
        <v>1</v>
      </c>
      <c r="X784">
        <v>1</v>
      </c>
      <c r="AD784">
        <v>0</v>
      </c>
      <c r="AE784">
        <v>0</v>
      </c>
      <c r="AG784">
        <v>6</v>
      </c>
      <c r="AI784" t="s">
        <v>52</v>
      </c>
      <c r="AJ784" t="s">
        <v>3080</v>
      </c>
      <c r="AK784" t="s">
        <v>2986</v>
      </c>
      <c r="AL784" t="str">
        <f>HYPERLINK("https://i.ytimg.com/vi/CMX0Wg-HjsE/sddefault.jpg")</f>
        <v>https://i.ytimg.com/vi/CMX0Wg-HjsE/sddefault.jpg</v>
      </c>
      <c r="AM784" t="s">
        <v>52</v>
      </c>
      <c r="AN784" t="s">
        <v>53</v>
      </c>
    </row>
    <row r="785" spans="1:40">
      <c r="A785" t="s">
        <v>2370</v>
      </c>
      <c r="B785" t="s">
        <v>3077</v>
      </c>
      <c r="C785" t="s">
        <v>3081</v>
      </c>
      <c r="D785" t="s">
        <v>52</v>
      </c>
      <c r="E785" t="s">
        <v>3082</v>
      </c>
      <c r="F785" t="s">
        <v>95</v>
      </c>
      <c r="G785" t="str">
        <f>HYPERLINK("https://twitter.com/882994100399521793/status/1143328236497014785")</f>
        <v>https://twitter.com/882994100399521793/status/1143328236497014785</v>
      </c>
      <c r="H785" t="s">
        <v>46</v>
      </c>
      <c r="I785" t="s">
        <v>52</v>
      </c>
      <c r="J785" t="str">
        <f>HYPERLINK("http://twitter.com/Heff_The_Jeff")</f>
        <v>http://twitter.com/Heff_The_Jeff</v>
      </c>
      <c r="K785">
        <v>49</v>
      </c>
      <c r="N785" t="s">
        <v>65</v>
      </c>
      <c r="R785" t="s">
        <v>60</v>
      </c>
      <c r="S785" t="s">
        <v>51</v>
      </c>
      <c r="T785" t="s">
        <v>2420</v>
      </c>
      <c r="U785" t="s">
        <v>2421</v>
      </c>
      <c r="W785">
        <v>1</v>
      </c>
      <c r="X785">
        <v>1</v>
      </c>
      <c r="AE785">
        <v>1</v>
      </c>
      <c r="AF785">
        <v>0</v>
      </c>
      <c r="AM785" t="s">
        <v>52</v>
      </c>
      <c r="AN785" t="s">
        <v>53</v>
      </c>
    </row>
    <row r="786" spans="1:40">
      <c r="A786" t="s">
        <v>2370</v>
      </c>
      <c r="B786" t="s">
        <v>3083</v>
      </c>
      <c r="C786" t="s">
        <v>3084</v>
      </c>
      <c r="D786" t="s">
        <v>52</v>
      </c>
      <c r="E786" t="s">
        <v>3085</v>
      </c>
      <c r="F786" t="s">
        <v>45</v>
      </c>
      <c r="G786" t="str">
        <f>HYPERLINK("https://www.facebook.com/1546319948954333/posts/2341692152750438")</f>
        <v>https://www.facebook.com/1546319948954333/posts/2341692152750438</v>
      </c>
      <c r="H786" t="s">
        <v>46</v>
      </c>
      <c r="I786" t="s">
        <v>3086</v>
      </c>
      <c r="J786" t="str">
        <f>HYPERLINK("https://www.facebook.com/1546319948954333")</f>
        <v>https://www.facebook.com/1546319948954333</v>
      </c>
      <c r="K786">
        <v>61506</v>
      </c>
      <c r="L786" t="s">
        <v>651</v>
      </c>
      <c r="N786" t="s">
        <v>1792</v>
      </c>
      <c r="O786" t="s">
        <v>3086</v>
      </c>
      <c r="P786" t="str">
        <f>HYPERLINK("https://www.facebook.com/1546319948954333")</f>
        <v>https://www.facebook.com/1546319948954333</v>
      </c>
      <c r="Q786">
        <v>61506</v>
      </c>
      <c r="R786" t="s">
        <v>60</v>
      </c>
      <c r="W786">
        <v>2</v>
      </c>
      <c r="X786">
        <v>1</v>
      </c>
      <c r="Y786">
        <v>1</v>
      </c>
      <c r="Z786">
        <v>0</v>
      </c>
      <c r="AA786">
        <v>0</v>
      </c>
      <c r="AB786">
        <v>0</v>
      </c>
      <c r="AC786">
        <v>0</v>
      </c>
      <c r="AE786">
        <v>0</v>
      </c>
      <c r="AF786">
        <v>0</v>
      </c>
      <c r="AI786" t="s">
        <v>108</v>
      </c>
      <c r="AJ786" t="s">
        <v>52</v>
      </c>
      <c r="AK786" t="s">
        <v>601</v>
      </c>
      <c r="AL786" t="str">
        <f>HYPERLINK("https://scontent.xx.fbcdn.net/v/t15.5256-10/65563936_426053468250265_6278125697118502912_n.jpg?_nc_cat=105&amp;_nc_oc=AQnDE5OFJTKylClRMqkk3_IPXt26djutRmhUp8BRrxPu2EeXeIMf-cYPeEQgHdnvZT0&amp;_nc_ht=scontent.xx&amp;oh=0e6d54da0e3caf2ad12aa9315a954318&amp;oe=5D7FCF01")</f>
        <v>https://scontent.xx.fbcdn.net/v/t15.5256-10/65563936_426053468250265_6278125697118502912_n.jpg?_nc_cat=105&amp;_nc_oc=AQnDE5OFJTKylClRMqkk3_IPXt26djutRmhUp8BRrxPu2EeXeIMf-cYPeEQgHdnvZT0&amp;_nc_ht=scontent.xx&amp;oh=0e6d54da0e3caf2ad12aa9315a954318&amp;oe=5D7FCF01</v>
      </c>
      <c r="AM786" t="s">
        <v>52</v>
      </c>
      <c r="AN786" t="s">
        <v>53</v>
      </c>
    </row>
    <row r="787" spans="1:40">
      <c r="A787" t="s">
        <v>2370</v>
      </c>
      <c r="B787" t="s">
        <v>3083</v>
      </c>
      <c r="C787" t="s">
        <v>1225</v>
      </c>
      <c r="D787" t="s">
        <v>52</v>
      </c>
      <c r="E787" t="s">
        <v>3085</v>
      </c>
      <c r="F787" t="s">
        <v>45</v>
      </c>
      <c r="G787" t="str">
        <f>HYPERLINK("https://www.facebook.com/116828711702812/posts/2449489025103424")</f>
        <v>https://www.facebook.com/116828711702812/posts/2449489025103424</v>
      </c>
      <c r="H787" t="s">
        <v>46</v>
      </c>
      <c r="I787" t="s">
        <v>3087</v>
      </c>
      <c r="J787" t="str">
        <f>HYPERLINK("https://www.facebook.com/116828711702812")</f>
        <v>https://www.facebook.com/116828711702812</v>
      </c>
      <c r="K787">
        <v>66835</v>
      </c>
      <c r="L787" t="s">
        <v>651</v>
      </c>
      <c r="N787" t="s">
        <v>1792</v>
      </c>
      <c r="O787" t="s">
        <v>3087</v>
      </c>
      <c r="P787" t="str">
        <f>HYPERLINK("https://www.facebook.com/116828711702812")</f>
        <v>https://www.facebook.com/116828711702812</v>
      </c>
      <c r="Q787">
        <v>66835</v>
      </c>
      <c r="R787" t="s">
        <v>60</v>
      </c>
      <c r="W787">
        <v>0</v>
      </c>
      <c r="X787">
        <v>0</v>
      </c>
      <c r="AE787">
        <v>0</v>
      </c>
      <c r="AF787">
        <v>0</v>
      </c>
      <c r="AI787" t="s">
        <v>108</v>
      </c>
      <c r="AJ787" t="s">
        <v>52</v>
      </c>
      <c r="AK787" t="s">
        <v>601</v>
      </c>
      <c r="AL787" t="str">
        <f>HYPERLINK("https://scontent.xx.fbcdn.net/v/t15.5256-10/65563936_426053468250265_6278125697118502912_n.jpg?_nc_cat=105&amp;_nc_ht=scontent.xx&amp;oh=df4b29aae8e278c92b600274324ed491&amp;oe=5D7FCF01")</f>
        <v>https://scontent.xx.fbcdn.net/v/t15.5256-10/65563936_426053468250265_6278125697118502912_n.jpg?_nc_cat=105&amp;_nc_ht=scontent.xx&amp;oh=df4b29aae8e278c92b600274324ed491&amp;oe=5D7FCF01</v>
      </c>
      <c r="AM787" t="s">
        <v>52</v>
      </c>
      <c r="AN787" t="s">
        <v>53</v>
      </c>
    </row>
    <row r="788" spans="1:40">
      <c r="A788" t="s">
        <v>2370</v>
      </c>
      <c r="B788" t="s">
        <v>3083</v>
      </c>
      <c r="C788" t="s">
        <v>3088</v>
      </c>
      <c r="D788" t="s">
        <v>52</v>
      </c>
      <c r="E788" t="s">
        <v>3089</v>
      </c>
      <c r="F788" t="s">
        <v>45</v>
      </c>
      <c r="G788" t="str">
        <f>HYPERLINK("https://www.instagram.com/p/BzHTPVcpWfb")</f>
        <v>https://www.instagram.com/p/BzHTPVcpWfb</v>
      </c>
      <c r="H788" t="s">
        <v>46</v>
      </c>
      <c r="I788" t="s">
        <v>3090</v>
      </c>
      <c r="J788" t="str">
        <f>HYPERLINK("http://instagram.com/photos._tumblrs.bms")</f>
        <v>http://instagram.com/photos._tumblrs.bms</v>
      </c>
      <c r="K788">
        <v>27</v>
      </c>
      <c r="N788" t="s">
        <v>59</v>
      </c>
      <c r="O788" t="s">
        <v>3090</v>
      </c>
      <c r="P788" t="str">
        <f>HYPERLINK("http://instagram.com/photos._tumblrs.bms")</f>
        <v>http://instagram.com/photos._tumblrs.bms</v>
      </c>
      <c r="Q788">
        <v>27</v>
      </c>
      <c r="R788" t="s">
        <v>60</v>
      </c>
      <c r="W788">
        <v>14</v>
      </c>
      <c r="X788">
        <v>14</v>
      </c>
      <c r="AE788">
        <v>0</v>
      </c>
      <c r="AI788" t="s">
        <v>52</v>
      </c>
      <c r="AJ788" t="s">
        <v>52</v>
      </c>
      <c r="AK788" t="s">
        <v>52</v>
      </c>
      <c r="AL788" t="str">
        <f>HYPERLINK("https://www.instagram.com/p/BzHTPVcpWfb/media/?size=l")</f>
        <v>https://www.instagram.com/p/BzHTPVcpWfb/media/?size=l</v>
      </c>
      <c r="AM788" t="s">
        <v>52</v>
      </c>
      <c r="AN788" t="s">
        <v>53</v>
      </c>
    </row>
    <row r="789" spans="1:40">
      <c r="A789" t="s">
        <v>2370</v>
      </c>
      <c r="B789" t="s">
        <v>3083</v>
      </c>
      <c r="C789" t="s">
        <v>3058</v>
      </c>
      <c r="D789" t="s">
        <v>52</v>
      </c>
      <c r="E789" t="s">
        <v>3091</v>
      </c>
      <c r="F789" t="s">
        <v>45</v>
      </c>
      <c r="G789" t="str">
        <f>HYPERLINK("https://www.instagram.com/p/BzHTO2vlnNG")</f>
        <v>https://www.instagram.com/p/BzHTO2vlnNG</v>
      </c>
      <c r="H789" t="s">
        <v>46</v>
      </c>
      <c r="I789" t="s">
        <v>3092</v>
      </c>
      <c r="J789" t="str">
        <f>HYPERLINK("http://instagram.com/vampqueensvault")</f>
        <v>http://instagram.com/vampqueensvault</v>
      </c>
      <c r="K789">
        <v>427</v>
      </c>
      <c r="L789" t="s">
        <v>58</v>
      </c>
      <c r="N789" t="s">
        <v>59</v>
      </c>
      <c r="O789" t="s">
        <v>3092</v>
      </c>
      <c r="P789" t="str">
        <f>HYPERLINK("http://instagram.com/vampqueensvault")</f>
        <v>http://instagram.com/vampqueensvault</v>
      </c>
      <c r="Q789">
        <v>427</v>
      </c>
      <c r="R789" t="s">
        <v>60</v>
      </c>
      <c r="W789">
        <v>5</v>
      </c>
      <c r="X789">
        <v>5</v>
      </c>
      <c r="AE789">
        <v>1</v>
      </c>
      <c r="AI789" t="s">
        <v>108</v>
      </c>
      <c r="AJ789" t="s">
        <v>52</v>
      </c>
      <c r="AK789" t="s">
        <v>52</v>
      </c>
      <c r="AL789" t="str">
        <f>HYPERLINK("https://www.instagram.com/p/BzHTO2vlnNG/media/?size=l")</f>
        <v>https://www.instagram.com/p/BzHTO2vlnNG/media/?size=l</v>
      </c>
      <c r="AM789" t="s">
        <v>52</v>
      </c>
      <c r="AN789" t="s">
        <v>53</v>
      </c>
    </row>
    <row r="790" spans="1:40">
      <c r="A790" t="s">
        <v>2370</v>
      </c>
      <c r="B790" t="s">
        <v>3093</v>
      </c>
      <c r="C790" t="s">
        <v>3081</v>
      </c>
      <c r="D790" t="s">
        <v>52</v>
      </c>
      <c r="E790" t="s">
        <v>3094</v>
      </c>
      <c r="F790" t="s">
        <v>45</v>
      </c>
      <c r="G790" t="str">
        <f>HYPERLINK("https://www.instagram.com/p/BzHTNq-AY7o")</f>
        <v>https://www.instagram.com/p/BzHTNq-AY7o</v>
      </c>
      <c r="H790" t="s">
        <v>46</v>
      </c>
      <c r="I790" t="s">
        <v>3095</v>
      </c>
      <c r="J790" t="str">
        <f>HYPERLINK("http://instagram.com/scoutwalker12")</f>
        <v>http://instagram.com/scoutwalker12</v>
      </c>
      <c r="K790">
        <v>245</v>
      </c>
      <c r="N790" t="s">
        <v>59</v>
      </c>
      <c r="O790" t="s">
        <v>3095</v>
      </c>
      <c r="P790" t="str">
        <f>HYPERLINK("http://instagram.com/scoutwalker12")</f>
        <v>http://instagram.com/scoutwalker12</v>
      </c>
      <c r="Q790">
        <v>245</v>
      </c>
      <c r="R790" t="s">
        <v>60</v>
      </c>
      <c r="W790">
        <v>3</v>
      </c>
      <c r="X790">
        <v>3</v>
      </c>
      <c r="AE790">
        <v>0</v>
      </c>
      <c r="AI790" t="s">
        <v>52</v>
      </c>
      <c r="AJ790" t="s">
        <v>52</v>
      </c>
      <c r="AK790" t="s">
        <v>52</v>
      </c>
      <c r="AL790" t="str">
        <f>HYPERLINK("https://www.instagram.com/p/BzHTNq-AY7o/media/?size=l")</f>
        <v>https://www.instagram.com/p/BzHTNq-AY7o/media/?size=l</v>
      </c>
      <c r="AM790" t="s">
        <v>52</v>
      </c>
      <c r="AN790" t="s">
        <v>53</v>
      </c>
    </row>
    <row r="791" spans="1:40">
      <c r="A791" t="s">
        <v>2370</v>
      </c>
      <c r="B791" t="s">
        <v>3093</v>
      </c>
      <c r="C791" t="s">
        <v>3096</v>
      </c>
      <c r="D791" t="s">
        <v>52</v>
      </c>
      <c r="E791" t="s">
        <v>3097</v>
      </c>
      <c r="F791" t="s">
        <v>45</v>
      </c>
      <c r="G791" t="str">
        <f>HYPERLINK("https://twitter.com/1051064802129276928/status/1143327749659975680")</f>
        <v>https://twitter.com/1051064802129276928/status/1143327749659975680</v>
      </c>
      <c r="H791" t="s">
        <v>46</v>
      </c>
      <c r="I791" t="s">
        <v>3098</v>
      </c>
      <c r="J791" t="str">
        <f>HYPERLINK("http://twitter.com/HendrixJibby")</f>
        <v>http://twitter.com/HendrixJibby</v>
      </c>
      <c r="K791">
        <v>42</v>
      </c>
      <c r="N791" t="s">
        <v>65</v>
      </c>
      <c r="R791" t="s">
        <v>60</v>
      </c>
      <c r="W791">
        <v>3</v>
      </c>
      <c r="X791">
        <v>3</v>
      </c>
      <c r="AE791">
        <v>2</v>
      </c>
      <c r="AF791">
        <v>0</v>
      </c>
      <c r="AM791" t="s">
        <v>52</v>
      </c>
      <c r="AN791" t="s">
        <v>53</v>
      </c>
    </row>
    <row r="792" spans="1:40">
      <c r="A792" t="s">
        <v>2370</v>
      </c>
      <c r="B792" t="s">
        <v>3099</v>
      </c>
      <c r="C792" t="s">
        <v>3100</v>
      </c>
      <c r="D792" t="s">
        <v>52</v>
      </c>
      <c r="E792" t="s">
        <v>3101</v>
      </c>
      <c r="F792" t="s">
        <v>95</v>
      </c>
      <c r="G792" t="str">
        <f>HYPERLINK("https://twitter.com/42302246/status/1143327481883062272")</f>
        <v>https://twitter.com/42302246/status/1143327481883062272</v>
      </c>
      <c r="H792" t="s">
        <v>46</v>
      </c>
      <c r="I792" t="s">
        <v>3102</v>
      </c>
      <c r="J792" t="str">
        <f>HYPERLINK("http://twitter.com/infernal_monkey")</f>
        <v>http://twitter.com/infernal_monkey</v>
      </c>
      <c r="K792">
        <v>2338</v>
      </c>
      <c r="N792" t="s">
        <v>65</v>
      </c>
      <c r="R792" t="s">
        <v>60</v>
      </c>
      <c r="S792" t="s">
        <v>774</v>
      </c>
      <c r="T792" t="s">
        <v>2679</v>
      </c>
      <c r="U792" t="s">
        <v>2680</v>
      </c>
      <c r="W792">
        <v>7</v>
      </c>
      <c r="X792">
        <v>7</v>
      </c>
      <c r="AE792">
        <v>0</v>
      </c>
      <c r="AF792">
        <v>0</v>
      </c>
      <c r="AM792" t="s">
        <v>52</v>
      </c>
      <c r="AN792" t="s">
        <v>53</v>
      </c>
    </row>
    <row r="793" spans="1:40">
      <c r="A793" t="s">
        <v>2370</v>
      </c>
      <c r="B793" t="s">
        <v>3099</v>
      </c>
      <c r="C793" t="s">
        <v>3033</v>
      </c>
      <c r="D793" t="s">
        <v>52</v>
      </c>
      <c r="E793" t="s">
        <v>3103</v>
      </c>
      <c r="F793" t="s">
        <v>45</v>
      </c>
      <c r="G793" t="str">
        <f>HYPERLINK("https://www.instagram.com/p/BzHS_nBlTtl")</f>
        <v>https://www.instagram.com/p/BzHS_nBlTtl</v>
      </c>
      <c r="H793" t="s">
        <v>46</v>
      </c>
      <c r="I793" t="s">
        <v>3104</v>
      </c>
      <c r="J793" t="str">
        <f>HYPERLINK("http://instagram.com/fanxfics._")</f>
        <v>http://instagram.com/fanxfics._</v>
      </c>
      <c r="K793">
        <v>50</v>
      </c>
      <c r="N793" t="s">
        <v>59</v>
      </c>
      <c r="O793" t="s">
        <v>3104</v>
      </c>
      <c r="P793" t="str">
        <f>HYPERLINK("http://instagram.com/fanxfics._")</f>
        <v>http://instagram.com/fanxfics._</v>
      </c>
      <c r="Q793">
        <v>50</v>
      </c>
      <c r="R793" t="s">
        <v>60</v>
      </c>
      <c r="W793">
        <v>6</v>
      </c>
      <c r="X793">
        <v>6</v>
      </c>
      <c r="AE793">
        <v>1</v>
      </c>
      <c r="AI793" t="s">
        <v>52</v>
      </c>
      <c r="AJ793" t="s">
        <v>899</v>
      </c>
      <c r="AK793" t="s">
        <v>3105</v>
      </c>
      <c r="AL793" t="str">
        <f>HYPERLINK("https://www.instagram.com/p/BzHS_nBlTtl/media/?size=l")</f>
        <v>https://www.instagram.com/p/BzHS_nBlTtl/media/?size=l</v>
      </c>
      <c r="AM793" t="s">
        <v>52</v>
      </c>
      <c r="AN793" t="s">
        <v>53</v>
      </c>
    </row>
    <row r="794" spans="1:40">
      <c r="A794" t="s">
        <v>2370</v>
      </c>
      <c r="B794" t="s">
        <v>3106</v>
      </c>
      <c r="C794" t="s">
        <v>1695</v>
      </c>
      <c r="D794" t="s">
        <v>2732</v>
      </c>
      <c r="E794" t="s">
        <v>3107</v>
      </c>
      <c r="F794" t="s">
        <v>95</v>
      </c>
      <c r="G794" t="str">
        <f>HYPERLINK("https://www.youtube.com/watch?v=pxaqAOUZ3P4&amp;lc=Ugy_4Z7LGYaCWV-4HkV4AaABAg")</f>
        <v>https://www.youtube.com/watch?v=pxaqAOUZ3P4&amp;lc=Ugy_4Z7LGYaCWV-4HkV4AaABAg</v>
      </c>
      <c r="H794" t="s">
        <v>46</v>
      </c>
      <c r="I794" t="s">
        <v>2734</v>
      </c>
      <c r="J794" t="str">
        <f>HYPERLINK("https://www.youtube.com/channel/UCACIL0lKJSNmekPiwslMMSQ")</f>
        <v>https://www.youtube.com/channel/UCACIL0lKJSNmekPiwslMMSQ</v>
      </c>
      <c r="K794">
        <v>15</v>
      </c>
      <c r="N794" t="s">
        <v>116</v>
      </c>
      <c r="O794" t="s">
        <v>2735</v>
      </c>
      <c r="P794" t="str">
        <f>HYPERLINK("https://www.youtube.com/channel/UCbY3apgA8e1JIQMx8OBu83Q")</f>
        <v>https://www.youtube.com/channel/UCbY3apgA8e1JIQMx8OBu83Q</v>
      </c>
      <c r="Q794">
        <v>22</v>
      </c>
      <c r="R794" t="s">
        <v>60</v>
      </c>
      <c r="W794">
        <v>0</v>
      </c>
      <c r="X794">
        <v>0</v>
      </c>
      <c r="AE794">
        <v>4</v>
      </c>
      <c r="AM794" t="s">
        <v>52</v>
      </c>
      <c r="AN794" t="s">
        <v>53</v>
      </c>
    </row>
    <row r="795" spans="1:40">
      <c r="A795" t="s">
        <v>2370</v>
      </c>
      <c r="B795" t="s">
        <v>3106</v>
      </c>
      <c r="C795" t="s">
        <v>3108</v>
      </c>
      <c r="D795" t="s">
        <v>52</v>
      </c>
      <c r="E795" t="s">
        <v>1900</v>
      </c>
      <c r="F795" t="s">
        <v>131</v>
      </c>
      <c r="G795" t="str">
        <f>HYPERLINK("https://twitter.com/955918746169815040/status/1143327207353401345")</f>
        <v>https://twitter.com/955918746169815040/status/1143327207353401345</v>
      </c>
      <c r="H795" t="s">
        <v>46</v>
      </c>
      <c r="I795" t="s">
        <v>3109</v>
      </c>
      <c r="J795" t="str">
        <f>HYPERLINK("http://twitter.com/MarbetSanchez")</f>
        <v>http://twitter.com/MarbetSanchez</v>
      </c>
      <c r="K795">
        <v>51</v>
      </c>
      <c r="N795" t="s">
        <v>65</v>
      </c>
      <c r="R795" t="s">
        <v>60</v>
      </c>
      <c r="W795">
        <v>0</v>
      </c>
      <c r="X795">
        <v>0</v>
      </c>
      <c r="AE795">
        <v>0</v>
      </c>
      <c r="AI795" t="s">
        <v>52</v>
      </c>
      <c r="AJ795" t="s">
        <v>1901</v>
      </c>
      <c r="AK795" t="s">
        <v>52</v>
      </c>
      <c r="AL795" t="str">
        <f>HYPERLINK("https://pbs.twimg.com/media/D9zbTcxVAAADaUG.jpg")</f>
        <v>https://pbs.twimg.com/media/D9zbTcxVAAADaUG.jpg</v>
      </c>
      <c r="AM795" t="s">
        <v>52</v>
      </c>
      <c r="AN795" t="s">
        <v>53</v>
      </c>
    </row>
    <row r="796" spans="1:40">
      <c r="A796" t="s">
        <v>2370</v>
      </c>
      <c r="B796" t="s">
        <v>3110</v>
      </c>
      <c r="C796" t="s">
        <v>3030</v>
      </c>
      <c r="D796" t="s">
        <v>52</v>
      </c>
      <c r="E796" t="s">
        <v>3111</v>
      </c>
      <c r="F796" t="s">
        <v>45</v>
      </c>
      <c r="G796" t="str">
        <f>HYPERLINK("https://www.instagram.com/p/BzHSdq7geAU")</f>
        <v>https://www.instagram.com/p/BzHSdq7geAU</v>
      </c>
      <c r="H796" t="s">
        <v>46</v>
      </c>
      <c r="I796" t="s">
        <v>3112</v>
      </c>
      <c r="J796" t="str">
        <f>HYPERLINK("http://instagram.com/munchkinthecrazycat")</f>
        <v>http://instagram.com/munchkinthecrazycat</v>
      </c>
      <c r="K796">
        <v>8</v>
      </c>
      <c r="N796" t="s">
        <v>59</v>
      </c>
      <c r="O796" t="s">
        <v>3112</v>
      </c>
      <c r="P796" t="str">
        <f>HYPERLINK("http://instagram.com/munchkinthecrazycat")</f>
        <v>http://instagram.com/munchkinthecrazycat</v>
      </c>
      <c r="Q796">
        <v>8</v>
      </c>
      <c r="R796" t="s">
        <v>60</v>
      </c>
      <c r="W796">
        <v>2</v>
      </c>
      <c r="X796">
        <v>2</v>
      </c>
      <c r="AE796">
        <v>0</v>
      </c>
      <c r="AG796">
        <v>4</v>
      </c>
      <c r="AI796" t="s">
        <v>52</v>
      </c>
      <c r="AJ796" t="s">
        <v>1196</v>
      </c>
      <c r="AK796" t="s">
        <v>52</v>
      </c>
      <c r="AL796" t="str">
        <f>HYPERLINK("https://www.instagram.com/p/BzHSdq7geAU/media/?size=l")</f>
        <v>https://www.instagram.com/p/BzHSdq7geAU/media/?size=l</v>
      </c>
      <c r="AM796" t="s">
        <v>52</v>
      </c>
      <c r="AN796" t="s">
        <v>53</v>
      </c>
    </row>
    <row r="797" spans="1:40">
      <c r="A797" t="s">
        <v>2370</v>
      </c>
      <c r="B797" t="s">
        <v>3110</v>
      </c>
      <c r="C797" t="s">
        <v>2666</v>
      </c>
      <c r="D797" t="s">
        <v>3113</v>
      </c>
      <c r="E797" t="s">
        <v>3113</v>
      </c>
      <c r="F797" t="s">
        <v>45</v>
      </c>
      <c r="G797" t="str">
        <f>HYPERLINK("https://www.youtube.com/watch?v=u4pa6lYZVQY")</f>
        <v>https://www.youtube.com/watch?v=u4pa6lYZVQY</v>
      </c>
      <c r="H797" t="s">
        <v>46</v>
      </c>
      <c r="I797" t="s">
        <v>3114</v>
      </c>
      <c r="J797" t="str">
        <f>HYPERLINK("https://www.youtube.com/channel/UCljazlPIxb4EN2UkSWDDotg")</f>
        <v>https://www.youtube.com/channel/UCljazlPIxb4EN2UkSWDDotg</v>
      </c>
      <c r="K797">
        <v>12</v>
      </c>
      <c r="N797" t="s">
        <v>116</v>
      </c>
      <c r="O797" t="s">
        <v>3114</v>
      </c>
      <c r="P797" t="str">
        <f>HYPERLINK("https://www.youtube.com/channel/UCljazlPIxb4EN2UkSWDDotg")</f>
        <v>https://www.youtube.com/channel/UCljazlPIxb4EN2UkSWDDotg</v>
      </c>
      <c r="Q797">
        <v>12</v>
      </c>
      <c r="R797" t="s">
        <v>60</v>
      </c>
      <c r="W797">
        <v>0</v>
      </c>
      <c r="X797">
        <v>0</v>
      </c>
      <c r="AD797">
        <v>0</v>
      </c>
      <c r="AE797">
        <v>0</v>
      </c>
      <c r="AG797">
        <v>4</v>
      </c>
      <c r="AI797" t="s">
        <v>52</v>
      </c>
      <c r="AJ797" t="s">
        <v>52</v>
      </c>
      <c r="AK797" t="s">
        <v>52</v>
      </c>
      <c r="AL797" t="str">
        <f>HYPERLINK("https://i.ytimg.com/vi/u4pa6lYZVQY/maxresdefault.jpg")</f>
        <v>https://i.ytimg.com/vi/u4pa6lYZVQY/maxresdefault.jpg</v>
      </c>
      <c r="AM797" t="s">
        <v>52</v>
      </c>
      <c r="AN797" t="s">
        <v>53</v>
      </c>
    </row>
    <row r="798" spans="1:40">
      <c r="A798" t="s">
        <v>2370</v>
      </c>
      <c r="B798" t="s">
        <v>3115</v>
      </c>
      <c r="C798" t="s">
        <v>3108</v>
      </c>
      <c r="D798" t="s">
        <v>52</v>
      </c>
      <c r="E798" t="s">
        <v>2765</v>
      </c>
      <c r="F798" t="s">
        <v>131</v>
      </c>
      <c r="G798" t="str">
        <f>HYPERLINK("https://twitter.com/1070881439011495936/status/1143326496607612929")</f>
        <v>https://twitter.com/1070881439011495936/status/1143326496607612929</v>
      </c>
      <c r="H798" t="s">
        <v>46</v>
      </c>
      <c r="I798" t="s">
        <v>3116</v>
      </c>
      <c r="J798" t="str">
        <f>HYPERLINK("http://twitter.com/SolBrunotto")</f>
        <v>http://twitter.com/SolBrunotto</v>
      </c>
      <c r="K798">
        <v>314</v>
      </c>
      <c r="N798" t="s">
        <v>65</v>
      </c>
      <c r="R798" t="s">
        <v>60</v>
      </c>
      <c r="S798" t="s">
        <v>701</v>
      </c>
      <c r="T798" t="s">
        <v>2321</v>
      </c>
      <c r="W798">
        <v>0</v>
      </c>
      <c r="X798">
        <v>0</v>
      </c>
      <c r="AE798">
        <v>0</v>
      </c>
      <c r="AM798" t="s">
        <v>52</v>
      </c>
      <c r="AN798" t="s">
        <v>53</v>
      </c>
    </row>
    <row r="799" spans="1:40">
      <c r="A799" t="s">
        <v>2370</v>
      </c>
      <c r="B799" t="s">
        <v>3115</v>
      </c>
      <c r="C799" t="s">
        <v>3117</v>
      </c>
      <c r="D799" t="s">
        <v>52</v>
      </c>
      <c r="E799" t="s">
        <v>1194</v>
      </c>
      <c r="F799" t="s">
        <v>131</v>
      </c>
      <c r="G799" t="str">
        <f>HYPERLINK("https://twitter.com/77588718/status/1143326485295566849")</f>
        <v>https://twitter.com/77588718/status/1143326485295566849</v>
      </c>
      <c r="H799" t="s">
        <v>46</v>
      </c>
      <c r="I799" t="s">
        <v>3118</v>
      </c>
      <c r="J799" t="str">
        <f>HYPERLINK("http://twitter.com/Mizu_yong")</f>
        <v>http://twitter.com/Mizu_yong</v>
      </c>
      <c r="K799">
        <v>1646</v>
      </c>
      <c r="N799" t="s">
        <v>65</v>
      </c>
      <c r="R799" t="s">
        <v>60</v>
      </c>
      <c r="S799" t="s">
        <v>432</v>
      </c>
      <c r="T799" t="s">
        <v>433</v>
      </c>
      <c r="W799">
        <v>0</v>
      </c>
      <c r="X799">
        <v>0</v>
      </c>
      <c r="AE799">
        <v>0</v>
      </c>
      <c r="AI799" t="s">
        <v>52</v>
      </c>
      <c r="AJ799" t="s">
        <v>1196</v>
      </c>
      <c r="AK799" t="s">
        <v>52</v>
      </c>
      <c r="AL799" t="str">
        <f>HYPERLINK("https://pbs.twimg.com/media/D9xgk2YXkAAd2ql.jpg")</f>
        <v>https://pbs.twimg.com/media/D9xgk2YXkAAd2ql.jpg</v>
      </c>
      <c r="AM799" t="s">
        <v>52</v>
      </c>
      <c r="AN799" t="s">
        <v>53</v>
      </c>
    </row>
    <row r="800" spans="1:40">
      <c r="A800" t="s">
        <v>2370</v>
      </c>
      <c r="B800" t="s">
        <v>3115</v>
      </c>
      <c r="C800" t="s">
        <v>3117</v>
      </c>
      <c r="D800" t="s">
        <v>52</v>
      </c>
      <c r="E800" t="s">
        <v>3119</v>
      </c>
      <c r="F800" t="s">
        <v>45</v>
      </c>
      <c r="G800" t="str">
        <f>HYPERLINK("https://twitter.com/14995354/status/1143326465016172545")</f>
        <v>https://twitter.com/14995354/status/1143326465016172545</v>
      </c>
      <c r="H800" t="s">
        <v>46</v>
      </c>
      <c r="I800" t="s">
        <v>3120</v>
      </c>
      <c r="J800" t="str">
        <f>HYPERLINK("http://twitter.com/jennpoop")</f>
        <v>http://twitter.com/jennpoop</v>
      </c>
      <c r="K800">
        <v>968</v>
      </c>
      <c r="N800" t="s">
        <v>65</v>
      </c>
      <c r="R800" t="s">
        <v>60</v>
      </c>
      <c r="S800" t="s">
        <v>3121</v>
      </c>
      <c r="T800" t="s">
        <v>3122</v>
      </c>
      <c r="U800" t="s">
        <v>3123</v>
      </c>
      <c r="W800">
        <v>0</v>
      </c>
      <c r="X800">
        <v>0</v>
      </c>
      <c r="AE800">
        <v>0</v>
      </c>
      <c r="AF800">
        <v>0</v>
      </c>
      <c r="AM800" t="s">
        <v>52</v>
      </c>
      <c r="AN800" t="s">
        <v>53</v>
      </c>
    </row>
    <row r="801" spans="1:40">
      <c r="A801" t="s">
        <v>2370</v>
      </c>
      <c r="B801" t="s">
        <v>3115</v>
      </c>
      <c r="C801" t="s">
        <v>3070</v>
      </c>
      <c r="D801" t="s">
        <v>52</v>
      </c>
      <c r="E801" t="s">
        <v>3124</v>
      </c>
      <c r="F801" t="s">
        <v>45</v>
      </c>
      <c r="G801" t="str">
        <f>HYPERLINK("https://www.instagram.com/p/BzHSij_nVxf")</f>
        <v>https://www.instagram.com/p/BzHSij_nVxf</v>
      </c>
      <c r="H801" t="s">
        <v>46</v>
      </c>
      <c r="I801" t="s">
        <v>3125</v>
      </c>
      <c r="J801" t="str">
        <f>HYPERLINK("http://instagram.com/spicysweetchillidoritos_")</f>
        <v>http://instagram.com/spicysweetchillidoritos_</v>
      </c>
      <c r="K801">
        <v>52</v>
      </c>
      <c r="N801" t="s">
        <v>59</v>
      </c>
      <c r="O801" t="s">
        <v>3125</v>
      </c>
      <c r="P801" t="str">
        <f>HYPERLINK("http://instagram.com/spicysweetchillidoritos_")</f>
        <v>http://instagram.com/spicysweetchillidoritos_</v>
      </c>
      <c r="Q801">
        <v>52</v>
      </c>
      <c r="R801" t="s">
        <v>60</v>
      </c>
      <c r="W801">
        <v>8</v>
      </c>
      <c r="X801">
        <v>8</v>
      </c>
      <c r="AE801">
        <v>0</v>
      </c>
      <c r="AI801" t="s">
        <v>52</v>
      </c>
      <c r="AJ801" t="s">
        <v>52</v>
      </c>
      <c r="AK801" t="s">
        <v>52</v>
      </c>
      <c r="AL801" t="str">
        <f>HYPERLINK("https://www.instagram.com/p/BzHSij_nVxf/media/?size=l")</f>
        <v>https://www.instagram.com/p/BzHSij_nVxf/media/?size=l</v>
      </c>
      <c r="AM801" t="s">
        <v>52</v>
      </c>
      <c r="AN801" t="s">
        <v>53</v>
      </c>
    </row>
    <row r="802" spans="1:40">
      <c r="A802" t="s">
        <v>2370</v>
      </c>
      <c r="B802" t="s">
        <v>3126</v>
      </c>
      <c r="C802" t="s">
        <v>1950</v>
      </c>
      <c r="D802" t="s">
        <v>52</v>
      </c>
      <c r="E802" t="s">
        <v>3127</v>
      </c>
      <c r="F802" t="s">
        <v>45</v>
      </c>
      <c r="G802" t="str">
        <f>HYPERLINK("https://www.instagram.com/p/BzHR8bjhL_c")</f>
        <v>https://www.instagram.com/p/BzHR8bjhL_c</v>
      </c>
      <c r="H802" t="s">
        <v>46</v>
      </c>
      <c r="I802" t="s">
        <v>3128</v>
      </c>
      <c r="J802" t="str">
        <f>HYPERLINK("http://instagram.com/ww_forthezillionth_time")</f>
        <v>http://instagram.com/ww_forthezillionth_time</v>
      </c>
      <c r="K802">
        <v>548</v>
      </c>
      <c r="N802" t="s">
        <v>59</v>
      </c>
      <c r="O802" t="s">
        <v>3128</v>
      </c>
      <c r="P802" t="str">
        <f>HYPERLINK("http://instagram.com/ww_forthezillionth_time")</f>
        <v>http://instagram.com/ww_forthezillionth_time</v>
      </c>
      <c r="Q802">
        <v>548</v>
      </c>
      <c r="R802" t="s">
        <v>60</v>
      </c>
      <c r="W802">
        <v>19</v>
      </c>
      <c r="X802">
        <v>19</v>
      </c>
      <c r="AE802">
        <v>2</v>
      </c>
      <c r="AI802" t="s">
        <v>52</v>
      </c>
      <c r="AJ802" t="s">
        <v>3129</v>
      </c>
      <c r="AK802" t="s">
        <v>52</v>
      </c>
      <c r="AL802" t="str">
        <f>HYPERLINK("https://www.instagram.com/p/BzHR8bjhL_c/media/?size=l")</f>
        <v>https://www.instagram.com/p/BzHR8bjhL_c/media/?size=l</v>
      </c>
      <c r="AM802" t="s">
        <v>52</v>
      </c>
      <c r="AN802" t="s">
        <v>53</v>
      </c>
    </row>
    <row r="803" spans="1:40">
      <c r="A803" t="s">
        <v>2370</v>
      </c>
      <c r="B803" t="s">
        <v>3130</v>
      </c>
      <c r="C803" t="s">
        <v>3131</v>
      </c>
      <c r="D803" t="s">
        <v>52</v>
      </c>
      <c r="E803" t="s">
        <v>3132</v>
      </c>
      <c r="F803" t="s">
        <v>45</v>
      </c>
      <c r="G803" t="str">
        <f>HYPERLINK("https://twitter.com/965206854/status/1143324770005635072")</f>
        <v>https://twitter.com/965206854/status/1143324770005635072</v>
      </c>
      <c r="H803" t="s">
        <v>46</v>
      </c>
      <c r="I803" t="s">
        <v>3133</v>
      </c>
      <c r="J803" t="str">
        <f>HYPERLINK("http://twitter.com/travisbohm_")</f>
        <v>http://twitter.com/travisbohm_</v>
      </c>
      <c r="K803">
        <v>773</v>
      </c>
      <c r="L803" t="s">
        <v>48</v>
      </c>
      <c r="N803" t="s">
        <v>65</v>
      </c>
      <c r="R803" t="s">
        <v>60</v>
      </c>
      <c r="S803" t="s">
        <v>51</v>
      </c>
      <c r="T803" t="s">
        <v>84</v>
      </c>
      <c r="U803" t="s">
        <v>85</v>
      </c>
      <c r="W803">
        <v>5</v>
      </c>
      <c r="X803">
        <v>5</v>
      </c>
      <c r="AE803">
        <v>0</v>
      </c>
      <c r="AF803">
        <v>1</v>
      </c>
      <c r="AM803" t="s">
        <v>52</v>
      </c>
      <c r="AN803" t="s">
        <v>53</v>
      </c>
    </row>
    <row r="804" spans="1:40">
      <c r="A804" t="s">
        <v>2370</v>
      </c>
      <c r="B804" t="s">
        <v>3130</v>
      </c>
      <c r="C804" t="s">
        <v>3131</v>
      </c>
      <c r="D804" t="s">
        <v>52</v>
      </c>
      <c r="E804" t="s">
        <v>3134</v>
      </c>
      <c r="F804" t="s">
        <v>45</v>
      </c>
      <c r="G804" t="str">
        <f>HYPERLINK("https://twitter.com/903629029298798592/status/1143324710891134982")</f>
        <v>https://twitter.com/903629029298798592/status/1143324710891134982</v>
      </c>
      <c r="H804" t="s">
        <v>46</v>
      </c>
      <c r="I804" t="s">
        <v>3135</v>
      </c>
      <c r="J804" t="str">
        <f>HYPERLINK("http://twitter.com/alanahmfoster")</f>
        <v>http://twitter.com/alanahmfoster</v>
      </c>
      <c r="K804">
        <v>268</v>
      </c>
      <c r="N804" t="s">
        <v>65</v>
      </c>
      <c r="R804" t="s">
        <v>60</v>
      </c>
      <c r="S804" t="s">
        <v>51</v>
      </c>
      <c r="T804" t="s">
        <v>3136</v>
      </c>
      <c r="W804">
        <v>1</v>
      </c>
      <c r="X804">
        <v>1</v>
      </c>
      <c r="AE804">
        <v>0</v>
      </c>
      <c r="AF804">
        <v>0</v>
      </c>
      <c r="AM804" t="s">
        <v>52</v>
      </c>
      <c r="AN804" t="s">
        <v>53</v>
      </c>
    </row>
    <row r="805" spans="1:40">
      <c r="A805" t="s">
        <v>2370</v>
      </c>
      <c r="B805" t="s">
        <v>3137</v>
      </c>
      <c r="C805" t="s">
        <v>1502</v>
      </c>
      <c r="D805" t="s">
        <v>52</v>
      </c>
      <c r="E805" t="s">
        <v>3138</v>
      </c>
      <c r="F805" t="s">
        <v>95</v>
      </c>
      <c r="G805" t="str">
        <f>HYPERLINK("https://twitter.com/777554228504133632/status/1143323907669336064")</f>
        <v>https://twitter.com/777554228504133632/status/1143323907669336064</v>
      </c>
      <c r="H805" t="s">
        <v>46</v>
      </c>
      <c r="I805" t="s">
        <v>3139</v>
      </c>
      <c r="J805" t="str">
        <f>HYPERLINK("http://twitter.com/vankelug")</f>
        <v>http://twitter.com/vankelug</v>
      </c>
      <c r="K805">
        <v>59</v>
      </c>
      <c r="N805" t="s">
        <v>65</v>
      </c>
      <c r="R805" t="s">
        <v>60</v>
      </c>
      <c r="S805" t="s">
        <v>2187</v>
      </c>
      <c r="W805">
        <v>1</v>
      </c>
      <c r="X805">
        <v>1</v>
      </c>
      <c r="AE805">
        <v>0</v>
      </c>
      <c r="AF805">
        <v>0</v>
      </c>
      <c r="AI805" t="s">
        <v>52</v>
      </c>
      <c r="AJ805" t="s">
        <v>52</v>
      </c>
      <c r="AK805" t="s">
        <v>52</v>
      </c>
      <c r="AL805" t="str">
        <f>HYPERLINK("https://pbs.twimg.com/media/D93nCDLW4AAXfZy.jpg")</f>
        <v>https://pbs.twimg.com/media/D93nCDLW4AAXfZy.jpg</v>
      </c>
      <c r="AM805" t="s">
        <v>52</v>
      </c>
      <c r="AN805" t="s">
        <v>53</v>
      </c>
    </row>
    <row r="806" spans="1:40">
      <c r="A806" t="s">
        <v>2370</v>
      </c>
      <c r="B806" t="s">
        <v>3137</v>
      </c>
      <c r="C806" t="s">
        <v>3070</v>
      </c>
      <c r="D806" t="s">
        <v>52</v>
      </c>
      <c r="E806" t="s">
        <v>3140</v>
      </c>
      <c r="F806" t="s">
        <v>45</v>
      </c>
      <c r="G806" t="str">
        <f>HYPERLINK("https://www.instagram.com/p/BzHRUl0jeM-")</f>
        <v>https://www.instagram.com/p/BzHRUl0jeM-</v>
      </c>
      <c r="H806" t="s">
        <v>46</v>
      </c>
      <c r="I806" t="s">
        <v>3141</v>
      </c>
      <c r="J806" t="str">
        <f>HYPERLINK("http://instagram.com/maxymgosselin")</f>
        <v>http://instagram.com/maxymgosselin</v>
      </c>
      <c r="K806">
        <v>64</v>
      </c>
      <c r="L806" t="s">
        <v>48</v>
      </c>
      <c r="N806" t="s">
        <v>59</v>
      </c>
      <c r="O806" t="s">
        <v>3141</v>
      </c>
      <c r="P806" t="str">
        <f>HYPERLINK("http://instagram.com/maxymgosselin")</f>
        <v>http://instagram.com/maxymgosselin</v>
      </c>
      <c r="Q806">
        <v>64</v>
      </c>
      <c r="R806" t="s">
        <v>60</v>
      </c>
      <c r="W806">
        <v>4</v>
      </c>
      <c r="X806">
        <v>4</v>
      </c>
      <c r="AE806">
        <v>2</v>
      </c>
      <c r="AI806" t="s">
        <v>52</v>
      </c>
      <c r="AJ806" t="s">
        <v>52</v>
      </c>
      <c r="AK806" t="s">
        <v>581</v>
      </c>
      <c r="AL806" t="str">
        <f>HYPERLINK("https://www.instagram.com/p/BzHRUl0jeM-/media/?size=l")</f>
        <v>https://www.instagram.com/p/BzHRUl0jeM-/media/?size=l</v>
      </c>
      <c r="AM806" t="s">
        <v>52</v>
      </c>
      <c r="AN806" t="s">
        <v>53</v>
      </c>
    </row>
    <row r="807" spans="1:40">
      <c r="A807" t="s">
        <v>2370</v>
      </c>
      <c r="B807" t="s">
        <v>3137</v>
      </c>
      <c r="C807" t="s">
        <v>3142</v>
      </c>
      <c r="D807" t="s">
        <v>52</v>
      </c>
      <c r="E807" t="s">
        <v>3143</v>
      </c>
      <c r="F807" t="s">
        <v>45</v>
      </c>
      <c r="G807" t="str">
        <f>HYPERLINK("https://www.instagram.com/p/BzEuM1RnwK2")</f>
        <v>https://www.instagram.com/p/BzEuM1RnwK2</v>
      </c>
      <c r="H807" t="s">
        <v>46</v>
      </c>
      <c r="I807" t="s">
        <v>3144</v>
      </c>
      <c r="J807" t="str">
        <f>HYPERLINK("http://instagram.com/uncle_rich_dick")</f>
        <v>http://instagram.com/uncle_rich_dick</v>
      </c>
      <c r="K807">
        <v>7</v>
      </c>
      <c r="N807" t="s">
        <v>59</v>
      </c>
      <c r="O807" t="s">
        <v>3144</v>
      </c>
      <c r="P807" t="str">
        <f>HYPERLINK("http://instagram.com/uncle_rich_dick")</f>
        <v>http://instagram.com/uncle_rich_dick</v>
      </c>
      <c r="Q807">
        <v>7</v>
      </c>
      <c r="R807" t="s">
        <v>60</v>
      </c>
      <c r="W807">
        <v>1</v>
      </c>
      <c r="X807">
        <v>1</v>
      </c>
      <c r="AE807">
        <v>0</v>
      </c>
      <c r="AG807">
        <v>1</v>
      </c>
      <c r="AI807" t="s">
        <v>52</v>
      </c>
      <c r="AJ807" t="s">
        <v>2277</v>
      </c>
      <c r="AK807" t="s">
        <v>52</v>
      </c>
      <c r="AL807" t="str">
        <f>HYPERLINK("https://www.instagram.com/p/BzEuM1RnwK2/media/?size=l")</f>
        <v>https://www.instagram.com/p/BzEuM1RnwK2/media/?size=l</v>
      </c>
      <c r="AM807" t="s">
        <v>52</v>
      </c>
      <c r="AN807" t="s">
        <v>53</v>
      </c>
    </row>
    <row r="808" spans="1:40">
      <c r="A808" t="s">
        <v>2370</v>
      </c>
      <c r="B808" t="s">
        <v>3137</v>
      </c>
      <c r="C808" t="s">
        <v>3145</v>
      </c>
      <c r="D808" t="s">
        <v>52</v>
      </c>
      <c r="E808" t="s">
        <v>599</v>
      </c>
      <c r="F808" t="s">
        <v>131</v>
      </c>
      <c r="G808" t="str">
        <f>HYPERLINK("https://twitter.com/1051387140/status/1143323691368906752")</f>
        <v>https://twitter.com/1051387140/status/1143323691368906752</v>
      </c>
      <c r="H808" t="s">
        <v>46</v>
      </c>
      <c r="I808" t="s">
        <v>3146</v>
      </c>
      <c r="J808" t="str">
        <f>HYPERLINK("http://twitter.com/YourBoyAntny")</f>
        <v>http://twitter.com/YourBoyAntny</v>
      </c>
      <c r="K808">
        <v>64</v>
      </c>
      <c r="N808" t="s">
        <v>65</v>
      </c>
      <c r="R808" t="s">
        <v>60</v>
      </c>
      <c r="S808" t="s">
        <v>51</v>
      </c>
      <c r="T808" t="s">
        <v>173</v>
      </c>
      <c r="U808" t="s">
        <v>1214</v>
      </c>
      <c r="W808">
        <v>0</v>
      </c>
      <c r="X808">
        <v>0</v>
      </c>
      <c r="AE808">
        <v>0</v>
      </c>
      <c r="AI808" t="s">
        <v>108</v>
      </c>
      <c r="AJ808" t="s">
        <v>52</v>
      </c>
      <c r="AK808" t="s">
        <v>601</v>
      </c>
      <c r="AL808" t="str">
        <f>HYPERLINK("https://pbs.twimg.com/ext_tw_video_thumb/1143202185154584581/pu/img/K72qfBH8zIdbiUf-.jpg")</f>
        <v>https://pbs.twimg.com/ext_tw_video_thumb/1143202185154584581/pu/img/K72qfBH8zIdbiUf-.jpg</v>
      </c>
      <c r="AM808" t="s">
        <v>52</v>
      </c>
      <c r="AN808" t="s">
        <v>53</v>
      </c>
    </row>
    <row r="809" spans="1:40">
      <c r="A809" t="s">
        <v>2370</v>
      </c>
      <c r="B809" t="s">
        <v>3147</v>
      </c>
      <c r="C809" t="s">
        <v>3148</v>
      </c>
      <c r="D809" t="s">
        <v>52</v>
      </c>
      <c r="E809" t="s">
        <v>3149</v>
      </c>
      <c r="F809" t="s">
        <v>131</v>
      </c>
      <c r="G809" t="str">
        <f>HYPERLINK("https://twitter.com/874429385893445634/status/1143323348522479616")</f>
        <v>https://twitter.com/874429385893445634/status/1143323348522479616</v>
      </c>
      <c r="H809" t="s">
        <v>46</v>
      </c>
      <c r="I809" t="s">
        <v>3150</v>
      </c>
      <c r="J809" t="str">
        <f>HYPERLINK("http://twitter.com/Jojothecoco2")</f>
        <v>http://twitter.com/Jojothecoco2</v>
      </c>
      <c r="K809">
        <v>8</v>
      </c>
      <c r="N809" t="s">
        <v>65</v>
      </c>
      <c r="R809" t="s">
        <v>60</v>
      </c>
      <c r="S809" t="s">
        <v>51</v>
      </c>
      <c r="W809">
        <v>0</v>
      </c>
      <c r="X809">
        <v>0</v>
      </c>
      <c r="AE809">
        <v>0</v>
      </c>
      <c r="AM809" t="s">
        <v>52</v>
      </c>
      <c r="AN809" t="s">
        <v>53</v>
      </c>
    </row>
    <row r="810" spans="1:40">
      <c r="A810" t="s">
        <v>2370</v>
      </c>
      <c r="B810" t="s">
        <v>3151</v>
      </c>
      <c r="C810" t="s">
        <v>3152</v>
      </c>
      <c r="D810" t="s">
        <v>52</v>
      </c>
      <c r="E810" t="s">
        <v>3153</v>
      </c>
      <c r="F810" t="s">
        <v>71</v>
      </c>
      <c r="G810" t="str">
        <f>HYPERLINK("https://twitter.com/968679307294883840/status/1143323060088369152")</f>
        <v>https://twitter.com/968679307294883840/status/1143323060088369152</v>
      </c>
      <c r="H810" t="s">
        <v>215</v>
      </c>
      <c r="I810" t="s">
        <v>3154</v>
      </c>
      <c r="J810" t="str">
        <f>HYPERLINK("http://twitter.com/frckindoritos")</f>
        <v>http://twitter.com/frckindoritos</v>
      </c>
      <c r="K810">
        <v>190</v>
      </c>
      <c r="N810" t="s">
        <v>65</v>
      </c>
      <c r="R810" t="s">
        <v>60</v>
      </c>
      <c r="W810">
        <v>0</v>
      </c>
      <c r="X810">
        <v>0</v>
      </c>
      <c r="AE810">
        <v>1</v>
      </c>
      <c r="AF810">
        <v>0</v>
      </c>
      <c r="AI810" t="s">
        <v>52</v>
      </c>
      <c r="AJ810" t="s">
        <v>52</v>
      </c>
      <c r="AK810" t="s">
        <v>52</v>
      </c>
      <c r="AL810" t="str">
        <f>HYPERLINK("https://pbs.twimg.com/media/D93HnspUYAAE577.jpg")</f>
        <v>https://pbs.twimg.com/media/D93HnspUYAAE577.jpg</v>
      </c>
      <c r="AM810" t="s">
        <v>52</v>
      </c>
      <c r="AN810" t="s">
        <v>53</v>
      </c>
    </row>
    <row r="811" spans="1:40">
      <c r="A811" t="s">
        <v>2370</v>
      </c>
      <c r="B811" t="s">
        <v>3151</v>
      </c>
      <c r="C811" t="s">
        <v>3155</v>
      </c>
      <c r="D811" t="s">
        <v>52</v>
      </c>
      <c r="E811" t="s">
        <v>3156</v>
      </c>
      <c r="F811" t="s">
        <v>45</v>
      </c>
      <c r="G811" t="str">
        <f>HYPERLINK("https://www.instagram.com/p/BzHQ_SsFyhm")</f>
        <v>https://www.instagram.com/p/BzHQ_SsFyhm</v>
      </c>
      <c r="H811" t="s">
        <v>46</v>
      </c>
      <c r="I811" t="s">
        <v>3157</v>
      </c>
      <c r="J811" t="str">
        <f>HYPERLINK("http://instagram.com/aaronmarshallofficial")</f>
        <v>http://instagram.com/aaronmarshallofficial</v>
      </c>
      <c r="K811">
        <v>133</v>
      </c>
      <c r="L811" t="s">
        <v>48</v>
      </c>
      <c r="N811" t="s">
        <v>59</v>
      </c>
      <c r="O811" t="s">
        <v>3157</v>
      </c>
      <c r="P811" t="str">
        <f>HYPERLINK("http://instagram.com/aaronmarshallofficial")</f>
        <v>http://instagram.com/aaronmarshallofficial</v>
      </c>
      <c r="Q811">
        <v>133</v>
      </c>
      <c r="R811" t="s">
        <v>60</v>
      </c>
      <c r="W811">
        <v>7</v>
      </c>
      <c r="X811">
        <v>7</v>
      </c>
      <c r="AE811">
        <v>0</v>
      </c>
      <c r="AG811">
        <v>36</v>
      </c>
      <c r="AI811" t="s">
        <v>52</v>
      </c>
      <c r="AJ811" t="s">
        <v>3158</v>
      </c>
      <c r="AK811" t="s">
        <v>52</v>
      </c>
      <c r="AL811" t="str">
        <f>HYPERLINK("https://www.instagram.com/p/BzHQ_SsFyhm/media/?size=l")</f>
        <v>https://www.instagram.com/p/BzHQ_SsFyhm/media/?size=l</v>
      </c>
      <c r="AM811" t="s">
        <v>52</v>
      </c>
      <c r="AN811" t="s">
        <v>53</v>
      </c>
    </row>
    <row r="812" spans="1:40">
      <c r="A812" t="s">
        <v>2370</v>
      </c>
      <c r="B812" t="s">
        <v>3151</v>
      </c>
      <c r="C812" t="s">
        <v>3142</v>
      </c>
      <c r="D812" t="s">
        <v>52</v>
      </c>
      <c r="E812" t="s">
        <v>599</v>
      </c>
      <c r="F812" t="s">
        <v>131</v>
      </c>
      <c r="G812" t="str">
        <f>HYPERLINK("https://twitter.com/878169573190582272/status/1143322983533907968")</f>
        <v>https://twitter.com/878169573190582272/status/1143322983533907968</v>
      </c>
      <c r="H812" t="s">
        <v>46</v>
      </c>
      <c r="I812" t="s">
        <v>3159</v>
      </c>
      <c r="J812" t="str">
        <f>HYPERLINK("http://twitter.com/Falkryd")</f>
        <v>http://twitter.com/Falkryd</v>
      </c>
      <c r="K812">
        <v>2</v>
      </c>
      <c r="N812" t="s">
        <v>65</v>
      </c>
      <c r="R812" t="s">
        <v>60</v>
      </c>
      <c r="W812">
        <v>0</v>
      </c>
      <c r="X812">
        <v>0</v>
      </c>
      <c r="AE812">
        <v>0</v>
      </c>
      <c r="AI812" t="s">
        <v>108</v>
      </c>
      <c r="AJ812" t="s">
        <v>52</v>
      </c>
      <c r="AK812" t="s">
        <v>601</v>
      </c>
      <c r="AL812" t="str">
        <f>HYPERLINK("https://pbs.twimg.com/ext_tw_video_thumb/1143202185154584581/pu/img/K72qfBH8zIdbiUf-.jpg")</f>
        <v>https://pbs.twimg.com/ext_tw_video_thumb/1143202185154584581/pu/img/K72qfBH8zIdbiUf-.jpg</v>
      </c>
      <c r="AM812" t="s">
        <v>52</v>
      </c>
      <c r="AN812" t="s">
        <v>53</v>
      </c>
    </row>
    <row r="813" spans="1:40">
      <c r="A813" t="s">
        <v>2370</v>
      </c>
      <c r="B813" t="s">
        <v>3160</v>
      </c>
      <c r="C813" t="s">
        <v>3161</v>
      </c>
      <c r="D813" t="s">
        <v>3162</v>
      </c>
      <c r="E813" t="s">
        <v>3163</v>
      </c>
      <c r="F813" t="s">
        <v>45</v>
      </c>
      <c r="G813" t="str">
        <f>HYPERLINK("https://pastebin.com/42MCTc0p")</f>
        <v>https://pastebin.com/42MCTc0p</v>
      </c>
      <c r="H813" t="s">
        <v>46</v>
      </c>
      <c r="I813" t="s">
        <v>3164</v>
      </c>
      <c r="J813" t="str">
        <f>HYPERLINK("https://pastebin.com/42MCTc0p")</f>
        <v>https://pastebin.com/42MCTc0p</v>
      </c>
      <c r="N813" t="s">
        <v>3165</v>
      </c>
      <c r="R813" t="s">
        <v>50</v>
      </c>
      <c r="S813" t="s">
        <v>51</v>
      </c>
      <c r="AM813" t="s">
        <v>52</v>
      </c>
      <c r="AN813" t="s">
        <v>53</v>
      </c>
    </row>
    <row r="814" spans="1:40">
      <c r="A814" t="s">
        <v>2370</v>
      </c>
      <c r="B814" t="s">
        <v>3166</v>
      </c>
      <c r="C814" t="s">
        <v>3155</v>
      </c>
      <c r="D814" t="s">
        <v>52</v>
      </c>
      <c r="E814" t="s">
        <v>3167</v>
      </c>
      <c r="F814" t="s">
        <v>45</v>
      </c>
      <c r="G814" t="str">
        <f>HYPERLINK("https://www.instagram.com/p/BzHQr8KBbwU")</f>
        <v>https://www.instagram.com/p/BzHQr8KBbwU</v>
      </c>
      <c r="H814" t="s">
        <v>46</v>
      </c>
      <c r="I814" t="s">
        <v>3168</v>
      </c>
      <c r="J814" t="str">
        <f>HYPERLINK("http://instagram.com/heydocwatchthis")</f>
        <v>http://instagram.com/heydocwatchthis</v>
      </c>
      <c r="K814">
        <v>863</v>
      </c>
      <c r="N814" t="s">
        <v>59</v>
      </c>
      <c r="O814" t="s">
        <v>3168</v>
      </c>
      <c r="P814" t="str">
        <f>HYPERLINK("http://instagram.com/heydocwatchthis")</f>
        <v>http://instagram.com/heydocwatchthis</v>
      </c>
      <c r="Q814">
        <v>863</v>
      </c>
      <c r="R814" t="s">
        <v>60</v>
      </c>
      <c r="S814" t="s">
        <v>51</v>
      </c>
      <c r="W814">
        <v>13</v>
      </c>
      <c r="X814">
        <v>13</v>
      </c>
      <c r="AE814">
        <v>0</v>
      </c>
      <c r="AI814" t="s">
        <v>52</v>
      </c>
      <c r="AJ814" t="s">
        <v>659</v>
      </c>
      <c r="AK814" t="s">
        <v>52</v>
      </c>
      <c r="AL814" t="str">
        <f>HYPERLINK("https://www.instagram.com/p/BzHQr8KBbwU/media/?size=l")</f>
        <v>https://www.instagram.com/p/BzHQr8KBbwU/media/?size=l</v>
      </c>
      <c r="AM814" t="s">
        <v>52</v>
      </c>
      <c r="AN814" t="s">
        <v>53</v>
      </c>
    </row>
    <row r="815" spans="1:40">
      <c r="A815" t="s">
        <v>2370</v>
      </c>
      <c r="B815" t="s">
        <v>3169</v>
      </c>
      <c r="C815" t="s">
        <v>1950</v>
      </c>
      <c r="D815" t="s">
        <v>52</v>
      </c>
      <c r="E815" t="s">
        <v>3170</v>
      </c>
      <c r="F815" t="s">
        <v>45</v>
      </c>
      <c r="G815" t="str">
        <f>HYPERLINK("https://www.instagram.com/p/BzHQig1FKLw")</f>
        <v>https://www.instagram.com/p/BzHQig1FKLw</v>
      </c>
      <c r="H815" t="s">
        <v>46</v>
      </c>
      <c r="I815" t="s">
        <v>3171</v>
      </c>
      <c r="J815" t="str">
        <f>HYPERLINK("http://instagram.com/pbandjkaylaww")</f>
        <v>http://instagram.com/pbandjkaylaww</v>
      </c>
      <c r="K815">
        <v>20</v>
      </c>
      <c r="N815" t="s">
        <v>59</v>
      </c>
      <c r="O815" t="s">
        <v>3171</v>
      </c>
      <c r="P815" t="str">
        <f>HYPERLINK("http://instagram.com/pbandjkaylaww")</f>
        <v>http://instagram.com/pbandjkaylaww</v>
      </c>
      <c r="Q815">
        <v>20</v>
      </c>
      <c r="R815" t="s">
        <v>60</v>
      </c>
      <c r="W815">
        <v>16</v>
      </c>
      <c r="X815">
        <v>16</v>
      </c>
      <c r="AE815">
        <v>3</v>
      </c>
      <c r="AI815" t="s">
        <v>52</v>
      </c>
      <c r="AJ815" t="s">
        <v>3172</v>
      </c>
      <c r="AK815" t="s">
        <v>52</v>
      </c>
      <c r="AL815" t="str">
        <f>HYPERLINK("https://www.instagram.com/p/BzHQig1FKLw/media/?size=l")</f>
        <v>https://www.instagram.com/p/BzHQig1FKLw/media/?size=l</v>
      </c>
      <c r="AM815" t="s">
        <v>52</v>
      </c>
      <c r="AN815" t="s">
        <v>53</v>
      </c>
    </row>
    <row r="816" spans="1:40">
      <c r="A816" t="s">
        <v>2370</v>
      </c>
      <c r="B816" t="s">
        <v>3173</v>
      </c>
      <c r="C816" t="s">
        <v>3145</v>
      </c>
      <c r="D816" t="s">
        <v>1278</v>
      </c>
      <c r="E816" t="s">
        <v>3174</v>
      </c>
      <c r="F816" t="s">
        <v>45</v>
      </c>
      <c r="G816" t="str">
        <f>HYPERLINK("http://www.thedailyworld.com/life/legal-weeds-a-growing-danger-to-dogs-so-keep-your-canine-out-of-your-cannabis")</f>
        <v>http://www.thedailyworld.com/life/legal-weeds-a-growing-danger-to-dogs-so-keep-your-canine-out-of-your-cannabis</v>
      </c>
      <c r="H816" t="s">
        <v>46</v>
      </c>
      <c r="I816" t="s">
        <v>3175</v>
      </c>
      <c r="J816" t="str">
        <f>HYPERLINK("http://www.thedailyworld.com")</f>
        <v>http://www.thedailyworld.com</v>
      </c>
      <c r="N816" t="s">
        <v>3176</v>
      </c>
      <c r="R816" t="s">
        <v>357</v>
      </c>
      <c r="S816" t="s">
        <v>51</v>
      </c>
      <c r="AM816" t="s">
        <v>52</v>
      </c>
      <c r="AN816" t="s">
        <v>53</v>
      </c>
    </row>
    <row r="817" spans="1:40">
      <c r="A817" t="s">
        <v>2370</v>
      </c>
      <c r="B817" t="s">
        <v>3173</v>
      </c>
      <c r="C817" t="s">
        <v>3177</v>
      </c>
      <c r="D817" t="s">
        <v>52</v>
      </c>
      <c r="E817" t="s">
        <v>3178</v>
      </c>
      <c r="F817" t="s">
        <v>45</v>
      </c>
      <c r="G817" t="str">
        <f>HYPERLINK("https://twitter.com/984880395480117250/status/1143321710906740737")</f>
        <v>https://twitter.com/984880395480117250/status/1143321710906740737</v>
      </c>
      <c r="H817" t="s">
        <v>46</v>
      </c>
      <c r="I817" t="s">
        <v>3179</v>
      </c>
      <c r="J817" t="str">
        <f>HYPERLINK("http://twitter.com/OzziesChainz")</f>
        <v>http://twitter.com/OzziesChainz</v>
      </c>
      <c r="K817">
        <v>3326</v>
      </c>
      <c r="N817" t="s">
        <v>65</v>
      </c>
      <c r="R817" t="s">
        <v>60</v>
      </c>
      <c r="S817" t="s">
        <v>51</v>
      </c>
      <c r="T817" t="s">
        <v>160</v>
      </c>
      <c r="U817" t="s">
        <v>2658</v>
      </c>
      <c r="W817">
        <v>8</v>
      </c>
      <c r="X817">
        <v>8</v>
      </c>
      <c r="AE817">
        <v>0</v>
      </c>
      <c r="AF817">
        <v>0</v>
      </c>
      <c r="AM817" t="s">
        <v>52</v>
      </c>
      <c r="AN817" t="s">
        <v>53</v>
      </c>
    </row>
    <row r="818" spans="1:40">
      <c r="A818" t="s">
        <v>2370</v>
      </c>
      <c r="B818" t="s">
        <v>3180</v>
      </c>
      <c r="C818" t="s">
        <v>3181</v>
      </c>
      <c r="D818" t="s">
        <v>52</v>
      </c>
      <c r="E818" t="s">
        <v>599</v>
      </c>
      <c r="F818" t="s">
        <v>131</v>
      </c>
      <c r="G818" t="str">
        <f>HYPERLINK("https://twitter.com/961094997167747073/status/1143321305334206464")</f>
        <v>https://twitter.com/961094997167747073/status/1143321305334206464</v>
      </c>
      <c r="H818" t="s">
        <v>46</v>
      </c>
      <c r="I818" t="s">
        <v>3182</v>
      </c>
      <c r="J818" t="str">
        <f>HYPERLINK("http://twitter.com/walnugget")</f>
        <v>http://twitter.com/walnugget</v>
      </c>
      <c r="K818">
        <v>16</v>
      </c>
      <c r="N818" t="s">
        <v>65</v>
      </c>
      <c r="R818" t="s">
        <v>60</v>
      </c>
      <c r="S818" t="s">
        <v>444</v>
      </c>
      <c r="T818" t="s">
        <v>3183</v>
      </c>
      <c r="U818" t="s">
        <v>3184</v>
      </c>
      <c r="W818">
        <v>0</v>
      </c>
      <c r="X818">
        <v>0</v>
      </c>
      <c r="AE818">
        <v>0</v>
      </c>
      <c r="AI818" t="s">
        <v>108</v>
      </c>
      <c r="AJ818" t="s">
        <v>52</v>
      </c>
      <c r="AK818" t="s">
        <v>601</v>
      </c>
      <c r="AL818" t="str">
        <f>HYPERLINK("https://pbs.twimg.com/ext_tw_video_thumb/1143202185154584581/pu/img/K72qfBH8zIdbiUf-.jpg")</f>
        <v>https://pbs.twimg.com/ext_tw_video_thumb/1143202185154584581/pu/img/K72qfBH8zIdbiUf-.jpg</v>
      </c>
      <c r="AM818" t="s">
        <v>52</v>
      </c>
      <c r="AN818" t="s">
        <v>53</v>
      </c>
    </row>
    <row r="819" spans="1:40">
      <c r="A819" t="s">
        <v>2370</v>
      </c>
      <c r="B819" t="s">
        <v>3180</v>
      </c>
      <c r="C819" t="s">
        <v>3177</v>
      </c>
      <c r="D819" t="s">
        <v>52</v>
      </c>
      <c r="E819" t="s">
        <v>599</v>
      </c>
      <c r="F819" t="s">
        <v>131</v>
      </c>
      <c r="G819" t="str">
        <f>HYPERLINK("https://twitter.com/1024798817235988480/status/1143321286493581314")</f>
        <v>https://twitter.com/1024798817235988480/status/1143321286493581314</v>
      </c>
      <c r="H819" t="s">
        <v>46</v>
      </c>
      <c r="I819" t="s">
        <v>3185</v>
      </c>
      <c r="J819" t="str">
        <f>HYPERLINK("http://twitter.com/bbrperezjr")</f>
        <v>http://twitter.com/bbrperezjr</v>
      </c>
      <c r="K819">
        <v>239</v>
      </c>
      <c r="N819" t="s">
        <v>65</v>
      </c>
      <c r="R819" t="s">
        <v>60</v>
      </c>
      <c r="W819">
        <v>0</v>
      </c>
      <c r="X819">
        <v>0</v>
      </c>
      <c r="AE819">
        <v>0</v>
      </c>
      <c r="AI819" t="s">
        <v>108</v>
      </c>
      <c r="AJ819" t="s">
        <v>52</v>
      </c>
      <c r="AK819" t="s">
        <v>601</v>
      </c>
      <c r="AL819" t="str">
        <f>HYPERLINK("https://pbs.twimg.com/ext_tw_video_thumb/1143202185154584581/pu/img/K72qfBH8zIdbiUf-.jpg")</f>
        <v>https://pbs.twimg.com/ext_tw_video_thumb/1143202185154584581/pu/img/K72qfBH8zIdbiUf-.jpg</v>
      </c>
      <c r="AM819" t="s">
        <v>52</v>
      </c>
      <c r="AN819" t="s">
        <v>53</v>
      </c>
    </row>
    <row r="820" spans="1:40">
      <c r="A820" t="s">
        <v>2370</v>
      </c>
      <c r="B820" t="s">
        <v>3180</v>
      </c>
      <c r="C820" t="s">
        <v>3186</v>
      </c>
      <c r="D820" t="s">
        <v>52</v>
      </c>
      <c r="E820" t="s">
        <v>3187</v>
      </c>
      <c r="F820" t="s">
        <v>131</v>
      </c>
      <c r="G820" t="str">
        <f>HYPERLINK("https://twitter.com/910575181336317952/status/1143321243791306752")</f>
        <v>https://twitter.com/910575181336317952/status/1143321243791306752</v>
      </c>
      <c r="H820" t="s">
        <v>46</v>
      </c>
      <c r="I820" t="s">
        <v>3188</v>
      </c>
      <c r="J820" t="str">
        <f>HYPERLINK("http://twitter.com/SuitUpWardrobe")</f>
        <v>http://twitter.com/SuitUpWardrobe</v>
      </c>
      <c r="K820">
        <v>75</v>
      </c>
      <c r="N820" t="s">
        <v>65</v>
      </c>
      <c r="R820" t="s">
        <v>60</v>
      </c>
      <c r="W820">
        <v>0</v>
      </c>
      <c r="X820">
        <v>0</v>
      </c>
      <c r="AE820">
        <v>0</v>
      </c>
      <c r="AI820" t="s">
        <v>108</v>
      </c>
      <c r="AJ820" t="s">
        <v>52</v>
      </c>
      <c r="AK820" t="s">
        <v>52</v>
      </c>
      <c r="AL820" t="str">
        <f>HYPERLINK("https://pbs.twimg.com/tweet_video_thumb/D9hvNNzXUAATAS3.jpg")</f>
        <v>https://pbs.twimg.com/tweet_video_thumb/D9hvNNzXUAATAS3.jpg</v>
      </c>
      <c r="AM820" t="s">
        <v>52</v>
      </c>
      <c r="AN820" t="s">
        <v>53</v>
      </c>
    </row>
    <row r="821" spans="1:40">
      <c r="A821" t="s">
        <v>2370</v>
      </c>
      <c r="B821" t="s">
        <v>3189</v>
      </c>
      <c r="C821" t="s">
        <v>3190</v>
      </c>
      <c r="D821" t="s">
        <v>52</v>
      </c>
      <c r="E821" t="s">
        <v>3191</v>
      </c>
      <c r="F821" t="s">
        <v>45</v>
      </c>
      <c r="G821" t="str">
        <f>HYPERLINK("https://twitter.com/875169376269455361/status/1143321110961971208")</f>
        <v>https://twitter.com/875169376269455361/status/1143321110961971208</v>
      </c>
      <c r="H821" t="s">
        <v>46</v>
      </c>
      <c r="I821" t="s">
        <v>3192</v>
      </c>
      <c r="J821" t="str">
        <f>HYPERLINK("http://twitter.com/mercurymusings")</f>
        <v>http://twitter.com/mercurymusings</v>
      </c>
      <c r="K821">
        <v>2760</v>
      </c>
      <c r="N821" t="s">
        <v>65</v>
      </c>
      <c r="R821" t="s">
        <v>60</v>
      </c>
      <c r="S821" t="s">
        <v>51</v>
      </c>
      <c r="T821" t="s">
        <v>137</v>
      </c>
      <c r="W821">
        <v>0</v>
      </c>
      <c r="X821">
        <v>0</v>
      </c>
      <c r="AE821">
        <v>0</v>
      </c>
      <c r="AF821">
        <v>0</v>
      </c>
      <c r="AM821" t="s">
        <v>52</v>
      </c>
      <c r="AN821" t="s">
        <v>53</v>
      </c>
    </row>
    <row r="822" spans="1:40">
      <c r="A822" t="s">
        <v>2370</v>
      </c>
      <c r="B822" t="s">
        <v>3193</v>
      </c>
      <c r="C822" t="s">
        <v>3194</v>
      </c>
      <c r="D822" t="s">
        <v>52</v>
      </c>
      <c r="E822" t="s">
        <v>3195</v>
      </c>
      <c r="F822" t="s">
        <v>45</v>
      </c>
      <c r="G822" t="str">
        <f>HYPERLINK("https://twitter.com/809497579406950400/status/1143320798222008321")</f>
        <v>https://twitter.com/809497579406950400/status/1143320798222008321</v>
      </c>
      <c r="H822" t="s">
        <v>215</v>
      </c>
      <c r="I822" t="s">
        <v>3196</v>
      </c>
      <c r="J822" t="str">
        <f>HYPERLINK("http://twitter.com/SCREAM4STEVIE")</f>
        <v>http://twitter.com/SCREAM4STEVIE</v>
      </c>
      <c r="K822">
        <v>212</v>
      </c>
      <c r="N822" t="s">
        <v>65</v>
      </c>
      <c r="R822" t="s">
        <v>60</v>
      </c>
      <c r="W822">
        <v>0</v>
      </c>
      <c r="X822">
        <v>0</v>
      </c>
      <c r="AE822">
        <v>2</v>
      </c>
      <c r="AF822">
        <v>0</v>
      </c>
      <c r="AM822" t="s">
        <v>52</v>
      </c>
      <c r="AN822" t="s">
        <v>53</v>
      </c>
    </row>
    <row r="823" spans="1:40">
      <c r="A823" t="s">
        <v>2370</v>
      </c>
      <c r="B823" t="s">
        <v>3193</v>
      </c>
      <c r="C823" t="s">
        <v>1695</v>
      </c>
      <c r="D823" t="s">
        <v>2732</v>
      </c>
      <c r="E823" t="s">
        <v>3197</v>
      </c>
      <c r="F823" t="s">
        <v>45</v>
      </c>
      <c r="G823" t="str">
        <f>HYPERLINK("https://www.youtube.com/watch?v=pxaqAOUZ3P4")</f>
        <v>https://www.youtube.com/watch?v=pxaqAOUZ3P4</v>
      </c>
      <c r="H823" t="s">
        <v>46</v>
      </c>
      <c r="I823" t="s">
        <v>2735</v>
      </c>
      <c r="J823" t="str">
        <f>HYPERLINK("https://www.youtube.com/channel/UCbY3apgA8e1JIQMx8OBu83Q")</f>
        <v>https://www.youtube.com/channel/UCbY3apgA8e1JIQMx8OBu83Q</v>
      </c>
      <c r="K823">
        <v>22</v>
      </c>
      <c r="N823" t="s">
        <v>116</v>
      </c>
      <c r="O823" t="s">
        <v>2735</v>
      </c>
      <c r="P823" t="str">
        <f>HYPERLINK("https://www.youtube.com/channel/UCbY3apgA8e1JIQMx8OBu83Q")</f>
        <v>https://www.youtube.com/channel/UCbY3apgA8e1JIQMx8OBu83Q</v>
      </c>
      <c r="Q823">
        <v>22</v>
      </c>
      <c r="R823" t="s">
        <v>60</v>
      </c>
      <c r="W823">
        <v>2</v>
      </c>
      <c r="X823">
        <v>2</v>
      </c>
      <c r="AD823">
        <v>0</v>
      </c>
      <c r="AE823">
        <v>6</v>
      </c>
      <c r="AG823">
        <v>10</v>
      </c>
      <c r="AI823" t="s">
        <v>108</v>
      </c>
      <c r="AJ823" t="s">
        <v>458</v>
      </c>
      <c r="AK823" t="s">
        <v>110</v>
      </c>
      <c r="AL823" t="str">
        <f>HYPERLINK("https://i.ytimg.com/vi/pxaqAOUZ3P4/maxresdefault.jpg")</f>
        <v>https://i.ytimg.com/vi/pxaqAOUZ3P4/maxresdefault.jpg</v>
      </c>
      <c r="AM823" t="s">
        <v>52</v>
      </c>
      <c r="AN823" t="s">
        <v>53</v>
      </c>
    </row>
    <row r="824" spans="1:40">
      <c r="A824" t="s">
        <v>2370</v>
      </c>
      <c r="B824" t="s">
        <v>3193</v>
      </c>
      <c r="C824" t="s">
        <v>3198</v>
      </c>
      <c r="D824" t="s">
        <v>52</v>
      </c>
      <c r="E824" t="s">
        <v>3199</v>
      </c>
      <c r="F824" t="s">
        <v>45</v>
      </c>
      <c r="G824" t="str">
        <f>HYPERLINK("https://www.instagram.com/p/BzHP6dhHo2k")</f>
        <v>https://www.instagram.com/p/BzHP6dhHo2k</v>
      </c>
      <c r="H824" t="s">
        <v>46</v>
      </c>
      <c r="I824" t="s">
        <v>52</v>
      </c>
      <c r="J824" t="str">
        <f>HYPERLINK("http://instagram.com/meninaaxofc")</f>
        <v>http://instagram.com/meninaaxofc</v>
      </c>
      <c r="K824">
        <v>468</v>
      </c>
      <c r="N824" t="s">
        <v>59</v>
      </c>
      <c r="O824" t="s">
        <v>52</v>
      </c>
      <c r="P824" t="str">
        <f>HYPERLINK("http://instagram.com/meninaaxofc")</f>
        <v>http://instagram.com/meninaaxofc</v>
      </c>
      <c r="Q824">
        <v>468</v>
      </c>
      <c r="R824" t="s">
        <v>60</v>
      </c>
      <c r="W824">
        <v>14</v>
      </c>
      <c r="X824">
        <v>14</v>
      </c>
      <c r="AE824">
        <v>1</v>
      </c>
      <c r="AI824" t="s">
        <v>52</v>
      </c>
      <c r="AJ824" t="s">
        <v>659</v>
      </c>
      <c r="AK824" t="s">
        <v>52</v>
      </c>
      <c r="AL824" t="str">
        <f>HYPERLINK("https://www.instagram.com/p/BzHP6dhHo2k/media/?size=l")</f>
        <v>https://www.instagram.com/p/BzHP6dhHo2k/media/?size=l</v>
      </c>
      <c r="AM824" t="s">
        <v>52</v>
      </c>
      <c r="AN824" t="s">
        <v>53</v>
      </c>
    </row>
    <row r="825" spans="1:40">
      <c r="A825" t="s">
        <v>2370</v>
      </c>
      <c r="B825" t="s">
        <v>3200</v>
      </c>
      <c r="C825" t="s">
        <v>3194</v>
      </c>
      <c r="D825" t="s">
        <v>52</v>
      </c>
      <c r="E825" t="s">
        <v>577</v>
      </c>
      <c r="F825" t="s">
        <v>131</v>
      </c>
      <c r="G825" t="str">
        <f>HYPERLINK("https://twitter.com/873011407360585729/status/1143320601056153600")</f>
        <v>https://twitter.com/873011407360585729/status/1143320601056153600</v>
      </c>
      <c r="H825" t="s">
        <v>46</v>
      </c>
      <c r="I825" t="s">
        <v>3201</v>
      </c>
      <c r="J825" t="str">
        <f>HYPERLINK("http://twitter.com/erigominnie")</f>
        <v>http://twitter.com/erigominnie</v>
      </c>
      <c r="K825">
        <v>414</v>
      </c>
      <c r="N825" t="s">
        <v>65</v>
      </c>
      <c r="R825" t="s">
        <v>60</v>
      </c>
      <c r="S825" t="s">
        <v>432</v>
      </c>
      <c r="T825" t="s">
        <v>433</v>
      </c>
      <c r="W825">
        <v>0</v>
      </c>
      <c r="X825">
        <v>0</v>
      </c>
      <c r="AE825">
        <v>0</v>
      </c>
      <c r="AI825" t="s">
        <v>52</v>
      </c>
      <c r="AJ825" t="s">
        <v>52</v>
      </c>
      <c r="AK825" t="s">
        <v>581</v>
      </c>
      <c r="AL825" t="str">
        <f>HYPERLINK("https://pbs.twimg.com/ext_tw_video_thumb/1142915685863108608/pu/img/WRlHL3RIvWqv0H2N.jpg")</f>
        <v>https://pbs.twimg.com/ext_tw_video_thumb/1142915685863108608/pu/img/WRlHL3RIvWqv0H2N.jpg</v>
      </c>
      <c r="AM825" t="s">
        <v>52</v>
      </c>
      <c r="AN825" t="s">
        <v>53</v>
      </c>
    </row>
    <row r="826" spans="1:40">
      <c r="A826" t="s">
        <v>2370</v>
      </c>
      <c r="B826" t="s">
        <v>3202</v>
      </c>
      <c r="C826" t="s">
        <v>2666</v>
      </c>
      <c r="D826" t="s">
        <v>3203</v>
      </c>
      <c r="E826" t="s">
        <v>3203</v>
      </c>
      <c r="F826" t="s">
        <v>45</v>
      </c>
      <c r="G826" t="str">
        <f>HYPERLINK("https://www.youtube.com/watch?v=4PySKtlO8lE")</f>
        <v>https://www.youtube.com/watch?v=4PySKtlO8lE</v>
      </c>
      <c r="H826" t="s">
        <v>91</v>
      </c>
      <c r="I826" t="s">
        <v>3204</v>
      </c>
      <c r="J826" t="str">
        <f>HYPERLINK("https://www.youtube.com/channel/UCd7mXkCXwKs6iT4vd2OPKgA")</f>
        <v>https://www.youtube.com/channel/UCd7mXkCXwKs6iT4vd2OPKgA</v>
      </c>
      <c r="K826">
        <v>1</v>
      </c>
      <c r="N826" t="s">
        <v>116</v>
      </c>
      <c r="O826" t="s">
        <v>3204</v>
      </c>
      <c r="P826" t="str">
        <f>HYPERLINK("https://www.youtube.com/channel/UCd7mXkCXwKs6iT4vd2OPKgA")</f>
        <v>https://www.youtube.com/channel/UCd7mXkCXwKs6iT4vd2OPKgA</v>
      </c>
      <c r="Q826">
        <v>1</v>
      </c>
      <c r="R826" t="s">
        <v>60</v>
      </c>
      <c r="W826">
        <v>0</v>
      </c>
      <c r="X826">
        <v>0</v>
      </c>
      <c r="AD826">
        <v>0</v>
      </c>
      <c r="AE826">
        <v>0</v>
      </c>
      <c r="AG826">
        <v>5</v>
      </c>
      <c r="AI826" t="s">
        <v>52</v>
      </c>
      <c r="AJ826" t="s">
        <v>52</v>
      </c>
      <c r="AK826" t="s">
        <v>52</v>
      </c>
      <c r="AL826" t="str">
        <f>HYPERLINK("https://i.ytimg.com/vi/4PySKtlO8lE/maxresdefault.jpg")</f>
        <v>https://i.ytimg.com/vi/4PySKtlO8lE/maxresdefault.jpg</v>
      </c>
      <c r="AM826" t="s">
        <v>52</v>
      </c>
      <c r="AN826" t="s">
        <v>53</v>
      </c>
    </row>
    <row r="827" spans="1:40">
      <c r="A827" t="s">
        <v>2370</v>
      </c>
      <c r="B827" t="s">
        <v>3205</v>
      </c>
      <c r="C827" t="s">
        <v>3206</v>
      </c>
      <c r="D827" t="s">
        <v>52</v>
      </c>
      <c r="E827" t="s">
        <v>3207</v>
      </c>
      <c r="F827" t="s">
        <v>45</v>
      </c>
      <c r="G827" t="str">
        <f>HYPERLINK("https://www.instagram.com/p/BzHPb2rlkcq")</f>
        <v>https://www.instagram.com/p/BzHPb2rlkcq</v>
      </c>
      <c r="H827" t="s">
        <v>46</v>
      </c>
      <c r="I827" t="s">
        <v>3208</v>
      </c>
      <c r="J827" t="str">
        <f>HYPERLINK("http://instagram.com/big_sid_1")</f>
        <v>http://instagram.com/big_sid_1</v>
      </c>
      <c r="K827">
        <v>20</v>
      </c>
      <c r="L827" t="s">
        <v>48</v>
      </c>
      <c r="N827" t="s">
        <v>59</v>
      </c>
      <c r="O827" t="s">
        <v>3208</v>
      </c>
      <c r="P827" t="str">
        <f>HYPERLINK("http://instagram.com/big_sid_1")</f>
        <v>http://instagram.com/big_sid_1</v>
      </c>
      <c r="Q827">
        <v>20</v>
      </c>
      <c r="R827" t="s">
        <v>60</v>
      </c>
      <c r="W827">
        <v>22</v>
      </c>
      <c r="X827">
        <v>22</v>
      </c>
      <c r="AE827">
        <v>1</v>
      </c>
      <c r="AG827">
        <v>10</v>
      </c>
      <c r="AI827" t="s">
        <v>52</v>
      </c>
      <c r="AJ827" t="s">
        <v>52</v>
      </c>
      <c r="AK827" t="s">
        <v>110</v>
      </c>
      <c r="AL827" t="str">
        <f>HYPERLINK("https://www.instagram.com/p/BzHPb2rlkcq/media/?size=l")</f>
        <v>https://www.instagram.com/p/BzHPb2rlkcq/media/?size=l</v>
      </c>
      <c r="AM827" t="s">
        <v>52</v>
      </c>
      <c r="AN827" t="s">
        <v>53</v>
      </c>
    </row>
    <row r="828" spans="1:40">
      <c r="A828" t="s">
        <v>2370</v>
      </c>
      <c r="B828" t="s">
        <v>3209</v>
      </c>
      <c r="C828" t="s">
        <v>1292</v>
      </c>
      <c r="D828" t="s">
        <v>52</v>
      </c>
      <c r="E828" t="s">
        <v>3210</v>
      </c>
      <c r="F828" t="s">
        <v>45</v>
      </c>
      <c r="G828" t="str">
        <f>HYPERLINK("https://www.facebook.com/173767045978105/posts/2353626287992159")</f>
        <v>https://www.facebook.com/173767045978105/posts/2353626287992159</v>
      </c>
      <c r="H828" t="s">
        <v>215</v>
      </c>
      <c r="I828" t="s">
        <v>3211</v>
      </c>
      <c r="J828" t="str">
        <f>HYPERLINK("https://www.facebook.com/173767045978105")</f>
        <v>https://www.facebook.com/173767045978105</v>
      </c>
      <c r="K828">
        <v>9291</v>
      </c>
      <c r="L828" t="s">
        <v>651</v>
      </c>
      <c r="N828" t="s">
        <v>1792</v>
      </c>
      <c r="O828" t="s">
        <v>3211</v>
      </c>
      <c r="P828" t="str">
        <f>HYPERLINK("https://www.facebook.com/173767045978105")</f>
        <v>https://www.facebook.com/173767045978105</v>
      </c>
      <c r="Q828">
        <v>9291</v>
      </c>
      <c r="R828" t="s">
        <v>60</v>
      </c>
      <c r="S828" t="s">
        <v>51</v>
      </c>
      <c r="W828">
        <v>43</v>
      </c>
      <c r="X828">
        <v>43</v>
      </c>
      <c r="AE828">
        <v>22</v>
      </c>
      <c r="AF828">
        <v>2</v>
      </c>
      <c r="AI828" t="s">
        <v>108</v>
      </c>
      <c r="AJ828" t="s">
        <v>659</v>
      </c>
      <c r="AK828" t="s">
        <v>52</v>
      </c>
      <c r="AL828" t="str">
        <f>HYPERLINK("https://scontent.xx.fbcdn.net/v/t1.0-9/s720x720/65158609_2353626271325494_1345564922569818112_o.jpg?_nc_cat=101&amp;_nc_oc=AQlFPDB21ynB0p7c5pjFwyYSXfxUKL8gRf4tJqDvsBx39WT5PdFYmSmxMSusuyHNYS8&amp;_nc_ht=scontent.xx&amp;oh=20868ed1308eb9420536316d3aed8bb2&amp;oe=5DBF099C")</f>
        <v>https://scontent.xx.fbcdn.net/v/t1.0-9/s720x720/65158609_2353626271325494_1345564922569818112_o.jpg?_nc_cat=101&amp;_nc_oc=AQlFPDB21ynB0p7c5pjFwyYSXfxUKL8gRf4tJqDvsBx39WT5PdFYmSmxMSusuyHNYS8&amp;_nc_ht=scontent.xx&amp;oh=20868ed1308eb9420536316d3aed8bb2&amp;oe=5DBF099C</v>
      </c>
      <c r="AM828" t="s">
        <v>52</v>
      </c>
      <c r="AN828" t="s">
        <v>53</v>
      </c>
    </row>
    <row r="829" spans="1:40">
      <c r="A829" t="s">
        <v>2370</v>
      </c>
      <c r="B829" t="s">
        <v>3212</v>
      </c>
      <c r="C829" t="s">
        <v>3198</v>
      </c>
      <c r="D829" t="s">
        <v>52</v>
      </c>
      <c r="E829" t="s">
        <v>3213</v>
      </c>
      <c r="F829" t="s">
        <v>45</v>
      </c>
      <c r="G829" t="str">
        <f>HYPERLINK("https://twitter.com/3253216656/status/1143319297214812160")</f>
        <v>https://twitter.com/3253216656/status/1143319297214812160</v>
      </c>
      <c r="H829" t="s">
        <v>215</v>
      </c>
      <c r="I829" t="s">
        <v>3214</v>
      </c>
      <c r="J829" t="str">
        <f>HYPERLINK("http://twitter.com/Travistty1")</f>
        <v>http://twitter.com/Travistty1</v>
      </c>
      <c r="K829">
        <v>42</v>
      </c>
      <c r="L829" t="s">
        <v>48</v>
      </c>
      <c r="N829" t="s">
        <v>65</v>
      </c>
      <c r="R829" t="s">
        <v>60</v>
      </c>
      <c r="S829" t="s">
        <v>51</v>
      </c>
      <c r="T829" t="s">
        <v>1657</v>
      </c>
      <c r="U829" t="s">
        <v>3215</v>
      </c>
      <c r="W829">
        <v>0</v>
      </c>
      <c r="X829">
        <v>0</v>
      </c>
      <c r="AE829">
        <v>0</v>
      </c>
      <c r="AF829">
        <v>0</v>
      </c>
      <c r="AM829" t="s">
        <v>52</v>
      </c>
      <c r="AN829" t="s">
        <v>53</v>
      </c>
    </row>
    <row r="830" spans="1:40">
      <c r="A830" t="s">
        <v>2370</v>
      </c>
      <c r="B830" t="s">
        <v>3212</v>
      </c>
      <c r="C830" t="s">
        <v>3216</v>
      </c>
      <c r="D830" t="s">
        <v>52</v>
      </c>
      <c r="E830" t="s">
        <v>3217</v>
      </c>
      <c r="F830" t="s">
        <v>71</v>
      </c>
      <c r="G830" t="str">
        <f>HYPERLINK("https://twitter.com/1109104288675098624/status/1143319255456395264")</f>
        <v>https://twitter.com/1109104288675098624/status/1143319255456395264</v>
      </c>
      <c r="H830" t="s">
        <v>46</v>
      </c>
      <c r="I830" t="s">
        <v>3218</v>
      </c>
      <c r="J830" t="str">
        <f>HYPERLINK("http://twitter.com/playxngwithfire")</f>
        <v>http://twitter.com/playxngwithfire</v>
      </c>
      <c r="K830">
        <v>26</v>
      </c>
      <c r="N830" t="s">
        <v>65</v>
      </c>
      <c r="R830" t="s">
        <v>60</v>
      </c>
      <c r="S830" t="s">
        <v>1322</v>
      </c>
      <c r="T830" t="s">
        <v>3219</v>
      </c>
      <c r="U830" t="s">
        <v>3220</v>
      </c>
      <c r="W830">
        <v>1</v>
      </c>
      <c r="X830">
        <v>1</v>
      </c>
      <c r="AE830">
        <v>0</v>
      </c>
      <c r="AF830">
        <v>0</v>
      </c>
      <c r="AM830" t="s">
        <v>52</v>
      </c>
      <c r="AN830" t="s">
        <v>53</v>
      </c>
    </row>
    <row r="831" spans="1:40">
      <c r="A831" t="s">
        <v>2370</v>
      </c>
      <c r="B831" t="s">
        <v>3212</v>
      </c>
      <c r="C831" t="s">
        <v>3206</v>
      </c>
      <c r="D831" t="s">
        <v>52</v>
      </c>
      <c r="E831" t="s">
        <v>3221</v>
      </c>
      <c r="F831" t="s">
        <v>131</v>
      </c>
      <c r="G831" t="str">
        <f>HYPERLINK("https://twitter.com/1109104288675098624/status/1143319177748451329")</f>
        <v>https://twitter.com/1109104288675098624/status/1143319177748451329</v>
      </c>
      <c r="H831" t="s">
        <v>46</v>
      </c>
      <c r="I831" t="s">
        <v>3218</v>
      </c>
      <c r="J831" t="str">
        <f>HYPERLINK("http://twitter.com/playxngwithfire")</f>
        <v>http://twitter.com/playxngwithfire</v>
      </c>
      <c r="K831">
        <v>26</v>
      </c>
      <c r="N831" t="s">
        <v>65</v>
      </c>
      <c r="R831" t="s">
        <v>60</v>
      </c>
      <c r="S831" t="s">
        <v>1322</v>
      </c>
      <c r="T831" t="s">
        <v>3219</v>
      </c>
      <c r="U831" t="s">
        <v>3220</v>
      </c>
      <c r="W831">
        <v>0</v>
      </c>
      <c r="X831">
        <v>0</v>
      </c>
      <c r="AE831">
        <v>0</v>
      </c>
      <c r="AM831" t="s">
        <v>52</v>
      </c>
      <c r="AN831" t="s">
        <v>53</v>
      </c>
    </row>
    <row r="832" spans="1:40">
      <c r="A832" t="s">
        <v>2370</v>
      </c>
      <c r="B832" t="s">
        <v>3222</v>
      </c>
      <c r="C832" t="s">
        <v>3223</v>
      </c>
      <c r="D832" t="s">
        <v>52</v>
      </c>
      <c r="E832" t="s">
        <v>3221</v>
      </c>
      <c r="F832" t="s">
        <v>95</v>
      </c>
      <c r="G832" t="str">
        <f>HYPERLINK("https://twitter.com/1018605320204103680/status/1143319058848407554")</f>
        <v>https://twitter.com/1018605320204103680/status/1143319058848407554</v>
      </c>
      <c r="H832" t="s">
        <v>46</v>
      </c>
      <c r="I832" t="s">
        <v>3224</v>
      </c>
      <c r="J832" t="str">
        <f>HYPERLINK("http://twitter.com/ACourtainOfRed")</f>
        <v>http://twitter.com/ACourtainOfRed</v>
      </c>
      <c r="K832">
        <v>6</v>
      </c>
      <c r="N832" t="s">
        <v>65</v>
      </c>
      <c r="R832" t="s">
        <v>60</v>
      </c>
      <c r="S832" t="s">
        <v>1322</v>
      </c>
      <c r="T832" t="s">
        <v>3219</v>
      </c>
      <c r="U832" t="s">
        <v>3220</v>
      </c>
      <c r="W832">
        <v>2</v>
      </c>
      <c r="X832">
        <v>2</v>
      </c>
      <c r="AE832">
        <v>0</v>
      </c>
      <c r="AF832">
        <v>1</v>
      </c>
      <c r="AM832" t="s">
        <v>52</v>
      </c>
      <c r="AN832" t="s">
        <v>53</v>
      </c>
    </row>
    <row r="833" spans="1:40">
      <c r="A833" t="s">
        <v>2370</v>
      </c>
      <c r="B833" t="s">
        <v>3222</v>
      </c>
      <c r="C833" t="s">
        <v>3223</v>
      </c>
      <c r="D833" t="s">
        <v>52</v>
      </c>
      <c r="E833" t="s">
        <v>3225</v>
      </c>
      <c r="F833" t="s">
        <v>131</v>
      </c>
      <c r="G833" t="str">
        <f>HYPERLINK("https://twitter.com/1047654852434612225/status/1143319036186382336")</f>
        <v>https://twitter.com/1047654852434612225/status/1143319036186382336</v>
      </c>
      <c r="H833" t="s">
        <v>46</v>
      </c>
      <c r="I833" t="s">
        <v>3226</v>
      </c>
      <c r="J833" t="str">
        <f>HYPERLINK("http://twitter.com/PROUDMERICANA")</f>
        <v>http://twitter.com/PROUDMERICANA</v>
      </c>
      <c r="K833">
        <v>1833</v>
      </c>
      <c r="N833" t="s">
        <v>65</v>
      </c>
      <c r="R833" t="s">
        <v>60</v>
      </c>
      <c r="S833" t="s">
        <v>51</v>
      </c>
      <c r="W833">
        <v>0</v>
      </c>
      <c r="X833">
        <v>0</v>
      </c>
      <c r="AE833">
        <v>0</v>
      </c>
      <c r="AM833" t="s">
        <v>52</v>
      </c>
      <c r="AN833" t="s">
        <v>53</v>
      </c>
    </row>
    <row r="834" spans="1:40">
      <c r="A834" t="s">
        <v>2370</v>
      </c>
      <c r="B834" t="s">
        <v>3222</v>
      </c>
      <c r="C834" t="s">
        <v>2666</v>
      </c>
      <c r="D834" t="s">
        <v>3227</v>
      </c>
      <c r="E834" t="s">
        <v>3227</v>
      </c>
      <c r="F834" t="s">
        <v>45</v>
      </c>
      <c r="G834" t="str">
        <f>HYPERLINK("https://www.youtube.com/watch?v=TT-jbNkI2iw")</f>
        <v>https://www.youtube.com/watch?v=TT-jbNkI2iw</v>
      </c>
      <c r="H834" t="s">
        <v>46</v>
      </c>
      <c r="I834" t="s">
        <v>3228</v>
      </c>
      <c r="J834" t="str">
        <f>HYPERLINK("https://www.youtube.com/channel/UCHMJYzmYyz4OEaa6MxHNYdw")</f>
        <v>https://www.youtube.com/channel/UCHMJYzmYyz4OEaa6MxHNYdw</v>
      </c>
      <c r="K834">
        <v>219</v>
      </c>
      <c r="L834" t="s">
        <v>48</v>
      </c>
      <c r="N834" t="s">
        <v>116</v>
      </c>
      <c r="O834" t="s">
        <v>3228</v>
      </c>
      <c r="P834" t="str">
        <f>HYPERLINK("https://www.youtube.com/channel/UCHMJYzmYyz4OEaa6MxHNYdw")</f>
        <v>https://www.youtube.com/channel/UCHMJYzmYyz4OEaa6MxHNYdw</v>
      </c>
      <c r="Q834">
        <v>219</v>
      </c>
      <c r="R834" t="s">
        <v>60</v>
      </c>
      <c r="S834" t="s">
        <v>51</v>
      </c>
      <c r="W834">
        <v>0</v>
      </c>
      <c r="X834">
        <v>0</v>
      </c>
      <c r="AD834">
        <v>0</v>
      </c>
      <c r="AE834">
        <v>0</v>
      </c>
      <c r="AG834">
        <v>1</v>
      </c>
      <c r="AI834" t="s">
        <v>52</v>
      </c>
      <c r="AJ834" t="s">
        <v>593</v>
      </c>
      <c r="AK834" t="s">
        <v>3229</v>
      </c>
      <c r="AL834" t="str">
        <f>HYPERLINK("https://i.ytimg.com/vi/TT-jbNkI2iw/hqdefault.jpg")</f>
        <v>https://i.ytimg.com/vi/TT-jbNkI2iw/hqdefault.jpg</v>
      </c>
      <c r="AM834" t="s">
        <v>52</v>
      </c>
      <c r="AN834" t="s">
        <v>53</v>
      </c>
    </row>
    <row r="835" spans="1:40">
      <c r="A835" t="s">
        <v>2370</v>
      </c>
      <c r="B835" t="s">
        <v>3230</v>
      </c>
      <c r="C835" t="s">
        <v>3216</v>
      </c>
      <c r="D835" t="s">
        <v>52</v>
      </c>
      <c r="E835" t="s">
        <v>3231</v>
      </c>
      <c r="F835" t="s">
        <v>45</v>
      </c>
      <c r="G835" t="str">
        <f>HYPERLINK("https://twitter.com/122834933/status/1143318687497302017")</f>
        <v>https://twitter.com/122834933/status/1143318687497302017</v>
      </c>
      <c r="H835" t="s">
        <v>46</v>
      </c>
      <c r="I835" t="s">
        <v>3232</v>
      </c>
      <c r="J835" t="str">
        <f>HYPERLINK("http://twitter.com/AntoTraversi")</f>
        <v>http://twitter.com/AntoTraversi</v>
      </c>
      <c r="K835">
        <v>234</v>
      </c>
      <c r="N835" t="s">
        <v>65</v>
      </c>
      <c r="R835" t="s">
        <v>60</v>
      </c>
      <c r="W835">
        <v>0</v>
      </c>
      <c r="X835">
        <v>0</v>
      </c>
      <c r="AE835">
        <v>0</v>
      </c>
      <c r="AF835">
        <v>0</v>
      </c>
      <c r="AM835" t="s">
        <v>52</v>
      </c>
      <c r="AN835" t="s">
        <v>53</v>
      </c>
    </row>
    <row r="836" spans="1:40">
      <c r="A836" t="s">
        <v>2370</v>
      </c>
      <c r="B836" t="s">
        <v>3233</v>
      </c>
      <c r="C836" t="s">
        <v>3145</v>
      </c>
      <c r="D836" t="s">
        <v>3234</v>
      </c>
      <c r="E836" t="s">
        <v>3235</v>
      </c>
      <c r="F836" t="s">
        <v>45</v>
      </c>
      <c r="G836" t="str">
        <f>HYPERLINK("https://forums.battlefield.com/en-us/discussion/188457/bfv-is-a-campy-try-hard-insta-death-bore/p17#Comment_1562747")</f>
        <v>https://forums.battlefield.com/en-us/discussion/188457/bfv-is-a-campy-try-hard-insta-death-bore/p17#Comment_1562747</v>
      </c>
      <c r="H836" t="s">
        <v>46</v>
      </c>
      <c r="I836" t="s">
        <v>3236</v>
      </c>
      <c r="J836" t="str">
        <f>HYPERLINK("https://forums.battlefield.com/en-us/discussion/188457/bfv-is-a-campy-try-hard-insta-death-bore/p17#Comment_1562747")</f>
        <v>https://forums.battlefield.com/en-us/discussion/188457/bfv-is-a-campy-try-hard-insta-death-bore/p17#Comment_1562747</v>
      </c>
      <c r="N836" t="s">
        <v>3237</v>
      </c>
      <c r="O836" t="s">
        <v>3238</v>
      </c>
      <c r="P836" t="str">
        <f>HYPERLINK("https://forums.battlefield.com/en-us/categories/battlefield-v-general-discussion")</f>
        <v>https://forums.battlefield.com/en-us/categories/battlefield-v-general-discussion</v>
      </c>
      <c r="R836" t="s">
        <v>516</v>
      </c>
      <c r="S836" t="s">
        <v>51</v>
      </c>
      <c r="AM836" t="s">
        <v>52</v>
      </c>
      <c r="AN836" t="s">
        <v>53</v>
      </c>
    </row>
    <row r="837" spans="1:40">
      <c r="A837" t="s">
        <v>2370</v>
      </c>
      <c r="B837" t="s">
        <v>3239</v>
      </c>
      <c r="C837" t="s">
        <v>3240</v>
      </c>
      <c r="D837" t="s">
        <v>3241</v>
      </c>
      <c r="E837" t="s">
        <v>3242</v>
      </c>
      <c r="F837" t="s">
        <v>45</v>
      </c>
      <c r="G837" t="str">
        <f>HYPERLINK("https://www.gtplanet.net/forum/threads/show-off-your-latest-purchase.95063/page-1064#post-12781493")</f>
        <v>https://www.gtplanet.net/forum/threads/show-off-your-latest-purchase.95063/page-1064#post-12781493</v>
      </c>
      <c r="H837" t="s">
        <v>46</v>
      </c>
      <c r="I837" t="s">
        <v>3243</v>
      </c>
      <c r="J837" t="str">
        <f>HYPERLINK("https://www.gtplanet.net/forum/threads/show-off-your-latest-purchase.95063/page-1064#post-12781493")</f>
        <v>https://www.gtplanet.net/forum/threads/show-off-your-latest-purchase.95063/page-1064#post-12781493</v>
      </c>
      <c r="N837" t="s">
        <v>3244</v>
      </c>
      <c r="O837" t="s">
        <v>3245</v>
      </c>
      <c r="P837" t="str">
        <f>HYPERLINK("https://www.gtplanet.net/forum/board/the-rumble-strip.4/")</f>
        <v>https://www.gtplanet.net/forum/board/the-rumble-strip.4/</v>
      </c>
      <c r="R837" t="s">
        <v>516</v>
      </c>
      <c r="S837" t="s">
        <v>51</v>
      </c>
      <c r="AM837" t="s">
        <v>52</v>
      </c>
      <c r="AN837" t="s">
        <v>53</v>
      </c>
    </row>
    <row r="838" spans="1:40">
      <c r="A838" t="s">
        <v>2370</v>
      </c>
      <c r="B838" t="s">
        <v>3246</v>
      </c>
      <c r="C838" t="s">
        <v>3247</v>
      </c>
      <c r="D838" t="s">
        <v>52</v>
      </c>
      <c r="E838" t="s">
        <v>3248</v>
      </c>
      <c r="F838" t="s">
        <v>45</v>
      </c>
      <c r="G838" t="str">
        <f>HYPERLINK("https://www.instagram.com/p/BzHOO8Ynb9M")</f>
        <v>https://www.instagram.com/p/BzHOO8Ynb9M</v>
      </c>
      <c r="H838" t="s">
        <v>46</v>
      </c>
      <c r="I838" t="s">
        <v>3249</v>
      </c>
      <c r="J838" t="str">
        <f>HYPERLINK("http://instagram.com/jamesonsown")</f>
        <v>http://instagram.com/jamesonsown</v>
      </c>
      <c r="K838">
        <v>511</v>
      </c>
      <c r="N838" t="s">
        <v>59</v>
      </c>
      <c r="O838" t="s">
        <v>3249</v>
      </c>
      <c r="P838" t="str">
        <f>HYPERLINK("http://instagram.com/jamesonsown")</f>
        <v>http://instagram.com/jamesonsown</v>
      </c>
      <c r="Q838">
        <v>511</v>
      </c>
      <c r="R838" t="s">
        <v>60</v>
      </c>
      <c r="S838" t="s">
        <v>444</v>
      </c>
      <c r="T838" t="s">
        <v>1062</v>
      </c>
      <c r="U838" t="s">
        <v>3250</v>
      </c>
      <c r="W838">
        <v>38</v>
      </c>
      <c r="X838">
        <v>38</v>
      </c>
      <c r="AE838">
        <v>2</v>
      </c>
      <c r="AI838" t="s">
        <v>52</v>
      </c>
      <c r="AJ838" t="s">
        <v>3251</v>
      </c>
      <c r="AK838" t="s">
        <v>52</v>
      </c>
      <c r="AL838" t="str">
        <f>HYPERLINK("https://www.instagram.com/p/BzHOO8Ynb9M/media/?size=l")</f>
        <v>https://www.instagram.com/p/BzHOO8Ynb9M/media/?size=l</v>
      </c>
      <c r="AM838" t="s">
        <v>52</v>
      </c>
      <c r="AN838" t="s">
        <v>53</v>
      </c>
    </row>
    <row r="839" spans="1:40">
      <c r="A839" t="s">
        <v>2370</v>
      </c>
      <c r="B839" t="s">
        <v>3246</v>
      </c>
      <c r="C839" t="s">
        <v>3252</v>
      </c>
      <c r="D839" t="s">
        <v>52</v>
      </c>
      <c r="E839" t="s">
        <v>3253</v>
      </c>
      <c r="F839" t="s">
        <v>45</v>
      </c>
      <c r="G839" t="str">
        <f>HYPERLINK("https://www.instagram.com/p/BzHOMU6FMiG")</f>
        <v>https://www.instagram.com/p/BzHOMU6FMiG</v>
      </c>
      <c r="H839" t="s">
        <v>46</v>
      </c>
      <c r="I839" t="s">
        <v>3254</v>
      </c>
      <c r="J839" t="str">
        <f>HYPERLINK("http://instagram.com/laurynadele")</f>
        <v>http://instagram.com/laurynadele</v>
      </c>
      <c r="K839">
        <v>1364</v>
      </c>
      <c r="N839" t="s">
        <v>59</v>
      </c>
      <c r="O839" t="s">
        <v>3254</v>
      </c>
      <c r="P839" t="str">
        <f>HYPERLINK("http://instagram.com/laurynadele")</f>
        <v>http://instagram.com/laurynadele</v>
      </c>
      <c r="Q839">
        <v>1364</v>
      </c>
      <c r="R839" t="s">
        <v>60</v>
      </c>
      <c r="W839">
        <v>39</v>
      </c>
      <c r="X839">
        <v>39</v>
      </c>
      <c r="AE839">
        <v>6</v>
      </c>
      <c r="AI839" t="s">
        <v>52</v>
      </c>
      <c r="AJ839" t="s">
        <v>52</v>
      </c>
      <c r="AK839" t="s">
        <v>52</v>
      </c>
      <c r="AL839" t="str">
        <f>HYPERLINK("https://www.instagram.com/p/BzHOMU6FMiG/media/?size=l")</f>
        <v>https://www.instagram.com/p/BzHOMU6FMiG/media/?size=l</v>
      </c>
      <c r="AM839" t="s">
        <v>52</v>
      </c>
      <c r="AN839" t="s">
        <v>53</v>
      </c>
    </row>
    <row r="840" spans="1:40">
      <c r="A840" t="s">
        <v>2370</v>
      </c>
      <c r="B840" t="s">
        <v>3255</v>
      </c>
      <c r="C840" t="s">
        <v>3256</v>
      </c>
      <c r="D840" t="s">
        <v>52</v>
      </c>
      <c r="E840" t="s">
        <v>3257</v>
      </c>
      <c r="F840" t="s">
        <v>45</v>
      </c>
      <c r="G840" t="str">
        <f>HYPERLINK("https://www.instagram.com/p/BzHOI-2lPhf")</f>
        <v>https://www.instagram.com/p/BzHOI-2lPhf</v>
      </c>
      <c r="H840" t="s">
        <v>46</v>
      </c>
      <c r="I840" t="s">
        <v>3258</v>
      </c>
      <c r="J840" t="str">
        <f>HYPERLINK("http://instagram.com/fitbycraiglee")</f>
        <v>http://instagram.com/fitbycraiglee</v>
      </c>
      <c r="K840">
        <v>211</v>
      </c>
      <c r="L840" t="s">
        <v>48</v>
      </c>
      <c r="N840" t="s">
        <v>59</v>
      </c>
      <c r="O840" t="s">
        <v>3258</v>
      </c>
      <c r="P840" t="str">
        <f>HYPERLINK("http://instagram.com/fitbycraiglee")</f>
        <v>http://instagram.com/fitbycraiglee</v>
      </c>
      <c r="Q840">
        <v>211</v>
      </c>
      <c r="R840" t="s">
        <v>60</v>
      </c>
      <c r="W840">
        <v>42</v>
      </c>
      <c r="X840">
        <v>42</v>
      </c>
      <c r="AE840">
        <v>1</v>
      </c>
      <c r="AI840" t="s">
        <v>52</v>
      </c>
      <c r="AJ840" t="s">
        <v>2445</v>
      </c>
      <c r="AK840" t="s">
        <v>2446</v>
      </c>
      <c r="AL840" t="str">
        <f>HYPERLINK("https://www.instagram.com/p/BzHOI-2lPhf/media/?size=l")</f>
        <v>https://www.instagram.com/p/BzHOI-2lPhf/media/?size=l</v>
      </c>
      <c r="AM840" t="s">
        <v>52</v>
      </c>
      <c r="AN840" t="s">
        <v>53</v>
      </c>
    </row>
    <row r="841" spans="1:40">
      <c r="A841" t="s">
        <v>2370</v>
      </c>
      <c r="B841" t="s">
        <v>3255</v>
      </c>
      <c r="C841" t="s">
        <v>3259</v>
      </c>
      <c r="D841" t="s">
        <v>3260</v>
      </c>
      <c r="E841" t="s">
        <v>3261</v>
      </c>
      <c r="F841" t="s">
        <v>45</v>
      </c>
      <c r="G841" t="str">
        <f>HYPERLINK("https://www.reddit.com/r/PeopleFuckingDying/comments/c43g2s/mother_watches_in_horror_as_all_her_children_lie/?sort=new#thing_t1_erybmsz")</f>
        <v>https://www.reddit.com/r/PeopleFuckingDying/comments/c43g2s/mother_watches_in_horror_as_all_her_children_lie/?sort=new#thing_t1_erybmsz</v>
      </c>
      <c r="H841" t="s">
        <v>46</v>
      </c>
      <c r="I841" t="s">
        <v>3262</v>
      </c>
      <c r="J841" t="str">
        <f>HYPERLINK("https://www.reddit.com/r/PeopleFuckingDying/comments/c43g2s/mother_watches_in_horror_as_all_her_children_lie/?sort=new#thing_t1_erybmsz")</f>
        <v>https://www.reddit.com/r/PeopleFuckingDying/comments/c43g2s/mother_watches_in_horror_as_all_her_children_lie/?sort=new#thing_t1_erybmsz</v>
      </c>
      <c r="N841" t="s">
        <v>545</v>
      </c>
      <c r="O841" t="s">
        <v>3263</v>
      </c>
      <c r="P841" t="str">
        <f>HYPERLINK("https://www.reddit.com/r/PeopleFuckingDying/")</f>
        <v>https://www.reddit.com/r/PeopleFuckingDying/</v>
      </c>
      <c r="R841" t="s">
        <v>516</v>
      </c>
      <c r="S841" t="s">
        <v>51</v>
      </c>
      <c r="AM841" t="s">
        <v>52</v>
      </c>
      <c r="AN841" t="s">
        <v>53</v>
      </c>
    </row>
    <row r="842" spans="1:40">
      <c r="A842" t="s">
        <v>2370</v>
      </c>
      <c r="B842" t="s">
        <v>3264</v>
      </c>
      <c r="C842" t="s">
        <v>3223</v>
      </c>
      <c r="D842" t="s">
        <v>52</v>
      </c>
      <c r="E842" t="s">
        <v>3265</v>
      </c>
      <c r="F842" t="s">
        <v>45</v>
      </c>
      <c r="G842" t="str">
        <f>HYPERLINK("https://twitter.com/3251145182/status/1143316383582826498")</f>
        <v>https://twitter.com/3251145182/status/1143316383582826498</v>
      </c>
      <c r="H842" t="s">
        <v>46</v>
      </c>
      <c r="I842" t="s">
        <v>3266</v>
      </c>
      <c r="J842" t="str">
        <f>HYPERLINK("http://twitter.com/bay_chantal")</f>
        <v>http://twitter.com/bay_chantal</v>
      </c>
      <c r="K842">
        <v>494</v>
      </c>
      <c r="N842" t="s">
        <v>65</v>
      </c>
      <c r="R842" t="s">
        <v>60</v>
      </c>
      <c r="S842" t="s">
        <v>51</v>
      </c>
      <c r="T842" t="s">
        <v>3267</v>
      </c>
      <c r="W842">
        <v>2</v>
      </c>
      <c r="X842">
        <v>2</v>
      </c>
      <c r="AE842">
        <v>0</v>
      </c>
      <c r="AF842">
        <v>0</v>
      </c>
      <c r="AM842" t="s">
        <v>52</v>
      </c>
      <c r="AN842" t="s">
        <v>53</v>
      </c>
    </row>
    <row r="843" spans="1:40">
      <c r="A843" t="s">
        <v>2370</v>
      </c>
      <c r="B843" t="s">
        <v>3268</v>
      </c>
      <c r="C843" t="s">
        <v>3216</v>
      </c>
      <c r="D843" t="s">
        <v>52</v>
      </c>
      <c r="E843" t="s">
        <v>3269</v>
      </c>
      <c r="F843" t="s">
        <v>45</v>
      </c>
      <c r="G843" t="str">
        <f>HYPERLINK("https://www.instagram.com/p/BzHNwVZFMhg")</f>
        <v>https://www.instagram.com/p/BzHNwVZFMhg</v>
      </c>
      <c r="H843" t="s">
        <v>215</v>
      </c>
      <c r="I843" t="s">
        <v>3270</v>
      </c>
      <c r="J843" t="str">
        <f>HYPERLINK("http://instagram.com/jorgejhff")</f>
        <v>http://instagram.com/jorgejhff</v>
      </c>
      <c r="K843">
        <v>103</v>
      </c>
      <c r="L843" t="s">
        <v>48</v>
      </c>
      <c r="N843" t="s">
        <v>59</v>
      </c>
      <c r="O843" t="s">
        <v>3270</v>
      </c>
      <c r="P843" t="str">
        <f>HYPERLINK("http://instagram.com/jorgejhff")</f>
        <v>http://instagram.com/jorgejhff</v>
      </c>
      <c r="Q843">
        <v>103</v>
      </c>
      <c r="R843" t="s">
        <v>60</v>
      </c>
      <c r="W843">
        <v>14</v>
      </c>
      <c r="X843">
        <v>14</v>
      </c>
      <c r="AE843">
        <v>0</v>
      </c>
      <c r="AI843" t="s">
        <v>108</v>
      </c>
      <c r="AJ843" t="s">
        <v>52</v>
      </c>
      <c r="AK843" t="s">
        <v>52</v>
      </c>
      <c r="AL843" t="str">
        <f>HYPERLINK("https://www.instagram.com/p/BzHNwVZFMhg/media/?size=l")</f>
        <v>https://www.instagram.com/p/BzHNwVZFMhg/media/?size=l</v>
      </c>
      <c r="AM843" t="s">
        <v>52</v>
      </c>
      <c r="AN843" t="s">
        <v>53</v>
      </c>
    </row>
    <row r="844" spans="1:40">
      <c r="A844" t="s">
        <v>2370</v>
      </c>
      <c r="B844" t="s">
        <v>3271</v>
      </c>
      <c r="C844" t="s">
        <v>2666</v>
      </c>
      <c r="D844" t="s">
        <v>3272</v>
      </c>
      <c r="E844" t="s">
        <v>3272</v>
      </c>
      <c r="F844" t="s">
        <v>45</v>
      </c>
      <c r="G844" t="str">
        <f>HYPERLINK("https://www.youtube.com/watch?v=c2bgsVgg5UI")</f>
        <v>https://www.youtube.com/watch?v=c2bgsVgg5UI</v>
      </c>
      <c r="H844" t="s">
        <v>46</v>
      </c>
      <c r="I844" t="s">
        <v>3273</v>
      </c>
      <c r="J844" t="str">
        <f>HYPERLINK("https://www.youtube.com/channel/UC9u8kGLfTdhH2cbR1ZHDwXw")</f>
        <v>https://www.youtube.com/channel/UC9u8kGLfTdhH2cbR1ZHDwXw</v>
      </c>
      <c r="K844">
        <v>101</v>
      </c>
      <c r="N844" t="s">
        <v>116</v>
      </c>
      <c r="O844" t="s">
        <v>3273</v>
      </c>
      <c r="P844" t="str">
        <f>HYPERLINK("https://www.youtube.com/channel/UC9u8kGLfTdhH2cbR1ZHDwXw")</f>
        <v>https://www.youtube.com/channel/UC9u8kGLfTdhH2cbR1ZHDwXw</v>
      </c>
      <c r="Q844">
        <v>101</v>
      </c>
      <c r="R844" t="s">
        <v>60</v>
      </c>
      <c r="W844">
        <v>0</v>
      </c>
      <c r="X844">
        <v>0</v>
      </c>
      <c r="AD844">
        <v>0</v>
      </c>
      <c r="AE844">
        <v>0</v>
      </c>
      <c r="AG844">
        <v>4</v>
      </c>
      <c r="AI844" t="s">
        <v>52</v>
      </c>
      <c r="AJ844" t="s">
        <v>52</v>
      </c>
      <c r="AK844" t="s">
        <v>52</v>
      </c>
      <c r="AL844" t="str">
        <f>HYPERLINK("https://i.ytimg.com/vi/c2bgsVgg5UI/sddefault.jpg")</f>
        <v>https://i.ytimg.com/vi/c2bgsVgg5UI/sddefault.jpg</v>
      </c>
      <c r="AM844" t="s">
        <v>52</v>
      </c>
      <c r="AN844" t="s">
        <v>53</v>
      </c>
    </row>
    <row r="845" spans="1:40">
      <c r="A845" t="s">
        <v>2370</v>
      </c>
      <c r="B845" t="s">
        <v>3271</v>
      </c>
      <c r="C845" t="s">
        <v>3274</v>
      </c>
      <c r="D845" t="s">
        <v>52</v>
      </c>
      <c r="E845" t="s">
        <v>3275</v>
      </c>
      <c r="F845" t="s">
        <v>45</v>
      </c>
      <c r="G845" t="str">
        <f>HYPERLINK("https://twitter.com/585319848/status/1143315726431862789")</f>
        <v>https://twitter.com/585319848/status/1143315726431862789</v>
      </c>
      <c r="H845" t="s">
        <v>46</v>
      </c>
      <c r="I845" t="s">
        <v>3276</v>
      </c>
      <c r="J845" t="str">
        <f>HYPERLINK("http://twitter.com/KindaHouse")</f>
        <v>http://twitter.com/KindaHouse</v>
      </c>
      <c r="K845">
        <v>26</v>
      </c>
      <c r="N845" t="s">
        <v>65</v>
      </c>
      <c r="R845" t="s">
        <v>60</v>
      </c>
      <c r="W845">
        <v>0</v>
      </c>
      <c r="X845">
        <v>0</v>
      </c>
      <c r="AE845">
        <v>0</v>
      </c>
      <c r="AF845">
        <v>0</v>
      </c>
      <c r="AM845" t="s">
        <v>52</v>
      </c>
      <c r="AN845" t="s">
        <v>53</v>
      </c>
    </row>
    <row r="846" spans="1:40">
      <c r="A846" t="s">
        <v>2370</v>
      </c>
      <c r="B846" t="s">
        <v>3277</v>
      </c>
      <c r="C846" t="s">
        <v>3278</v>
      </c>
      <c r="D846" t="s">
        <v>52</v>
      </c>
      <c r="E846" t="s">
        <v>3279</v>
      </c>
      <c r="F846" t="s">
        <v>95</v>
      </c>
      <c r="G846" t="str">
        <f>HYPERLINK("https://twitter.com/983142714052169730/status/1143315327910121472")</f>
        <v>https://twitter.com/983142714052169730/status/1143315327910121472</v>
      </c>
      <c r="H846" t="s">
        <v>46</v>
      </c>
      <c r="I846" t="s">
        <v>3280</v>
      </c>
      <c r="J846" t="str">
        <f>HYPERLINK("http://twitter.com/padawannie")</f>
        <v>http://twitter.com/padawannie</v>
      </c>
      <c r="K846">
        <v>157</v>
      </c>
      <c r="L846" t="s">
        <v>48</v>
      </c>
      <c r="N846" t="s">
        <v>65</v>
      </c>
      <c r="R846" t="s">
        <v>60</v>
      </c>
      <c r="W846">
        <v>0</v>
      </c>
      <c r="X846">
        <v>0</v>
      </c>
      <c r="AE846">
        <v>1</v>
      </c>
      <c r="AF846">
        <v>0</v>
      </c>
      <c r="AM846" t="s">
        <v>52</v>
      </c>
      <c r="AN846" t="s">
        <v>53</v>
      </c>
    </row>
    <row r="847" spans="1:40">
      <c r="A847" t="s">
        <v>2370</v>
      </c>
      <c r="B847" t="s">
        <v>3277</v>
      </c>
      <c r="C847" t="s">
        <v>3281</v>
      </c>
      <c r="D847" t="s">
        <v>52</v>
      </c>
      <c r="E847" t="s">
        <v>3282</v>
      </c>
      <c r="F847" t="s">
        <v>95</v>
      </c>
      <c r="G847" t="str">
        <f>HYPERLINK("https://twitter.com/2774353616/status/1143315315679551488")</f>
        <v>https://twitter.com/2774353616/status/1143315315679551488</v>
      </c>
      <c r="H847" t="s">
        <v>46</v>
      </c>
      <c r="I847" t="s">
        <v>3283</v>
      </c>
      <c r="J847" t="str">
        <f>HYPERLINK("http://twitter.com/bringsnacks__")</f>
        <v>http://twitter.com/bringsnacks__</v>
      </c>
      <c r="K847">
        <v>551</v>
      </c>
      <c r="L847" t="s">
        <v>48</v>
      </c>
      <c r="N847" t="s">
        <v>65</v>
      </c>
      <c r="R847" t="s">
        <v>60</v>
      </c>
      <c r="S847" t="s">
        <v>444</v>
      </c>
      <c r="W847">
        <v>2</v>
      </c>
      <c r="X847">
        <v>2</v>
      </c>
      <c r="AE847">
        <v>0</v>
      </c>
      <c r="AF847">
        <v>0</v>
      </c>
      <c r="AM847" t="s">
        <v>52</v>
      </c>
      <c r="AN847" t="s">
        <v>53</v>
      </c>
    </row>
    <row r="848" spans="1:40">
      <c r="A848" t="s">
        <v>2370</v>
      </c>
      <c r="B848" t="s">
        <v>3277</v>
      </c>
      <c r="C848" t="s">
        <v>3284</v>
      </c>
      <c r="D848" t="s">
        <v>52</v>
      </c>
      <c r="E848" t="s">
        <v>3285</v>
      </c>
      <c r="F848" t="s">
        <v>45</v>
      </c>
      <c r="G848" t="str">
        <f>HYPERLINK("https://twitter.com/912447240270213120/status/1143315264949407744")</f>
        <v>https://twitter.com/912447240270213120/status/1143315264949407744</v>
      </c>
      <c r="H848" t="s">
        <v>46</v>
      </c>
      <c r="I848" t="s">
        <v>3286</v>
      </c>
      <c r="J848" t="str">
        <f>HYPERLINK("http://twitter.com/steponmechan")</f>
        <v>http://twitter.com/steponmechan</v>
      </c>
      <c r="K848">
        <v>54</v>
      </c>
      <c r="N848" t="s">
        <v>65</v>
      </c>
      <c r="R848" t="s">
        <v>60</v>
      </c>
      <c r="S848" t="s">
        <v>51</v>
      </c>
      <c r="T848" t="s">
        <v>66</v>
      </c>
      <c r="W848">
        <v>0</v>
      </c>
      <c r="X848">
        <v>0</v>
      </c>
      <c r="AE848">
        <v>0</v>
      </c>
      <c r="AF848">
        <v>0</v>
      </c>
      <c r="AM848" t="s">
        <v>52</v>
      </c>
      <c r="AN848" t="s">
        <v>53</v>
      </c>
    </row>
    <row r="849" spans="1:40">
      <c r="A849" t="s">
        <v>2370</v>
      </c>
      <c r="B849" t="s">
        <v>3277</v>
      </c>
      <c r="C849" t="s">
        <v>3287</v>
      </c>
      <c r="D849" t="s">
        <v>52</v>
      </c>
      <c r="E849" t="s">
        <v>3288</v>
      </c>
      <c r="F849" t="s">
        <v>95</v>
      </c>
      <c r="G849" t="str">
        <f>HYPERLINK("https://twitter.com/2989101999/status/1143315126558318592")</f>
        <v>https://twitter.com/2989101999/status/1143315126558318592</v>
      </c>
      <c r="H849" t="s">
        <v>46</v>
      </c>
      <c r="I849" t="s">
        <v>3289</v>
      </c>
      <c r="J849" t="str">
        <f>HYPERLINK("http://twitter.com/Bigpoppanayo")</f>
        <v>http://twitter.com/Bigpoppanayo</v>
      </c>
      <c r="K849">
        <v>63</v>
      </c>
      <c r="N849" t="s">
        <v>65</v>
      </c>
      <c r="R849" t="s">
        <v>60</v>
      </c>
      <c r="S849" t="s">
        <v>51</v>
      </c>
      <c r="T849" t="s">
        <v>3290</v>
      </c>
      <c r="U849" t="s">
        <v>3291</v>
      </c>
      <c r="W849">
        <v>0</v>
      </c>
      <c r="X849">
        <v>0</v>
      </c>
      <c r="AE849">
        <v>1</v>
      </c>
      <c r="AF849">
        <v>0</v>
      </c>
      <c r="AM849" t="s">
        <v>52</v>
      </c>
      <c r="AN849" t="s">
        <v>53</v>
      </c>
    </row>
    <row r="850" spans="1:40">
      <c r="A850" t="s">
        <v>2370</v>
      </c>
      <c r="B850" t="s">
        <v>3277</v>
      </c>
      <c r="C850" t="s">
        <v>3292</v>
      </c>
      <c r="D850" t="s">
        <v>52</v>
      </c>
      <c r="E850" t="s">
        <v>3293</v>
      </c>
      <c r="F850" t="s">
        <v>95</v>
      </c>
      <c r="G850" t="str">
        <f>HYPERLINK("https://twitter.com/2989101999/status/1143315127510413315")</f>
        <v>https://twitter.com/2989101999/status/1143315127510413315</v>
      </c>
      <c r="H850" t="s">
        <v>46</v>
      </c>
      <c r="I850" t="s">
        <v>3289</v>
      </c>
      <c r="J850" t="str">
        <f>HYPERLINK("http://twitter.com/Bigpoppanayo")</f>
        <v>http://twitter.com/Bigpoppanayo</v>
      </c>
      <c r="K850">
        <v>63</v>
      </c>
      <c r="N850" t="s">
        <v>65</v>
      </c>
      <c r="R850" t="s">
        <v>60</v>
      </c>
      <c r="S850" t="s">
        <v>51</v>
      </c>
      <c r="T850" t="s">
        <v>3290</v>
      </c>
      <c r="U850" t="s">
        <v>3291</v>
      </c>
      <c r="W850">
        <v>0</v>
      </c>
      <c r="X850">
        <v>0</v>
      </c>
      <c r="AE850">
        <v>0</v>
      </c>
      <c r="AF850">
        <v>0</v>
      </c>
      <c r="AM850" t="s">
        <v>52</v>
      </c>
      <c r="AN850" t="s">
        <v>53</v>
      </c>
    </row>
    <row r="851" spans="1:40">
      <c r="A851" t="s">
        <v>2370</v>
      </c>
      <c r="B851" t="s">
        <v>3294</v>
      </c>
      <c r="C851" t="s">
        <v>3295</v>
      </c>
      <c r="D851" t="s">
        <v>52</v>
      </c>
      <c r="E851" t="s">
        <v>276</v>
      </c>
      <c r="F851" t="s">
        <v>131</v>
      </c>
      <c r="G851" t="str">
        <f>HYPERLINK("https://twitter.com/1043129485409898496/status/1143314611787194368")</f>
        <v>https://twitter.com/1043129485409898496/status/1143314611787194368</v>
      </c>
      <c r="H851" t="s">
        <v>46</v>
      </c>
      <c r="I851" t="s">
        <v>3296</v>
      </c>
      <c r="J851" t="str">
        <f>HYPERLINK("http://twitter.com/Marvel_Dragons")</f>
        <v>http://twitter.com/Marvel_Dragons</v>
      </c>
      <c r="K851">
        <v>159</v>
      </c>
      <c r="N851" t="s">
        <v>65</v>
      </c>
      <c r="R851" t="s">
        <v>60</v>
      </c>
      <c r="S851" t="s">
        <v>1947</v>
      </c>
      <c r="T851" t="s">
        <v>2484</v>
      </c>
      <c r="U851" t="s">
        <v>2485</v>
      </c>
      <c r="W851">
        <v>0</v>
      </c>
      <c r="X851">
        <v>0</v>
      </c>
      <c r="AE851">
        <v>0</v>
      </c>
      <c r="AI851" t="s">
        <v>108</v>
      </c>
      <c r="AJ851" t="s">
        <v>52</v>
      </c>
      <c r="AK851" t="s">
        <v>52</v>
      </c>
      <c r="AL851" t="str">
        <f>HYPERLINK("https://pbs.twimg.com/tweet_video_thumb/D9hvNNzXUAATAS3.jpg")</f>
        <v>https://pbs.twimg.com/tweet_video_thumb/D9hvNNzXUAATAS3.jpg</v>
      </c>
      <c r="AM851" t="s">
        <v>52</v>
      </c>
      <c r="AN851" t="s">
        <v>53</v>
      </c>
    </row>
    <row r="852" spans="1:40">
      <c r="A852" t="s">
        <v>2370</v>
      </c>
      <c r="B852" t="s">
        <v>3294</v>
      </c>
      <c r="C852" t="s">
        <v>207</v>
      </c>
      <c r="D852" t="s">
        <v>52</v>
      </c>
      <c r="E852" t="s">
        <v>3297</v>
      </c>
      <c r="F852" t="s">
        <v>45</v>
      </c>
      <c r="G852" t="str">
        <f>HYPERLINK("https://www.instagram.com/p/BzHNDQeBRiK")</f>
        <v>https://www.instagram.com/p/BzHNDQeBRiK</v>
      </c>
      <c r="H852" t="s">
        <v>46</v>
      </c>
      <c r="I852" t="s">
        <v>3298</v>
      </c>
      <c r="J852" t="str">
        <f>HYPERLINK("http://instagram.com/wevertonmegiatto_")</f>
        <v>http://instagram.com/wevertonmegiatto_</v>
      </c>
      <c r="K852">
        <v>175</v>
      </c>
      <c r="L852" t="s">
        <v>48</v>
      </c>
      <c r="N852" t="s">
        <v>59</v>
      </c>
      <c r="O852" t="s">
        <v>3298</v>
      </c>
      <c r="P852" t="str">
        <f>HYPERLINK("http://instagram.com/wevertonmegiatto_")</f>
        <v>http://instagram.com/wevertonmegiatto_</v>
      </c>
      <c r="Q852">
        <v>175</v>
      </c>
      <c r="R852" t="s">
        <v>60</v>
      </c>
      <c r="W852">
        <v>4</v>
      </c>
      <c r="X852">
        <v>4</v>
      </c>
      <c r="AE852">
        <v>0</v>
      </c>
      <c r="AI852" t="s">
        <v>108</v>
      </c>
      <c r="AJ852" t="s">
        <v>52</v>
      </c>
      <c r="AK852" t="s">
        <v>3299</v>
      </c>
      <c r="AL852" t="str">
        <f>HYPERLINK("https://www.instagram.com/p/BzHNDQeBRiK/media/?size=l")</f>
        <v>https://www.instagram.com/p/BzHNDQeBRiK/media/?size=l</v>
      </c>
      <c r="AM852" t="s">
        <v>52</v>
      </c>
      <c r="AN852" t="s">
        <v>53</v>
      </c>
    </row>
    <row r="853" spans="1:40">
      <c r="A853" t="s">
        <v>2370</v>
      </c>
      <c r="B853" t="s">
        <v>3300</v>
      </c>
      <c r="C853" t="s">
        <v>3301</v>
      </c>
      <c r="D853" t="s">
        <v>52</v>
      </c>
      <c r="E853" t="s">
        <v>3302</v>
      </c>
      <c r="F853" t="s">
        <v>95</v>
      </c>
      <c r="G853" t="str">
        <f>HYPERLINK("https://twitter.com/51529520/status/1143314270987288576")</f>
        <v>https://twitter.com/51529520/status/1143314270987288576</v>
      </c>
      <c r="H853" t="s">
        <v>46</v>
      </c>
      <c r="I853" t="s">
        <v>3303</v>
      </c>
      <c r="J853" t="str">
        <f>HYPERLINK("http://twitter.com/ChloeCondon")</f>
        <v>http://twitter.com/ChloeCondon</v>
      </c>
      <c r="K853">
        <v>27667</v>
      </c>
      <c r="N853" t="s">
        <v>65</v>
      </c>
      <c r="R853" t="s">
        <v>60</v>
      </c>
      <c r="S853" t="s">
        <v>51</v>
      </c>
      <c r="T853" t="s">
        <v>173</v>
      </c>
      <c r="U853" t="s">
        <v>1625</v>
      </c>
      <c r="W853">
        <v>4</v>
      </c>
      <c r="X853">
        <v>4</v>
      </c>
      <c r="AE853">
        <v>5</v>
      </c>
      <c r="AF853">
        <v>0</v>
      </c>
      <c r="AI853" t="s">
        <v>52</v>
      </c>
      <c r="AJ853" t="s">
        <v>942</v>
      </c>
      <c r="AK853" t="s">
        <v>52</v>
      </c>
      <c r="AL853" t="str">
        <f>HYPERLINK("https://pbs.twimg.com/media/D93eRH6UIAAl2ck.jpg")</f>
        <v>https://pbs.twimg.com/media/D93eRH6UIAAl2ck.jpg</v>
      </c>
      <c r="AM853" t="s">
        <v>52</v>
      </c>
      <c r="AN853" t="s">
        <v>53</v>
      </c>
    </row>
    <row r="854" spans="1:40">
      <c r="A854" t="s">
        <v>2370</v>
      </c>
      <c r="B854" t="s">
        <v>3304</v>
      </c>
      <c r="C854" t="s">
        <v>3305</v>
      </c>
      <c r="D854" t="s">
        <v>52</v>
      </c>
      <c r="E854" t="s">
        <v>3306</v>
      </c>
      <c r="F854" t="s">
        <v>45</v>
      </c>
      <c r="G854" t="str">
        <f>HYPERLINK("https://www.instagram.com/p/BzHMv8EgQ79")</f>
        <v>https://www.instagram.com/p/BzHMv8EgQ79</v>
      </c>
      <c r="H854" t="s">
        <v>46</v>
      </c>
      <c r="I854" t="s">
        <v>3307</v>
      </c>
      <c r="J854" t="str">
        <f>HYPERLINK("http://instagram.com/ollietheweimy")</f>
        <v>http://instagram.com/ollietheweimy</v>
      </c>
      <c r="K854">
        <v>236</v>
      </c>
      <c r="L854" t="s">
        <v>58</v>
      </c>
      <c r="N854" t="s">
        <v>59</v>
      </c>
      <c r="O854" t="s">
        <v>3307</v>
      </c>
      <c r="P854" t="str">
        <f>HYPERLINK("http://instagram.com/ollietheweimy")</f>
        <v>http://instagram.com/ollietheweimy</v>
      </c>
      <c r="Q854">
        <v>236</v>
      </c>
      <c r="R854" t="s">
        <v>60</v>
      </c>
      <c r="W854">
        <v>0</v>
      </c>
      <c r="X854">
        <v>0</v>
      </c>
      <c r="AE854">
        <v>0</v>
      </c>
      <c r="AI854" t="s">
        <v>108</v>
      </c>
      <c r="AJ854" t="s">
        <v>985</v>
      </c>
      <c r="AK854" t="s">
        <v>52</v>
      </c>
      <c r="AL854" t="str">
        <f>HYPERLINK("https://www.instagram.com/p/BzHMv8EgQ79/media/?size=l")</f>
        <v>https://www.instagram.com/p/BzHMv8EgQ79/media/?size=l</v>
      </c>
      <c r="AM854" t="s">
        <v>52</v>
      </c>
      <c r="AN854" t="s">
        <v>53</v>
      </c>
    </row>
    <row r="855" spans="1:40">
      <c r="A855" t="s">
        <v>2370</v>
      </c>
      <c r="B855" t="s">
        <v>3308</v>
      </c>
      <c r="C855" t="s">
        <v>3309</v>
      </c>
      <c r="D855" t="s">
        <v>52</v>
      </c>
      <c r="E855" t="s">
        <v>3310</v>
      </c>
      <c r="F855" t="s">
        <v>45</v>
      </c>
      <c r="G855" t="str">
        <f>HYPERLINK("https://twitter.com/63026457/status/1143313581255135232")</f>
        <v>https://twitter.com/63026457/status/1143313581255135232</v>
      </c>
      <c r="H855" t="s">
        <v>46</v>
      </c>
      <c r="I855" t="s">
        <v>3311</v>
      </c>
      <c r="J855" t="str">
        <f>HYPERLINK("http://twitter.com/TChristyXCII")</f>
        <v>http://twitter.com/TChristyXCII</v>
      </c>
      <c r="K855">
        <v>363</v>
      </c>
      <c r="N855" t="s">
        <v>65</v>
      </c>
      <c r="R855" t="s">
        <v>60</v>
      </c>
      <c r="S855" t="s">
        <v>51</v>
      </c>
      <c r="T855" t="s">
        <v>3312</v>
      </c>
      <c r="U855" t="s">
        <v>3313</v>
      </c>
      <c r="W855">
        <v>2</v>
      </c>
      <c r="X855">
        <v>2</v>
      </c>
      <c r="AE855">
        <v>0</v>
      </c>
      <c r="AF855">
        <v>0</v>
      </c>
      <c r="AM855" t="s">
        <v>52</v>
      </c>
      <c r="AN855" t="s">
        <v>53</v>
      </c>
    </row>
    <row r="856" spans="1:40">
      <c r="A856" t="s">
        <v>2370</v>
      </c>
      <c r="B856" t="s">
        <v>3314</v>
      </c>
      <c r="C856" t="s">
        <v>2993</v>
      </c>
      <c r="D856" t="s">
        <v>52</v>
      </c>
      <c r="E856" t="s">
        <v>3315</v>
      </c>
      <c r="F856" t="s">
        <v>45</v>
      </c>
      <c r="G856" t="str">
        <f>HYPERLINK("https://www.instagram.com/p/BzHMhxLDI-9")</f>
        <v>https://www.instagram.com/p/BzHMhxLDI-9</v>
      </c>
      <c r="H856" t="s">
        <v>46</v>
      </c>
      <c r="I856" t="s">
        <v>3316</v>
      </c>
      <c r="J856" t="str">
        <f>HYPERLINK("http://instagram.com/crodriguez422")</f>
        <v>http://instagram.com/crodriguez422</v>
      </c>
      <c r="K856">
        <v>629</v>
      </c>
      <c r="N856" t="s">
        <v>59</v>
      </c>
      <c r="O856" t="s">
        <v>3316</v>
      </c>
      <c r="P856" t="str">
        <f>HYPERLINK("http://instagram.com/crodriguez422")</f>
        <v>http://instagram.com/crodriguez422</v>
      </c>
      <c r="Q856">
        <v>629</v>
      </c>
      <c r="R856" t="s">
        <v>60</v>
      </c>
      <c r="W856">
        <v>29</v>
      </c>
      <c r="X856">
        <v>29</v>
      </c>
      <c r="AE856">
        <v>4</v>
      </c>
      <c r="AI856" t="s">
        <v>52</v>
      </c>
      <c r="AJ856" t="s">
        <v>3317</v>
      </c>
      <c r="AK856" t="s">
        <v>52</v>
      </c>
      <c r="AL856" t="str">
        <f>HYPERLINK("https://www.instagram.com/p/BzHMhxLDI-9/media/?size=l")</f>
        <v>https://www.instagram.com/p/BzHMhxLDI-9/media/?size=l</v>
      </c>
      <c r="AM856" t="s">
        <v>52</v>
      </c>
      <c r="AN856" t="s">
        <v>53</v>
      </c>
    </row>
    <row r="857" spans="1:40">
      <c r="A857" t="s">
        <v>2370</v>
      </c>
      <c r="B857" t="s">
        <v>3318</v>
      </c>
      <c r="C857" t="s">
        <v>3319</v>
      </c>
      <c r="D857" t="s">
        <v>52</v>
      </c>
      <c r="E857" t="s">
        <v>3320</v>
      </c>
      <c r="F857" t="s">
        <v>45</v>
      </c>
      <c r="G857" t="str">
        <f>HYPERLINK("https://twitter.com/615253136/status/1143312690326179843")</f>
        <v>https://twitter.com/615253136/status/1143312690326179843</v>
      </c>
      <c r="H857" t="s">
        <v>46</v>
      </c>
      <c r="I857" t="s">
        <v>3321</v>
      </c>
      <c r="J857" t="str">
        <f>HYPERLINK("http://twitter.com/MJJismyhero")</f>
        <v>http://twitter.com/MJJismyhero</v>
      </c>
      <c r="K857">
        <v>322</v>
      </c>
      <c r="N857" t="s">
        <v>65</v>
      </c>
      <c r="R857" t="s">
        <v>60</v>
      </c>
      <c r="W857">
        <v>0</v>
      </c>
      <c r="X857">
        <v>0</v>
      </c>
      <c r="AE857">
        <v>0</v>
      </c>
      <c r="AF857">
        <v>0</v>
      </c>
      <c r="AM857" t="s">
        <v>52</v>
      </c>
      <c r="AN857" t="s">
        <v>53</v>
      </c>
    </row>
    <row r="858" spans="1:40">
      <c r="A858" t="s">
        <v>2370</v>
      </c>
      <c r="B858" t="s">
        <v>3322</v>
      </c>
      <c r="C858" t="s">
        <v>3323</v>
      </c>
      <c r="D858" t="s">
        <v>52</v>
      </c>
      <c r="E858" t="s">
        <v>599</v>
      </c>
      <c r="F858" t="s">
        <v>131</v>
      </c>
      <c r="G858" t="str">
        <f>HYPERLINK("https://twitter.com/1068905135219384321/status/1143312270770036738")</f>
        <v>https://twitter.com/1068905135219384321/status/1143312270770036738</v>
      </c>
      <c r="H858" t="s">
        <v>46</v>
      </c>
      <c r="I858" t="s">
        <v>3324</v>
      </c>
      <c r="J858" t="str">
        <f>HYPERLINK("http://twitter.com/spidey00098")</f>
        <v>http://twitter.com/spidey00098</v>
      </c>
      <c r="K858">
        <v>54</v>
      </c>
      <c r="N858" t="s">
        <v>65</v>
      </c>
      <c r="R858" t="s">
        <v>60</v>
      </c>
      <c r="S858" t="s">
        <v>774</v>
      </c>
      <c r="T858" t="s">
        <v>2887</v>
      </c>
      <c r="U858" t="s">
        <v>2888</v>
      </c>
      <c r="W858">
        <v>0</v>
      </c>
      <c r="X858">
        <v>0</v>
      </c>
      <c r="AE858">
        <v>0</v>
      </c>
      <c r="AI858" t="s">
        <v>108</v>
      </c>
      <c r="AJ858" t="s">
        <v>52</v>
      </c>
      <c r="AK858" t="s">
        <v>601</v>
      </c>
      <c r="AL858" t="str">
        <f>HYPERLINK("https://pbs.twimg.com/ext_tw_video_thumb/1143202185154584581/pu/img/K72qfBH8zIdbiUf-.jpg")</f>
        <v>https://pbs.twimg.com/ext_tw_video_thumb/1143202185154584581/pu/img/K72qfBH8zIdbiUf-.jpg</v>
      </c>
      <c r="AM858" t="s">
        <v>52</v>
      </c>
      <c r="AN858" t="s">
        <v>53</v>
      </c>
    </row>
    <row r="859" spans="1:40">
      <c r="A859" t="s">
        <v>2370</v>
      </c>
      <c r="B859" t="s">
        <v>3322</v>
      </c>
      <c r="C859" t="s">
        <v>1225</v>
      </c>
      <c r="D859" t="s">
        <v>52</v>
      </c>
      <c r="E859" t="s">
        <v>3085</v>
      </c>
      <c r="F859" t="s">
        <v>45</v>
      </c>
      <c r="G859" t="str">
        <f>HYPERLINK("https://www.facebook.com/101198429956076/posts/2238209092921655")</f>
        <v>https://www.facebook.com/101198429956076/posts/2238209092921655</v>
      </c>
      <c r="H859" t="s">
        <v>46</v>
      </c>
      <c r="I859" t="s">
        <v>3325</v>
      </c>
      <c r="J859" t="str">
        <f>HYPERLINK("https://www.facebook.com/101198429956076")</f>
        <v>https://www.facebook.com/101198429956076</v>
      </c>
      <c r="K859">
        <v>20323418</v>
      </c>
      <c r="L859" t="s">
        <v>651</v>
      </c>
      <c r="N859" t="s">
        <v>1792</v>
      </c>
      <c r="O859" t="s">
        <v>3325</v>
      </c>
      <c r="P859" t="str">
        <f>HYPERLINK("https://www.facebook.com/101198429956076")</f>
        <v>https://www.facebook.com/101198429956076</v>
      </c>
      <c r="Q859">
        <v>20323418</v>
      </c>
      <c r="R859" t="s">
        <v>60</v>
      </c>
      <c r="W859">
        <v>87</v>
      </c>
      <c r="X859">
        <v>87</v>
      </c>
      <c r="AE859">
        <v>2</v>
      </c>
      <c r="AF859">
        <v>12</v>
      </c>
      <c r="AI859" t="s">
        <v>108</v>
      </c>
      <c r="AJ859" t="s">
        <v>52</v>
      </c>
      <c r="AK859" t="s">
        <v>601</v>
      </c>
      <c r="AL859" t="str">
        <f>HYPERLINK("https://scontent.xx.fbcdn.net/v/t15.5256-10/65563936_426053468250265_6278125697118502912_n.jpg?_nc_cat=105&amp;_nc_oc=AQm_4kIrW4-lxo_EPXdKclPHAVysFTcZmivtWCgVj729G3Fi6CSS_eoAtKCG6DwiZ0Y&amp;_nc_ht=scontent.xx&amp;oh=720428ded491d95292eaee5e124b0866&amp;oe=5D7FCF01")</f>
        <v>https://scontent.xx.fbcdn.net/v/t15.5256-10/65563936_426053468250265_6278125697118502912_n.jpg?_nc_cat=105&amp;_nc_oc=AQm_4kIrW4-lxo_EPXdKclPHAVysFTcZmivtWCgVj729G3Fi6CSS_eoAtKCG6DwiZ0Y&amp;_nc_ht=scontent.xx&amp;oh=720428ded491d95292eaee5e124b0866&amp;oe=5D7FCF01</v>
      </c>
      <c r="AM859" t="s">
        <v>52</v>
      </c>
      <c r="AN859" t="s">
        <v>53</v>
      </c>
    </row>
    <row r="860" spans="1:40">
      <c r="A860" t="s">
        <v>2370</v>
      </c>
      <c r="B860" t="s">
        <v>3326</v>
      </c>
      <c r="C860" t="s">
        <v>3327</v>
      </c>
      <c r="D860" t="s">
        <v>52</v>
      </c>
      <c r="E860" t="s">
        <v>526</v>
      </c>
      <c r="F860" t="s">
        <v>131</v>
      </c>
      <c r="G860" t="str">
        <f>HYPERLINK("https://twitter.com/2943356665/status/1143312028607475712")</f>
        <v>https://twitter.com/2943356665/status/1143312028607475712</v>
      </c>
      <c r="H860" t="s">
        <v>46</v>
      </c>
      <c r="I860" t="s">
        <v>3328</v>
      </c>
      <c r="J860" t="str">
        <f>HYPERLINK("http://twitter.com/DisgraceGarcia")</f>
        <v>http://twitter.com/DisgraceGarcia</v>
      </c>
      <c r="K860">
        <v>8</v>
      </c>
      <c r="N860" t="s">
        <v>65</v>
      </c>
      <c r="R860" t="s">
        <v>60</v>
      </c>
      <c r="W860">
        <v>0</v>
      </c>
      <c r="X860">
        <v>0</v>
      </c>
      <c r="AE860">
        <v>0</v>
      </c>
      <c r="AI860" t="s">
        <v>108</v>
      </c>
      <c r="AJ860" t="s">
        <v>52</v>
      </c>
      <c r="AK860" t="s">
        <v>52</v>
      </c>
      <c r="AL860" t="str">
        <f>HYPERLINK("https://pbs.twimg.com/ext_tw_video_thumb/1141360066962100224/pu/img/5_tGc4hLFQwcD07b.jpg")</f>
        <v>https://pbs.twimg.com/ext_tw_video_thumb/1141360066962100224/pu/img/5_tGc4hLFQwcD07b.jpg</v>
      </c>
      <c r="AM860" t="s">
        <v>52</v>
      </c>
      <c r="AN860" t="s">
        <v>53</v>
      </c>
    </row>
    <row r="861" spans="1:40">
      <c r="A861" t="s">
        <v>2370</v>
      </c>
      <c r="B861" t="s">
        <v>3326</v>
      </c>
      <c r="C861" t="s">
        <v>3329</v>
      </c>
      <c r="D861" t="s">
        <v>52</v>
      </c>
      <c r="E861" t="s">
        <v>3330</v>
      </c>
      <c r="F861" t="s">
        <v>45</v>
      </c>
      <c r="G861" t="str">
        <f>HYPERLINK("https://www.instagram.com/p/BzHL-h8DJ3Q")</f>
        <v>https://www.instagram.com/p/BzHL-h8DJ3Q</v>
      </c>
      <c r="H861" t="s">
        <v>46</v>
      </c>
      <c r="I861" t="s">
        <v>3331</v>
      </c>
      <c r="J861" t="str">
        <f>HYPERLINK("http://instagram.com/castofthousandsstudio")</f>
        <v>http://instagram.com/castofthousandsstudio</v>
      </c>
      <c r="K861">
        <v>2763</v>
      </c>
      <c r="L861" t="s">
        <v>48</v>
      </c>
      <c r="N861" t="s">
        <v>59</v>
      </c>
      <c r="O861" t="s">
        <v>3331</v>
      </c>
      <c r="P861" t="str">
        <f>HYPERLINK("http://instagram.com/castofthousandsstudio")</f>
        <v>http://instagram.com/castofthousandsstudio</v>
      </c>
      <c r="Q861">
        <v>2763</v>
      </c>
      <c r="R861" t="s">
        <v>60</v>
      </c>
      <c r="S861" t="s">
        <v>51</v>
      </c>
      <c r="T861" t="s">
        <v>2522</v>
      </c>
      <c r="U861" t="s">
        <v>3332</v>
      </c>
      <c r="W861">
        <v>25</v>
      </c>
      <c r="X861">
        <v>25</v>
      </c>
      <c r="AE861">
        <v>0</v>
      </c>
      <c r="AI861" t="s">
        <v>52</v>
      </c>
      <c r="AJ861" t="s">
        <v>52</v>
      </c>
      <c r="AK861" t="s">
        <v>581</v>
      </c>
      <c r="AL861" t="str">
        <f>HYPERLINK("https://www.instagram.com/p/BzHL-h8DJ3Q/media/?size=l")</f>
        <v>https://www.instagram.com/p/BzHL-h8DJ3Q/media/?size=l</v>
      </c>
      <c r="AM861" t="s">
        <v>52</v>
      </c>
      <c r="AN861" t="s">
        <v>53</v>
      </c>
    </row>
    <row r="862" spans="1:40">
      <c r="A862" t="s">
        <v>2370</v>
      </c>
      <c r="B862" t="s">
        <v>3326</v>
      </c>
      <c r="C862" t="s">
        <v>2312</v>
      </c>
      <c r="D862" t="s">
        <v>52</v>
      </c>
      <c r="E862" t="s">
        <v>3333</v>
      </c>
      <c r="F862" t="s">
        <v>45</v>
      </c>
      <c r="G862" t="str">
        <f>HYPERLINK("https://www.facebook.com/145671885432/posts/10161789572980433")</f>
        <v>https://www.facebook.com/145671885432/posts/10161789572980433</v>
      </c>
      <c r="H862" t="s">
        <v>91</v>
      </c>
      <c r="I862" t="s">
        <v>3334</v>
      </c>
      <c r="J862" t="str">
        <f>HYPERLINK("https://www.facebook.com/145671885432")</f>
        <v>https://www.facebook.com/145671885432</v>
      </c>
      <c r="K862">
        <v>25871</v>
      </c>
      <c r="L862" t="s">
        <v>651</v>
      </c>
      <c r="N862" t="s">
        <v>1792</v>
      </c>
      <c r="O862" t="s">
        <v>3334</v>
      </c>
      <c r="P862" t="str">
        <f>HYPERLINK("https://www.facebook.com/145671885432")</f>
        <v>https://www.facebook.com/145671885432</v>
      </c>
      <c r="Q862">
        <v>25871</v>
      </c>
      <c r="R862" t="s">
        <v>60</v>
      </c>
      <c r="S862" t="s">
        <v>51</v>
      </c>
      <c r="W862">
        <v>3</v>
      </c>
      <c r="X862">
        <v>1</v>
      </c>
      <c r="Y862">
        <v>0</v>
      </c>
      <c r="Z862">
        <v>2</v>
      </c>
      <c r="AA862">
        <v>0</v>
      </c>
      <c r="AB862">
        <v>0</v>
      </c>
      <c r="AC862">
        <v>0</v>
      </c>
      <c r="AE862">
        <v>2</v>
      </c>
      <c r="AF862">
        <v>1</v>
      </c>
      <c r="AI862" t="s">
        <v>3335</v>
      </c>
      <c r="AJ862" t="s">
        <v>3336</v>
      </c>
      <c r="AK862" t="s">
        <v>52</v>
      </c>
      <c r="AL862" t="str">
        <f>HYPERLINK("https://townsquare.media/site/721/files/2019/06/2019-06-24_1123.png?w=1200&amp;h=0&amp;zc=1&amp;s=0&amp;a=t&amp;q=89")</f>
        <v>https://townsquare.media/site/721/files/2019/06/2019-06-24_1123.png?w=1200&amp;h=0&amp;zc=1&amp;s=0&amp;a=t&amp;q=89</v>
      </c>
      <c r="AM862" t="s">
        <v>52</v>
      </c>
      <c r="AN862" t="s">
        <v>53</v>
      </c>
    </row>
    <row r="863" spans="1:40">
      <c r="A863" t="s">
        <v>2370</v>
      </c>
      <c r="B863" t="s">
        <v>3326</v>
      </c>
      <c r="C863" t="s">
        <v>3145</v>
      </c>
      <c r="D863" t="s">
        <v>3234</v>
      </c>
      <c r="E863" t="s">
        <v>3337</v>
      </c>
      <c r="F863" t="s">
        <v>45</v>
      </c>
      <c r="G863" t="str">
        <f>HYPERLINK("https://forums.battlefield.com/en-us/discussion/188457/bfv-is-a-campy-try-hard-insta-death-bore/p17#Comment_1562742")</f>
        <v>https://forums.battlefield.com/en-us/discussion/188457/bfv-is-a-campy-try-hard-insta-death-bore/p17#Comment_1562742</v>
      </c>
      <c r="H863" t="s">
        <v>46</v>
      </c>
      <c r="I863" t="s">
        <v>3338</v>
      </c>
      <c r="J863" t="str">
        <f>HYPERLINK("https://forums.battlefield.com/en-us/discussion/188457/bfv-is-a-campy-try-hard-insta-death-bore/p17#Comment_1562742")</f>
        <v>https://forums.battlefield.com/en-us/discussion/188457/bfv-is-a-campy-try-hard-insta-death-bore/p17#Comment_1562742</v>
      </c>
      <c r="N863" t="s">
        <v>3237</v>
      </c>
      <c r="O863" t="s">
        <v>3238</v>
      </c>
      <c r="P863" t="str">
        <f>HYPERLINK("https://forums.battlefield.com/en-us/categories/battlefield-v-general-discussion")</f>
        <v>https://forums.battlefield.com/en-us/categories/battlefield-v-general-discussion</v>
      </c>
      <c r="R863" t="s">
        <v>516</v>
      </c>
      <c r="S863" t="s">
        <v>51</v>
      </c>
      <c r="AM863" t="s">
        <v>52</v>
      </c>
      <c r="AN863" t="s">
        <v>53</v>
      </c>
    </row>
    <row r="864" spans="1:40">
      <c r="A864" t="s">
        <v>2370</v>
      </c>
      <c r="B864" t="s">
        <v>3339</v>
      </c>
      <c r="C864" t="s">
        <v>2312</v>
      </c>
      <c r="D864" t="s">
        <v>52</v>
      </c>
      <c r="E864" t="s">
        <v>3340</v>
      </c>
      <c r="F864" t="s">
        <v>45</v>
      </c>
      <c r="G864" t="str">
        <f>HYPERLINK("https://www.facebook.com/286392432525/posts/10157777911437526")</f>
        <v>https://www.facebook.com/286392432525/posts/10157777911437526</v>
      </c>
      <c r="H864" t="s">
        <v>46</v>
      </c>
      <c r="I864" t="s">
        <v>3341</v>
      </c>
      <c r="J864" t="str">
        <f>HYPERLINK("https://www.facebook.com/286392432525")</f>
        <v>https://www.facebook.com/286392432525</v>
      </c>
      <c r="K864">
        <v>642052</v>
      </c>
      <c r="L864" t="s">
        <v>651</v>
      </c>
      <c r="N864" t="s">
        <v>1792</v>
      </c>
      <c r="O864" t="s">
        <v>3341</v>
      </c>
      <c r="P864" t="str">
        <f>HYPERLINK("https://www.facebook.com/286392432525")</f>
        <v>https://www.facebook.com/286392432525</v>
      </c>
      <c r="Q864">
        <v>642052</v>
      </c>
      <c r="R864" t="s">
        <v>60</v>
      </c>
      <c r="S864" t="s">
        <v>51</v>
      </c>
      <c r="W864">
        <v>129</v>
      </c>
      <c r="X864">
        <v>59</v>
      </c>
      <c r="Y864">
        <v>0</v>
      </c>
      <c r="Z864">
        <v>70</v>
      </c>
      <c r="AA864">
        <v>0</v>
      </c>
      <c r="AB864">
        <v>0</v>
      </c>
      <c r="AC864">
        <v>0</v>
      </c>
      <c r="AE864">
        <v>30</v>
      </c>
      <c r="AF864">
        <v>29</v>
      </c>
      <c r="AI864" t="s">
        <v>52</v>
      </c>
      <c r="AJ864" t="s">
        <v>461</v>
      </c>
      <c r="AK864" t="s">
        <v>52</v>
      </c>
      <c r="AL864" t="str">
        <f>HYPERLINK("https://scontent.xx.fbcdn.net/v/t1.0-9/s720x720/64749559_10162734153225377_317218373152800768_n.png?_nc_cat=1&amp;_nc_ht=scontent.xx&amp;oh=0a912045e35fdfacc31f1d67bad9332b&amp;oe=5D845443")</f>
        <v>https://scontent.xx.fbcdn.net/v/t1.0-9/s720x720/64749559_10162734153225377_317218373152800768_n.png?_nc_cat=1&amp;_nc_ht=scontent.xx&amp;oh=0a912045e35fdfacc31f1d67bad9332b&amp;oe=5D845443</v>
      </c>
      <c r="AM864" t="s">
        <v>52</v>
      </c>
      <c r="AN864" t="s">
        <v>53</v>
      </c>
    </row>
    <row r="865" spans="1:40">
      <c r="A865" t="s">
        <v>2370</v>
      </c>
      <c r="B865" t="s">
        <v>3342</v>
      </c>
      <c r="C865" t="s">
        <v>3295</v>
      </c>
      <c r="D865" t="s">
        <v>52</v>
      </c>
      <c r="E865" t="s">
        <v>1194</v>
      </c>
      <c r="F865" t="s">
        <v>131</v>
      </c>
      <c r="G865" t="str">
        <f>HYPERLINK("https://twitter.com/1326435001/status/1143311572221251584")</f>
        <v>https://twitter.com/1326435001/status/1143311572221251584</v>
      </c>
      <c r="H865" t="s">
        <v>46</v>
      </c>
      <c r="I865" t="s">
        <v>52</v>
      </c>
      <c r="J865" t="str">
        <f>HYPERLINK("http://twitter.com/francialarra")</f>
        <v>http://twitter.com/francialarra</v>
      </c>
      <c r="K865">
        <v>172</v>
      </c>
      <c r="N865" t="s">
        <v>65</v>
      </c>
      <c r="R865" t="s">
        <v>60</v>
      </c>
      <c r="W865">
        <v>0</v>
      </c>
      <c r="X865">
        <v>0</v>
      </c>
      <c r="AE865">
        <v>0</v>
      </c>
      <c r="AI865" t="s">
        <v>52</v>
      </c>
      <c r="AJ865" t="s">
        <v>1196</v>
      </c>
      <c r="AK865" t="s">
        <v>52</v>
      </c>
      <c r="AL865" t="str">
        <f>HYPERLINK("https://pbs.twimg.com/media/D9xgk2YXkAAd2ql.jpg")</f>
        <v>https://pbs.twimg.com/media/D9xgk2YXkAAd2ql.jpg</v>
      </c>
      <c r="AM865" t="s">
        <v>52</v>
      </c>
      <c r="AN865" t="s">
        <v>53</v>
      </c>
    </row>
    <row r="866" spans="1:40">
      <c r="A866" t="s">
        <v>2370</v>
      </c>
      <c r="B866" t="s">
        <v>3342</v>
      </c>
      <c r="C866" t="s">
        <v>3323</v>
      </c>
      <c r="D866" t="s">
        <v>52</v>
      </c>
      <c r="E866" t="s">
        <v>1194</v>
      </c>
      <c r="F866" t="s">
        <v>131</v>
      </c>
      <c r="G866" t="str">
        <f>HYPERLINK("https://twitter.com/625781864/status/1143311481804611588")</f>
        <v>https://twitter.com/625781864/status/1143311481804611588</v>
      </c>
      <c r="H866" t="s">
        <v>46</v>
      </c>
      <c r="I866" t="s">
        <v>3343</v>
      </c>
      <c r="J866" t="str">
        <f>HYPERLINK("http://twitter.com/gabbby_98")</f>
        <v>http://twitter.com/gabbby_98</v>
      </c>
      <c r="K866">
        <v>858</v>
      </c>
      <c r="N866" t="s">
        <v>65</v>
      </c>
      <c r="R866" t="s">
        <v>60</v>
      </c>
      <c r="W866">
        <v>0</v>
      </c>
      <c r="X866">
        <v>0</v>
      </c>
      <c r="AE866">
        <v>0</v>
      </c>
      <c r="AI866" t="s">
        <v>52</v>
      </c>
      <c r="AJ866" t="s">
        <v>1196</v>
      </c>
      <c r="AK866" t="s">
        <v>52</v>
      </c>
      <c r="AL866" t="str">
        <f>HYPERLINK("https://pbs.twimg.com/media/D9xgk2YXkAAd2ql.jpg")</f>
        <v>https://pbs.twimg.com/media/D9xgk2YXkAAd2ql.jpg</v>
      </c>
      <c r="AM866" t="s">
        <v>52</v>
      </c>
      <c r="AN866" t="s">
        <v>53</v>
      </c>
    </row>
    <row r="867" spans="1:40">
      <c r="A867" t="s">
        <v>2370</v>
      </c>
      <c r="B867" t="s">
        <v>3342</v>
      </c>
      <c r="C867" t="s">
        <v>3344</v>
      </c>
      <c r="D867" t="s">
        <v>52</v>
      </c>
      <c r="E867" t="s">
        <v>3345</v>
      </c>
      <c r="F867" t="s">
        <v>95</v>
      </c>
      <c r="G867" t="str">
        <f>HYPERLINK("https://twitter.com/2334514566/status/1143311434325143552")</f>
        <v>https://twitter.com/2334514566/status/1143311434325143552</v>
      </c>
      <c r="H867" t="s">
        <v>46</v>
      </c>
      <c r="I867" t="s">
        <v>3346</v>
      </c>
      <c r="J867" t="str">
        <f>HYPERLINK("http://twitter.com/magcirelli")</f>
        <v>http://twitter.com/magcirelli</v>
      </c>
      <c r="K867">
        <v>1089</v>
      </c>
      <c r="N867" t="s">
        <v>65</v>
      </c>
      <c r="R867" t="s">
        <v>60</v>
      </c>
      <c r="S867" t="s">
        <v>701</v>
      </c>
      <c r="T867" t="s">
        <v>2528</v>
      </c>
      <c r="U867" t="s">
        <v>2816</v>
      </c>
      <c r="W867">
        <v>0</v>
      </c>
      <c r="X867">
        <v>0</v>
      </c>
      <c r="AE867">
        <v>0</v>
      </c>
      <c r="AF867">
        <v>0</v>
      </c>
      <c r="AM867" t="s">
        <v>52</v>
      </c>
      <c r="AN867" t="s">
        <v>53</v>
      </c>
    </row>
    <row r="868" spans="1:40">
      <c r="A868" t="s">
        <v>2370</v>
      </c>
      <c r="B868" t="s">
        <v>3342</v>
      </c>
      <c r="C868" t="s">
        <v>3327</v>
      </c>
      <c r="D868" t="s">
        <v>52</v>
      </c>
      <c r="E868" t="s">
        <v>3031</v>
      </c>
      <c r="F868" t="s">
        <v>131</v>
      </c>
      <c r="G868" t="str">
        <f>HYPERLINK("https://twitter.com/62135219/status/1143311410212036608")</f>
        <v>https://twitter.com/62135219/status/1143311410212036608</v>
      </c>
      <c r="H868" t="s">
        <v>46</v>
      </c>
      <c r="I868" t="s">
        <v>3347</v>
      </c>
      <c r="J868" t="str">
        <f>HYPERLINK("http://twitter.com/BobMorella")</f>
        <v>http://twitter.com/BobMorella</v>
      </c>
      <c r="K868">
        <v>1023</v>
      </c>
      <c r="L868" t="s">
        <v>48</v>
      </c>
      <c r="N868" t="s">
        <v>65</v>
      </c>
      <c r="R868" t="s">
        <v>60</v>
      </c>
      <c r="W868">
        <v>0</v>
      </c>
      <c r="X868">
        <v>0</v>
      </c>
      <c r="AE868">
        <v>0</v>
      </c>
      <c r="AI868" t="s">
        <v>108</v>
      </c>
      <c r="AJ868" t="s">
        <v>52</v>
      </c>
      <c r="AK868" t="s">
        <v>52</v>
      </c>
      <c r="AL868" t="str">
        <f>HYPERLINK("https://pbs.twimg.com/tweet_video_thumb/D9cjm2HUYAAJ9R9.jpg")</f>
        <v>https://pbs.twimg.com/tweet_video_thumb/D9cjm2HUYAAJ9R9.jpg</v>
      </c>
      <c r="AM868" t="s">
        <v>52</v>
      </c>
      <c r="AN868" t="s">
        <v>53</v>
      </c>
    </row>
    <row r="869" spans="1:40">
      <c r="A869" t="s">
        <v>2370</v>
      </c>
      <c r="B869" t="s">
        <v>3342</v>
      </c>
      <c r="C869" t="s">
        <v>3327</v>
      </c>
      <c r="D869" t="s">
        <v>52</v>
      </c>
      <c r="E869" t="s">
        <v>1194</v>
      </c>
      <c r="F869" t="s">
        <v>131</v>
      </c>
      <c r="G869" t="str">
        <f>HYPERLINK("https://twitter.com/908418625492615168/status/1143311396463173632")</f>
        <v>https://twitter.com/908418625492615168/status/1143311396463173632</v>
      </c>
      <c r="H869" t="s">
        <v>46</v>
      </c>
      <c r="I869" t="s">
        <v>3348</v>
      </c>
      <c r="J869" t="str">
        <f>HYPERLINK("http://twitter.com/mysticmayham12")</f>
        <v>http://twitter.com/mysticmayham12</v>
      </c>
      <c r="K869">
        <v>64</v>
      </c>
      <c r="N869" t="s">
        <v>65</v>
      </c>
      <c r="R869" t="s">
        <v>60</v>
      </c>
      <c r="S869" t="s">
        <v>444</v>
      </c>
      <c r="T869" t="s">
        <v>2608</v>
      </c>
      <c r="U869" t="s">
        <v>3349</v>
      </c>
      <c r="W869">
        <v>0</v>
      </c>
      <c r="X869">
        <v>0</v>
      </c>
      <c r="AE869">
        <v>0</v>
      </c>
      <c r="AI869" t="s">
        <v>52</v>
      </c>
      <c r="AJ869" t="s">
        <v>1196</v>
      </c>
      <c r="AK869" t="s">
        <v>52</v>
      </c>
      <c r="AL869" t="str">
        <f>HYPERLINK("https://pbs.twimg.com/media/D9xgk2YXkAAd2ql.jpg")</f>
        <v>https://pbs.twimg.com/media/D9xgk2YXkAAd2ql.jpg</v>
      </c>
      <c r="AM869" t="s">
        <v>52</v>
      </c>
      <c r="AN869" t="s">
        <v>53</v>
      </c>
    </row>
    <row r="870" spans="1:40">
      <c r="A870" t="s">
        <v>2370</v>
      </c>
      <c r="B870" t="s">
        <v>3342</v>
      </c>
      <c r="C870" t="s">
        <v>3327</v>
      </c>
      <c r="D870" t="s">
        <v>52</v>
      </c>
      <c r="E870" t="s">
        <v>599</v>
      </c>
      <c r="F870" t="s">
        <v>131</v>
      </c>
      <c r="G870" t="str">
        <f>HYPERLINK("https://twitter.com/3282622268/status/1143311384282664960")</f>
        <v>https://twitter.com/3282622268/status/1143311384282664960</v>
      </c>
      <c r="H870" t="s">
        <v>46</v>
      </c>
      <c r="I870" t="s">
        <v>3350</v>
      </c>
      <c r="J870" t="str">
        <f>HYPERLINK("http://twitter.com/TwittahGod")</f>
        <v>http://twitter.com/TwittahGod</v>
      </c>
      <c r="K870">
        <v>61652</v>
      </c>
      <c r="N870" t="s">
        <v>65</v>
      </c>
      <c r="R870" t="s">
        <v>60</v>
      </c>
      <c r="W870">
        <v>0</v>
      </c>
      <c r="X870">
        <v>0</v>
      </c>
      <c r="AE870">
        <v>0</v>
      </c>
      <c r="AI870" t="s">
        <v>108</v>
      </c>
      <c r="AJ870" t="s">
        <v>52</v>
      </c>
      <c r="AK870" t="s">
        <v>601</v>
      </c>
      <c r="AL870" t="str">
        <f>HYPERLINK("https://pbs.twimg.com/ext_tw_video_thumb/1143202185154584581/pu/img/K72qfBH8zIdbiUf-.jpg")</f>
        <v>https://pbs.twimg.com/ext_tw_video_thumb/1143202185154584581/pu/img/K72qfBH8zIdbiUf-.jpg</v>
      </c>
      <c r="AM870" t="s">
        <v>52</v>
      </c>
      <c r="AN870" t="s">
        <v>53</v>
      </c>
    </row>
    <row r="871" spans="1:40">
      <c r="A871" t="s">
        <v>2370</v>
      </c>
      <c r="B871" t="s">
        <v>3342</v>
      </c>
      <c r="C871" t="s">
        <v>3327</v>
      </c>
      <c r="D871" t="s">
        <v>52</v>
      </c>
      <c r="E871" t="s">
        <v>1194</v>
      </c>
      <c r="F871" t="s">
        <v>131</v>
      </c>
      <c r="G871" t="str">
        <f>HYPERLINK("https://twitter.com/924408476/status/1143311384211365888")</f>
        <v>https://twitter.com/924408476/status/1143311384211365888</v>
      </c>
      <c r="H871" t="s">
        <v>46</v>
      </c>
      <c r="I871" t="s">
        <v>3351</v>
      </c>
      <c r="J871" t="str">
        <f>HYPERLINK("http://twitter.com/sarahsalcidooo")</f>
        <v>http://twitter.com/sarahsalcidooo</v>
      </c>
      <c r="K871">
        <v>197</v>
      </c>
      <c r="N871" t="s">
        <v>65</v>
      </c>
      <c r="R871" t="s">
        <v>60</v>
      </c>
      <c r="S871" t="s">
        <v>387</v>
      </c>
      <c r="T871" t="s">
        <v>388</v>
      </c>
      <c r="U871" t="s">
        <v>3352</v>
      </c>
      <c r="W871">
        <v>0</v>
      </c>
      <c r="X871">
        <v>0</v>
      </c>
      <c r="AE871">
        <v>0</v>
      </c>
      <c r="AI871" t="s">
        <v>52</v>
      </c>
      <c r="AJ871" t="s">
        <v>1196</v>
      </c>
      <c r="AK871" t="s">
        <v>52</v>
      </c>
      <c r="AL871" t="str">
        <f>HYPERLINK("https://pbs.twimg.com/media/D9xgk2YXkAAd2ql.jpg")</f>
        <v>https://pbs.twimg.com/media/D9xgk2YXkAAd2ql.jpg</v>
      </c>
      <c r="AM871" t="s">
        <v>52</v>
      </c>
      <c r="AN871" t="s">
        <v>53</v>
      </c>
    </row>
    <row r="872" spans="1:40">
      <c r="A872" t="s">
        <v>2370</v>
      </c>
      <c r="B872" t="s">
        <v>3353</v>
      </c>
      <c r="C872" t="s">
        <v>3319</v>
      </c>
      <c r="D872" t="s">
        <v>52</v>
      </c>
      <c r="E872" t="s">
        <v>3354</v>
      </c>
      <c r="F872" t="s">
        <v>45</v>
      </c>
      <c r="G872" t="str">
        <f>HYPERLINK("https://twitter.com/380500044/status/1143311292494753793")</f>
        <v>https://twitter.com/380500044/status/1143311292494753793</v>
      </c>
      <c r="H872" t="s">
        <v>46</v>
      </c>
      <c r="I872" t="s">
        <v>3355</v>
      </c>
      <c r="J872" t="str">
        <f>HYPERLINK("http://twitter.com/macaaMV")</f>
        <v>http://twitter.com/macaaMV</v>
      </c>
      <c r="K872">
        <v>665</v>
      </c>
      <c r="N872" t="s">
        <v>65</v>
      </c>
      <c r="R872" t="s">
        <v>60</v>
      </c>
      <c r="S872" t="s">
        <v>701</v>
      </c>
      <c r="T872" t="s">
        <v>3356</v>
      </c>
      <c r="W872">
        <v>2</v>
      </c>
      <c r="X872">
        <v>2</v>
      </c>
      <c r="AE872">
        <v>0</v>
      </c>
      <c r="AF872">
        <v>0</v>
      </c>
      <c r="AM872" t="s">
        <v>52</v>
      </c>
      <c r="AN872" t="s">
        <v>53</v>
      </c>
    </row>
    <row r="873" spans="1:40">
      <c r="A873" t="s">
        <v>2370</v>
      </c>
      <c r="B873" t="s">
        <v>3353</v>
      </c>
      <c r="C873" t="s">
        <v>3357</v>
      </c>
      <c r="D873" t="s">
        <v>52</v>
      </c>
      <c r="E873" t="s">
        <v>599</v>
      </c>
      <c r="F873" t="s">
        <v>131</v>
      </c>
      <c r="G873" t="str">
        <f>HYPERLINK("https://twitter.com/1106367117618614274/status/1143311250300035072")</f>
        <v>https://twitter.com/1106367117618614274/status/1143311250300035072</v>
      </c>
      <c r="H873" t="s">
        <v>46</v>
      </c>
      <c r="I873" t="s">
        <v>3358</v>
      </c>
      <c r="J873" t="str">
        <f>HYPERLINK("http://twitter.com/inlovenotinline")</f>
        <v>http://twitter.com/inlovenotinline</v>
      </c>
      <c r="K873">
        <v>78</v>
      </c>
      <c r="N873" t="s">
        <v>65</v>
      </c>
      <c r="R873" t="s">
        <v>60</v>
      </c>
      <c r="S873" t="s">
        <v>51</v>
      </c>
      <c r="T873" t="s">
        <v>380</v>
      </c>
      <c r="U873" t="s">
        <v>380</v>
      </c>
      <c r="W873">
        <v>0</v>
      </c>
      <c r="X873">
        <v>0</v>
      </c>
      <c r="AE873">
        <v>0</v>
      </c>
      <c r="AI873" t="s">
        <v>108</v>
      </c>
      <c r="AJ873" t="s">
        <v>52</v>
      </c>
      <c r="AK873" t="s">
        <v>601</v>
      </c>
      <c r="AL873" t="str">
        <f>HYPERLINK("https://pbs.twimg.com/ext_tw_video_thumb/1143202185154584581/pu/img/K72qfBH8zIdbiUf-.jpg")</f>
        <v>https://pbs.twimg.com/ext_tw_video_thumb/1143202185154584581/pu/img/K72qfBH8zIdbiUf-.jpg</v>
      </c>
      <c r="AM873" t="s">
        <v>52</v>
      </c>
      <c r="AN873" t="s">
        <v>53</v>
      </c>
    </row>
    <row r="874" spans="1:40">
      <c r="A874" t="s">
        <v>2370</v>
      </c>
      <c r="B874" t="s">
        <v>3353</v>
      </c>
      <c r="C874" t="s">
        <v>3359</v>
      </c>
      <c r="D874" t="s">
        <v>52</v>
      </c>
      <c r="E874" t="s">
        <v>1194</v>
      </c>
      <c r="F874" t="s">
        <v>131</v>
      </c>
      <c r="G874" t="str">
        <f>HYPERLINK("https://twitter.com/1091126762388549633/status/1143311114610122752")</f>
        <v>https://twitter.com/1091126762388549633/status/1143311114610122752</v>
      </c>
      <c r="H874" t="s">
        <v>46</v>
      </c>
      <c r="I874" t="s">
        <v>3360</v>
      </c>
      <c r="J874" t="str">
        <f>HYPERLINK("http://twitter.com/nicoleez34")</f>
        <v>http://twitter.com/nicoleez34</v>
      </c>
      <c r="K874">
        <v>22</v>
      </c>
      <c r="L874" t="s">
        <v>58</v>
      </c>
      <c r="N874" t="s">
        <v>65</v>
      </c>
      <c r="R874" t="s">
        <v>60</v>
      </c>
      <c r="W874">
        <v>0</v>
      </c>
      <c r="X874">
        <v>0</v>
      </c>
      <c r="AE874">
        <v>0</v>
      </c>
      <c r="AI874" t="s">
        <v>52</v>
      </c>
      <c r="AJ874" t="s">
        <v>1196</v>
      </c>
      <c r="AK874" t="s">
        <v>52</v>
      </c>
      <c r="AL874" t="str">
        <f>HYPERLINK("https://pbs.twimg.com/media/D9xgk2YXkAAd2ql.jpg")</f>
        <v>https://pbs.twimg.com/media/D9xgk2YXkAAd2ql.jpg</v>
      </c>
      <c r="AM874" t="s">
        <v>52</v>
      </c>
      <c r="AN874" t="s">
        <v>53</v>
      </c>
    </row>
    <row r="875" spans="1:40">
      <c r="A875" t="s">
        <v>2370</v>
      </c>
      <c r="B875" t="s">
        <v>3353</v>
      </c>
      <c r="C875" t="s">
        <v>3359</v>
      </c>
      <c r="D875" t="s">
        <v>52</v>
      </c>
      <c r="E875" t="s">
        <v>3361</v>
      </c>
      <c r="F875" t="s">
        <v>45</v>
      </c>
      <c r="G875" t="str">
        <f>HYPERLINK("https://twitter.com/731573387806539777/status/1143311109199454210")</f>
        <v>https://twitter.com/731573387806539777/status/1143311109199454210</v>
      </c>
      <c r="H875" t="s">
        <v>46</v>
      </c>
      <c r="I875" t="s">
        <v>3362</v>
      </c>
      <c r="J875" t="str">
        <f>HYPERLINK("http://twitter.com/CamiHerreraLch")</f>
        <v>http://twitter.com/CamiHerreraLch</v>
      </c>
      <c r="K875">
        <v>867</v>
      </c>
      <c r="N875" t="s">
        <v>65</v>
      </c>
      <c r="R875" t="s">
        <v>60</v>
      </c>
      <c r="S875" t="s">
        <v>701</v>
      </c>
      <c r="W875">
        <v>0</v>
      </c>
      <c r="X875">
        <v>0</v>
      </c>
      <c r="AE875">
        <v>0</v>
      </c>
      <c r="AF875">
        <v>0</v>
      </c>
      <c r="AM875" t="s">
        <v>52</v>
      </c>
      <c r="AN875" t="s">
        <v>53</v>
      </c>
    </row>
    <row r="876" spans="1:40">
      <c r="A876" t="s">
        <v>2370</v>
      </c>
      <c r="B876" t="s">
        <v>3363</v>
      </c>
      <c r="C876" t="s">
        <v>3364</v>
      </c>
      <c r="D876" t="s">
        <v>52</v>
      </c>
      <c r="E876" t="s">
        <v>3023</v>
      </c>
      <c r="F876" t="s">
        <v>71</v>
      </c>
      <c r="G876" t="str">
        <f>HYPERLINK("https://twitter.com/3984211367/status/1143310957755719682")</f>
        <v>https://twitter.com/3984211367/status/1143310957755719682</v>
      </c>
      <c r="H876" t="s">
        <v>46</v>
      </c>
      <c r="I876" t="s">
        <v>3365</v>
      </c>
      <c r="J876" t="str">
        <f>HYPERLINK("http://twitter.com/AnnieGrayse")</f>
        <v>http://twitter.com/AnnieGrayse</v>
      </c>
      <c r="K876">
        <v>459</v>
      </c>
      <c r="N876" t="s">
        <v>65</v>
      </c>
      <c r="R876" t="s">
        <v>60</v>
      </c>
      <c r="S876" t="s">
        <v>51</v>
      </c>
      <c r="T876" t="s">
        <v>1657</v>
      </c>
      <c r="U876" t="s">
        <v>3366</v>
      </c>
      <c r="W876">
        <v>1</v>
      </c>
      <c r="X876">
        <v>1</v>
      </c>
      <c r="AE876">
        <v>0</v>
      </c>
      <c r="AF876">
        <v>1</v>
      </c>
      <c r="AI876" t="s">
        <v>52</v>
      </c>
      <c r="AJ876" t="s">
        <v>659</v>
      </c>
      <c r="AK876" t="s">
        <v>52</v>
      </c>
      <c r="AL876" t="str">
        <f>HYPERLINK("https://pbs.twimg.com/media/D93Q_wDX4AA3Ezm.jpg")</f>
        <v>https://pbs.twimg.com/media/D93Q_wDX4AA3Ezm.jpg</v>
      </c>
      <c r="AM876" t="s">
        <v>52</v>
      </c>
      <c r="AN876" t="s">
        <v>53</v>
      </c>
    </row>
    <row r="877" spans="1:40">
      <c r="A877" t="s">
        <v>2370</v>
      </c>
      <c r="B877" t="s">
        <v>3363</v>
      </c>
      <c r="C877" t="s">
        <v>3367</v>
      </c>
      <c r="D877" t="s">
        <v>52</v>
      </c>
      <c r="E877" t="s">
        <v>577</v>
      </c>
      <c r="F877" t="s">
        <v>131</v>
      </c>
      <c r="G877" t="str">
        <f>HYPERLINK("https://twitter.com/939148198580572160/status/1143310898750271490")</f>
        <v>https://twitter.com/939148198580572160/status/1143310898750271490</v>
      </c>
      <c r="H877" t="s">
        <v>46</v>
      </c>
      <c r="I877" t="s">
        <v>3368</v>
      </c>
      <c r="J877" t="str">
        <f>HYPERLINK("http://twitter.com/taeyeonsr")</f>
        <v>http://twitter.com/taeyeonsr</v>
      </c>
      <c r="K877">
        <v>1547</v>
      </c>
      <c r="N877" t="s">
        <v>65</v>
      </c>
      <c r="R877" t="s">
        <v>60</v>
      </c>
      <c r="W877">
        <v>0</v>
      </c>
      <c r="X877">
        <v>0</v>
      </c>
      <c r="AE877">
        <v>0</v>
      </c>
      <c r="AI877" t="s">
        <v>52</v>
      </c>
      <c r="AJ877" t="s">
        <v>52</v>
      </c>
      <c r="AK877" t="s">
        <v>581</v>
      </c>
      <c r="AL877" t="str">
        <f>HYPERLINK("https://pbs.twimg.com/ext_tw_video_thumb/1142915685863108608/pu/img/WRlHL3RIvWqv0H2N.jpg")</f>
        <v>https://pbs.twimg.com/ext_tw_video_thumb/1142915685863108608/pu/img/WRlHL3RIvWqv0H2N.jpg</v>
      </c>
      <c r="AM877" t="s">
        <v>52</v>
      </c>
      <c r="AN877" t="s">
        <v>53</v>
      </c>
    </row>
    <row r="878" spans="1:40">
      <c r="A878" t="s">
        <v>2370</v>
      </c>
      <c r="B878" t="s">
        <v>3363</v>
      </c>
      <c r="C878" t="s">
        <v>3198</v>
      </c>
      <c r="D878" t="s">
        <v>52</v>
      </c>
      <c r="E878" t="s">
        <v>3369</v>
      </c>
      <c r="F878" t="s">
        <v>45</v>
      </c>
      <c r="G878" t="str">
        <f>HYPERLINK("https://www.instagram.com/p/BzHLdySHgF6")</f>
        <v>https://www.instagram.com/p/BzHLdySHgF6</v>
      </c>
      <c r="H878" t="s">
        <v>46</v>
      </c>
      <c r="I878" t="s">
        <v>3370</v>
      </c>
      <c r="J878" t="str">
        <f>HYPERLINK("http://instagram.com/charliesontheway")</f>
        <v>http://instagram.com/charliesontheway</v>
      </c>
      <c r="K878">
        <v>765</v>
      </c>
      <c r="L878" t="s">
        <v>651</v>
      </c>
      <c r="N878" t="s">
        <v>59</v>
      </c>
      <c r="O878" t="s">
        <v>3370</v>
      </c>
      <c r="P878" t="str">
        <f>HYPERLINK("http://instagram.com/charliesontheway")</f>
        <v>http://instagram.com/charliesontheway</v>
      </c>
      <c r="Q878">
        <v>765</v>
      </c>
      <c r="R878" t="s">
        <v>60</v>
      </c>
      <c r="S878" t="s">
        <v>1530</v>
      </c>
      <c r="T878" t="s">
        <v>3371</v>
      </c>
      <c r="U878" t="s">
        <v>3372</v>
      </c>
      <c r="W878">
        <v>12</v>
      </c>
      <c r="X878">
        <v>12</v>
      </c>
      <c r="AE878">
        <v>0</v>
      </c>
      <c r="AI878" t="s">
        <v>52</v>
      </c>
      <c r="AJ878" t="s">
        <v>659</v>
      </c>
      <c r="AK878" t="s">
        <v>52</v>
      </c>
      <c r="AL878" t="str">
        <f>HYPERLINK("https://www.instagram.com/p/BzHLdySHgF6/media/?size=l")</f>
        <v>https://www.instagram.com/p/BzHLdySHgF6/media/?size=l</v>
      </c>
      <c r="AM878" t="s">
        <v>52</v>
      </c>
      <c r="AN878" t="s">
        <v>53</v>
      </c>
    </row>
    <row r="879" spans="1:40">
      <c r="A879" t="s">
        <v>2370</v>
      </c>
      <c r="B879" t="s">
        <v>3373</v>
      </c>
      <c r="C879" t="s">
        <v>3364</v>
      </c>
      <c r="D879" t="s">
        <v>52</v>
      </c>
      <c r="E879" t="s">
        <v>3374</v>
      </c>
      <c r="F879" t="s">
        <v>45</v>
      </c>
      <c r="G879" t="str">
        <f>HYPERLINK("https://www.instagram.com/p/BzHLTUBp6QO")</f>
        <v>https://www.instagram.com/p/BzHLTUBp6QO</v>
      </c>
      <c r="H879" t="s">
        <v>46</v>
      </c>
      <c r="I879" t="s">
        <v>3375</v>
      </c>
      <c r="J879" t="str">
        <f>HYPERLINK("http://instagram.com/los_doritos_de_los_bts_")</f>
        <v>http://instagram.com/los_doritos_de_los_bts_</v>
      </c>
      <c r="K879">
        <v>0</v>
      </c>
      <c r="N879" t="s">
        <v>59</v>
      </c>
      <c r="O879" t="s">
        <v>3375</v>
      </c>
      <c r="P879" t="str">
        <f>HYPERLINK("http://instagram.com/los_doritos_de_los_bts_")</f>
        <v>http://instagram.com/los_doritos_de_los_bts_</v>
      </c>
      <c r="Q879">
        <v>0</v>
      </c>
      <c r="R879" t="s">
        <v>60</v>
      </c>
      <c r="W879">
        <v>14</v>
      </c>
      <c r="X879">
        <v>14</v>
      </c>
      <c r="AE879">
        <v>1</v>
      </c>
      <c r="AI879" t="s">
        <v>52</v>
      </c>
      <c r="AJ879" t="s">
        <v>52</v>
      </c>
      <c r="AK879" t="s">
        <v>3376</v>
      </c>
      <c r="AL879" t="str">
        <f>HYPERLINK("https://www.instagram.com/p/BzHLTUBp6QO/media/?size=l")</f>
        <v>https://www.instagram.com/p/BzHLTUBp6QO/media/?size=l</v>
      </c>
      <c r="AM879" t="s">
        <v>52</v>
      </c>
      <c r="AN879" t="s">
        <v>53</v>
      </c>
    </row>
    <row r="880" spans="1:40">
      <c r="A880" t="s">
        <v>2370</v>
      </c>
      <c r="B880" t="s">
        <v>3377</v>
      </c>
      <c r="C880" t="s">
        <v>3378</v>
      </c>
      <c r="D880" t="s">
        <v>52</v>
      </c>
      <c r="E880" t="s">
        <v>3379</v>
      </c>
      <c r="F880" t="s">
        <v>45</v>
      </c>
      <c r="G880" t="str">
        <f>HYPERLINK("https://www.instagram.com/p/BzHLNKzAbN0")</f>
        <v>https://www.instagram.com/p/BzHLNKzAbN0</v>
      </c>
      <c r="H880" t="s">
        <v>46</v>
      </c>
      <c r="I880" t="s">
        <v>52</v>
      </c>
      <c r="J880" t="str">
        <f>HYPERLINK("http://instagram.com/santi_pancho94")</f>
        <v>http://instagram.com/santi_pancho94</v>
      </c>
      <c r="K880">
        <v>587</v>
      </c>
      <c r="N880" t="s">
        <v>59</v>
      </c>
      <c r="O880" t="s">
        <v>52</v>
      </c>
      <c r="P880" t="str">
        <f>HYPERLINK("http://instagram.com/santi_pancho94")</f>
        <v>http://instagram.com/santi_pancho94</v>
      </c>
      <c r="Q880">
        <v>587</v>
      </c>
      <c r="R880" t="s">
        <v>60</v>
      </c>
      <c r="W880">
        <v>40</v>
      </c>
      <c r="X880">
        <v>40</v>
      </c>
      <c r="AE880">
        <v>0</v>
      </c>
      <c r="AI880" t="s">
        <v>52</v>
      </c>
      <c r="AJ880" t="s">
        <v>52</v>
      </c>
      <c r="AK880" t="s">
        <v>110</v>
      </c>
      <c r="AL880" t="str">
        <f>HYPERLINK("https://www.instagram.com/p/BzHLNKzAbN0/media/?size=l")</f>
        <v>https://www.instagram.com/p/BzHLNKzAbN0/media/?size=l</v>
      </c>
      <c r="AM880" t="s">
        <v>52</v>
      </c>
      <c r="AN880" t="s">
        <v>53</v>
      </c>
    </row>
    <row r="881" spans="1:40">
      <c r="A881" t="s">
        <v>2370</v>
      </c>
      <c r="B881" t="s">
        <v>3377</v>
      </c>
      <c r="C881" t="s">
        <v>3380</v>
      </c>
      <c r="D881" t="s">
        <v>52</v>
      </c>
      <c r="E881" t="s">
        <v>3381</v>
      </c>
      <c r="F881" t="s">
        <v>45</v>
      </c>
      <c r="G881" t="str">
        <f>HYPERLINK("https://twitter.com/30783/status/1143310218564120582")</f>
        <v>https://twitter.com/30783/status/1143310218564120582</v>
      </c>
      <c r="H881" t="s">
        <v>46</v>
      </c>
      <c r="I881" t="s">
        <v>3382</v>
      </c>
      <c r="J881" t="str">
        <f>HYPERLINK("http://twitter.com/mikeharper")</f>
        <v>http://twitter.com/mikeharper</v>
      </c>
      <c r="K881">
        <v>190</v>
      </c>
      <c r="N881" t="s">
        <v>65</v>
      </c>
      <c r="R881" t="s">
        <v>60</v>
      </c>
      <c r="W881">
        <v>0</v>
      </c>
      <c r="X881">
        <v>0</v>
      </c>
      <c r="AE881">
        <v>0</v>
      </c>
      <c r="AF881">
        <v>0</v>
      </c>
      <c r="AI881" t="s">
        <v>52</v>
      </c>
      <c r="AJ881" t="s">
        <v>1853</v>
      </c>
      <c r="AK881" t="s">
        <v>52</v>
      </c>
      <c r="AL881" t="str">
        <f>HYPERLINK("https://pbs.twimg.com/media/D93ak5EWkAEl5FM.jpg")</f>
        <v>https://pbs.twimg.com/media/D93ak5EWkAEl5FM.jpg</v>
      </c>
      <c r="AM881" t="s">
        <v>52</v>
      </c>
      <c r="AN881" t="s">
        <v>53</v>
      </c>
    </row>
    <row r="882" spans="1:40">
      <c r="A882" t="s">
        <v>2370</v>
      </c>
      <c r="B882" t="s">
        <v>3383</v>
      </c>
      <c r="C882" t="s">
        <v>3384</v>
      </c>
      <c r="D882" t="s">
        <v>52</v>
      </c>
      <c r="E882" t="s">
        <v>3385</v>
      </c>
      <c r="F882" t="s">
        <v>131</v>
      </c>
      <c r="G882" t="str">
        <f>HYPERLINK("https://twitter.com/314340666/status/1143310045096161280")</f>
        <v>https://twitter.com/314340666/status/1143310045096161280</v>
      </c>
      <c r="H882" t="s">
        <v>46</v>
      </c>
      <c r="I882" t="s">
        <v>3386</v>
      </c>
      <c r="J882" t="str">
        <f>HYPERLINK("http://twitter.com/thepaulahunt")</f>
        <v>http://twitter.com/thepaulahunt</v>
      </c>
      <c r="K882">
        <v>17336</v>
      </c>
      <c r="N882" t="s">
        <v>65</v>
      </c>
      <c r="R882" t="s">
        <v>60</v>
      </c>
      <c r="W882">
        <v>0</v>
      </c>
      <c r="X882">
        <v>0</v>
      </c>
      <c r="AE882">
        <v>0</v>
      </c>
      <c r="AM882" t="s">
        <v>52</v>
      </c>
      <c r="AN882" t="s">
        <v>53</v>
      </c>
    </row>
    <row r="883" spans="1:40">
      <c r="A883" t="s">
        <v>2370</v>
      </c>
      <c r="B883" t="s">
        <v>3383</v>
      </c>
      <c r="C883" t="s">
        <v>3387</v>
      </c>
      <c r="D883" t="s">
        <v>52</v>
      </c>
      <c r="E883" t="s">
        <v>3388</v>
      </c>
      <c r="F883" t="s">
        <v>95</v>
      </c>
      <c r="G883" t="str">
        <f>HYPERLINK("https://twitter.com/1014893318088556546/status/1143310007242493957")</f>
        <v>https://twitter.com/1014893318088556546/status/1143310007242493957</v>
      </c>
      <c r="H883" t="s">
        <v>46</v>
      </c>
      <c r="I883" t="s">
        <v>3389</v>
      </c>
      <c r="J883" t="str">
        <f>HYPERLINK("http://twitter.com/angellicakelley")</f>
        <v>http://twitter.com/angellicakelley</v>
      </c>
      <c r="K883">
        <v>125</v>
      </c>
      <c r="N883" t="s">
        <v>65</v>
      </c>
      <c r="R883" t="s">
        <v>60</v>
      </c>
      <c r="W883">
        <v>1</v>
      </c>
      <c r="X883">
        <v>1</v>
      </c>
      <c r="AE883">
        <v>0</v>
      </c>
      <c r="AF883">
        <v>0</v>
      </c>
      <c r="AM883" t="s">
        <v>52</v>
      </c>
      <c r="AN883" t="s">
        <v>53</v>
      </c>
    </row>
    <row r="884" spans="1:40">
      <c r="A884" t="s">
        <v>2370</v>
      </c>
      <c r="B884" t="s">
        <v>3383</v>
      </c>
      <c r="C884" t="s">
        <v>1388</v>
      </c>
      <c r="D884" t="s">
        <v>3390</v>
      </c>
      <c r="E884" t="s">
        <v>3391</v>
      </c>
      <c r="F884" t="s">
        <v>45</v>
      </c>
      <c r="G884" t="str">
        <f>HYPERLINK("https://www.youtube.com/watch?v=l5YFxcqebGk")</f>
        <v>https://www.youtube.com/watch?v=l5YFxcqebGk</v>
      </c>
      <c r="H884" t="s">
        <v>46</v>
      </c>
      <c r="I884" t="s">
        <v>3392</v>
      </c>
      <c r="J884" t="str">
        <f>HYPERLINK("https://www.youtube.com/channel/UCdTQuppgigboUIEFXgwPfpA")</f>
        <v>https://www.youtube.com/channel/UCdTQuppgigboUIEFXgwPfpA</v>
      </c>
      <c r="K884">
        <v>260</v>
      </c>
      <c r="N884" t="s">
        <v>116</v>
      </c>
      <c r="O884" t="s">
        <v>3392</v>
      </c>
      <c r="P884" t="str">
        <f>HYPERLINK("https://www.youtube.com/channel/UCdTQuppgigboUIEFXgwPfpA")</f>
        <v>https://www.youtube.com/channel/UCdTQuppgigboUIEFXgwPfpA</v>
      </c>
      <c r="Q884">
        <v>260</v>
      </c>
      <c r="R884" t="s">
        <v>60</v>
      </c>
      <c r="S884" t="s">
        <v>51</v>
      </c>
      <c r="W884">
        <v>0</v>
      </c>
      <c r="X884">
        <v>0</v>
      </c>
      <c r="AD884">
        <v>0</v>
      </c>
      <c r="AE884">
        <v>0</v>
      </c>
      <c r="AG884">
        <v>25</v>
      </c>
      <c r="AI884" t="s">
        <v>108</v>
      </c>
      <c r="AJ884" t="s">
        <v>1763</v>
      </c>
      <c r="AK884" t="s">
        <v>52</v>
      </c>
      <c r="AL884" t="str">
        <f>HYPERLINK("https://i.ytimg.com/vi/l5YFxcqebGk/hqdefault.jpg")</f>
        <v>https://i.ytimg.com/vi/l5YFxcqebGk/hqdefault.jpg</v>
      </c>
      <c r="AM884" t="s">
        <v>52</v>
      </c>
      <c r="AN884" t="s">
        <v>53</v>
      </c>
    </row>
    <row r="885" spans="1:40">
      <c r="A885" t="s">
        <v>2370</v>
      </c>
      <c r="B885" t="s">
        <v>3393</v>
      </c>
      <c r="C885" t="s">
        <v>3394</v>
      </c>
      <c r="D885" t="s">
        <v>52</v>
      </c>
      <c r="E885" t="s">
        <v>3395</v>
      </c>
      <c r="F885" t="s">
        <v>45</v>
      </c>
      <c r="G885" t="str">
        <f>HYPERLINK("https://www.instagram.com/p/BzHKwpAJprV")</f>
        <v>https://www.instagram.com/p/BzHKwpAJprV</v>
      </c>
      <c r="H885" t="s">
        <v>91</v>
      </c>
      <c r="I885" t="s">
        <v>3396</v>
      </c>
      <c r="J885" t="str">
        <f>HYPERLINK("http://instagram.com/jamestobin")</f>
        <v>http://instagram.com/jamestobin</v>
      </c>
      <c r="K885">
        <v>373</v>
      </c>
      <c r="L885" t="s">
        <v>48</v>
      </c>
      <c r="N885" t="s">
        <v>59</v>
      </c>
      <c r="O885" t="s">
        <v>3396</v>
      </c>
      <c r="P885" t="str">
        <f>HYPERLINK("http://instagram.com/jamestobin")</f>
        <v>http://instagram.com/jamestobin</v>
      </c>
      <c r="Q885">
        <v>373</v>
      </c>
      <c r="R885" t="s">
        <v>60</v>
      </c>
      <c r="W885">
        <v>10</v>
      </c>
      <c r="X885">
        <v>10</v>
      </c>
      <c r="AE885">
        <v>0</v>
      </c>
      <c r="AI885" t="s">
        <v>52</v>
      </c>
      <c r="AJ885" t="s">
        <v>899</v>
      </c>
      <c r="AK885" t="s">
        <v>3397</v>
      </c>
      <c r="AL885" t="str">
        <f>HYPERLINK("https://www.instagram.com/p/BzHKwpAJprV/media/?size=l")</f>
        <v>https://www.instagram.com/p/BzHKwpAJprV/media/?size=l</v>
      </c>
      <c r="AM885" t="s">
        <v>52</v>
      </c>
      <c r="AN885" t="s">
        <v>53</v>
      </c>
    </row>
    <row r="886" spans="1:40">
      <c r="A886" t="s">
        <v>2370</v>
      </c>
      <c r="B886" t="s">
        <v>3398</v>
      </c>
      <c r="C886" t="s">
        <v>3399</v>
      </c>
      <c r="D886" t="s">
        <v>52</v>
      </c>
      <c r="E886" t="s">
        <v>3400</v>
      </c>
      <c r="F886" t="s">
        <v>45</v>
      </c>
      <c r="G886" t="str">
        <f>HYPERLINK("https://www.instagram.com/p/BzHKwC-l_Dp")</f>
        <v>https://www.instagram.com/p/BzHKwC-l_Dp</v>
      </c>
      <c r="H886" t="s">
        <v>46</v>
      </c>
      <c r="I886" t="s">
        <v>3401</v>
      </c>
      <c r="J886" t="str">
        <f>HYPERLINK("http://instagram.com/_grizel_")</f>
        <v>http://instagram.com/_grizel_</v>
      </c>
      <c r="K886">
        <v>8358</v>
      </c>
      <c r="N886" t="s">
        <v>59</v>
      </c>
      <c r="O886" t="s">
        <v>3401</v>
      </c>
      <c r="P886" t="str">
        <f>HYPERLINK("http://instagram.com/_grizel_")</f>
        <v>http://instagram.com/_grizel_</v>
      </c>
      <c r="Q886">
        <v>8358</v>
      </c>
      <c r="R886" t="s">
        <v>60</v>
      </c>
      <c r="S886" t="s">
        <v>51</v>
      </c>
      <c r="T886" t="s">
        <v>3402</v>
      </c>
      <c r="U886" t="s">
        <v>3403</v>
      </c>
      <c r="W886">
        <v>815</v>
      </c>
      <c r="X886">
        <v>815</v>
      </c>
      <c r="AE886">
        <v>14</v>
      </c>
      <c r="AI886" t="s">
        <v>52</v>
      </c>
      <c r="AJ886" t="s">
        <v>3404</v>
      </c>
      <c r="AK886" t="s">
        <v>3405</v>
      </c>
      <c r="AL886" t="str">
        <f>HYPERLINK("https://www.instagram.com/p/BzHKwC-l_Dp/media/?size=l")</f>
        <v>https://www.instagram.com/p/BzHKwC-l_Dp/media/?size=l</v>
      </c>
      <c r="AM886" t="s">
        <v>52</v>
      </c>
      <c r="AN886" t="s">
        <v>53</v>
      </c>
    </row>
    <row r="887" spans="1:40">
      <c r="A887" t="s">
        <v>2370</v>
      </c>
      <c r="B887" t="s">
        <v>3406</v>
      </c>
      <c r="C887" t="s">
        <v>3407</v>
      </c>
      <c r="D887" t="s">
        <v>52</v>
      </c>
      <c r="E887" t="s">
        <v>3408</v>
      </c>
      <c r="F887" t="s">
        <v>45</v>
      </c>
      <c r="G887" t="str">
        <f>HYPERLINK("https://www.instagram.com/p/BzHKb6LgNK4")</f>
        <v>https://www.instagram.com/p/BzHKb6LgNK4</v>
      </c>
      <c r="H887" t="s">
        <v>215</v>
      </c>
      <c r="I887" t="s">
        <v>3409</v>
      </c>
      <c r="J887" t="str">
        <f>HYPERLINK("http://instagram.com/_mrs_shep_")</f>
        <v>http://instagram.com/_mrs_shep_</v>
      </c>
      <c r="K887">
        <v>123</v>
      </c>
      <c r="N887" t="s">
        <v>59</v>
      </c>
      <c r="O887" t="s">
        <v>3409</v>
      </c>
      <c r="P887" t="str">
        <f>HYPERLINK("http://instagram.com/_mrs_shep_")</f>
        <v>http://instagram.com/_mrs_shep_</v>
      </c>
      <c r="Q887">
        <v>123</v>
      </c>
      <c r="R887" t="s">
        <v>60</v>
      </c>
      <c r="W887">
        <v>16</v>
      </c>
      <c r="X887">
        <v>16</v>
      </c>
      <c r="AE887">
        <v>5</v>
      </c>
      <c r="AI887" t="s">
        <v>108</v>
      </c>
      <c r="AJ887" t="s">
        <v>3410</v>
      </c>
      <c r="AK887" t="s">
        <v>2089</v>
      </c>
      <c r="AL887" t="str">
        <f>HYPERLINK("https://www.instagram.com/p/BzHKb6LgNK4/media/?size=l")</f>
        <v>https://www.instagram.com/p/BzHKb6LgNK4/media/?size=l</v>
      </c>
      <c r="AM887" t="s">
        <v>52</v>
      </c>
      <c r="AN887" t="s">
        <v>53</v>
      </c>
    </row>
    <row r="888" spans="1:40">
      <c r="A888" t="s">
        <v>2370</v>
      </c>
      <c r="B888" t="s">
        <v>3406</v>
      </c>
      <c r="C888" t="s">
        <v>3384</v>
      </c>
      <c r="D888" t="s">
        <v>52</v>
      </c>
      <c r="E888" t="s">
        <v>3411</v>
      </c>
      <c r="F888" t="s">
        <v>131</v>
      </c>
      <c r="G888" t="str">
        <f>HYPERLINK("https://twitter.com/1720808732/status/1143308608152772610")</f>
        <v>https://twitter.com/1720808732/status/1143308608152772610</v>
      </c>
      <c r="H888" t="s">
        <v>46</v>
      </c>
      <c r="I888" t="s">
        <v>3412</v>
      </c>
      <c r="J888" t="str">
        <f>HYPERLINK("http://twitter.com/rasm69")</f>
        <v>http://twitter.com/rasm69</v>
      </c>
      <c r="K888">
        <v>18341</v>
      </c>
      <c r="L888" t="s">
        <v>58</v>
      </c>
      <c r="N888" t="s">
        <v>65</v>
      </c>
      <c r="R888" t="s">
        <v>60</v>
      </c>
      <c r="W888">
        <v>0</v>
      </c>
      <c r="X888">
        <v>0</v>
      </c>
      <c r="AE888">
        <v>0</v>
      </c>
      <c r="AM888" t="s">
        <v>52</v>
      </c>
      <c r="AN888" t="s">
        <v>53</v>
      </c>
    </row>
    <row r="889" spans="1:40">
      <c r="A889" t="s">
        <v>2370</v>
      </c>
      <c r="B889" t="s">
        <v>3413</v>
      </c>
      <c r="C889" t="s">
        <v>3399</v>
      </c>
      <c r="D889" t="s">
        <v>52</v>
      </c>
      <c r="E889" t="s">
        <v>3414</v>
      </c>
      <c r="F889" t="s">
        <v>45</v>
      </c>
      <c r="G889" t="str">
        <f>HYPERLINK("https://twitter.com/1380798476/status/1143308392418762752")</f>
        <v>https://twitter.com/1380798476/status/1143308392418762752</v>
      </c>
      <c r="H889" t="s">
        <v>46</v>
      </c>
      <c r="I889" t="s">
        <v>3415</v>
      </c>
      <c r="J889" t="str">
        <f>HYPERLINK("http://twitter.com/Risse315")</f>
        <v>http://twitter.com/Risse315</v>
      </c>
      <c r="K889">
        <v>49</v>
      </c>
      <c r="N889" t="s">
        <v>65</v>
      </c>
      <c r="R889" t="s">
        <v>60</v>
      </c>
      <c r="S889" t="s">
        <v>51</v>
      </c>
      <c r="T889" t="s">
        <v>380</v>
      </c>
      <c r="U889" t="s">
        <v>380</v>
      </c>
      <c r="W889">
        <v>0</v>
      </c>
      <c r="X889">
        <v>0</v>
      </c>
      <c r="AE889">
        <v>0</v>
      </c>
      <c r="AF889">
        <v>0</v>
      </c>
      <c r="AM889" t="s">
        <v>52</v>
      </c>
      <c r="AN889" t="s">
        <v>53</v>
      </c>
    </row>
    <row r="890" spans="1:40">
      <c r="A890" t="s">
        <v>2370</v>
      </c>
      <c r="B890" t="s">
        <v>3413</v>
      </c>
      <c r="C890" t="s">
        <v>3416</v>
      </c>
      <c r="D890" t="s">
        <v>52</v>
      </c>
      <c r="E890" t="s">
        <v>3417</v>
      </c>
      <c r="F890" t="s">
        <v>95</v>
      </c>
      <c r="G890" t="str">
        <f>HYPERLINK("https://twitter.com/1077151569068593153/status/1143308355848626176")</f>
        <v>https://twitter.com/1077151569068593153/status/1143308355848626176</v>
      </c>
      <c r="H890" t="s">
        <v>46</v>
      </c>
      <c r="I890" t="s">
        <v>3418</v>
      </c>
      <c r="J890" t="str">
        <f>HYPERLINK("http://twitter.com/PeusLa")</f>
        <v>http://twitter.com/PeusLa</v>
      </c>
      <c r="K890">
        <v>612</v>
      </c>
      <c r="N890" t="s">
        <v>65</v>
      </c>
      <c r="R890" t="s">
        <v>60</v>
      </c>
      <c r="W890">
        <v>1</v>
      </c>
      <c r="X890">
        <v>1</v>
      </c>
      <c r="AE890">
        <v>1</v>
      </c>
      <c r="AF890">
        <v>0</v>
      </c>
      <c r="AM890" t="s">
        <v>52</v>
      </c>
      <c r="AN890" t="s">
        <v>53</v>
      </c>
    </row>
    <row r="891" spans="1:40">
      <c r="A891" t="s">
        <v>2370</v>
      </c>
      <c r="B891" t="s">
        <v>3419</v>
      </c>
      <c r="C891" t="s">
        <v>3420</v>
      </c>
      <c r="D891" t="s">
        <v>3421</v>
      </c>
      <c r="E891" t="s">
        <v>3422</v>
      </c>
      <c r="F891" t="s">
        <v>45</v>
      </c>
      <c r="G891" t="str">
        <f>HYPERLINK("http://www.asianefficiency.com/productivity/how-to-be-productive-when-youre-sick-and-you-have-an-important-deadline")</f>
        <v>http://www.asianefficiency.com/productivity/how-to-be-productive-when-youre-sick-and-you-have-an-important-deadline</v>
      </c>
      <c r="H891" t="s">
        <v>91</v>
      </c>
      <c r="I891" t="s">
        <v>3423</v>
      </c>
      <c r="J891" t="str">
        <f>HYPERLINK("http://www.asianefficiency.com/productivity/how-to-be-productive-when-youre-sick-and-you-have-an-important-deadline/")</f>
        <v>http://www.asianefficiency.com/productivity/how-to-be-productive-when-youre-sick-and-you-have-an-important-deadline/</v>
      </c>
      <c r="N891" t="s">
        <v>3424</v>
      </c>
      <c r="R891" t="s">
        <v>357</v>
      </c>
      <c r="S891" t="s">
        <v>51</v>
      </c>
      <c r="AM891" t="s">
        <v>52</v>
      </c>
      <c r="AN891" t="s">
        <v>53</v>
      </c>
    </row>
    <row r="892" spans="1:40">
      <c r="A892" t="s">
        <v>2370</v>
      </c>
      <c r="B892" t="s">
        <v>3419</v>
      </c>
      <c r="C892" t="s">
        <v>1146</v>
      </c>
      <c r="D892" t="s">
        <v>3425</v>
      </c>
      <c r="E892" t="s">
        <v>3426</v>
      </c>
      <c r="F892" t="s">
        <v>45</v>
      </c>
      <c r="G892" t="str">
        <f>HYPERLINK("https://pastebin.com/vuci6F4a")</f>
        <v>https://pastebin.com/vuci6F4a</v>
      </c>
      <c r="H892" t="s">
        <v>91</v>
      </c>
      <c r="I892" t="s">
        <v>3427</v>
      </c>
      <c r="J892" t="str">
        <f>HYPERLINK("https://pastebin.com/vuci6F4a")</f>
        <v>https://pastebin.com/vuci6F4a</v>
      </c>
      <c r="N892" t="s">
        <v>3165</v>
      </c>
      <c r="R892" t="s">
        <v>50</v>
      </c>
      <c r="S892" t="s">
        <v>444</v>
      </c>
      <c r="AM892" t="s">
        <v>52</v>
      </c>
      <c r="AN892" t="s">
        <v>53</v>
      </c>
    </row>
    <row r="893" spans="1:40">
      <c r="A893" t="s">
        <v>2370</v>
      </c>
      <c r="B893" t="s">
        <v>3419</v>
      </c>
      <c r="C893" t="s">
        <v>1179</v>
      </c>
      <c r="D893" t="s">
        <v>1278</v>
      </c>
      <c r="E893" t="s">
        <v>3428</v>
      </c>
      <c r="F893" t="s">
        <v>45</v>
      </c>
      <c r="G893" t="str">
        <f>HYPERLINK("http://lasvegassun.com/news/2019/jun/25/legal-weeds-a-growing-danger-to-dogs-so-keep-your")</f>
        <v>http://lasvegassun.com/news/2019/jun/25/legal-weeds-a-growing-danger-to-dogs-so-keep-your</v>
      </c>
      <c r="H893" t="s">
        <v>46</v>
      </c>
      <c r="I893" t="s">
        <v>3429</v>
      </c>
      <c r="J893" t="str">
        <f>HYPERLINK("http://lasvegassun.com/news/2019/jun/25/legal-weeds-a-growing-danger-to-dogs-so-keep-your/")</f>
        <v>http://lasvegassun.com/news/2019/jun/25/legal-weeds-a-growing-danger-to-dogs-so-keep-your/</v>
      </c>
      <c r="L893" t="s">
        <v>58</v>
      </c>
      <c r="N893" t="s">
        <v>1281</v>
      </c>
      <c r="R893" t="s">
        <v>357</v>
      </c>
      <c r="S893" t="s">
        <v>51</v>
      </c>
      <c r="AM893" t="s">
        <v>52</v>
      </c>
      <c r="AN893" t="s">
        <v>53</v>
      </c>
    </row>
    <row r="894" spans="1:40">
      <c r="A894" t="s">
        <v>2370</v>
      </c>
      <c r="B894" t="s">
        <v>3430</v>
      </c>
      <c r="C894" t="s">
        <v>3431</v>
      </c>
      <c r="D894" t="s">
        <v>52</v>
      </c>
      <c r="E894" t="s">
        <v>3432</v>
      </c>
      <c r="F894" t="s">
        <v>45</v>
      </c>
      <c r="G894" t="str">
        <f>HYPERLINK("https://www.instagram.com/p/BzHJ6T1g67Q")</f>
        <v>https://www.instagram.com/p/BzHJ6T1g67Q</v>
      </c>
      <c r="H894" t="s">
        <v>46</v>
      </c>
      <c r="I894" t="s">
        <v>52</v>
      </c>
      <c r="J894" t="str">
        <f>HYPERLINK("http://instagram.com/aishada15")</f>
        <v>http://instagram.com/aishada15</v>
      </c>
      <c r="K894">
        <v>117</v>
      </c>
      <c r="N894" t="s">
        <v>59</v>
      </c>
      <c r="O894" t="s">
        <v>52</v>
      </c>
      <c r="P894" t="str">
        <f>HYPERLINK("http://instagram.com/aishada15")</f>
        <v>http://instagram.com/aishada15</v>
      </c>
      <c r="Q894">
        <v>117</v>
      </c>
      <c r="R894" t="s">
        <v>60</v>
      </c>
      <c r="W894">
        <v>6</v>
      </c>
      <c r="X894">
        <v>6</v>
      </c>
      <c r="AE894">
        <v>0</v>
      </c>
      <c r="AI894" t="s">
        <v>52</v>
      </c>
      <c r="AJ894" t="s">
        <v>3433</v>
      </c>
      <c r="AK894" t="s">
        <v>52</v>
      </c>
      <c r="AL894" t="str">
        <f>HYPERLINK("https://www.instagram.com/p/BzHJ6T1g67Q/media/?size=l")</f>
        <v>https://www.instagram.com/p/BzHJ6T1g67Q/media/?size=l</v>
      </c>
      <c r="AM894" t="s">
        <v>52</v>
      </c>
      <c r="AN894" t="s">
        <v>53</v>
      </c>
    </row>
    <row r="895" spans="1:40">
      <c r="A895" t="s">
        <v>2370</v>
      </c>
      <c r="B895" t="s">
        <v>3430</v>
      </c>
      <c r="C895" t="s">
        <v>1972</v>
      </c>
      <c r="D895" t="s">
        <v>3434</v>
      </c>
      <c r="E895" t="s">
        <v>3435</v>
      </c>
      <c r="F895" t="s">
        <v>45</v>
      </c>
      <c r="G895" t="str">
        <f>HYPERLINK("https://www.reddit.com/r/shittyfoodporn/comments/c4r4ye/my_daily_lunch_peanut_butter_and_dorito_sandwich/?sort=new#thing_t1_ery8bew")</f>
        <v>https://www.reddit.com/r/shittyfoodporn/comments/c4r4ye/my_daily_lunch_peanut_butter_and_dorito_sandwich/?sort=new#thing_t1_ery8bew</v>
      </c>
      <c r="H895" t="s">
        <v>46</v>
      </c>
      <c r="I895" t="s">
        <v>3436</v>
      </c>
      <c r="J895" t="str">
        <f>HYPERLINK("https://www.reddit.com/r/shittyfoodporn/comments/c4r4ye/my_daily_lunch_peanut_butter_and_dorito_sandwich/?sort=new#thing_t1_ery8bew")</f>
        <v>https://www.reddit.com/r/shittyfoodporn/comments/c4r4ye/my_daily_lunch_peanut_butter_and_dorito_sandwich/?sort=new#thing_t1_ery8bew</v>
      </c>
      <c r="N895" t="s">
        <v>545</v>
      </c>
      <c r="O895" t="s">
        <v>1976</v>
      </c>
      <c r="P895" t="str">
        <f>HYPERLINK("https://www.reddit.com/r/shittyfoodporn/")</f>
        <v>https://www.reddit.com/r/shittyfoodporn/</v>
      </c>
      <c r="R895" t="s">
        <v>516</v>
      </c>
      <c r="S895" t="s">
        <v>51</v>
      </c>
      <c r="AM895" t="s">
        <v>52</v>
      </c>
      <c r="AN895" t="s">
        <v>53</v>
      </c>
    </row>
    <row r="896" spans="1:40">
      <c r="A896" t="s">
        <v>2370</v>
      </c>
      <c r="B896" t="s">
        <v>3437</v>
      </c>
      <c r="C896" t="s">
        <v>3399</v>
      </c>
      <c r="D896" t="s">
        <v>52</v>
      </c>
      <c r="E896" t="s">
        <v>1194</v>
      </c>
      <c r="F896" t="s">
        <v>131</v>
      </c>
      <c r="G896" t="str">
        <f>HYPERLINK("https://twitter.com/37397510/status/1143307300863713281")</f>
        <v>https://twitter.com/37397510/status/1143307300863713281</v>
      </c>
      <c r="H896" t="s">
        <v>46</v>
      </c>
      <c r="I896" t="s">
        <v>3438</v>
      </c>
      <c r="J896" t="str">
        <f>HYPERLINK("http://twitter.com/Luiskillz")</f>
        <v>http://twitter.com/Luiskillz</v>
      </c>
      <c r="K896">
        <v>458</v>
      </c>
      <c r="L896" t="s">
        <v>48</v>
      </c>
      <c r="N896" t="s">
        <v>65</v>
      </c>
      <c r="R896" t="s">
        <v>60</v>
      </c>
      <c r="S896" t="s">
        <v>51</v>
      </c>
      <c r="T896" t="s">
        <v>160</v>
      </c>
      <c r="U896" t="s">
        <v>3439</v>
      </c>
      <c r="W896">
        <v>0</v>
      </c>
      <c r="X896">
        <v>0</v>
      </c>
      <c r="AE896">
        <v>0</v>
      </c>
      <c r="AI896" t="s">
        <v>52</v>
      </c>
      <c r="AJ896" t="s">
        <v>1196</v>
      </c>
      <c r="AK896" t="s">
        <v>52</v>
      </c>
      <c r="AL896" t="str">
        <f>HYPERLINK("https://pbs.twimg.com/media/D9xgk2YXkAAd2ql.jpg")</f>
        <v>https://pbs.twimg.com/media/D9xgk2YXkAAd2ql.jpg</v>
      </c>
      <c r="AM896" t="s">
        <v>52</v>
      </c>
      <c r="AN896" t="s">
        <v>53</v>
      </c>
    </row>
    <row r="897" spans="1:40">
      <c r="A897" t="s">
        <v>2370</v>
      </c>
      <c r="B897" t="s">
        <v>3437</v>
      </c>
      <c r="C897" t="s">
        <v>3399</v>
      </c>
      <c r="D897" t="s">
        <v>52</v>
      </c>
      <c r="E897" t="s">
        <v>3440</v>
      </c>
      <c r="F897" t="s">
        <v>95</v>
      </c>
      <c r="G897" t="str">
        <f>HYPERLINK("https://twitter.com/893191660670210049/status/1143307298401660930")</f>
        <v>https://twitter.com/893191660670210049/status/1143307298401660930</v>
      </c>
      <c r="H897" t="s">
        <v>46</v>
      </c>
      <c r="I897" t="s">
        <v>3441</v>
      </c>
      <c r="J897" t="str">
        <f>HYPERLINK("http://twitter.com/terredemesaieux")</f>
        <v>http://twitter.com/terredemesaieux</v>
      </c>
      <c r="K897">
        <v>135</v>
      </c>
      <c r="L897" t="s">
        <v>48</v>
      </c>
      <c r="N897" t="s">
        <v>65</v>
      </c>
      <c r="R897" t="s">
        <v>60</v>
      </c>
      <c r="S897" t="s">
        <v>444</v>
      </c>
      <c r="T897" t="s">
        <v>1062</v>
      </c>
      <c r="U897" t="s">
        <v>3442</v>
      </c>
      <c r="W897">
        <v>0</v>
      </c>
      <c r="X897">
        <v>0</v>
      </c>
      <c r="AE897">
        <v>0</v>
      </c>
      <c r="AF897">
        <v>0</v>
      </c>
      <c r="AI897" t="s">
        <v>52</v>
      </c>
      <c r="AJ897" t="s">
        <v>2277</v>
      </c>
      <c r="AK897" t="s">
        <v>52</v>
      </c>
      <c r="AL897" t="str">
        <f>HYPERLINK("https://pbs.twimg.com/tweet_video_thumb/D93X7NBW4AEd-cJ.jpg")</f>
        <v>https://pbs.twimg.com/tweet_video_thumb/D93X7NBW4AEd-cJ.jpg</v>
      </c>
      <c r="AM897" t="s">
        <v>52</v>
      </c>
      <c r="AN897" t="s">
        <v>53</v>
      </c>
    </row>
    <row r="898" spans="1:40">
      <c r="A898" t="s">
        <v>2370</v>
      </c>
      <c r="B898" t="s">
        <v>3437</v>
      </c>
      <c r="C898" t="s">
        <v>3443</v>
      </c>
      <c r="D898" t="s">
        <v>52</v>
      </c>
      <c r="E898" t="s">
        <v>3444</v>
      </c>
      <c r="F898" t="s">
        <v>45</v>
      </c>
      <c r="G898" t="str">
        <f>HYPERLINK("https://twitter.com/724800493/status/1143307163407831040")</f>
        <v>https://twitter.com/724800493/status/1143307163407831040</v>
      </c>
      <c r="H898" t="s">
        <v>46</v>
      </c>
      <c r="I898" t="s">
        <v>3445</v>
      </c>
      <c r="J898" t="str">
        <f>HYPERLINK("http://twitter.com/AmandaMarin9")</f>
        <v>http://twitter.com/AmandaMarin9</v>
      </c>
      <c r="K898">
        <v>799</v>
      </c>
      <c r="N898" t="s">
        <v>65</v>
      </c>
      <c r="R898" t="s">
        <v>60</v>
      </c>
      <c r="W898">
        <v>0</v>
      </c>
      <c r="X898">
        <v>0</v>
      </c>
      <c r="AE898">
        <v>0</v>
      </c>
      <c r="AF898">
        <v>0</v>
      </c>
      <c r="AM898" t="s">
        <v>52</v>
      </c>
      <c r="AN898" t="s">
        <v>53</v>
      </c>
    </row>
    <row r="899" spans="1:40">
      <c r="A899" t="s">
        <v>2370</v>
      </c>
      <c r="B899" t="s">
        <v>3437</v>
      </c>
      <c r="C899" t="s">
        <v>1972</v>
      </c>
      <c r="D899" t="s">
        <v>3434</v>
      </c>
      <c r="E899" t="s">
        <v>3446</v>
      </c>
      <c r="F899" t="s">
        <v>45</v>
      </c>
      <c r="G899" t="str">
        <f>HYPERLINK("https://www.reddit.com/r/shittyfoodporn/comments/c4r4ye/my_daily_lunch_peanut_butter_and_dorito_sandwich/?sort=new#thing_t1_ery87mm")</f>
        <v>https://www.reddit.com/r/shittyfoodporn/comments/c4r4ye/my_daily_lunch_peanut_butter_and_dorito_sandwich/?sort=new#thing_t1_ery87mm</v>
      </c>
      <c r="H899" t="s">
        <v>91</v>
      </c>
      <c r="I899" t="s">
        <v>3447</v>
      </c>
      <c r="J899" t="str">
        <f>HYPERLINK("https://www.reddit.com/r/shittyfoodporn/comments/c4r4ye/my_daily_lunch_peanut_butter_and_dorito_sandwich/?sort=new#thing_t1_ery87mm")</f>
        <v>https://www.reddit.com/r/shittyfoodporn/comments/c4r4ye/my_daily_lunch_peanut_butter_and_dorito_sandwich/?sort=new#thing_t1_ery87mm</v>
      </c>
      <c r="N899" t="s">
        <v>545</v>
      </c>
      <c r="O899" t="s">
        <v>1976</v>
      </c>
      <c r="P899" t="str">
        <f>HYPERLINK("https://www.reddit.com/r/shittyfoodporn/")</f>
        <v>https://www.reddit.com/r/shittyfoodporn/</v>
      </c>
      <c r="R899" t="s">
        <v>516</v>
      </c>
      <c r="S899" t="s">
        <v>51</v>
      </c>
      <c r="AM899" t="s">
        <v>52</v>
      </c>
      <c r="AN899" t="s">
        <v>53</v>
      </c>
    </row>
    <row r="900" spans="1:40">
      <c r="A900" t="s">
        <v>2370</v>
      </c>
      <c r="B900" t="s">
        <v>3448</v>
      </c>
      <c r="C900" t="s">
        <v>3449</v>
      </c>
      <c r="D900" t="s">
        <v>52</v>
      </c>
      <c r="E900" t="s">
        <v>3450</v>
      </c>
      <c r="F900" t="s">
        <v>131</v>
      </c>
      <c r="G900" t="str">
        <f>HYPERLINK("https://twitter.com/1025763339308347394/status/1143306974135820288")</f>
        <v>https://twitter.com/1025763339308347394/status/1143306974135820288</v>
      </c>
      <c r="H900" t="s">
        <v>46</v>
      </c>
      <c r="I900" t="s">
        <v>3451</v>
      </c>
      <c r="J900" t="str">
        <f>HYPERLINK("http://twitter.com/abruu_floress")</f>
        <v>http://twitter.com/abruu_floress</v>
      </c>
      <c r="K900">
        <v>193</v>
      </c>
      <c r="N900" t="s">
        <v>65</v>
      </c>
      <c r="R900" t="s">
        <v>60</v>
      </c>
      <c r="S900" t="s">
        <v>701</v>
      </c>
      <c r="T900" t="s">
        <v>702</v>
      </c>
      <c r="U900" t="s">
        <v>702</v>
      </c>
      <c r="W900">
        <v>0</v>
      </c>
      <c r="X900">
        <v>0</v>
      </c>
      <c r="AE900">
        <v>0</v>
      </c>
      <c r="AM900" t="s">
        <v>52</v>
      </c>
      <c r="AN900" t="s">
        <v>53</v>
      </c>
    </row>
    <row r="901" spans="1:40">
      <c r="A901" t="s">
        <v>2370</v>
      </c>
      <c r="B901" t="s">
        <v>3448</v>
      </c>
      <c r="C901" t="s">
        <v>3452</v>
      </c>
      <c r="D901" t="s">
        <v>1411</v>
      </c>
      <c r="E901" t="s">
        <v>1411</v>
      </c>
      <c r="F901" t="s">
        <v>45</v>
      </c>
      <c r="G901" t="str">
        <f>HYPERLINK("https://www.youtube.com/watch?v=s8E5tk0pSHY")</f>
        <v>https://www.youtube.com/watch?v=s8E5tk0pSHY</v>
      </c>
      <c r="H901" t="s">
        <v>46</v>
      </c>
      <c r="I901" t="s">
        <v>3453</v>
      </c>
      <c r="J901" t="str">
        <f>HYPERLINK("https://www.youtube.com/channel/UCdjDPGq6XtRi57OzhnKW3GQ")</f>
        <v>https://www.youtube.com/channel/UCdjDPGq6XtRi57OzhnKW3GQ</v>
      </c>
      <c r="K901">
        <v>23</v>
      </c>
      <c r="N901" t="s">
        <v>116</v>
      </c>
      <c r="O901" t="s">
        <v>3453</v>
      </c>
      <c r="P901" t="str">
        <f>HYPERLINK("https://www.youtube.com/channel/UCdjDPGq6XtRi57OzhnKW3GQ")</f>
        <v>https://www.youtube.com/channel/UCdjDPGq6XtRi57OzhnKW3GQ</v>
      </c>
      <c r="Q901">
        <v>23</v>
      </c>
      <c r="R901" t="s">
        <v>60</v>
      </c>
      <c r="W901">
        <v>2</v>
      </c>
      <c r="X901">
        <v>2</v>
      </c>
      <c r="AD901">
        <v>0</v>
      </c>
      <c r="AE901">
        <v>0</v>
      </c>
      <c r="AG901">
        <v>76</v>
      </c>
      <c r="AI901" t="s">
        <v>52</v>
      </c>
      <c r="AJ901" t="s">
        <v>52</v>
      </c>
      <c r="AK901" t="s">
        <v>52</v>
      </c>
      <c r="AL901" t="str">
        <f>HYPERLINK("https://i.ytimg.com/vi/s8E5tk0pSHY/maxresdefault.jpg")</f>
        <v>https://i.ytimg.com/vi/s8E5tk0pSHY/maxresdefault.jpg</v>
      </c>
      <c r="AM901" t="s">
        <v>52</v>
      </c>
      <c r="AN901" t="s">
        <v>53</v>
      </c>
    </row>
    <row r="902" spans="1:40">
      <c r="A902" t="s">
        <v>2370</v>
      </c>
      <c r="B902" t="s">
        <v>3448</v>
      </c>
      <c r="C902" t="s">
        <v>3454</v>
      </c>
      <c r="D902" t="s">
        <v>52</v>
      </c>
      <c r="E902" t="s">
        <v>3455</v>
      </c>
      <c r="F902" t="s">
        <v>131</v>
      </c>
      <c r="G902" t="str">
        <f>HYPERLINK("https://twitter.com/2469836994/status/1143306927847305216")</f>
        <v>https://twitter.com/2469836994/status/1143306927847305216</v>
      </c>
      <c r="H902" t="s">
        <v>46</v>
      </c>
      <c r="I902" t="s">
        <v>3456</v>
      </c>
      <c r="J902" t="str">
        <f>HYPERLINK("http://twitter.com/amarealiyaaaah")</f>
        <v>http://twitter.com/amarealiyaaaah</v>
      </c>
      <c r="K902">
        <v>858</v>
      </c>
      <c r="N902" t="s">
        <v>65</v>
      </c>
      <c r="R902" t="s">
        <v>60</v>
      </c>
      <c r="S902" t="s">
        <v>51</v>
      </c>
      <c r="T902" t="s">
        <v>173</v>
      </c>
      <c r="U902" t="s">
        <v>3457</v>
      </c>
      <c r="W902">
        <v>0</v>
      </c>
      <c r="X902">
        <v>0</v>
      </c>
      <c r="AE902">
        <v>0</v>
      </c>
      <c r="AM902" t="s">
        <v>52</v>
      </c>
      <c r="AN902" t="s">
        <v>53</v>
      </c>
    </row>
    <row r="903" spans="1:40">
      <c r="A903" t="s">
        <v>2370</v>
      </c>
      <c r="B903" t="s">
        <v>3448</v>
      </c>
      <c r="C903" t="s">
        <v>3454</v>
      </c>
      <c r="D903" t="s">
        <v>52</v>
      </c>
      <c r="E903" t="s">
        <v>3458</v>
      </c>
      <c r="F903" t="s">
        <v>45</v>
      </c>
      <c r="G903" t="str">
        <f>HYPERLINK("https://twitter.com/4282066036/status/1143306917080719366")</f>
        <v>https://twitter.com/4282066036/status/1143306917080719366</v>
      </c>
      <c r="H903" t="s">
        <v>46</v>
      </c>
      <c r="I903" t="s">
        <v>3459</v>
      </c>
      <c r="J903" t="str">
        <f>HYPERLINK("http://twitter.com/LucianaAlbbzz")</f>
        <v>http://twitter.com/LucianaAlbbzz</v>
      </c>
      <c r="K903">
        <v>332</v>
      </c>
      <c r="N903" t="s">
        <v>65</v>
      </c>
      <c r="R903" t="s">
        <v>60</v>
      </c>
      <c r="S903" t="s">
        <v>701</v>
      </c>
      <c r="T903" t="s">
        <v>702</v>
      </c>
      <c r="U903" t="s">
        <v>702</v>
      </c>
      <c r="W903">
        <v>0</v>
      </c>
      <c r="X903">
        <v>0</v>
      </c>
      <c r="AE903">
        <v>0</v>
      </c>
      <c r="AF903">
        <v>0</v>
      </c>
      <c r="AM903" t="s">
        <v>52</v>
      </c>
      <c r="AN903" t="s">
        <v>53</v>
      </c>
    </row>
    <row r="904" spans="1:40">
      <c r="A904" t="s">
        <v>2370</v>
      </c>
      <c r="B904" t="s">
        <v>3448</v>
      </c>
      <c r="C904" t="s">
        <v>3452</v>
      </c>
      <c r="D904" t="s">
        <v>52</v>
      </c>
      <c r="E904" t="s">
        <v>3460</v>
      </c>
      <c r="F904" t="s">
        <v>45</v>
      </c>
      <c r="G904" t="str">
        <f>HYPERLINK("https://www.instagram.com/p/BzHJopslXRc")</f>
        <v>https://www.instagram.com/p/BzHJopslXRc</v>
      </c>
      <c r="H904" t="s">
        <v>46</v>
      </c>
      <c r="I904" t="s">
        <v>3461</v>
      </c>
      <c r="J904" t="str">
        <f>HYPERLINK("http://instagram.com/flyinspoons")</f>
        <v>http://instagram.com/flyinspoons</v>
      </c>
      <c r="K904">
        <v>55</v>
      </c>
      <c r="N904" t="s">
        <v>59</v>
      </c>
      <c r="O904" t="s">
        <v>3461</v>
      </c>
      <c r="P904" t="str">
        <f>HYPERLINK("http://instagram.com/flyinspoons")</f>
        <v>http://instagram.com/flyinspoons</v>
      </c>
      <c r="Q904">
        <v>55</v>
      </c>
      <c r="R904" t="s">
        <v>60</v>
      </c>
      <c r="W904">
        <v>20</v>
      </c>
      <c r="X904">
        <v>20</v>
      </c>
      <c r="AE904">
        <v>5</v>
      </c>
      <c r="AI904" t="s">
        <v>52</v>
      </c>
      <c r="AJ904" t="s">
        <v>52</v>
      </c>
      <c r="AK904" t="s">
        <v>3462</v>
      </c>
      <c r="AL904" t="str">
        <f>HYPERLINK("https://www.instagram.com/p/BzHJopslXRc/media/?size=l")</f>
        <v>https://www.instagram.com/p/BzHJopslXRc/media/?size=l</v>
      </c>
      <c r="AM904" t="s">
        <v>52</v>
      </c>
      <c r="AN904" t="s">
        <v>53</v>
      </c>
    </row>
    <row r="905" spans="1:40">
      <c r="A905" t="s">
        <v>2370</v>
      </c>
      <c r="B905" t="s">
        <v>3448</v>
      </c>
      <c r="C905" t="s">
        <v>3452</v>
      </c>
      <c r="D905" t="s">
        <v>52</v>
      </c>
      <c r="E905" t="s">
        <v>3463</v>
      </c>
      <c r="F905" t="s">
        <v>45</v>
      </c>
      <c r="G905" t="str">
        <f>HYPERLINK("https://twitter.com/1104799215702687744/status/1143306844888338432")</f>
        <v>https://twitter.com/1104799215702687744/status/1143306844888338432</v>
      </c>
      <c r="H905" t="s">
        <v>46</v>
      </c>
      <c r="I905" t="s">
        <v>3464</v>
      </c>
      <c r="J905" t="str">
        <f>HYPERLINK("http://twitter.com/LaKeyta395")</f>
        <v>http://twitter.com/LaKeyta395</v>
      </c>
      <c r="K905">
        <v>81</v>
      </c>
      <c r="N905" t="s">
        <v>65</v>
      </c>
      <c r="R905" t="s">
        <v>60</v>
      </c>
      <c r="S905" t="s">
        <v>51</v>
      </c>
      <c r="W905">
        <v>0</v>
      </c>
      <c r="X905">
        <v>0</v>
      </c>
      <c r="AE905">
        <v>0</v>
      </c>
      <c r="AF905">
        <v>0</v>
      </c>
      <c r="AM905" t="s">
        <v>52</v>
      </c>
      <c r="AN905" t="s">
        <v>53</v>
      </c>
    </row>
    <row r="906" spans="1:40">
      <c r="A906" t="s">
        <v>2370</v>
      </c>
      <c r="B906" t="s">
        <v>3448</v>
      </c>
      <c r="C906" t="s">
        <v>558</v>
      </c>
      <c r="D906" t="s">
        <v>52</v>
      </c>
      <c r="E906" t="s">
        <v>3465</v>
      </c>
      <c r="F906" t="s">
        <v>45</v>
      </c>
      <c r="G906" t="str">
        <f>HYPERLINK("https://www.facebook.com/623430491008288/posts/3297214656963178")</f>
        <v>https://www.facebook.com/623430491008288/posts/3297214656963178</v>
      </c>
      <c r="H906" t="s">
        <v>46</v>
      </c>
      <c r="I906" t="s">
        <v>3466</v>
      </c>
      <c r="J906" t="str">
        <f>HYPERLINK("https://www.facebook.com/623430491008288")</f>
        <v>https://www.facebook.com/623430491008288</v>
      </c>
      <c r="K906">
        <v>1838578</v>
      </c>
      <c r="L906" t="s">
        <v>651</v>
      </c>
      <c r="N906" t="s">
        <v>1792</v>
      </c>
      <c r="O906" t="s">
        <v>3466</v>
      </c>
      <c r="P906" t="str">
        <f>HYPERLINK("https://www.facebook.com/623430491008288")</f>
        <v>https://www.facebook.com/623430491008288</v>
      </c>
      <c r="Q906">
        <v>1838578</v>
      </c>
      <c r="R906" t="s">
        <v>60</v>
      </c>
      <c r="W906">
        <v>26</v>
      </c>
      <c r="X906">
        <v>26</v>
      </c>
      <c r="AE906">
        <v>141</v>
      </c>
      <c r="AF906">
        <v>5</v>
      </c>
      <c r="AI906" t="s">
        <v>52</v>
      </c>
      <c r="AJ906" t="s">
        <v>659</v>
      </c>
      <c r="AK906" t="s">
        <v>52</v>
      </c>
      <c r="AL906" t="str">
        <f>HYPERLINK("https://scontent.xx.fbcdn.net/v/t1.0-9/65415924_3297214243629886_942241182505762816_n.jpg?_nc_cat=109&amp;_nc_ht=scontent.xx&amp;oh=3bf9d49eb8ec08b118d730282f1ab568&amp;oe=5DB6E9E0")</f>
        <v>https://scontent.xx.fbcdn.net/v/t1.0-9/65415924_3297214243629886_942241182505762816_n.jpg?_nc_cat=109&amp;_nc_ht=scontent.xx&amp;oh=3bf9d49eb8ec08b118d730282f1ab568&amp;oe=5DB6E9E0</v>
      </c>
      <c r="AM906" t="s">
        <v>52</v>
      </c>
      <c r="AN906" t="s">
        <v>53</v>
      </c>
    </row>
    <row r="907" spans="1:40">
      <c r="A907" t="s">
        <v>2370</v>
      </c>
      <c r="B907" t="s">
        <v>3448</v>
      </c>
      <c r="C907" t="s">
        <v>3467</v>
      </c>
      <c r="D907" t="s">
        <v>3468</v>
      </c>
      <c r="E907" t="s">
        <v>3469</v>
      </c>
      <c r="F907" t="s">
        <v>45</v>
      </c>
      <c r="G907" t="str">
        <f>HYPERLINK("https://forums.battlefield.com/en-us/discussion/188457/bfv-is-a-campy-try-hard-insta-death-bore/p17#Comment_1562736")</f>
        <v>https://forums.battlefield.com/en-us/discussion/188457/bfv-is-a-campy-try-hard-insta-death-bore/p17#Comment_1562736</v>
      </c>
      <c r="H907" t="s">
        <v>46</v>
      </c>
      <c r="I907" t="s">
        <v>3470</v>
      </c>
      <c r="J907" t="str">
        <f>HYPERLINK("https://forums.battlefield.com/en-us/discussion/188457/bfv-is-a-campy-try-hard-insta-death-bore/p17#Comment_1562736")</f>
        <v>https://forums.battlefield.com/en-us/discussion/188457/bfv-is-a-campy-try-hard-insta-death-bore/p17#Comment_1562736</v>
      </c>
      <c r="N907" t="s">
        <v>3237</v>
      </c>
      <c r="O907" t="s">
        <v>3238</v>
      </c>
      <c r="P907" t="str">
        <f>HYPERLINK("https://forums.battlefield.com/en-us/categories/battlefield-v-general-discussion")</f>
        <v>https://forums.battlefield.com/en-us/categories/battlefield-v-general-discussion</v>
      </c>
      <c r="R907" t="s">
        <v>516</v>
      </c>
      <c r="S907" t="s">
        <v>51</v>
      </c>
      <c r="AM907" t="s">
        <v>52</v>
      </c>
      <c r="AN907" t="s">
        <v>53</v>
      </c>
    </row>
    <row r="908" spans="1:40">
      <c r="A908" t="s">
        <v>2370</v>
      </c>
      <c r="B908" t="s">
        <v>3448</v>
      </c>
      <c r="C908" t="s">
        <v>3471</v>
      </c>
      <c r="D908" t="s">
        <v>3472</v>
      </c>
      <c r="E908" t="s">
        <v>3473</v>
      </c>
      <c r="F908" t="s">
        <v>45</v>
      </c>
      <c r="G908" t="str">
        <f>HYPERLINK("https://community.babycenter.com/post/a73868129/lord-pray-for-dh")</f>
        <v>https://community.babycenter.com/post/a73868129/lord-pray-for-dh</v>
      </c>
      <c r="H908" t="s">
        <v>46</v>
      </c>
      <c r="I908" t="s">
        <v>3474</v>
      </c>
      <c r="J908" t="str">
        <f>HYPERLINK("https://community.babycenter.com/post/a73868129/lord-pray-for-dh")</f>
        <v>https://community.babycenter.com/post/a73868129/lord-pray-for-dh</v>
      </c>
      <c r="N908" t="s">
        <v>1506</v>
      </c>
      <c r="O908" t="s">
        <v>3475</v>
      </c>
      <c r="P908" t="str">
        <f>HYPERLINK("https://community.babycenter.com/groups/a6771784/january_2020_birth_club?scid=Android_MPBT_Referral&amp;pg=5")</f>
        <v>https://community.babycenter.com/groups/a6771784/january_2020_birth_club?scid=Android_MPBT_Referral&amp;pg=5</v>
      </c>
      <c r="R908" t="s">
        <v>516</v>
      </c>
      <c r="S908" t="s">
        <v>51</v>
      </c>
      <c r="AM908" t="s">
        <v>52</v>
      </c>
      <c r="AN908" t="s">
        <v>53</v>
      </c>
    </row>
    <row r="909" spans="1:40">
      <c r="A909" t="s">
        <v>2370</v>
      </c>
      <c r="B909" t="s">
        <v>3476</v>
      </c>
      <c r="C909" t="s">
        <v>3259</v>
      </c>
      <c r="D909" t="s">
        <v>52</v>
      </c>
      <c r="E909" t="s">
        <v>3477</v>
      </c>
      <c r="F909" t="s">
        <v>131</v>
      </c>
      <c r="G909" t="str">
        <f>HYPERLINK("https://twitter.com/2696210370/status/1143305906488250370")</f>
        <v>https://twitter.com/2696210370/status/1143305906488250370</v>
      </c>
      <c r="H909" t="s">
        <v>46</v>
      </c>
      <c r="I909" t="s">
        <v>3478</v>
      </c>
      <c r="J909" t="str">
        <f>HYPERLINK("http://twitter.com/Mxttis0n")</f>
        <v>http://twitter.com/Mxttis0n</v>
      </c>
      <c r="K909">
        <v>717</v>
      </c>
      <c r="N909" t="s">
        <v>65</v>
      </c>
      <c r="R909" t="s">
        <v>60</v>
      </c>
      <c r="S909" t="s">
        <v>1530</v>
      </c>
      <c r="T909" t="s">
        <v>3479</v>
      </c>
      <c r="U909" t="s">
        <v>3480</v>
      </c>
      <c r="W909">
        <v>0</v>
      </c>
      <c r="X909">
        <v>0</v>
      </c>
      <c r="AE909">
        <v>0</v>
      </c>
      <c r="AM909" t="s">
        <v>52</v>
      </c>
      <c r="AN909" t="s">
        <v>53</v>
      </c>
    </row>
    <row r="910" spans="1:40">
      <c r="A910" t="s">
        <v>2370</v>
      </c>
      <c r="B910" t="s">
        <v>3481</v>
      </c>
      <c r="C910" t="s">
        <v>3482</v>
      </c>
      <c r="D910" t="s">
        <v>52</v>
      </c>
      <c r="E910" t="s">
        <v>3483</v>
      </c>
      <c r="F910" t="s">
        <v>45</v>
      </c>
      <c r="G910" t="str">
        <f>HYPERLINK("https://www.instagram.com/p/BzHJFNmnqAn")</f>
        <v>https://www.instagram.com/p/BzHJFNmnqAn</v>
      </c>
      <c r="H910" t="s">
        <v>46</v>
      </c>
      <c r="I910" t="s">
        <v>3484</v>
      </c>
      <c r="J910" t="str">
        <f>HYPERLINK("http://instagram.com/peteantinore")</f>
        <v>http://instagram.com/peteantinore</v>
      </c>
      <c r="K910">
        <v>803</v>
      </c>
      <c r="L910" t="s">
        <v>48</v>
      </c>
      <c r="N910" t="s">
        <v>59</v>
      </c>
      <c r="O910" t="s">
        <v>3484</v>
      </c>
      <c r="P910" t="str">
        <f>HYPERLINK("http://instagram.com/peteantinore")</f>
        <v>http://instagram.com/peteantinore</v>
      </c>
      <c r="Q910">
        <v>803</v>
      </c>
      <c r="R910" t="s">
        <v>60</v>
      </c>
      <c r="W910">
        <v>36</v>
      </c>
      <c r="X910">
        <v>36</v>
      </c>
      <c r="AE910">
        <v>1</v>
      </c>
      <c r="AI910" t="s">
        <v>52</v>
      </c>
      <c r="AJ910" t="s">
        <v>3485</v>
      </c>
      <c r="AK910" t="s">
        <v>3486</v>
      </c>
      <c r="AL910" t="str">
        <f>HYPERLINK("https://www.instagram.com/p/BzHJFNmnqAn/media/?size=l")</f>
        <v>https://www.instagram.com/p/BzHJFNmnqAn/media/?size=l</v>
      </c>
      <c r="AM910" t="s">
        <v>52</v>
      </c>
      <c r="AN910" t="s">
        <v>53</v>
      </c>
    </row>
    <row r="911" spans="1:40">
      <c r="A911" t="s">
        <v>2370</v>
      </c>
      <c r="B911" t="s">
        <v>3487</v>
      </c>
      <c r="C911" t="s">
        <v>3488</v>
      </c>
      <c r="D911" t="s">
        <v>52</v>
      </c>
      <c r="E911" t="s">
        <v>3489</v>
      </c>
      <c r="F911" t="s">
        <v>45</v>
      </c>
      <c r="G911" t="str">
        <f>HYPERLINK("https://twitter.com/856694609682018304/status/1143305191174934528")</f>
        <v>https://twitter.com/856694609682018304/status/1143305191174934528</v>
      </c>
      <c r="H911" t="s">
        <v>46</v>
      </c>
      <c r="I911" t="s">
        <v>3490</v>
      </c>
      <c r="J911" t="str">
        <f>HYPERLINK("http://twitter.com/CaroChagass")</f>
        <v>http://twitter.com/CaroChagass</v>
      </c>
      <c r="K911">
        <v>27</v>
      </c>
      <c r="N911" t="s">
        <v>65</v>
      </c>
      <c r="R911" t="s">
        <v>60</v>
      </c>
      <c r="W911">
        <v>2</v>
      </c>
      <c r="X911">
        <v>2</v>
      </c>
      <c r="AE911">
        <v>0</v>
      </c>
      <c r="AF911">
        <v>0</v>
      </c>
      <c r="AM911" t="s">
        <v>52</v>
      </c>
      <c r="AN911" t="s">
        <v>53</v>
      </c>
    </row>
    <row r="912" spans="1:40">
      <c r="A912" t="s">
        <v>2370</v>
      </c>
      <c r="B912" t="s">
        <v>3491</v>
      </c>
      <c r="C912" t="s">
        <v>3259</v>
      </c>
      <c r="D912" t="s">
        <v>52</v>
      </c>
      <c r="E912" t="s">
        <v>3492</v>
      </c>
      <c r="F912" t="s">
        <v>45</v>
      </c>
      <c r="G912" t="str">
        <f>HYPERLINK("https://twitter.com/162572584/status/1143305040905588737")</f>
        <v>https://twitter.com/162572584/status/1143305040905588737</v>
      </c>
      <c r="H912" t="s">
        <v>46</v>
      </c>
      <c r="I912" t="s">
        <v>3493</v>
      </c>
      <c r="J912" t="str">
        <f>HYPERLINK("http://twitter.com/Santi_vogt")</f>
        <v>http://twitter.com/Santi_vogt</v>
      </c>
      <c r="K912">
        <v>343</v>
      </c>
      <c r="N912" t="s">
        <v>65</v>
      </c>
      <c r="R912" t="s">
        <v>60</v>
      </c>
      <c r="S912" t="s">
        <v>701</v>
      </c>
      <c r="T912" t="s">
        <v>702</v>
      </c>
      <c r="U912" t="s">
        <v>3494</v>
      </c>
      <c r="W912">
        <v>0</v>
      </c>
      <c r="X912">
        <v>0</v>
      </c>
      <c r="AE912">
        <v>0</v>
      </c>
      <c r="AF912">
        <v>0</v>
      </c>
      <c r="AM912" t="s">
        <v>52</v>
      </c>
      <c r="AN912" t="s">
        <v>53</v>
      </c>
    </row>
    <row r="913" spans="1:40">
      <c r="A913" t="s">
        <v>2370</v>
      </c>
      <c r="B913" t="s">
        <v>3491</v>
      </c>
      <c r="C913" t="s">
        <v>3495</v>
      </c>
      <c r="D913" t="s">
        <v>52</v>
      </c>
      <c r="E913" t="s">
        <v>3496</v>
      </c>
      <c r="F913" t="s">
        <v>45</v>
      </c>
      <c r="G913" t="str">
        <f>HYPERLINK("https://twitter.com/727204731949604864/status/1143304959179591681")</f>
        <v>https://twitter.com/727204731949604864/status/1143304959179591681</v>
      </c>
      <c r="H913" t="s">
        <v>46</v>
      </c>
      <c r="I913" t="s">
        <v>1327</v>
      </c>
      <c r="J913" t="str">
        <f>HYPERLINK("http://twitter.com/Poo2D2")</f>
        <v>http://twitter.com/Poo2D2</v>
      </c>
      <c r="K913">
        <v>51</v>
      </c>
      <c r="L913" t="s">
        <v>48</v>
      </c>
      <c r="N913" t="s">
        <v>65</v>
      </c>
      <c r="R913" t="s">
        <v>60</v>
      </c>
      <c r="S913" t="s">
        <v>51</v>
      </c>
      <c r="T913" t="s">
        <v>678</v>
      </c>
      <c r="U913" t="s">
        <v>1328</v>
      </c>
      <c r="W913">
        <v>0</v>
      </c>
      <c r="X913">
        <v>0</v>
      </c>
      <c r="AE913">
        <v>0</v>
      </c>
      <c r="AF913">
        <v>0</v>
      </c>
      <c r="AM913" t="s">
        <v>52</v>
      </c>
      <c r="AN913" t="s">
        <v>53</v>
      </c>
    </row>
    <row r="914" spans="1:40">
      <c r="A914" t="s">
        <v>2370</v>
      </c>
      <c r="B914" t="s">
        <v>3491</v>
      </c>
      <c r="C914" t="s">
        <v>3482</v>
      </c>
      <c r="D914" t="s">
        <v>52</v>
      </c>
      <c r="E914" t="s">
        <v>3497</v>
      </c>
      <c r="F914" t="s">
        <v>95</v>
      </c>
      <c r="G914" t="str">
        <f>HYPERLINK("https://twitter.com/746516619053113344/status/1143304937545326593")</f>
        <v>https://twitter.com/746516619053113344/status/1143304937545326593</v>
      </c>
      <c r="H914" t="s">
        <v>46</v>
      </c>
      <c r="I914" t="s">
        <v>3498</v>
      </c>
      <c r="J914" t="str">
        <f>HYPERLINK("http://twitter.com/pylolivia")</f>
        <v>http://twitter.com/pylolivia</v>
      </c>
      <c r="K914">
        <v>179</v>
      </c>
      <c r="N914" t="s">
        <v>65</v>
      </c>
      <c r="R914" t="s">
        <v>60</v>
      </c>
      <c r="W914">
        <v>1</v>
      </c>
      <c r="X914">
        <v>1</v>
      </c>
      <c r="AE914">
        <v>1</v>
      </c>
      <c r="AF914">
        <v>0</v>
      </c>
      <c r="AM914" t="s">
        <v>52</v>
      </c>
      <c r="AN914" t="s">
        <v>53</v>
      </c>
    </row>
    <row r="915" spans="1:40">
      <c r="A915" t="s">
        <v>2370</v>
      </c>
      <c r="B915" t="s">
        <v>3491</v>
      </c>
      <c r="C915" t="s">
        <v>3499</v>
      </c>
      <c r="D915" t="s">
        <v>52</v>
      </c>
      <c r="E915" t="s">
        <v>3500</v>
      </c>
      <c r="F915" t="s">
        <v>95</v>
      </c>
      <c r="G915" t="str">
        <f>HYPERLINK("https://twitter.com/3888967245/status/1143304857140510722")</f>
        <v>https://twitter.com/3888967245/status/1143304857140510722</v>
      </c>
      <c r="H915" t="s">
        <v>46</v>
      </c>
      <c r="I915" t="s">
        <v>3501</v>
      </c>
      <c r="J915" t="str">
        <f>HYPERLINK("http://twitter.com/Boffis123")</f>
        <v>http://twitter.com/Boffis123</v>
      </c>
      <c r="K915">
        <v>220</v>
      </c>
      <c r="N915" t="s">
        <v>65</v>
      </c>
      <c r="R915" t="s">
        <v>60</v>
      </c>
      <c r="S915" t="s">
        <v>1963</v>
      </c>
      <c r="W915">
        <v>0</v>
      </c>
      <c r="X915">
        <v>0</v>
      </c>
      <c r="AE915">
        <v>0</v>
      </c>
      <c r="AF915">
        <v>0</v>
      </c>
      <c r="AM915" t="s">
        <v>52</v>
      </c>
      <c r="AN915" t="s">
        <v>53</v>
      </c>
    </row>
    <row r="916" spans="1:40">
      <c r="A916" t="s">
        <v>2370</v>
      </c>
      <c r="B916" t="s">
        <v>3502</v>
      </c>
      <c r="C916" t="s">
        <v>3482</v>
      </c>
      <c r="D916" t="s">
        <v>52</v>
      </c>
      <c r="E916" t="s">
        <v>3503</v>
      </c>
      <c r="F916" t="s">
        <v>71</v>
      </c>
      <c r="G916" t="str">
        <f>HYPERLINK("https://twitter.com/3382436159/status/1143304615108235265")</f>
        <v>https://twitter.com/3382436159/status/1143304615108235265</v>
      </c>
      <c r="H916" t="s">
        <v>46</v>
      </c>
      <c r="I916" t="s">
        <v>3504</v>
      </c>
      <c r="J916" t="str">
        <f>HYPERLINK("http://twitter.com/Pep_Spingo")</f>
        <v>http://twitter.com/Pep_Spingo</v>
      </c>
      <c r="K916">
        <v>7</v>
      </c>
      <c r="N916" t="s">
        <v>65</v>
      </c>
      <c r="R916" t="s">
        <v>60</v>
      </c>
      <c r="W916">
        <v>0</v>
      </c>
      <c r="X916">
        <v>0</v>
      </c>
      <c r="AE916">
        <v>0</v>
      </c>
      <c r="AF916">
        <v>0</v>
      </c>
      <c r="AI916" t="s">
        <v>108</v>
      </c>
      <c r="AJ916" t="s">
        <v>52</v>
      </c>
      <c r="AK916" t="s">
        <v>52</v>
      </c>
      <c r="AL916" t="str">
        <f>HYPERLINK("https://pbs.twimg.com/tweet_video_thumb/D9hvNNzXUAATAS3.jpg")</f>
        <v>https://pbs.twimg.com/tweet_video_thumb/D9hvNNzXUAATAS3.jpg</v>
      </c>
      <c r="AM916" t="s">
        <v>52</v>
      </c>
      <c r="AN916" t="s">
        <v>53</v>
      </c>
    </row>
    <row r="917" spans="1:40">
      <c r="A917" t="s">
        <v>2370</v>
      </c>
      <c r="B917" t="s">
        <v>3505</v>
      </c>
      <c r="C917" t="s">
        <v>3506</v>
      </c>
      <c r="D917" t="s">
        <v>52</v>
      </c>
      <c r="E917" t="s">
        <v>3507</v>
      </c>
      <c r="F917" t="s">
        <v>45</v>
      </c>
      <c r="G917" t="str">
        <f>HYPERLINK("https://www.instagram.com/p/BzHIXPYorZf")</f>
        <v>https://www.instagram.com/p/BzHIXPYorZf</v>
      </c>
      <c r="H917" t="s">
        <v>46</v>
      </c>
      <c r="I917" t="s">
        <v>3508</v>
      </c>
      <c r="J917" t="str">
        <f>HYPERLINK("http://instagram.com/zuberfizz")</f>
        <v>http://instagram.com/zuberfizz</v>
      </c>
      <c r="K917">
        <v>1013</v>
      </c>
      <c r="N917" t="s">
        <v>59</v>
      </c>
      <c r="O917" t="s">
        <v>3508</v>
      </c>
      <c r="P917" t="str">
        <f>HYPERLINK("http://instagram.com/zuberfizz")</f>
        <v>http://instagram.com/zuberfizz</v>
      </c>
      <c r="Q917">
        <v>1013</v>
      </c>
      <c r="R917" t="s">
        <v>60</v>
      </c>
      <c r="S917" t="s">
        <v>51</v>
      </c>
      <c r="T917" t="s">
        <v>738</v>
      </c>
      <c r="U917" t="s">
        <v>3509</v>
      </c>
      <c r="W917">
        <v>24</v>
      </c>
      <c r="X917">
        <v>24</v>
      </c>
      <c r="AE917">
        <v>2</v>
      </c>
      <c r="AI917" t="s">
        <v>52</v>
      </c>
      <c r="AJ917" t="s">
        <v>3510</v>
      </c>
      <c r="AK917" t="s">
        <v>3511</v>
      </c>
      <c r="AL917" t="str">
        <f>HYPERLINK("https://www.instagram.com/p/BzHIXPYorZf/media/?size=l")</f>
        <v>https://www.instagram.com/p/BzHIXPYorZf/media/?size=l</v>
      </c>
      <c r="AM917" t="s">
        <v>52</v>
      </c>
      <c r="AN917" t="s">
        <v>53</v>
      </c>
    </row>
    <row r="918" spans="1:40">
      <c r="A918" t="s">
        <v>2370</v>
      </c>
      <c r="B918" t="s">
        <v>3512</v>
      </c>
      <c r="C918" t="s">
        <v>3259</v>
      </c>
      <c r="D918" t="s">
        <v>52</v>
      </c>
      <c r="E918" t="s">
        <v>3513</v>
      </c>
      <c r="F918" t="s">
        <v>45</v>
      </c>
      <c r="G918" t="str">
        <f>HYPERLINK("https://twitter.com/60686791/status/1143303967801335811")</f>
        <v>https://twitter.com/60686791/status/1143303967801335811</v>
      </c>
      <c r="H918" t="s">
        <v>46</v>
      </c>
      <c r="I918" t="s">
        <v>3514</v>
      </c>
      <c r="J918" t="str">
        <f>HYPERLINK("http://twitter.com/boafpt")</f>
        <v>http://twitter.com/boafpt</v>
      </c>
      <c r="K918">
        <v>420</v>
      </c>
      <c r="N918" t="s">
        <v>65</v>
      </c>
      <c r="R918" t="s">
        <v>60</v>
      </c>
      <c r="S918" t="s">
        <v>51</v>
      </c>
      <c r="T918" t="s">
        <v>380</v>
      </c>
      <c r="U918" t="s">
        <v>380</v>
      </c>
      <c r="W918">
        <v>4</v>
      </c>
      <c r="X918">
        <v>4</v>
      </c>
      <c r="AE918">
        <v>0</v>
      </c>
      <c r="AF918">
        <v>0</v>
      </c>
      <c r="AM918" t="s">
        <v>52</v>
      </c>
      <c r="AN918" t="s">
        <v>53</v>
      </c>
    </row>
    <row r="919" spans="1:40">
      <c r="A919" t="s">
        <v>2370</v>
      </c>
      <c r="B919" t="s">
        <v>3512</v>
      </c>
      <c r="C919" t="s">
        <v>3515</v>
      </c>
      <c r="D919" t="s">
        <v>3516</v>
      </c>
      <c r="E919" t="s">
        <v>3517</v>
      </c>
      <c r="F919" t="s">
        <v>45</v>
      </c>
      <c r="G919" t="str">
        <f>HYPERLINK("https://www.youtube.com/watch?v=TTS12v3NbkA")</f>
        <v>https://www.youtube.com/watch?v=TTS12v3NbkA</v>
      </c>
      <c r="H919" t="s">
        <v>46</v>
      </c>
      <c r="I919" t="s">
        <v>3518</v>
      </c>
      <c r="J919" t="str">
        <f>HYPERLINK("https://www.youtube.com/channel/UCG8SjZdAdPBxcigCpoqzqdA")</f>
        <v>https://www.youtube.com/channel/UCG8SjZdAdPBxcigCpoqzqdA</v>
      </c>
      <c r="K919">
        <v>7264</v>
      </c>
      <c r="L919" t="s">
        <v>48</v>
      </c>
      <c r="N919" t="s">
        <v>116</v>
      </c>
      <c r="O919" t="s">
        <v>3518</v>
      </c>
      <c r="P919" t="str">
        <f>HYPERLINK("https://www.youtube.com/channel/UCG8SjZdAdPBxcigCpoqzqdA")</f>
        <v>https://www.youtube.com/channel/UCG8SjZdAdPBxcigCpoqzqdA</v>
      </c>
      <c r="Q919">
        <v>7264</v>
      </c>
      <c r="R919" t="s">
        <v>60</v>
      </c>
      <c r="S919" t="s">
        <v>51</v>
      </c>
      <c r="W919">
        <v>229</v>
      </c>
      <c r="X919">
        <v>229</v>
      </c>
      <c r="AD919">
        <v>4</v>
      </c>
      <c r="AE919">
        <v>79</v>
      </c>
      <c r="AG919">
        <v>1167</v>
      </c>
      <c r="AI919" t="s">
        <v>52</v>
      </c>
      <c r="AJ919" t="s">
        <v>3519</v>
      </c>
      <c r="AK919" t="s">
        <v>52</v>
      </c>
      <c r="AL919" t="str">
        <f>HYPERLINK("https://i.ytimg.com/vi/TTS12v3NbkA/maxresdefault.jpg")</f>
        <v>https://i.ytimg.com/vi/TTS12v3NbkA/maxresdefault.jpg</v>
      </c>
      <c r="AM919" t="s">
        <v>52</v>
      </c>
      <c r="AN919" t="s">
        <v>53</v>
      </c>
    </row>
    <row r="920" spans="1:40">
      <c r="A920" t="s">
        <v>2370</v>
      </c>
      <c r="B920" t="s">
        <v>3520</v>
      </c>
      <c r="C920" t="s">
        <v>3521</v>
      </c>
      <c r="D920" t="s">
        <v>52</v>
      </c>
      <c r="E920" t="s">
        <v>3522</v>
      </c>
      <c r="F920" t="s">
        <v>45</v>
      </c>
      <c r="G920" t="str">
        <f>HYPERLINK("https://www.instagram.com/p/BzHH9v_ANoH")</f>
        <v>https://www.instagram.com/p/BzHH9v_ANoH</v>
      </c>
      <c r="H920" t="s">
        <v>46</v>
      </c>
      <c r="I920" t="s">
        <v>3523</v>
      </c>
      <c r="J920" t="str">
        <f>HYPERLINK("http://instagram.com/nobrevini")</f>
        <v>http://instagram.com/nobrevini</v>
      </c>
      <c r="K920">
        <v>2293</v>
      </c>
      <c r="N920" t="s">
        <v>59</v>
      </c>
      <c r="O920" t="s">
        <v>3523</v>
      </c>
      <c r="P920" t="str">
        <f>HYPERLINK("http://instagram.com/nobrevini")</f>
        <v>http://instagram.com/nobrevini</v>
      </c>
      <c r="Q920">
        <v>2293</v>
      </c>
      <c r="R920" t="s">
        <v>60</v>
      </c>
      <c r="W920">
        <v>24</v>
      </c>
      <c r="X920">
        <v>24</v>
      </c>
      <c r="AE920">
        <v>0</v>
      </c>
      <c r="AI920" t="s">
        <v>108</v>
      </c>
      <c r="AJ920" t="s">
        <v>52</v>
      </c>
      <c r="AK920" t="s">
        <v>52</v>
      </c>
      <c r="AL920" t="str">
        <f>HYPERLINK("https://www.instagram.com/p/BzHH9v_ANoH/media/?size=l")</f>
        <v>https://www.instagram.com/p/BzHH9v_ANoH/media/?size=l</v>
      </c>
      <c r="AM920" t="s">
        <v>52</v>
      </c>
      <c r="AN920" t="s">
        <v>53</v>
      </c>
    </row>
    <row r="921" spans="1:40">
      <c r="A921" t="s">
        <v>2370</v>
      </c>
      <c r="B921" t="s">
        <v>3524</v>
      </c>
      <c r="C921" t="s">
        <v>3525</v>
      </c>
      <c r="D921" t="s">
        <v>52</v>
      </c>
      <c r="E921" t="s">
        <v>3526</v>
      </c>
      <c r="F921" t="s">
        <v>45</v>
      </c>
      <c r="G921" t="str">
        <f>HYPERLINK("https://twitter.com/235450577/status/1143302979019321344")</f>
        <v>https://twitter.com/235450577/status/1143302979019321344</v>
      </c>
      <c r="H921" t="s">
        <v>46</v>
      </c>
      <c r="I921" t="s">
        <v>3527</v>
      </c>
      <c r="J921" t="str">
        <f>HYPERLINK("http://twitter.com/kingchad_")</f>
        <v>http://twitter.com/kingchad_</v>
      </c>
      <c r="K921">
        <v>3657</v>
      </c>
      <c r="L921" t="s">
        <v>48</v>
      </c>
      <c r="N921" t="s">
        <v>65</v>
      </c>
      <c r="R921" t="s">
        <v>60</v>
      </c>
      <c r="S921" t="s">
        <v>51</v>
      </c>
      <c r="T921" t="s">
        <v>152</v>
      </c>
      <c r="U921" t="s">
        <v>1958</v>
      </c>
      <c r="W921">
        <v>0</v>
      </c>
      <c r="X921">
        <v>0</v>
      </c>
      <c r="AE921">
        <v>0</v>
      </c>
      <c r="AF921">
        <v>0</v>
      </c>
      <c r="AM921" t="s">
        <v>52</v>
      </c>
      <c r="AN921" t="s">
        <v>53</v>
      </c>
    </row>
    <row r="922" spans="1:40">
      <c r="A922" t="s">
        <v>2370</v>
      </c>
      <c r="B922" t="s">
        <v>3524</v>
      </c>
      <c r="C922" t="s">
        <v>3528</v>
      </c>
      <c r="D922" t="s">
        <v>52</v>
      </c>
      <c r="E922" t="s">
        <v>3529</v>
      </c>
      <c r="F922" t="s">
        <v>45</v>
      </c>
      <c r="G922" t="str">
        <f>HYPERLINK("https://www.instagram.com/p/BzHH2wLnaWd")</f>
        <v>https://www.instagram.com/p/BzHH2wLnaWd</v>
      </c>
      <c r="H922" t="s">
        <v>46</v>
      </c>
      <c r="I922" t="s">
        <v>3530</v>
      </c>
      <c r="J922" t="str">
        <f>HYPERLINK("http://instagram.com/lyricistcreator_")</f>
        <v>http://instagram.com/lyricistcreator_</v>
      </c>
      <c r="K922">
        <v>66</v>
      </c>
      <c r="N922" t="s">
        <v>59</v>
      </c>
      <c r="O922" t="s">
        <v>3530</v>
      </c>
      <c r="P922" t="str">
        <f>HYPERLINK("http://instagram.com/lyricistcreator_")</f>
        <v>http://instagram.com/lyricistcreator_</v>
      </c>
      <c r="Q922">
        <v>66</v>
      </c>
      <c r="R922" t="s">
        <v>60</v>
      </c>
      <c r="W922">
        <v>7</v>
      </c>
      <c r="X922">
        <v>7</v>
      </c>
      <c r="AE922">
        <v>0</v>
      </c>
      <c r="AI922" t="s">
        <v>52</v>
      </c>
      <c r="AJ922" t="s">
        <v>461</v>
      </c>
      <c r="AK922" t="s">
        <v>52</v>
      </c>
      <c r="AL922" t="str">
        <f>HYPERLINK("https://www.instagram.com/p/BzHH2wLnaWd/media/?size=l")</f>
        <v>https://www.instagram.com/p/BzHH2wLnaWd/media/?size=l</v>
      </c>
      <c r="AM922" t="s">
        <v>52</v>
      </c>
      <c r="AN922" t="s">
        <v>53</v>
      </c>
    </row>
    <row r="923" spans="1:40">
      <c r="A923" t="s">
        <v>2370</v>
      </c>
      <c r="B923" t="s">
        <v>3524</v>
      </c>
      <c r="C923" t="s">
        <v>3467</v>
      </c>
      <c r="D923" t="s">
        <v>3468</v>
      </c>
      <c r="E923" t="s">
        <v>3531</v>
      </c>
      <c r="F923" t="s">
        <v>45</v>
      </c>
      <c r="G923" t="str">
        <f>HYPERLINK("https://forums.battlefield.com/en-us/discussion/188457/bfv-is-a-campy-try-hard-insta-death-bore/p17#Comment_1562732")</f>
        <v>https://forums.battlefield.com/en-us/discussion/188457/bfv-is-a-campy-try-hard-insta-death-bore/p17#Comment_1562732</v>
      </c>
      <c r="H923" t="s">
        <v>46</v>
      </c>
      <c r="I923" t="s">
        <v>3338</v>
      </c>
      <c r="J923" t="str">
        <f>HYPERLINK("https://forums.battlefield.com/en-us/discussion/188457/bfv-is-a-campy-try-hard-insta-death-bore/p17#Comment_1562732")</f>
        <v>https://forums.battlefield.com/en-us/discussion/188457/bfv-is-a-campy-try-hard-insta-death-bore/p17#Comment_1562732</v>
      </c>
      <c r="N923" t="s">
        <v>3237</v>
      </c>
      <c r="O923" t="s">
        <v>3238</v>
      </c>
      <c r="P923" t="str">
        <f>HYPERLINK("https://forums.battlefield.com/en-us/categories/battlefield-v-general-discussion")</f>
        <v>https://forums.battlefield.com/en-us/categories/battlefield-v-general-discussion</v>
      </c>
      <c r="R923" t="s">
        <v>516</v>
      </c>
      <c r="S923" t="s">
        <v>51</v>
      </c>
      <c r="AM923" t="s">
        <v>52</v>
      </c>
      <c r="AN923" t="s">
        <v>53</v>
      </c>
    </row>
    <row r="924" spans="1:40">
      <c r="A924" t="s">
        <v>2370</v>
      </c>
      <c r="B924" t="s">
        <v>3532</v>
      </c>
      <c r="C924" t="s">
        <v>3533</v>
      </c>
      <c r="D924" t="s">
        <v>52</v>
      </c>
      <c r="E924" t="s">
        <v>3534</v>
      </c>
      <c r="F924" t="s">
        <v>95</v>
      </c>
      <c r="G924" t="str">
        <f>HYPERLINK("https://twitter.com/1098092708533596160/status/1143302751234994177")</f>
        <v>https://twitter.com/1098092708533596160/status/1143302751234994177</v>
      </c>
      <c r="H924" t="s">
        <v>46</v>
      </c>
      <c r="I924" t="s">
        <v>3535</v>
      </c>
      <c r="J924" t="str">
        <f>HYPERLINK("http://twitter.com/inmyheadtristan")</f>
        <v>http://twitter.com/inmyheadtristan</v>
      </c>
      <c r="K924">
        <v>2106</v>
      </c>
      <c r="L924" t="s">
        <v>48</v>
      </c>
      <c r="N924" t="s">
        <v>65</v>
      </c>
      <c r="R924" t="s">
        <v>60</v>
      </c>
      <c r="W924">
        <v>1</v>
      </c>
      <c r="X924">
        <v>1</v>
      </c>
      <c r="AE924">
        <v>0</v>
      </c>
      <c r="AF924">
        <v>0</v>
      </c>
      <c r="AM924" t="s">
        <v>52</v>
      </c>
      <c r="AN924" t="s">
        <v>53</v>
      </c>
    </row>
    <row r="925" spans="1:40">
      <c r="A925" t="s">
        <v>2370</v>
      </c>
      <c r="B925" t="s">
        <v>3532</v>
      </c>
      <c r="C925" t="s">
        <v>3536</v>
      </c>
      <c r="D925" t="s">
        <v>52</v>
      </c>
      <c r="E925" t="s">
        <v>3537</v>
      </c>
      <c r="F925" t="s">
        <v>45</v>
      </c>
      <c r="G925" t="str">
        <f>HYPERLINK("https://twitter.com/570451843/status/1143302724584386560")</f>
        <v>https://twitter.com/570451843/status/1143302724584386560</v>
      </c>
      <c r="H925" t="s">
        <v>46</v>
      </c>
      <c r="I925" t="s">
        <v>3538</v>
      </c>
      <c r="J925" t="str">
        <f>HYPERLINK("http://twitter.com/StevenEidher")</f>
        <v>http://twitter.com/StevenEidher</v>
      </c>
      <c r="K925">
        <v>1100</v>
      </c>
      <c r="L925" t="s">
        <v>48</v>
      </c>
      <c r="N925" t="s">
        <v>65</v>
      </c>
      <c r="R925" t="s">
        <v>60</v>
      </c>
      <c r="S925" t="s">
        <v>444</v>
      </c>
      <c r="T925" t="s">
        <v>3539</v>
      </c>
      <c r="U925" t="s">
        <v>3540</v>
      </c>
      <c r="W925">
        <v>3</v>
      </c>
      <c r="X925">
        <v>3</v>
      </c>
      <c r="AE925">
        <v>0</v>
      </c>
      <c r="AF925">
        <v>0</v>
      </c>
      <c r="AI925" t="s">
        <v>2529</v>
      </c>
      <c r="AJ925" t="s">
        <v>3541</v>
      </c>
      <c r="AK925" t="s">
        <v>2089</v>
      </c>
      <c r="AL925" t="str">
        <f>HYPERLINK("https://pbs.twimg.com/media/D93Tr__XsAEDrLe.jpg")</f>
        <v>https://pbs.twimg.com/media/D93Tr__XsAEDrLe.jpg</v>
      </c>
      <c r="AM925" t="s">
        <v>52</v>
      </c>
      <c r="AN925" t="s">
        <v>53</v>
      </c>
    </row>
    <row r="926" spans="1:40">
      <c r="A926" t="s">
        <v>2370</v>
      </c>
      <c r="B926" t="s">
        <v>3542</v>
      </c>
      <c r="C926" t="s">
        <v>3528</v>
      </c>
      <c r="D926" t="s">
        <v>3543</v>
      </c>
      <c r="E926" t="s">
        <v>3544</v>
      </c>
      <c r="F926" t="s">
        <v>95</v>
      </c>
      <c r="G926" t="str">
        <f>HYPERLINK("https://www.youtube.com/watch?v=l-GGZnsgR1o&amp;lc=UgwankoJ8ku2fZnpeOh4AaABAg")</f>
        <v>https://www.youtube.com/watch?v=l-GGZnsgR1o&amp;lc=UgwankoJ8ku2fZnpeOh4AaABAg</v>
      </c>
      <c r="H926" t="s">
        <v>46</v>
      </c>
      <c r="I926" t="s">
        <v>3545</v>
      </c>
      <c r="J926" t="str">
        <f>HYPERLINK("https://www.youtube.com/channel/UC1IP7syHujAlSeUwaK9r5JQ")</f>
        <v>https://www.youtube.com/channel/UC1IP7syHujAlSeUwaK9r5JQ</v>
      </c>
      <c r="K926">
        <v>0</v>
      </c>
      <c r="N926" t="s">
        <v>116</v>
      </c>
      <c r="O926" t="s">
        <v>3546</v>
      </c>
      <c r="P926" t="str">
        <f>HYPERLINK("https://www.youtube.com/channel/UCS7b93ZwoL1xt2hR7a7l2mg")</f>
        <v>https://www.youtube.com/channel/UCS7b93ZwoL1xt2hR7a7l2mg</v>
      </c>
      <c r="Q926">
        <v>4376923</v>
      </c>
      <c r="R926" t="s">
        <v>60</v>
      </c>
      <c r="S926" t="s">
        <v>51</v>
      </c>
      <c r="W926">
        <v>1</v>
      </c>
      <c r="X926">
        <v>1</v>
      </c>
      <c r="AE926">
        <v>0</v>
      </c>
      <c r="AM926" t="s">
        <v>52</v>
      </c>
      <c r="AN926" t="s">
        <v>53</v>
      </c>
    </row>
    <row r="927" spans="1:40">
      <c r="A927" t="s">
        <v>2370</v>
      </c>
      <c r="B927" t="s">
        <v>3547</v>
      </c>
      <c r="C927" t="s">
        <v>3528</v>
      </c>
      <c r="D927" t="s">
        <v>3548</v>
      </c>
      <c r="E927" t="s">
        <v>3549</v>
      </c>
      <c r="F927" t="s">
        <v>45</v>
      </c>
      <c r="G927" t="str">
        <f>HYPERLINK("https://www.youtube.com/watch?v=L_Ga_bNeXCQ")</f>
        <v>https://www.youtube.com/watch?v=L_Ga_bNeXCQ</v>
      </c>
      <c r="H927" t="s">
        <v>46</v>
      </c>
      <c r="I927" t="s">
        <v>3550</v>
      </c>
      <c r="J927" t="str">
        <f>HYPERLINK("https://www.youtube.com/channel/UCdc5GzAipRCmb0EM7gLd9Iw")</f>
        <v>https://www.youtube.com/channel/UCdc5GzAipRCmb0EM7gLd9Iw</v>
      </c>
      <c r="K927">
        <v>1911</v>
      </c>
      <c r="N927" t="s">
        <v>116</v>
      </c>
      <c r="O927" t="s">
        <v>3550</v>
      </c>
      <c r="P927" t="str">
        <f>HYPERLINK("https://www.youtube.com/channel/UCdc5GzAipRCmb0EM7gLd9Iw")</f>
        <v>https://www.youtube.com/channel/UCdc5GzAipRCmb0EM7gLd9Iw</v>
      </c>
      <c r="Q927">
        <v>1911</v>
      </c>
      <c r="R927" t="s">
        <v>60</v>
      </c>
      <c r="S927" t="s">
        <v>51</v>
      </c>
      <c r="W927">
        <v>2</v>
      </c>
      <c r="X927">
        <v>2</v>
      </c>
      <c r="AD927">
        <v>0</v>
      </c>
      <c r="AE927">
        <v>2</v>
      </c>
      <c r="AG927">
        <v>7</v>
      </c>
      <c r="AI927" t="s">
        <v>52</v>
      </c>
      <c r="AJ927" t="s">
        <v>3551</v>
      </c>
      <c r="AK927" t="s">
        <v>52</v>
      </c>
      <c r="AL927" t="str">
        <f>HYPERLINK("https://i.ytimg.com/vi/L_Ga_bNeXCQ/maxresdefault.jpg")</f>
        <v>https://i.ytimg.com/vi/L_Ga_bNeXCQ/maxresdefault.jpg</v>
      </c>
      <c r="AM927" t="s">
        <v>52</v>
      </c>
      <c r="AN927" t="s">
        <v>53</v>
      </c>
    </row>
    <row r="928" spans="1:40">
      <c r="A928" t="s">
        <v>2370</v>
      </c>
      <c r="B928" t="s">
        <v>3552</v>
      </c>
      <c r="C928" t="s">
        <v>3553</v>
      </c>
      <c r="D928" t="s">
        <v>52</v>
      </c>
      <c r="E928" t="s">
        <v>3554</v>
      </c>
      <c r="F928" t="s">
        <v>45</v>
      </c>
      <c r="G928" t="str">
        <f>HYPERLINK("https://twitter.com/25004507/status/1143301991034175488")</f>
        <v>https://twitter.com/25004507/status/1143301991034175488</v>
      </c>
      <c r="H928" t="s">
        <v>46</v>
      </c>
      <c r="I928" t="s">
        <v>3555</v>
      </c>
      <c r="J928" t="str">
        <f>HYPERLINK("http://twitter.com/NotSin4Vik")</f>
        <v>http://twitter.com/NotSin4Vik</v>
      </c>
      <c r="K928">
        <v>1013</v>
      </c>
      <c r="N928" t="s">
        <v>65</v>
      </c>
      <c r="R928" t="s">
        <v>60</v>
      </c>
      <c r="W928">
        <v>0</v>
      </c>
      <c r="X928">
        <v>0</v>
      </c>
      <c r="AE928">
        <v>1</v>
      </c>
      <c r="AF928">
        <v>0</v>
      </c>
      <c r="AM928" t="s">
        <v>52</v>
      </c>
      <c r="AN928" t="s">
        <v>53</v>
      </c>
    </row>
    <row r="929" spans="1:40">
      <c r="A929" t="s">
        <v>2370</v>
      </c>
      <c r="B929" t="s">
        <v>3552</v>
      </c>
      <c r="C929" t="s">
        <v>3553</v>
      </c>
      <c r="D929" t="s">
        <v>52</v>
      </c>
      <c r="E929" t="s">
        <v>3556</v>
      </c>
      <c r="F929" t="s">
        <v>45</v>
      </c>
      <c r="G929" t="str">
        <f>HYPERLINK("https://www.instagram.com/p/BzHHFIclO7y")</f>
        <v>https://www.instagram.com/p/BzHHFIclO7y</v>
      </c>
      <c r="H929" t="s">
        <v>46</v>
      </c>
      <c r="I929" t="s">
        <v>3557</v>
      </c>
      <c r="J929" t="str">
        <f>HYPERLINK("http://instagram.com/bigpuffykitty")</f>
        <v>http://instagram.com/bigpuffykitty</v>
      </c>
      <c r="K929">
        <v>73</v>
      </c>
      <c r="N929" t="s">
        <v>59</v>
      </c>
      <c r="O929" t="s">
        <v>3557</v>
      </c>
      <c r="P929" t="str">
        <f>HYPERLINK("http://instagram.com/bigpuffykitty")</f>
        <v>http://instagram.com/bigpuffykitty</v>
      </c>
      <c r="Q929">
        <v>73</v>
      </c>
      <c r="R929" t="s">
        <v>60</v>
      </c>
      <c r="W929">
        <v>16</v>
      </c>
      <c r="X929">
        <v>16</v>
      </c>
      <c r="AE929">
        <v>1</v>
      </c>
      <c r="AG929">
        <v>36</v>
      </c>
      <c r="AI929" t="s">
        <v>52</v>
      </c>
      <c r="AJ929" t="s">
        <v>52</v>
      </c>
      <c r="AK929" t="s">
        <v>3558</v>
      </c>
      <c r="AL929" t="str">
        <f>HYPERLINK("https://www.instagram.com/p/BzHHFIclO7y/media/?size=l")</f>
        <v>https://www.instagram.com/p/BzHHFIclO7y/media/?size=l</v>
      </c>
      <c r="AM929" t="s">
        <v>52</v>
      </c>
      <c r="AN929" t="s">
        <v>53</v>
      </c>
    </row>
    <row r="930" spans="1:40">
      <c r="A930" t="s">
        <v>2370</v>
      </c>
      <c r="B930" t="s">
        <v>3552</v>
      </c>
      <c r="C930" t="s">
        <v>3559</v>
      </c>
      <c r="D930" t="s">
        <v>52</v>
      </c>
      <c r="E930" t="s">
        <v>3560</v>
      </c>
      <c r="F930" t="s">
        <v>95</v>
      </c>
      <c r="G930" t="str">
        <f>HYPERLINK("https://twitter.com/1116856174849200128/status/1143301966900224000")</f>
        <v>https://twitter.com/1116856174849200128/status/1143301966900224000</v>
      </c>
      <c r="H930" t="s">
        <v>46</v>
      </c>
      <c r="I930" t="s">
        <v>3561</v>
      </c>
      <c r="J930" t="str">
        <f>HYPERLINK("http://twitter.com/doodles_o")</f>
        <v>http://twitter.com/doodles_o</v>
      </c>
      <c r="K930">
        <v>20</v>
      </c>
      <c r="N930" t="s">
        <v>65</v>
      </c>
      <c r="R930" t="s">
        <v>60</v>
      </c>
      <c r="S930" t="s">
        <v>51</v>
      </c>
      <c r="T930" t="s">
        <v>678</v>
      </c>
      <c r="W930">
        <v>0</v>
      </c>
      <c r="X930">
        <v>0</v>
      </c>
      <c r="AE930">
        <v>0</v>
      </c>
      <c r="AF930">
        <v>0</v>
      </c>
      <c r="AM930" t="s">
        <v>52</v>
      </c>
      <c r="AN930" t="s">
        <v>53</v>
      </c>
    </row>
    <row r="931" spans="1:40">
      <c r="A931" t="s">
        <v>2370</v>
      </c>
      <c r="B931" t="s">
        <v>3552</v>
      </c>
      <c r="C931" t="s">
        <v>3553</v>
      </c>
      <c r="D931" t="s">
        <v>52</v>
      </c>
      <c r="E931" t="s">
        <v>3562</v>
      </c>
      <c r="F931" t="s">
        <v>71</v>
      </c>
      <c r="G931" t="str">
        <f>HYPERLINK("https://twitter.com/1100281057352462336/status/1143301885966737413")</f>
        <v>https://twitter.com/1100281057352462336/status/1143301885966737413</v>
      </c>
      <c r="H931" t="s">
        <v>46</v>
      </c>
      <c r="I931" t="s">
        <v>3563</v>
      </c>
      <c r="J931" t="str">
        <f>HYPERLINK("http://twitter.com/chickeen16")</f>
        <v>http://twitter.com/chickeen16</v>
      </c>
      <c r="K931">
        <v>80</v>
      </c>
      <c r="N931" t="s">
        <v>65</v>
      </c>
      <c r="R931" t="s">
        <v>60</v>
      </c>
      <c r="W931">
        <v>0</v>
      </c>
      <c r="X931">
        <v>0</v>
      </c>
      <c r="AE931">
        <v>0</v>
      </c>
      <c r="AF931">
        <v>0</v>
      </c>
      <c r="AM931" t="s">
        <v>52</v>
      </c>
      <c r="AN931" t="s">
        <v>53</v>
      </c>
    </row>
    <row r="932" spans="1:40">
      <c r="A932" t="s">
        <v>2370</v>
      </c>
      <c r="B932" t="s">
        <v>3564</v>
      </c>
      <c r="C932" t="s">
        <v>3536</v>
      </c>
      <c r="D932" t="s">
        <v>3565</v>
      </c>
      <c r="E932" t="s">
        <v>3566</v>
      </c>
      <c r="F932" t="s">
        <v>45</v>
      </c>
      <c r="G932" t="str">
        <f>HYPERLINK("https://www.youtube.com/watch?v=wTlX4365GmM")</f>
        <v>https://www.youtube.com/watch?v=wTlX4365GmM</v>
      </c>
      <c r="H932" t="s">
        <v>46</v>
      </c>
      <c r="I932" t="s">
        <v>3567</v>
      </c>
      <c r="J932" t="str">
        <f>HYPERLINK("https://www.youtube.com/channel/UC46BwswGttO4N5BwyoufWZQ")</f>
        <v>https://www.youtube.com/channel/UC46BwswGttO4N5BwyoufWZQ</v>
      </c>
      <c r="K932">
        <v>28</v>
      </c>
      <c r="N932" t="s">
        <v>116</v>
      </c>
      <c r="O932" t="s">
        <v>3567</v>
      </c>
      <c r="P932" t="str">
        <f>HYPERLINK("https://www.youtube.com/channel/UC46BwswGttO4N5BwyoufWZQ")</f>
        <v>https://www.youtube.com/channel/UC46BwswGttO4N5BwyoufWZQ</v>
      </c>
      <c r="Q932">
        <v>28</v>
      </c>
      <c r="R932" t="s">
        <v>60</v>
      </c>
      <c r="W932">
        <v>4</v>
      </c>
      <c r="X932">
        <v>4</v>
      </c>
      <c r="AD932">
        <v>0</v>
      </c>
      <c r="AE932">
        <v>4</v>
      </c>
      <c r="AG932">
        <v>9</v>
      </c>
      <c r="AI932" t="s">
        <v>52</v>
      </c>
      <c r="AJ932" t="s">
        <v>458</v>
      </c>
      <c r="AK932" t="s">
        <v>52</v>
      </c>
      <c r="AL932" t="str">
        <f>HYPERLINK("https://i.ytimg.com/vi/wTlX4365GmM/sddefault.jpg")</f>
        <v>https://i.ytimg.com/vi/wTlX4365GmM/sddefault.jpg</v>
      </c>
      <c r="AM932" t="s">
        <v>52</v>
      </c>
      <c r="AN932" t="s">
        <v>53</v>
      </c>
    </row>
    <row r="933" spans="1:40">
      <c r="A933" t="s">
        <v>2370</v>
      </c>
      <c r="B933" t="s">
        <v>3564</v>
      </c>
      <c r="C933" t="s">
        <v>3568</v>
      </c>
      <c r="D933" t="s">
        <v>3569</v>
      </c>
      <c r="E933" t="s">
        <v>3569</v>
      </c>
      <c r="F933" t="s">
        <v>45</v>
      </c>
      <c r="G933" t="str">
        <f>HYPERLINK("https://www.youtube.com/watch?v=WedUFLpQEIA")</f>
        <v>https://www.youtube.com/watch?v=WedUFLpQEIA</v>
      </c>
      <c r="H933" t="s">
        <v>46</v>
      </c>
      <c r="I933" t="s">
        <v>3570</v>
      </c>
      <c r="J933" t="str">
        <f>HYPERLINK("https://www.youtube.com/channel/UCFOiR27W0WWmg3Q6eQSPu1Q")</f>
        <v>https://www.youtube.com/channel/UCFOiR27W0WWmg3Q6eQSPu1Q</v>
      </c>
      <c r="K933">
        <v>1</v>
      </c>
      <c r="L933" t="s">
        <v>48</v>
      </c>
      <c r="N933" t="s">
        <v>116</v>
      </c>
      <c r="O933" t="s">
        <v>3570</v>
      </c>
      <c r="P933" t="str">
        <f>HYPERLINK("https://www.youtube.com/channel/UCFOiR27W0WWmg3Q6eQSPu1Q")</f>
        <v>https://www.youtube.com/channel/UCFOiR27W0WWmg3Q6eQSPu1Q</v>
      </c>
      <c r="Q933">
        <v>1</v>
      </c>
      <c r="R933" t="s">
        <v>60</v>
      </c>
      <c r="W933">
        <v>1</v>
      </c>
      <c r="X933">
        <v>1</v>
      </c>
      <c r="AD933">
        <v>0</v>
      </c>
      <c r="AE933">
        <v>1</v>
      </c>
      <c r="AG933">
        <v>3</v>
      </c>
      <c r="AI933" t="s">
        <v>108</v>
      </c>
      <c r="AJ933" t="s">
        <v>2985</v>
      </c>
      <c r="AK933" t="s">
        <v>3571</v>
      </c>
      <c r="AL933" t="str">
        <f>HYPERLINK("https://i.ytimg.com/vi/WedUFLpQEIA/sddefault.jpg")</f>
        <v>https://i.ytimg.com/vi/WedUFLpQEIA/sddefault.jpg</v>
      </c>
      <c r="AM933" t="s">
        <v>52</v>
      </c>
      <c r="AN933" t="s">
        <v>53</v>
      </c>
    </row>
    <row r="934" spans="1:40">
      <c r="A934" t="s">
        <v>2370</v>
      </c>
      <c r="B934" t="s">
        <v>3572</v>
      </c>
      <c r="C934" t="s">
        <v>3499</v>
      </c>
      <c r="D934" t="s">
        <v>52</v>
      </c>
      <c r="E934" t="s">
        <v>3573</v>
      </c>
      <c r="F934" t="s">
        <v>71</v>
      </c>
      <c r="G934" t="str">
        <f>HYPERLINK("https://twitter.com/737261464394829828/status/1143301405228376064")</f>
        <v>https://twitter.com/737261464394829828/status/1143301405228376064</v>
      </c>
      <c r="H934" t="s">
        <v>46</v>
      </c>
      <c r="I934" t="s">
        <v>3574</v>
      </c>
      <c r="J934" t="str">
        <f>HYPERLINK("http://twitter.com/Kuhle_xx")</f>
        <v>http://twitter.com/Kuhle_xx</v>
      </c>
      <c r="K934">
        <v>2700</v>
      </c>
      <c r="N934" t="s">
        <v>65</v>
      </c>
      <c r="R934" t="s">
        <v>60</v>
      </c>
      <c r="S934" t="s">
        <v>51</v>
      </c>
      <c r="T934" t="s">
        <v>173</v>
      </c>
      <c r="U934" t="s">
        <v>3575</v>
      </c>
      <c r="W934">
        <v>0</v>
      </c>
      <c r="X934">
        <v>0</v>
      </c>
      <c r="AE934">
        <v>0</v>
      </c>
      <c r="AF934">
        <v>0</v>
      </c>
      <c r="AM934" t="s">
        <v>52</v>
      </c>
      <c r="AN934" t="s">
        <v>53</v>
      </c>
    </row>
    <row r="935" spans="1:40">
      <c r="A935" t="s">
        <v>2370</v>
      </c>
      <c r="B935" t="s">
        <v>3572</v>
      </c>
      <c r="C935" t="s">
        <v>3568</v>
      </c>
      <c r="D935" t="s">
        <v>52</v>
      </c>
      <c r="E935" t="s">
        <v>3576</v>
      </c>
      <c r="F935" t="s">
        <v>45</v>
      </c>
      <c r="G935" t="str">
        <f>HYPERLINK("https://twitter.com/223874737/status/1143301323795906560")</f>
        <v>https://twitter.com/223874737/status/1143301323795906560</v>
      </c>
      <c r="H935" t="s">
        <v>46</v>
      </c>
      <c r="I935" t="s">
        <v>3577</v>
      </c>
      <c r="J935" t="str">
        <f>HYPERLINK("http://twitter.com/CoreyKotowski")</f>
        <v>http://twitter.com/CoreyKotowski</v>
      </c>
      <c r="K935">
        <v>215</v>
      </c>
      <c r="N935" t="s">
        <v>65</v>
      </c>
      <c r="R935" t="s">
        <v>60</v>
      </c>
      <c r="S935" t="s">
        <v>51</v>
      </c>
      <c r="T935" t="s">
        <v>380</v>
      </c>
      <c r="U935" t="s">
        <v>3578</v>
      </c>
      <c r="W935">
        <v>4</v>
      </c>
      <c r="X935">
        <v>4</v>
      </c>
      <c r="AE935">
        <v>1</v>
      </c>
      <c r="AF935">
        <v>0</v>
      </c>
      <c r="AM935" t="s">
        <v>52</v>
      </c>
      <c r="AN935" t="s">
        <v>53</v>
      </c>
    </row>
    <row r="936" spans="1:40">
      <c r="A936" t="s">
        <v>2370</v>
      </c>
      <c r="B936" t="s">
        <v>3572</v>
      </c>
      <c r="C936" t="s">
        <v>3536</v>
      </c>
      <c r="D936" t="s">
        <v>3579</v>
      </c>
      <c r="E936" t="s">
        <v>3580</v>
      </c>
      <c r="F936" t="s">
        <v>95</v>
      </c>
      <c r="G936" t="str">
        <f>HYPERLINK("https://www.youtube.com/watch?v=Y5iQ6EQKns8&amp;lc=UgzHDmEsbRC5Vkp5ZMx4AaABAg")</f>
        <v>https://www.youtube.com/watch?v=Y5iQ6EQKns8&amp;lc=UgzHDmEsbRC5Vkp5ZMx4AaABAg</v>
      </c>
      <c r="H936" t="s">
        <v>46</v>
      </c>
      <c r="I936" t="s">
        <v>3581</v>
      </c>
      <c r="J936" t="str">
        <f>HYPERLINK("https://www.youtube.com/channel/UCRgh_FoOnDcl9HxizM8CJWw")</f>
        <v>https://www.youtube.com/channel/UCRgh_FoOnDcl9HxizM8CJWw</v>
      </c>
      <c r="K936">
        <v>0</v>
      </c>
      <c r="L936" t="s">
        <v>48</v>
      </c>
      <c r="N936" t="s">
        <v>116</v>
      </c>
      <c r="O936" t="s">
        <v>3582</v>
      </c>
      <c r="P936" t="str">
        <f>HYPERLINK("https://www.youtube.com/channel/UCQWLfD-5sexEbVY335J8PMg")</f>
        <v>https://www.youtube.com/channel/UCQWLfD-5sexEbVY335J8PMg</v>
      </c>
      <c r="Q936">
        <v>312399</v>
      </c>
      <c r="R936" t="s">
        <v>60</v>
      </c>
      <c r="S936" t="s">
        <v>51</v>
      </c>
      <c r="W936">
        <v>0</v>
      </c>
      <c r="X936">
        <v>0</v>
      </c>
      <c r="AE936">
        <v>0</v>
      </c>
      <c r="AM936" t="s">
        <v>52</v>
      </c>
      <c r="AN936" t="s">
        <v>53</v>
      </c>
    </row>
    <row r="937" spans="1:40">
      <c r="A937" t="s">
        <v>2370</v>
      </c>
      <c r="B937" t="s">
        <v>3572</v>
      </c>
      <c r="C937" t="s">
        <v>3583</v>
      </c>
      <c r="D937" t="s">
        <v>52</v>
      </c>
      <c r="E937" t="s">
        <v>3584</v>
      </c>
      <c r="F937" t="s">
        <v>45</v>
      </c>
      <c r="G937" t="str">
        <f>HYPERLINK("https://www.instagram.com/p/BzHHF4flMUi")</f>
        <v>https://www.instagram.com/p/BzHHF4flMUi</v>
      </c>
      <c r="H937" t="s">
        <v>46</v>
      </c>
      <c r="I937" t="s">
        <v>3585</v>
      </c>
      <c r="J937" t="str">
        <f>HYPERLINK("http://instagram.com/real1lifefitness")</f>
        <v>http://instagram.com/real1lifefitness</v>
      </c>
      <c r="K937">
        <v>6757</v>
      </c>
      <c r="N937" t="s">
        <v>59</v>
      </c>
      <c r="O937" t="s">
        <v>3585</v>
      </c>
      <c r="P937" t="str">
        <f>HYPERLINK("http://instagram.com/real1lifefitness")</f>
        <v>http://instagram.com/real1lifefitness</v>
      </c>
      <c r="Q937">
        <v>6757</v>
      </c>
      <c r="R937" t="s">
        <v>60</v>
      </c>
      <c r="S937" t="s">
        <v>51</v>
      </c>
      <c r="T937" t="s">
        <v>2522</v>
      </c>
      <c r="U937" t="s">
        <v>3586</v>
      </c>
      <c r="W937">
        <v>30</v>
      </c>
      <c r="X937">
        <v>30</v>
      </c>
      <c r="AE937">
        <v>3</v>
      </c>
      <c r="AI937" t="s">
        <v>52</v>
      </c>
      <c r="AJ937" t="s">
        <v>3587</v>
      </c>
      <c r="AK937" t="s">
        <v>52</v>
      </c>
      <c r="AL937" t="str">
        <f>HYPERLINK("https://www.instagram.com/p/BzHHF4flMUi/media/?size=l")</f>
        <v>https://www.instagram.com/p/BzHHF4flMUi/media/?size=l</v>
      </c>
      <c r="AM937" t="s">
        <v>52</v>
      </c>
      <c r="AN937" t="s">
        <v>53</v>
      </c>
    </row>
    <row r="938" spans="1:40">
      <c r="A938" t="s">
        <v>2370</v>
      </c>
      <c r="B938" t="s">
        <v>3588</v>
      </c>
      <c r="C938" t="s">
        <v>3589</v>
      </c>
      <c r="D938" t="s">
        <v>52</v>
      </c>
      <c r="E938" t="s">
        <v>3590</v>
      </c>
      <c r="F938" t="s">
        <v>45</v>
      </c>
      <c r="G938" t="str">
        <f>HYPERLINK("https://twitter.com/260021361/status/1143301146645319680")</f>
        <v>https://twitter.com/260021361/status/1143301146645319680</v>
      </c>
      <c r="H938" t="s">
        <v>46</v>
      </c>
      <c r="I938" t="s">
        <v>3591</v>
      </c>
      <c r="J938" t="str">
        <f>HYPERLINK("http://twitter.com/dopawitz")</f>
        <v>http://twitter.com/dopawitz</v>
      </c>
      <c r="K938">
        <v>83</v>
      </c>
      <c r="L938" t="s">
        <v>48</v>
      </c>
      <c r="N938" t="s">
        <v>65</v>
      </c>
      <c r="R938" t="s">
        <v>60</v>
      </c>
      <c r="W938">
        <v>2</v>
      </c>
      <c r="X938">
        <v>2</v>
      </c>
      <c r="AE938">
        <v>0</v>
      </c>
      <c r="AF938">
        <v>0</v>
      </c>
      <c r="AI938" t="s">
        <v>52</v>
      </c>
      <c r="AJ938" t="s">
        <v>659</v>
      </c>
      <c r="AK938" t="s">
        <v>52</v>
      </c>
      <c r="AL938" t="str">
        <f>HYPERLINK("https://pbs.twimg.com/media/D93SVIjXYAE5D5f.jpg")</f>
        <v>https://pbs.twimg.com/media/D93SVIjXYAE5D5f.jpg</v>
      </c>
      <c r="AM938" t="s">
        <v>52</v>
      </c>
      <c r="AN938" t="s">
        <v>53</v>
      </c>
    </row>
    <row r="939" spans="1:40">
      <c r="A939" t="s">
        <v>2370</v>
      </c>
      <c r="B939" t="s">
        <v>3588</v>
      </c>
      <c r="C939" t="s">
        <v>3589</v>
      </c>
      <c r="D939" t="s">
        <v>3592</v>
      </c>
      <c r="E939" t="s">
        <v>3593</v>
      </c>
      <c r="F939" t="s">
        <v>45</v>
      </c>
      <c r="G939" t="str">
        <f>HYPERLINK("https://www.licenseglobal.com/movies/spider-man-far-home-partners-audi-doritos")</f>
        <v>https://www.licenseglobal.com/movies/spider-man-far-home-partners-audi-doritos</v>
      </c>
      <c r="H939" t="s">
        <v>46</v>
      </c>
      <c r="I939" t="s">
        <v>3594</v>
      </c>
      <c r="J939" t="str">
        <f>HYPERLINK("https://www.licenseglobal.com")</f>
        <v>https://www.licenseglobal.com</v>
      </c>
      <c r="N939" t="s">
        <v>3595</v>
      </c>
      <c r="R939" t="s">
        <v>357</v>
      </c>
      <c r="S939" t="s">
        <v>51</v>
      </c>
      <c r="AI939" t="s">
        <v>52</v>
      </c>
      <c r="AJ939" t="s">
        <v>121</v>
      </c>
      <c r="AK939" t="s">
        <v>52</v>
      </c>
      <c r="AL939" t="str">
        <f>HYPERLINK("https://www.licenseglobal.com/sites/default/files/styles/article_-_feature/public/Audi%20Spiderman.png?itok=6vIkwUy7")</f>
        <v>https://www.licenseglobal.com/sites/default/files/styles/article_-_feature/public/Audi%20Spiderman.png?itok=6vIkwUy7</v>
      </c>
      <c r="AM939" t="s">
        <v>52</v>
      </c>
      <c r="AN939" t="s">
        <v>53</v>
      </c>
    </row>
    <row r="940" spans="1:40">
      <c r="A940" t="s">
        <v>2370</v>
      </c>
      <c r="B940" t="s">
        <v>3596</v>
      </c>
      <c r="C940" t="s">
        <v>3357</v>
      </c>
      <c r="D940" t="s">
        <v>3597</v>
      </c>
      <c r="E940" t="s">
        <v>3598</v>
      </c>
      <c r="F940" t="s">
        <v>45</v>
      </c>
      <c r="G940" t="str">
        <f>HYPERLINK("https://techknowbits.com/2019/06/24/pepsico-inc-nasdaqpep-receives-consensus-rating-of-buy-from-brokerages.html")</f>
        <v>https://techknowbits.com/2019/06/24/pepsico-inc-nasdaqpep-receives-consensus-rating-of-buy-from-brokerages.html</v>
      </c>
      <c r="H940" t="s">
        <v>46</v>
      </c>
      <c r="I940" t="s">
        <v>3599</v>
      </c>
      <c r="J940" t="str">
        <f>HYPERLINK("https://techknowbits.com/2019/06/24/pepsico-inc-nasdaqpep-receives-consensus-rating-of-buy-from-brokerages.html")</f>
        <v>https://techknowbits.com/2019/06/24/pepsico-inc-nasdaqpep-receives-consensus-rating-of-buy-from-brokerages.html</v>
      </c>
      <c r="N940" t="s">
        <v>49</v>
      </c>
      <c r="R940" t="s">
        <v>50</v>
      </c>
      <c r="S940" t="s">
        <v>51</v>
      </c>
      <c r="AM940" t="s">
        <v>52</v>
      </c>
      <c r="AN940" t="s">
        <v>53</v>
      </c>
    </row>
    <row r="941" spans="1:40">
      <c r="A941" t="s">
        <v>2370</v>
      </c>
      <c r="B941" t="s">
        <v>3600</v>
      </c>
      <c r="C941" t="s">
        <v>3589</v>
      </c>
      <c r="D941" t="s">
        <v>52</v>
      </c>
      <c r="E941" t="s">
        <v>3601</v>
      </c>
      <c r="F941" t="s">
        <v>71</v>
      </c>
      <c r="G941" t="str">
        <f>HYPERLINK("https://twitter.com/4882955241/status/1143300705148686336")</f>
        <v>https://twitter.com/4882955241/status/1143300705148686336</v>
      </c>
      <c r="H941" t="s">
        <v>46</v>
      </c>
      <c r="I941" t="s">
        <v>3602</v>
      </c>
      <c r="J941" t="str">
        <f>HYPERLINK("http://twitter.com/hookeryonce")</f>
        <v>http://twitter.com/hookeryonce</v>
      </c>
      <c r="K941">
        <v>431</v>
      </c>
      <c r="N941" t="s">
        <v>65</v>
      </c>
      <c r="R941" t="s">
        <v>60</v>
      </c>
      <c r="W941">
        <v>5</v>
      </c>
      <c r="X941">
        <v>5</v>
      </c>
      <c r="AE941">
        <v>1</v>
      </c>
      <c r="AF941">
        <v>0</v>
      </c>
      <c r="AI941" t="s">
        <v>52</v>
      </c>
      <c r="AJ941" t="s">
        <v>52</v>
      </c>
      <c r="AK941" t="s">
        <v>2951</v>
      </c>
      <c r="AL941" t="str">
        <f>HYPERLINK("https://pbs.twimg.com/ext_tw_video_thumb/1143298454837452800/pu/img/VBKmVdQ0NSvXe01_.jpg")</f>
        <v>https://pbs.twimg.com/ext_tw_video_thumb/1143298454837452800/pu/img/VBKmVdQ0NSvXe01_.jpg</v>
      </c>
      <c r="AM941" t="s">
        <v>52</v>
      </c>
      <c r="AN941" t="s">
        <v>53</v>
      </c>
    </row>
    <row r="942" spans="1:40">
      <c r="A942" t="s">
        <v>2370</v>
      </c>
      <c r="B942" t="s">
        <v>3603</v>
      </c>
      <c r="C942" t="s">
        <v>3604</v>
      </c>
      <c r="D942" t="s">
        <v>52</v>
      </c>
      <c r="E942" t="s">
        <v>3605</v>
      </c>
      <c r="F942" t="s">
        <v>45</v>
      </c>
      <c r="G942" t="str">
        <f>HYPERLINK("https://www.instagram.com/p/BzHGo33AeXP")</f>
        <v>https://www.instagram.com/p/BzHGo33AeXP</v>
      </c>
      <c r="H942" t="s">
        <v>46</v>
      </c>
      <c r="I942" t="s">
        <v>3606</v>
      </c>
      <c r="J942" t="str">
        <f>HYPERLINK("http://instagram.com/dadripgoddess")</f>
        <v>http://instagram.com/dadripgoddess</v>
      </c>
      <c r="K942">
        <v>324</v>
      </c>
      <c r="N942" t="s">
        <v>59</v>
      </c>
      <c r="O942" t="s">
        <v>3606</v>
      </c>
      <c r="P942" t="str">
        <f>HYPERLINK("http://instagram.com/dadripgoddess")</f>
        <v>http://instagram.com/dadripgoddess</v>
      </c>
      <c r="Q942">
        <v>324</v>
      </c>
      <c r="R942" t="s">
        <v>60</v>
      </c>
      <c r="W942">
        <v>12</v>
      </c>
      <c r="X942">
        <v>12</v>
      </c>
      <c r="AE942">
        <v>0</v>
      </c>
      <c r="AI942" t="s">
        <v>52</v>
      </c>
      <c r="AJ942" t="s">
        <v>3607</v>
      </c>
      <c r="AK942" t="s">
        <v>52</v>
      </c>
      <c r="AL942" t="str">
        <f>HYPERLINK("https://www.instagram.com/p/BzHGo33AeXP/media/?size=l")</f>
        <v>https://www.instagram.com/p/BzHGo33AeXP/media/?size=l</v>
      </c>
      <c r="AM942" t="s">
        <v>52</v>
      </c>
      <c r="AN942" t="s">
        <v>53</v>
      </c>
    </row>
    <row r="943" spans="1:40">
      <c r="A943" t="s">
        <v>2370</v>
      </c>
      <c r="B943" t="s">
        <v>3608</v>
      </c>
      <c r="C943" t="s">
        <v>3609</v>
      </c>
      <c r="D943" t="s">
        <v>52</v>
      </c>
      <c r="E943" t="s">
        <v>3610</v>
      </c>
      <c r="F943" t="s">
        <v>45</v>
      </c>
      <c r="G943" t="str">
        <f>HYPERLINK("https://twitter.com/4014917357/status/1143300241720008704")</f>
        <v>https://twitter.com/4014917357/status/1143300241720008704</v>
      </c>
      <c r="H943" t="s">
        <v>46</v>
      </c>
      <c r="I943" t="s">
        <v>3611</v>
      </c>
      <c r="J943" t="str">
        <f>HYPERLINK("http://twitter.com/chibikimisbest")</f>
        <v>http://twitter.com/chibikimisbest</v>
      </c>
      <c r="K943">
        <v>1534</v>
      </c>
      <c r="N943" t="s">
        <v>65</v>
      </c>
      <c r="R943" t="s">
        <v>60</v>
      </c>
      <c r="S943" t="s">
        <v>51</v>
      </c>
      <c r="T943" t="s">
        <v>84</v>
      </c>
      <c r="U943" t="s">
        <v>85</v>
      </c>
      <c r="W943">
        <v>4</v>
      </c>
      <c r="X943">
        <v>4</v>
      </c>
      <c r="AE943">
        <v>2</v>
      </c>
      <c r="AF943">
        <v>0</v>
      </c>
      <c r="AM943" t="s">
        <v>52</v>
      </c>
      <c r="AN943" t="s">
        <v>53</v>
      </c>
    </row>
    <row r="944" spans="1:40">
      <c r="A944" t="s">
        <v>2370</v>
      </c>
      <c r="B944" t="s">
        <v>3608</v>
      </c>
      <c r="C944" t="s">
        <v>3612</v>
      </c>
      <c r="D944" t="s">
        <v>52</v>
      </c>
      <c r="E944" t="s">
        <v>3613</v>
      </c>
      <c r="F944" t="s">
        <v>95</v>
      </c>
      <c r="G944" t="str">
        <f>HYPERLINK("https://twitter.com/2202518265/status/1143300221394440193")</f>
        <v>https://twitter.com/2202518265/status/1143300221394440193</v>
      </c>
      <c r="H944" t="s">
        <v>46</v>
      </c>
      <c r="I944" t="s">
        <v>3614</v>
      </c>
      <c r="J944" t="str">
        <f>HYPERLINK("http://twitter.com/abzgvq4")</f>
        <v>http://twitter.com/abzgvq4</v>
      </c>
      <c r="K944">
        <v>319</v>
      </c>
      <c r="N944" t="s">
        <v>65</v>
      </c>
      <c r="R944" t="s">
        <v>60</v>
      </c>
      <c r="S944" t="s">
        <v>51</v>
      </c>
      <c r="T944" t="s">
        <v>3267</v>
      </c>
      <c r="U944" t="s">
        <v>3615</v>
      </c>
      <c r="W944">
        <v>0</v>
      </c>
      <c r="X944">
        <v>0</v>
      </c>
      <c r="AE944">
        <v>0</v>
      </c>
      <c r="AF944">
        <v>0</v>
      </c>
      <c r="AM944" t="s">
        <v>52</v>
      </c>
      <c r="AN944" t="s">
        <v>53</v>
      </c>
    </row>
    <row r="945" spans="1:40">
      <c r="A945" t="s">
        <v>2370</v>
      </c>
      <c r="B945" t="s">
        <v>3608</v>
      </c>
      <c r="C945" t="s">
        <v>3609</v>
      </c>
      <c r="D945" t="s">
        <v>52</v>
      </c>
      <c r="E945" t="s">
        <v>3616</v>
      </c>
      <c r="F945" t="s">
        <v>95</v>
      </c>
      <c r="G945" t="str">
        <f>HYPERLINK("https://twitter.com/2395434512/status/1143300164578349056")</f>
        <v>https://twitter.com/2395434512/status/1143300164578349056</v>
      </c>
      <c r="H945" t="s">
        <v>46</v>
      </c>
      <c r="I945" t="s">
        <v>3617</v>
      </c>
      <c r="J945" t="str">
        <f>HYPERLINK("http://twitter.com/ernesto4968")</f>
        <v>http://twitter.com/ernesto4968</v>
      </c>
      <c r="K945">
        <v>90</v>
      </c>
      <c r="N945" t="s">
        <v>65</v>
      </c>
      <c r="R945" t="s">
        <v>60</v>
      </c>
      <c r="W945">
        <v>0</v>
      </c>
      <c r="X945">
        <v>0</v>
      </c>
      <c r="AE945">
        <v>1</v>
      </c>
      <c r="AF945">
        <v>0</v>
      </c>
      <c r="AM945" t="s">
        <v>52</v>
      </c>
      <c r="AN945" t="s">
        <v>53</v>
      </c>
    </row>
    <row r="946" spans="1:40">
      <c r="A946" t="s">
        <v>2370</v>
      </c>
      <c r="B946" t="s">
        <v>3608</v>
      </c>
      <c r="C946" t="s">
        <v>3618</v>
      </c>
      <c r="D946" t="s">
        <v>52</v>
      </c>
      <c r="E946" t="s">
        <v>3619</v>
      </c>
      <c r="F946" t="s">
        <v>71</v>
      </c>
      <c r="G946" t="str">
        <f>HYPERLINK("https://twitter.com/994349781907660800/status/1143300141492953088")</f>
        <v>https://twitter.com/994349781907660800/status/1143300141492953088</v>
      </c>
      <c r="H946" t="s">
        <v>46</v>
      </c>
      <c r="I946" t="s">
        <v>52</v>
      </c>
      <c r="J946" t="str">
        <f>HYPERLINK("http://twitter.com/payolapapi")</f>
        <v>http://twitter.com/payolapapi</v>
      </c>
      <c r="K946">
        <v>932</v>
      </c>
      <c r="N946" t="s">
        <v>65</v>
      </c>
      <c r="R946" t="s">
        <v>60</v>
      </c>
      <c r="S946" t="s">
        <v>226</v>
      </c>
      <c r="U946" t="s">
        <v>3620</v>
      </c>
      <c r="W946">
        <v>1</v>
      </c>
      <c r="X946">
        <v>1</v>
      </c>
      <c r="AE946">
        <v>0</v>
      </c>
      <c r="AF946">
        <v>0</v>
      </c>
      <c r="AI946" t="s">
        <v>52</v>
      </c>
      <c r="AJ946" t="s">
        <v>52</v>
      </c>
      <c r="AK946" t="s">
        <v>2951</v>
      </c>
      <c r="AL946" t="str">
        <f>HYPERLINK("https://pbs.twimg.com/ext_tw_video_thumb/1143298454837452800/pu/img/VBKmVdQ0NSvXe01_.jpg")</f>
        <v>https://pbs.twimg.com/ext_tw_video_thumb/1143298454837452800/pu/img/VBKmVdQ0NSvXe01_.jpg</v>
      </c>
      <c r="AM946" t="s">
        <v>52</v>
      </c>
      <c r="AN946" t="s">
        <v>53</v>
      </c>
    </row>
    <row r="947" spans="1:40">
      <c r="A947" t="s">
        <v>2370</v>
      </c>
      <c r="B947" t="s">
        <v>3608</v>
      </c>
      <c r="C947" t="s">
        <v>3621</v>
      </c>
      <c r="D947" t="s">
        <v>52</v>
      </c>
      <c r="E947" t="s">
        <v>1194</v>
      </c>
      <c r="F947" t="s">
        <v>131</v>
      </c>
      <c r="G947" t="str">
        <f>HYPERLINK("https://twitter.com/3984013696/status/1143300094327971843")</f>
        <v>https://twitter.com/3984013696/status/1143300094327971843</v>
      </c>
      <c r="H947" t="s">
        <v>46</v>
      </c>
      <c r="I947" t="s">
        <v>3622</v>
      </c>
      <c r="J947" t="str">
        <f>HYPERLINK("http://twitter.com/WolfRawr_")</f>
        <v>http://twitter.com/WolfRawr_</v>
      </c>
      <c r="K947">
        <v>274</v>
      </c>
      <c r="N947" t="s">
        <v>65</v>
      </c>
      <c r="R947" t="s">
        <v>60</v>
      </c>
      <c r="S947" t="s">
        <v>51</v>
      </c>
      <c r="T947" t="s">
        <v>2923</v>
      </c>
      <c r="U947" t="s">
        <v>3623</v>
      </c>
      <c r="W947">
        <v>0</v>
      </c>
      <c r="X947">
        <v>0</v>
      </c>
      <c r="AE947">
        <v>0</v>
      </c>
      <c r="AI947" t="s">
        <v>52</v>
      </c>
      <c r="AJ947" t="s">
        <v>1196</v>
      </c>
      <c r="AK947" t="s">
        <v>52</v>
      </c>
      <c r="AL947" t="str">
        <f>HYPERLINK("https://pbs.twimg.com/media/D9xgk2YXkAAd2ql.jpg")</f>
        <v>https://pbs.twimg.com/media/D9xgk2YXkAAd2ql.jpg</v>
      </c>
      <c r="AM947" t="s">
        <v>52</v>
      </c>
      <c r="AN947" t="s">
        <v>53</v>
      </c>
    </row>
    <row r="948" spans="1:40">
      <c r="A948" t="s">
        <v>2370</v>
      </c>
      <c r="B948" t="s">
        <v>3608</v>
      </c>
      <c r="C948" t="s">
        <v>3621</v>
      </c>
      <c r="D948" t="s">
        <v>52</v>
      </c>
      <c r="E948" t="s">
        <v>3624</v>
      </c>
      <c r="F948" t="s">
        <v>45</v>
      </c>
      <c r="G948" t="str">
        <f>HYPERLINK("https://www.instagram.com/p/BzHGigRHZtr")</f>
        <v>https://www.instagram.com/p/BzHGigRHZtr</v>
      </c>
      <c r="H948" t="s">
        <v>46</v>
      </c>
      <c r="I948" t="s">
        <v>3625</v>
      </c>
      <c r="J948" t="str">
        <f>HYPERLINK("http://instagram.com/sammyrubin")</f>
        <v>http://instagram.com/sammyrubin</v>
      </c>
      <c r="K948">
        <v>39333</v>
      </c>
      <c r="N948" t="s">
        <v>59</v>
      </c>
      <c r="O948" t="s">
        <v>3625</v>
      </c>
      <c r="P948" t="str">
        <f>HYPERLINK("http://instagram.com/sammyrubin")</f>
        <v>http://instagram.com/sammyrubin</v>
      </c>
      <c r="Q948">
        <v>39333</v>
      </c>
      <c r="R948" t="s">
        <v>60</v>
      </c>
      <c r="S948" t="s">
        <v>51</v>
      </c>
      <c r="T948" t="s">
        <v>380</v>
      </c>
      <c r="U948" t="s">
        <v>380</v>
      </c>
      <c r="W948">
        <v>730</v>
      </c>
      <c r="X948">
        <v>730</v>
      </c>
      <c r="AE948">
        <v>11</v>
      </c>
      <c r="AI948" t="s">
        <v>52</v>
      </c>
      <c r="AJ948" t="s">
        <v>3626</v>
      </c>
      <c r="AK948" t="s">
        <v>52</v>
      </c>
      <c r="AL948" t="str">
        <f>HYPERLINK("https://www.instagram.com/p/BzHGigRHZtr/media/?size=l")</f>
        <v>https://www.instagram.com/p/BzHGigRHZtr/media/?size=l</v>
      </c>
      <c r="AM948" t="s">
        <v>52</v>
      </c>
      <c r="AN948" t="s">
        <v>53</v>
      </c>
    </row>
    <row r="949" spans="1:40">
      <c r="A949" t="s">
        <v>2370</v>
      </c>
      <c r="B949" t="s">
        <v>3627</v>
      </c>
      <c r="C949" t="s">
        <v>3628</v>
      </c>
      <c r="D949" t="s">
        <v>52</v>
      </c>
      <c r="E949" t="s">
        <v>3629</v>
      </c>
      <c r="F949" t="s">
        <v>71</v>
      </c>
      <c r="G949" t="str">
        <f>HYPERLINK("https://twitter.com/231619253/status/1143299677443514368")</f>
        <v>https://twitter.com/231619253/status/1143299677443514368</v>
      </c>
      <c r="H949" t="s">
        <v>46</v>
      </c>
      <c r="I949" t="s">
        <v>3630</v>
      </c>
      <c r="J949" t="str">
        <f>HYPERLINK("http://twitter.com/ToryChaos")</f>
        <v>http://twitter.com/ToryChaos</v>
      </c>
      <c r="K949">
        <v>1668</v>
      </c>
      <c r="N949" t="s">
        <v>65</v>
      </c>
      <c r="R949" t="s">
        <v>60</v>
      </c>
      <c r="S949" t="s">
        <v>97</v>
      </c>
      <c r="T949" t="s">
        <v>98</v>
      </c>
      <c r="U949" t="s">
        <v>3631</v>
      </c>
      <c r="W949">
        <v>0</v>
      </c>
      <c r="X949">
        <v>0</v>
      </c>
      <c r="AE949">
        <v>0</v>
      </c>
      <c r="AF949">
        <v>0</v>
      </c>
      <c r="AI949" t="s">
        <v>52</v>
      </c>
      <c r="AJ949" t="s">
        <v>52</v>
      </c>
      <c r="AK949" t="s">
        <v>52</v>
      </c>
      <c r="AL949" t="str">
        <f>HYPERLINK("https://pbs.twimg.com/tweet_video_thumb/D93IMyUW4AEz0AJ.jpg")</f>
        <v>https://pbs.twimg.com/tweet_video_thumb/D93IMyUW4AEz0AJ.jpg</v>
      </c>
      <c r="AM949" t="s">
        <v>52</v>
      </c>
      <c r="AN949" t="s">
        <v>53</v>
      </c>
    </row>
    <row r="950" spans="1:40">
      <c r="A950" t="s">
        <v>2370</v>
      </c>
      <c r="B950" t="s">
        <v>3632</v>
      </c>
      <c r="C950" t="s">
        <v>3609</v>
      </c>
      <c r="D950" t="s">
        <v>52</v>
      </c>
      <c r="E950" t="s">
        <v>3633</v>
      </c>
      <c r="F950" t="s">
        <v>71</v>
      </c>
      <c r="G950" t="str">
        <f>HYPERLINK("https://twitter.com/231619253/status/1143299412204150785")</f>
        <v>https://twitter.com/231619253/status/1143299412204150785</v>
      </c>
      <c r="H950" t="s">
        <v>46</v>
      </c>
      <c r="I950" t="s">
        <v>3630</v>
      </c>
      <c r="J950" t="str">
        <f>HYPERLINK("http://twitter.com/ToryChaos")</f>
        <v>http://twitter.com/ToryChaos</v>
      </c>
      <c r="K950">
        <v>1668</v>
      </c>
      <c r="N950" t="s">
        <v>65</v>
      </c>
      <c r="R950" t="s">
        <v>60</v>
      </c>
      <c r="S950" t="s">
        <v>97</v>
      </c>
      <c r="T950" t="s">
        <v>98</v>
      </c>
      <c r="U950" t="s">
        <v>3631</v>
      </c>
      <c r="W950">
        <v>1</v>
      </c>
      <c r="X950">
        <v>1</v>
      </c>
      <c r="AE950">
        <v>0</v>
      </c>
      <c r="AF950">
        <v>0</v>
      </c>
      <c r="AI950" t="s">
        <v>52</v>
      </c>
      <c r="AJ950" t="s">
        <v>52</v>
      </c>
      <c r="AK950" t="s">
        <v>52</v>
      </c>
      <c r="AL950" t="str">
        <f>HYPERLINK("https://pbs.twimg.com/tweet_video_thumb/D93IMyUW4AEz0AJ.jpg")</f>
        <v>https://pbs.twimg.com/tweet_video_thumb/D93IMyUW4AEz0AJ.jpg</v>
      </c>
      <c r="AM950" t="s">
        <v>52</v>
      </c>
      <c r="AN950" t="s">
        <v>53</v>
      </c>
    </row>
    <row r="951" spans="1:40">
      <c r="A951" t="s">
        <v>2370</v>
      </c>
      <c r="B951" t="s">
        <v>3632</v>
      </c>
      <c r="C951" t="s">
        <v>3621</v>
      </c>
      <c r="D951" t="s">
        <v>3634</v>
      </c>
      <c r="E951" t="s">
        <v>3635</v>
      </c>
      <c r="F951" t="s">
        <v>45</v>
      </c>
      <c r="G951" t="str">
        <f>HYPERLINK("https://www.youtube.com/watch?v=LDmJNQWEKtE")</f>
        <v>https://www.youtube.com/watch?v=LDmJNQWEKtE</v>
      </c>
      <c r="H951" t="s">
        <v>46</v>
      </c>
      <c r="I951" t="s">
        <v>3636</v>
      </c>
      <c r="J951" t="str">
        <f>HYPERLINK("https://www.youtube.com/channel/UCfwEfwqDq9z83K3MYHkhI2A")</f>
        <v>https://www.youtube.com/channel/UCfwEfwqDq9z83K3MYHkhI2A</v>
      </c>
      <c r="K951">
        <v>5</v>
      </c>
      <c r="N951" t="s">
        <v>116</v>
      </c>
      <c r="O951" t="s">
        <v>3636</v>
      </c>
      <c r="P951" t="str">
        <f>HYPERLINK("https://www.youtube.com/channel/UCfwEfwqDq9z83K3MYHkhI2A")</f>
        <v>https://www.youtube.com/channel/UCfwEfwqDq9z83K3MYHkhI2A</v>
      </c>
      <c r="Q951">
        <v>5</v>
      </c>
      <c r="R951" t="s">
        <v>60</v>
      </c>
      <c r="W951">
        <v>2</v>
      </c>
      <c r="X951">
        <v>2</v>
      </c>
      <c r="AD951">
        <v>0</v>
      </c>
      <c r="AE951">
        <v>0</v>
      </c>
      <c r="AG951">
        <v>5</v>
      </c>
      <c r="AI951" t="s">
        <v>52</v>
      </c>
      <c r="AJ951" t="s">
        <v>52</v>
      </c>
      <c r="AK951" t="s">
        <v>680</v>
      </c>
      <c r="AL951" t="str">
        <f>HYPERLINK("https://i.ytimg.com/vi/LDmJNQWEKtE/sddefault.jpg")</f>
        <v>https://i.ytimg.com/vi/LDmJNQWEKtE/sddefault.jpg</v>
      </c>
      <c r="AM951" t="s">
        <v>52</v>
      </c>
      <c r="AN951" t="s">
        <v>53</v>
      </c>
    </row>
    <row r="952" spans="1:40">
      <c r="A952" t="s">
        <v>2370</v>
      </c>
      <c r="B952" t="s">
        <v>3632</v>
      </c>
      <c r="C952" t="s">
        <v>3443</v>
      </c>
      <c r="D952" t="s">
        <v>52</v>
      </c>
      <c r="E952" t="s">
        <v>3637</v>
      </c>
      <c r="F952" t="s">
        <v>45</v>
      </c>
      <c r="G952" t="str">
        <f>HYPERLINK("https://www.instagram.com/p/BzHFp_ih6J-")</f>
        <v>https://www.instagram.com/p/BzHFp_ih6J-</v>
      </c>
      <c r="H952" t="s">
        <v>46</v>
      </c>
      <c r="I952" t="s">
        <v>3638</v>
      </c>
      <c r="J952" t="str">
        <f>HYPERLINK("http://instagram.com/g._micah")</f>
        <v>http://instagram.com/g._micah</v>
      </c>
      <c r="K952">
        <v>69</v>
      </c>
      <c r="N952" t="s">
        <v>59</v>
      </c>
      <c r="O952" t="s">
        <v>3638</v>
      </c>
      <c r="P952" t="str">
        <f>HYPERLINK("http://instagram.com/g._micah")</f>
        <v>http://instagram.com/g._micah</v>
      </c>
      <c r="Q952">
        <v>69</v>
      </c>
      <c r="R952" t="s">
        <v>60</v>
      </c>
      <c r="W952">
        <v>10</v>
      </c>
      <c r="X952">
        <v>10</v>
      </c>
      <c r="AE952">
        <v>3</v>
      </c>
      <c r="AG952">
        <v>22</v>
      </c>
      <c r="AI952" t="s">
        <v>52</v>
      </c>
      <c r="AJ952" t="s">
        <v>3639</v>
      </c>
      <c r="AK952" t="s">
        <v>52</v>
      </c>
      <c r="AL952" t="str">
        <f>HYPERLINK("https://www.instagram.com/p/BzHFp_ih6J-/media/?size=l")</f>
        <v>https://www.instagram.com/p/BzHFp_ih6J-/media/?size=l</v>
      </c>
      <c r="AM952" t="s">
        <v>52</v>
      </c>
      <c r="AN952" t="s">
        <v>53</v>
      </c>
    </row>
    <row r="953" spans="1:40">
      <c r="A953" t="s">
        <v>2370</v>
      </c>
      <c r="B953" t="s">
        <v>3640</v>
      </c>
      <c r="C953" t="s">
        <v>3641</v>
      </c>
      <c r="D953" t="s">
        <v>52</v>
      </c>
      <c r="E953" t="s">
        <v>3642</v>
      </c>
      <c r="F953" t="s">
        <v>131</v>
      </c>
      <c r="G953" t="str">
        <f>HYPERLINK("https://twitter.com/419091388/status/1143299168544395264")</f>
        <v>https://twitter.com/419091388/status/1143299168544395264</v>
      </c>
      <c r="H953" t="s">
        <v>46</v>
      </c>
      <c r="I953" t="s">
        <v>3643</v>
      </c>
      <c r="J953" t="str">
        <f>HYPERLINK("http://twitter.com/imOdd_")</f>
        <v>http://twitter.com/imOdd_</v>
      </c>
      <c r="K953">
        <v>4863</v>
      </c>
      <c r="N953" t="s">
        <v>65</v>
      </c>
      <c r="R953" t="s">
        <v>60</v>
      </c>
      <c r="S953" t="s">
        <v>51</v>
      </c>
      <c r="T953" t="s">
        <v>2527</v>
      </c>
      <c r="U953" t="s">
        <v>3644</v>
      </c>
      <c r="W953">
        <v>0</v>
      </c>
      <c r="X953">
        <v>0</v>
      </c>
      <c r="AE953">
        <v>0</v>
      </c>
      <c r="AM953" t="s">
        <v>52</v>
      </c>
      <c r="AN953" t="s">
        <v>53</v>
      </c>
    </row>
    <row r="954" spans="1:40">
      <c r="A954" t="s">
        <v>2370</v>
      </c>
      <c r="B954" t="s">
        <v>3645</v>
      </c>
      <c r="C954" t="s">
        <v>3646</v>
      </c>
      <c r="D954" t="s">
        <v>52</v>
      </c>
      <c r="E954" t="s">
        <v>3647</v>
      </c>
      <c r="F954" t="s">
        <v>45</v>
      </c>
      <c r="G954" t="str">
        <f>HYPERLINK("https://www.instagram.com/p/BzHGDdfFdu1")</f>
        <v>https://www.instagram.com/p/BzHGDdfFdu1</v>
      </c>
      <c r="H954" t="s">
        <v>46</v>
      </c>
      <c r="I954" t="s">
        <v>3648</v>
      </c>
      <c r="J954" t="str">
        <f>HYPERLINK("http://instagram.com/nahrochaoficial")</f>
        <v>http://instagram.com/nahrochaoficial</v>
      </c>
      <c r="K954">
        <v>1799</v>
      </c>
      <c r="N954" t="s">
        <v>59</v>
      </c>
      <c r="O954" t="s">
        <v>3648</v>
      </c>
      <c r="P954" t="str">
        <f>HYPERLINK("http://instagram.com/nahrochaoficial")</f>
        <v>http://instagram.com/nahrochaoficial</v>
      </c>
      <c r="Q954">
        <v>1799</v>
      </c>
      <c r="R954" t="s">
        <v>60</v>
      </c>
      <c r="W954">
        <v>92</v>
      </c>
      <c r="X954">
        <v>92</v>
      </c>
      <c r="AE954">
        <v>9</v>
      </c>
      <c r="AI954" t="s">
        <v>108</v>
      </c>
      <c r="AJ954" t="s">
        <v>3649</v>
      </c>
      <c r="AK954" t="s">
        <v>2089</v>
      </c>
      <c r="AL954" t="str">
        <f>HYPERLINK("https://www.instagram.com/p/BzHGDdfFdu1/media/?size=l")</f>
        <v>https://www.instagram.com/p/BzHGDdfFdu1/media/?size=l</v>
      </c>
      <c r="AM954" t="s">
        <v>52</v>
      </c>
      <c r="AN954" t="s">
        <v>53</v>
      </c>
    </row>
    <row r="955" spans="1:40">
      <c r="A955" t="s">
        <v>2370</v>
      </c>
      <c r="B955" t="s">
        <v>3645</v>
      </c>
      <c r="C955" t="s">
        <v>878</v>
      </c>
      <c r="D955" t="s">
        <v>52</v>
      </c>
      <c r="E955" t="s">
        <v>3650</v>
      </c>
      <c r="F955" t="s">
        <v>45</v>
      </c>
      <c r="G955" t="str">
        <f>HYPERLINK("https://www.facebook.com/124040397676169/posts/2378025305610989")</f>
        <v>https://www.facebook.com/124040397676169/posts/2378025305610989</v>
      </c>
      <c r="H955" t="s">
        <v>46</v>
      </c>
      <c r="I955" t="s">
        <v>3651</v>
      </c>
      <c r="J955" t="str">
        <f>HYPERLINK("https://www.facebook.com/124040397676169")</f>
        <v>https://www.facebook.com/124040397676169</v>
      </c>
      <c r="K955">
        <v>112519</v>
      </c>
      <c r="L955" t="s">
        <v>651</v>
      </c>
      <c r="N955" t="s">
        <v>1792</v>
      </c>
      <c r="O955" t="s">
        <v>3651</v>
      </c>
      <c r="P955" t="str">
        <f>HYPERLINK("https://www.facebook.com/124040397676169")</f>
        <v>https://www.facebook.com/124040397676169</v>
      </c>
      <c r="Q955">
        <v>112519</v>
      </c>
      <c r="R955" t="s">
        <v>60</v>
      </c>
      <c r="W955">
        <v>2</v>
      </c>
      <c r="X955">
        <v>2</v>
      </c>
      <c r="AE955">
        <v>2</v>
      </c>
      <c r="AF955">
        <v>1</v>
      </c>
      <c r="AI955" t="s">
        <v>52</v>
      </c>
      <c r="AJ955" t="s">
        <v>2072</v>
      </c>
      <c r="AK955" t="s">
        <v>52</v>
      </c>
      <c r="AL955" t="str">
        <f>HYPERLINK("https://scontent.xx.fbcdn.net/v/t1.0-9/65502493_2378024935611026_3836716799735365632_n.jpg?_nc_cat=110&amp;_nc_ht=scontent.xx&amp;oh=dacb56cea78645c508823487f21f8131&amp;oe=5D84B98E")</f>
        <v>https://scontent.xx.fbcdn.net/v/t1.0-9/65502493_2378024935611026_3836716799735365632_n.jpg?_nc_cat=110&amp;_nc_ht=scontent.xx&amp;oh=dacb56cea78645c508823487f21f8131&amp;oe=5D84B98E</v>
      </c>
      <c r="AM955" t="s">
        <v>52</v>
      </c>
      <c r="AN955" t="s">
        <v>53</v>
      </c>
    </row>
    <row r="956" spans="1:40">
      <c r="A956" t="s">
        <v>2370</v>
      </c>
      <c r="B956" t="s">
        <v>3645</v>
      </c>
      <c r="C956" t="s">
        <v>2998</v>
      </c>
      <c r="D956" t="s">
        <v>52</v>
      </c>
      <c r="E956" t="s">
        <v>3652</v>
      </c>
      <c r="F956" t="s">
        <v>45</v>
      </c>
      <c r="G956" t="str">
        <f>HYPERLINK("https://www.facebook.com/1389865644619108/posts/2422016894737306")</f>
        <v>https://www.facebook.com/1389865644619108/posts/2422016894737306</v>
      </c>
      <c r="H956" t="s">
        <v>46</v>
      </c>
      <c r="I956" t="s">
        <v>3653</v>
      </c>
      <c r="J956" t="str">
        <f>HYPERLINK("https://www.facebook.com/1389865644619108")</f>
        <v>https://www.facebook.com/1389865644619108</v>
      </c>
      <c r="K956">
        <v>180188</v>
      </c>
      <c r="L956" t="s">
        <v>651</v>
      </c>
      <c r="N956" t="s">
        <v>1792</v>
      </c>
      <c r="O956" t="s">
        <v>3653</v>
      </c>
      <c r="P956" t="str">
        <f>HYPERLINK("https://www.facebook.com/1389865644619108")</f>
        <v>https://www.facebook.com/1389865644619108</v>
      </c>
      <c r="Q956">
        <v>180188</v>
      </c>
      <c r="R956" t="s">
        <v>60</v>
      </c>
      <c r="W956">
        <v>102</v>
      </c>
      <c r="X956">
        <v>36</v>
      </c>
      <c r="Y956">
        <v>13</v>
      </c>
      <c r="Z956">
        <v>51</v>
      </c>
      <c r="AA956">
        <v>2</v>
      </c>
      <c r="AB956">
        <v>0</v>
      </c>
      <c r="AC956">
        <v>0</v>
      </c>
      <c r="AE956">
        <v>10</v>
      </c>
      <c r="AF956">
        <v>1</v>
      </c>
      <c r="AI956" t="s">
        <v>52</v>
      </c>
      <c r="AJ956" t="s">
        <v>52</v>
      </c>
      <c r="AK956" t="s">
        <v>2565</v>
      </c>
      <c r="AL956" t="str">
        <f>HYPERLINK("https://scontent.xx.fbcdn.net/v/t1.0-9/s720x720/64969588_2422014661404196_2252057125175951360_o.jpg?_nc_cat=107&amp;_nc_oc=AQkG8MbOY_Jfru4QpjlfWvJkfvSQVJCNNhPikeC1feYoz33xepEX60HHZxXN04oFiSg&amp;_nc_ht=scontent.xx&amp;oh=a2d9d0d0d884d1c4ba34da32074c76e3&amp;oe=5D8C36E1")</f>
        <v>https://scontent.xx.fbcdn.net/v/t1.0-9/s720x720/64969588_2422014661404196_2252057125175951360_o.jpg?_nc_cat=107&amp;_nc_oc=AQkG8MbOY_Jfru4QpjlfWvJkfvSQVJCNNhPikeC1feYoz33xepEX60HHZxXN04oFiSg&amp;_nc_ht=scontent.xx&amp;oh=a2d9d0d0d884d1c4ba34da32074c76e3&amp;oe=5D8C36E1</v>
      </c>
      <c r="AM956" t="s">
        <v>52</v>
      </c>
      <c r="AN956" t="s">
        <v>53</v>
      </c>
    </row>
    <row r="957" spans="1:40">
      <c r="A957" t="s">
        <v>2370</v>
      </c>
      <c r="B957" t="s">
        <v>3645</v>
      </c>
      <c r="C957" t="s">
        <v>3452</v>
      </c>
      <c r="D957" t="s">
        <v>3654</v>
      </c>
      <c r="E957" t="s">
        <v>3655</v>
      </c>
      <c r="F957" t="s">
        <v>45</v>
      </c>
      <c r="G957" t="str">
        <f>HYPERLINK("https://www.reddit.com/r/SCJerk/comments/c4ioky/i_took_a_shit_in_a_toilet_at_stomping_grounds_ama/?sort=new#thing_t1_ery57gv")</f>
        <v>https://www.reddit.com/r/SCJerk/comments/c4ioky/i_took_a_shit_in_a_toilet_at_stomping_grounds_ama/?sort=new#thing_t1_ery57gv</v>
      </c>
      <c r="H957" t="s">
        <v>46</v>
      </c>
      <c r="I957" t="s">
        <v>3656</v>
      </c>
      <c r="J957" t="str">
        <f>HYPERLINK("https://www.reddit.com/r/SCJerk/comments/c4ioky/i_took_a_shit_in_a_toilet_at_stomping_grounds_ama/?sort=new#thing_t1_ery57gv")</f>
        <v>https://www.reddit.com/r/SCJerk/comments/c4ioky/i_took_a_shit_in_a_toilet_at_stomping_grounds_ama/?sort=new#thing_t1_ery57gv</v>
      </c>
      <c r="N957" t="s">
        <v>545</v>
      </c>
      <c r="O957" t="s">
        <v>3657</v>
      </c>
      <c r="P957" t="str">
        <f>HYPERLINK("https://www.reddit.com/r/SCJerk/")</f>
        <v>https://www.reddit.com/r/SCJerk/</v>
      </c>
      <c r="R957" t="s">
        <v>516</v>
      </c>
      <c r="S957" t="s">
        <v>51</v>
      </c>
      <c r="AM957" t="s">
        <v>52</v>
      </c>
      <c r="AN957" t="s">
        <v>53</v>
      </c>
    </row>
    <row r="958" spans="1:40">
      <c r="A958" t="s">
        <v>2370</v>
      </c>
      <c r="B958" t="s">
        <v>3658</v>
      </c>
      <c r="C958" t="s">
        <v>3618</v>
      </c>
      <c r="D958" t="s">
        <v>52</v>
      </c>
      <c r="E958" t="s">
        <v>1174</v>
      </c>
      <c r="F958" t="s">
        <v>131</v>
      </c>
      <c r="G958" t="str">
        <f>HYPERLINK("https://twitter.com/817387997947686915/status/1143298717069369345")</f>
        <v>https://twitter.com/817387997947686915/status/1143298717069369345</v>
      </c>
      <c r="H958" t="s">
        <v>46</v>
      </c>
      <c r="I958" t="s">
        <v>3659</v>
      </c>
      <c r="J958" t="str">
        <f>HYPERLINK("http://twitter.com/AreYouMadz")</f>
        <v>http://twitter.com/AreYouMadz</v>
      </c>
      <c r="K958">
        <v>154</v>
      </c>
      <c r="N958" t="s">
        <v>65</v>
      </c>
      <c r="R958" t="s">
        <v>60</v>
      </c>
      <c r="S958" t="s">
        <v>3660</v>
      </c>
      <c r="T958" t="s">
        <v>3661</v>
      </c>
      <c r="U958" t="s">
        <v>3662</v>
      </c>
      <c r="W958">
        <v>0</v>
      </c>
      <c r="X958">
        <v>0</v>
      </c>
      <c r="AE958">
        <v>0</v>
      </c>
      <c r="AI958" t="s">
        <v>1176</v>
      </c>
      <c r="AJ958" t="s">
        <v>1177</v>
      </c>
      <c r="AK958" t="s">
        <v>52</v>
      </c>
      <c r="AL958" t="str">
        <f>HYPERLINK("https://pbs.twimg.com/ext_tw_video_thumb/1143268619956056064/pu/img/SLb27Fb_f5FBj8oQ.jpg")</f>
        <v>https://pbs.twimg.com/ext_tw_video_thumb/1143268619956056064/pu/img/SLb27Fb_f5FBj8oQ.jpg</v>
      </c>
      <c r="AM958" t="s">
        <v>52</v>
      </c>
      <c r="AN958" t="s">
        <v>53</v>
      </c>
    </row>
    <row r="959" spans="1:40">
      <c r="A959" t="s">
        <v>2370</v>
      </c>
      <c r="B959" t="s">
        <v>3658</v>
      </c>
      <c r="C959" t="s">
        <v>3663</v>
      </c>
      <c r="D959" t="s">
        <v>52</v>
      </c>
      <c r="E959" t="s">
        <v>3664</v>
      </c>
      <c r="F959" t="s">
        <v>45</v>
      </c>
      <c r="G959" t="str">
        <f>HYPERLINK("https://twitter.com/1075238408077889538/status/1143298626539724800")</f>
        <v>https://twitter.com/1075238408077889538/status/1143298626539724800</v>
      </c>
      <c r="H959" t="s">
        <v>46</v>
      </c>
      <c r="I959" t="s">
        <v>3665</v>
      </c>
      <c r="J959" t="str">
        <f>HYPERLINK("http://twitter.com/carsonmallory_")</f>
        <v>http://twitter.com/carsonmallory_</v>
      </c>
      <c r="K959">
        <v>40</v>
      </c>
      <c r="N959" t="s">
        <v>65</v>
      </c>
      <c r="R959" t="s">
        <v>60</v>
      </c>
      <c r="S959" t="s">
        <v>3666</v>
      </c>
      <c r="W959">
        <v>1</v>
      </c>
      <c r="X959">
        <v>1</v>
      </c>
      <c r="AE959">
        <v>0</v>
      </c>
      <c r="AF959">
        <v>0</v>
      </c>
      <c r="AM959" t="s">
        <v>52</v>
      </c>
      <c r="AN959" t="s">
        <v>53</v>
      </c>
    </row>
    <row r="960" spans="1:40">
      <c r="A960" t="s">
        <v>2370</v>
      </c>
      <c r="B960" t="s">
        <v>3658</v>
      </c>
      <c r="C960" t="s">
        <v>3663</v>
      </c>
      <c r="D960" t="s">
        <v>52</v>
      </c>
      <c r="E960" t="s">
        <v>130</v>
      </c>
      <c r="F960" t="s">
        <v>131</v>
      </c>
      <c r="G960" t="str">
        <f>HYPERLINK("https://twitter.com/2778973064/status/1143298526115487744")</f>
        <v>https://twitter.com/2778973064/status/1143298526115487744</v>
      </c>
      <c r="H960" t="s">
        <v>46</v>
      </c>
      <c r="I960" t="s">
        <v>3667</v>
      </c>
      <c r="J960" t="str">
        <f>HYPERLINK("http://twitter.com/lillyinthesun")</f>
        <v>http://twitter.com/lillyinthesun</v>
      </c>
      <c r="K960">
        <v>270</v>
      </c>
      <c r="L960" t="s">
        <v>58</v>
      </c>
      <c r="N960" t="s">
        <v>65</v>
      </c>
      <c r="R960" t="s">
        <v>60</v>
      </c>
      <c r="S960" t="s">
        <v>97</v>
      </c>
      <c r="T960" t="s">
        <v>177</v>
      </c>
      <c r="U960" t="s">
        <v>3668</v>
      </c>
      <c r="W960">
        <v>0</v>
      </c>
      <c r="X960">
        <v>0</v>
      </c>
      <c r="AE960">
        <v>0</v>
      </c>
      <c r="AI960" t="s">
        <v>108</v>
      </c>
      <c r="AJ960" t="s">
        <v>52</v>
      </c>
      <c r="AK960" t="s">
        <v>52</v>
      </c>
      <c r="AL960" t="str">
        <f>HYPERLINK("https://pbs.twimg.com/media/D9XTkLWW4AAOYnJ.jpg")</f>
        <v>https://pbs.twimg.com/media/D9XTkLWW4AAOYnJ.jpg</v>
      </c>
      <c r="AM960" t="s">
        <v>52</v>
      </c>
      <c r="AN960" t="s">
        <v>53</v>
      </c>
    </row>
    <row r="961" spans="1:40">
      <c r="A961" t="s">
        <v>2370</v>
      </c>
      <c r="B961" t="s">
        <v>3669</v>
      </c>
      <c r="C961" t="s">
        <v>3628</v>
      </c>
      <c r="D961" t="s">
        <v>52</v>
      </c>
      <c r="E961" t="s">
        <v>3670</v>
      </c>
      <c r="F961" t="s">
        <v>45</v>
      </c>
      <c r="G961" t="str">
        <f>HYPERLINK("https://twitter.com/3073701088/status/1143298464232738823")</f>
        <v>https://twitter.com/3073701088/status/1143298464232738823</v>
      </c>
      <c r="H961" t="s">
        <v>46</v>
      </c>
      <c r="I961" t="s">
        <v>3671</v>
      </c>
      <c r="J961" t="str">
        <f>HYPERLINK("http://twitter.com/kenxbarbz")</f>
        <v>http://twitter.com/kenxbarbz</v>
      </c>
      <c r="K961">
        <v>1444</v>
      </c>
      <c r="L961" t="s">
        <v>48</v>
      </c>
      <c r="N961" t="s">
        <v>65</v>
      </c>
      <c r="R961" t="s">
        <v>60</v>
      </c>
      <c r="W961">
        <v>21</v>
      </c>
      <c r="X961">
        <v>21</v>
      </c>
      <c r="AE961">
        <v>1</v>
      </c>
      <c r="AF961">
        <v>5</v>
      </c>
      <c r="AI961" t="s">
        <v>52</v>
      </c>
      <c r="AJ961" t="s">
        <v>52</v>
      </c>
      <c r="AK961" t="s">
        <v>2951</v>
      </c>
      <c r="AL961" t="str">
        <f>HYPERLINK("https://pbs.twimg.com/ext_tw_video_thumb/1143298454837452800/pu/img/VBKmVdQ0NSvXe01_.jpg")</f>
        <v>https://pbs.twimg.com/ext_tw_video_thumb/1143298454837452800/pu/img/VBKmVdQ0NSvXe01_.jpg</v>
      </c>
      <c r="AM961" t="s">
        <v>52</v>
      </c>
      <c r="AN961" t="s">
        <v>53</v>
      </c>
    </row>
    <row r="962" spans="1:40">
      <c r="A962" t="s">
        <v>2370</v>
      </c>
      <c r="B962" t="s">
        <v>3669</v>
      </c>
      <c r="C962" t="s">
        <v>3663</v>
      </c>
      <c r="D962" t="s">
        <v>52</v>
      </c>
      <c r="E962" t="s">
        <v>526</v>
      </c>
      <c r="F962" t="s">
        <v>131</v>
      </c>
      <c r="G962" t="str">
        <f>HYPERLINK("https://twitter.com/288358477/status/1143298290391191558")</f>
        <v>https://twitter.com/288358477/status/1143298290391191558</v>
      </c>
      <c r="H962" t="s">
        <v>46</v>
      </c>
      <c r="I962" t="s">
        <v>3672</v>
      </c>
      <c r="J962" t="str">
        <f>HYPERLINK("http://twitter.com/Oconibonilla")</f>
        <v>http://twitter.com/Oconibonilla</v>
      </c>
      <c r="K962">
        <v>1133</v>
      </c>
      <c r="N962" t="s">
        <v>65</v>
      </c>
      <c r="R962" t="s">
        <v>60</v>
      </c>
      <c r="S962" t="s">
        <v>437</v>
      </c>
      <c r="T962" t="s">
        <v>3673</v>
      </c>
      <c r="W962">
        <v>0</v>
      </c>
      <c r="X962">
        <v>0</v>
      </c>
      <c r="AE962">
        <v>0</v>
      </c>
      <c r="AI962" t="s">
        <v>108</v>
      </c>
      <c r="AJ962" t="s">
        <v>52</v>
      </c>
      <c r="AK962" t="s">
        <v>52</v>
      </c>
      <c r="AL962" t="str">
        <f>HYPERLINK("https://pbs.twimg.com/ext_tw_video_thumb/1141360066962100224/pu/img/5_tGc4hLFQwcD07b.jpg")</f>
        <v>https://pbs.twimg.com/ext_tw_video_thumb/1141360066962100224/pu/img/5_tGc4hLFQwcD07b.jpg</v>
      </c>
      <c r="AM962" t="s">
        <v>52</v>
      </c>
      <c r="AN962" t="s">
        <v>53</v>
      </c>
    </row>
    <row r="963" spans="1:40">
      <c r="A963" t="s">
        <v>2370</v>
      </c>
      <c r="B963" t="s">
        <v>3669</v>
      </c>
      <c r="C963" t="s">
        <v>3674</v>
      </c>
      <c r="D963" t="s">
        <v>52</v>
      </c>
      <c r="E963" t="s">
        <v>3675</v>
      </c>
      <c r="F963" t="s">
        <v>95</v>
      </c>
      <c r="G963" t="str">
        <f>HYPERLINK("https://twitter.com/146982953/status/1143298277040721922")</f>
        <v>https://twitter.com/146982953/status/1143298277040721922</v>
      </c>
      <c r="H963" t="s">
        <v>46</v>
      </c>
      <c r="I963" t="s">
        <v>3676</v>
      </c>
      <c r="J963" t="str">
        <f>HYPERLINK("http://twitter.com/codywrites_")</f>
        <v>http://twitter.com/codywrites_</v>
      </c>
      <c r="K963">
        <v>483</v>
      </c>
      <c r="N963" t="s">
        <v>65</v>
      </c>
      <c r="R963" t="s">
        <v>60</v>
      </c>
      <c r="S963" t="s">
        <v>51</v>
      </c>
      <c r="T963" t="s">
        <v>2522</v>
      </c>
      <c r="U963" t="s">
        <v>2523</v>
      </c>
      <c r="W963">
        <v>1</v>
      </c>
      <c r="X963">
        <v>1</v>
      </c>
      <c r="AE963">
        <v>1</v>
      </c>
      <c r="AF963">
        <v>0</v>
      </c>
      <c r="AM963" t="s">
        <v>52</v>
      </c>
      <c r="AN963" t="s">
        <v>53</v>
      </c>
    </row>
    <row r="964" spans="1:40">
      <c r="A964" t="s">
        <v>2370</v>
      </c>
      <c r="B964" t="s">
        <v>3677</v>
      </c>
      <c r="C964" t="s">
        <v>1449</v>
      </c>
      <c r="D964" t="s">
        <v>52</v>
      </c>
      <c r="E964" t="s">
        <v>3678</v>
      </c>
      <c r="F964" t="s">
        <v>45</v>
      </c>
      <c r="G964" t="str">
        <f>HYPERLINK("https://www.instagram.com/p/BzHFc5HgyPa")</f>
        <v>https://www.instagram.com/p/BzHFc5HgyPa</v>
      </c>
      <c r="H964" t="s">
        <v>46</v>
      </c>
      <c r="I964" t="s">
        <v>3679</v>
      </c>
      <c r="J964" t="str">
        <f>HYPERLINK("http://instagram.com/_pumpkin_cookies_")</f>
        <v>http://instagram.com/_pumpkin_cookies_</v>
      </c>
      <c r="K964">
        <v>178</v>
      </c>
      <c r="N964" t="s">
        <v>59</v>
      </c>
      <c r="O964" t="s">
        <v>3679</v>
      </c>
      <c r="P964" t="str">
        <f>HYPERLINK("http://instagram.com/_pumpkin_cookies_")</f>
        <v>http://instagram.com/_pumpkin_cookies_</v>
      </c>
      <c r="Q964">
        <v>178</v>
      </c>
      <c r="R964" t="s">
        <v>60</v>
      </c>
      <c r="W964">
        <v>6</v>
      </c>
      <c r="X964">
        <v>6</v>
      </c>
      <c r="AE964">
        <v>0</v>
      </c>
      <c r="AI964" t="s">
        <v>108</v>
      </c>
      <c r="AJ964" t="s">
        <v>571</v>
      </c>
      <c r="AK964" t="s">
        <v>52</v>
      </c>
      <c r="AL964" t="str">
        <f>HYPERLINK("https://www.instagram.com/p/BzHFc5HgyPa/media/?size=l")</f>
        <v>https://www.instagram.com/p/BzHFc5HgyPa/media/?size=l</v>
      </c>
      <c r="AM964" t="s">
        <v>52</v>
      </c>
      <c r="AN964" t="s">
        <v>53</v>
      </c>
    </row>
    <row r="965" spans="1:40">
      <c r="A965" t="s">
        <v>2370</v>
      </c>
      <c r="B965" t="s">
        <v>3677</v>
      </c>
      <c r="C965" t="s">
        <v>3680</v>
      </c>
      <c r="D965" t="s">
        <v>3681</v>
      </c>
      <c r="E965" t="s">
        <v>3682</v>
      </c>
      <c r="F965" t="s">
        <v>45</v>
      </c>
      <c r="G965" t="str">
        <f>HYPERLINK("https://www.youtube.com/watch?v=FZNK-nAs8cg")</f>
        <v>https://www.youtube.com/watch?v=FZNK-nAs8cg</v>
      </c>
      <c r="H965" t="s">
        <v>215</v>
      </c>
      <c r="I965" t="s">
        <v>3683</v>
      </c>
      <c r="J965" t="str">
        <f>HYPERLINK("https://www.youtube.com/channel/UCmyER3QiMPSyWm7qO_T9tQw")</f>
        <v>https://www.youtube.com/channel/UCmyER3QiMPSyWm7qO_T9tQw</v>
      </c>
      <c r="K965">
        <v>14</v>
      </c>
      <c r="N965" t="s">
        <v>116</v>
      </c>
      <c r="O965" t="s">
        <v>3683</v>
      </c>
      <c r="P965" t="str">
        <f>HYPERLINK("https://www.youtube.com/channel/UCmyER3QiMPSyWm7qO_T9tQw")</f>
        <v>https://www.youtube.com/channel/UCmyER3QiMPSyWm7qO_T9tQw</v>
      </c>
      <c r="Q965">
        <v>14</v>
      </c>
      <c r="R965" t="s">
        <v>60</v>
      </c>
      <c r="W965">
        <v>2</v>
      </c>
      <c r="X965">
        <v>2</v>
      </c>
      <c r="AD965">
        <v>0</v>
      </c>
      <c r="AE965">
        <v>1</v>
      </c>
      <c r="AG965">
        <v>4</v>
      </c>
      <c r="AI965" t="s">
        <v>108</v>
      </c>
      <c r="AJ965" t="s">
        <v>52</v>
      </c>
      <c r="AK965" t="s">
        <v>52</v>
      </c>
      <c r="AL965" t="str">
        <f>HYPERLINK("https://i.ytimg.com/vi/FZNK-nAs8cg/hqdefault.jpg")</f>
        <v>https://i.ytimg.com/vi/FZNK-nAs8cg/hqdefault.jpg</v>
      </c>
      <c r="AM965" t="s">
        <v>52</v>
      </c>
      <c r="AN965" t="s">
        <v>53</v>
      </c>
    </row>
    <row r="966" spans="1:40">
      <c r="A966" t="s">
        <v>2370</v>
      </c>
      <c r="B966" t="s">
        <v>3677</v>
      </c>
      <c r="C966" t="s">
        <v>3471</v>
      </c>
      <c r="D966" t="s">
        <v>52</v>
      </c>
      <c r="E966" t="s">
        <v>3684</v>
      </c>
      <c r="F966" t="s">
        <v>45</v>
      </c>
      <c r="G966" t="str">
        <f>HYPERLINK("https://www.instagram.com/p/BzHFaamgVT_")</f>
        <v>https://www.instagram.com/p/BzHFaamgVT_</v>
      </c>
      <c r="H966" t="s">
        <v>46</v>
      </c>
      <c r="I966" t="s">
        <v>155</v>
      </c>
      <c r="J966" t="str">
        <f>HYPERLINK("http://instagram.com/michael_da_twoply")</f>
        <v>http://instagram.com/michael_da_twoply</v>
      </c>
      <c r="K966">
        <v>671</v>
      </c>
      <c r="L966" t="s">
        <v>48</v>
      </c>
      <c r="N966" t="s">
        <v>59</v>
      </c>
      <c r="O966" t="s">
        <v>155</v>
      </c>
      <c r="P966" t="str">
        <f>HYPERLINK("http://instagram.com/michael_da_twoply")</f>
        <v>http://instagram.com/michael_da_twoply</v>
      </c>
      <c r="Q966">
        <v>671</v>
      </c>
      <c r="R966" t="s">
        <v>60</v>
      </c>
      <c r="W966">
        <v>24</v>
      </c>
      <c r="X966">
        <v>24</v>
      </c>
      <c r="AE966">
        <v>0</v>
      </c>
      <c r="AI966" t="s">
        <v>52</v>
      </c>
      <c r="AJ966" t="s">
        <v>1763</v>
      </c>
      <c r="AK966" t="s">
        <v>52</v>
      </c>
      <c r="AL966" t="str">
        <f>HYPERLINK("https://www.instagram.com/p/BzHFaamgVT_/media/?size=l")</f>
        <v>https://www.instagram.com/p/BzHFaamgVT_/media/?size=l</v>
      </c>
      <c r="AM966" t="s">
        <v>52</v>
      </c>
      <c r="AN966" t="s">
        <v>53</v>
      </c>
    </row>
    <row r="967" spans="1:40">
      <c r="A967" t="s">
        <v>2370</v>
      </c>
      <c r="B967" t="s">
        <v>3677</v>
      </c>
      <c r="C967" t="s">
        <v>3685</v>
      </c>
      <c r="D967" t="s">
        <v>52</v>
      </c>
      <c r="E967" t="s">
        <v>2139</v>
      </c>
      <c r="F967" t="s">
        <v>131</v>
      </c>
      <c r="G967" t="str">
        <f>HYPERLINK("https://twitter.com/2799035653/status/1143297561752682496")</f>
        <v>https://twitter.com/2799035653/status/1143297561752682496</v>
      </c>
      <c r="H967" t="s">
        <v>46</v>
      </c>
      <c r="I967" t="s">
        <v>3686</v>
      </c>
      <c r="J967" t="str">
        <f>HYPERLINK("http://twitter.com/gclathynius")</f>
        <v>http://twitter.com/gclathynius</v>
      </c>
      <c r="K967">
        <v>658</v>
      </c>
      <c r="N967" t="s">
        <v>65</v>
      </c>
      <c r="R967" t="s">
        <v>60</v>
      </c>
      <c r="S967" t="s">
        <v>387</v>
      </c>
      <c r="T967" t="s">
        <v>3687</v>
      </c>
      <c r="U967" t="s">
        <v>3688</v>
      </c>
      <c r="W967">
        <v>0</v>
      </c>
      <c r="X967">
        <v>0</v>
      </c>
      <c r="AE967">
        <v>0</v>
      </c>
      <c r="AM967" t="s">
        <v>52</v>
      </c>
      <c r="AN967" t="s">
        <v>53</v>
      </c>
    </row>
    <row r="968" spans="1:40">
      <c r="A968" t="s">
        <v>2370</v>
      </c>
      <c r="B968" t="s">
        <v>3677</v>
      </c>
      <c r="C968" t="s">
        <v>3663</v>
      </c>
      <c r="D968" t="s">
        <v>52</v>
      </c>
      <c r="E968" t="s">
        <v>3689</v>
      </c>
      <c r="F968" t="s">
        <v>45</v>
      </c>
      <c r="G968" t="str">
        <f>HYPERLINK("https://www.instagram.com/p/BzHFZD6Hb_j")</f>
        <v>https://www.instagram.com/p/BzHFZD6Hb_j</v>
      </c>
      <c r="H968" t="s">
        <v>46</v>
      </c>
      <c r="I968" t="s">
        <v>3690</v>
      </c>
      <c r="J968" t="str">
        <f>HYPERLINK("http://instagram.com/legitmodernmom")</f>
        <v>http://instagram.com/legitmodernmom</v>
      </c>
      <c r="K968">
        <v>15697</v>
      </c>
      <c r="L968" t="s">
        <v>58</v>
      </c>
      <c r="N968" t="s">
        <v>59</v>
      </c>
      <c r="O968" t="s">
        <v>3690</v>
      </c>
      <c r="P968" t="str">
        <f>HYPERLINK("http://instagram.com/legitmodernmom")</f>
        <v>http://instagram.com/legitmodernmom</v>
      </c>
      <c r="Q968">
        <v>15697</v>
      </c>
      <c r="R968" t="s">
        <v>60</v>
      </c>
      <c r="W968">
        <v>15</v>
      </c>
      <c r="X968">
        <v>15</v>
      </c>
      <c r="AE968">
        <v>4</v>
      </c>
      <c r="AI968" t="s">
        <v>52</v>
      </c>
      <c r="AJ968" t="s">
        <v>3691</v>
      </c>
      <c r="AK968" t="s">
        <v>3692</v>
      </c>
      <c r="AL968" t="str">
        <f>HYPERLINK("https://www.instagram.com/p/BzHFZD6Hb_j/media/?size=l")</f>
        <v>https://www.instagram.com/p/BzHFZD6Hb_j/media/?size=l</v>
      </c>
      <c r="AM968" t="s">
        <v>52</v>
      </c>
      <c r="AN968" t="s">
        <v>53</v>
      </c>
    </row>
    <row r="969" spans="1:40">
      <c r="A969" t="s">
        <v>2370</v>
      </c>
      <c r="B969" t="s">
        <v>3693</v>
      </c>
      <c r="C969" t="s">
        <v>3471</v>
      </c>
      <c r="D969" t="s">
        <v>52</v>
      </c>
      <c r="E969" t="s">
        <v>3694</v>
      </c>
      <c r="F969" t="s">
        <v>45</v>
      </c>
      <c r="G969" t="str">
        <f>HYPERLINK("https://www.instagram.com/p/BzHFRACHyuS")</f>
        <v>https://www.instagram.com/p/BzHFRACHyuS</v>
      </c>
      <c r="H969" t="s">
        <v>46</v>
      </c>
      <c r="I969" t="s">
        <v>3695</v>
      </c>
      <c r="J969" t="str">
        <f>HYPERLINK("http://instagram.com/poncegc")</f>
        <v>http://instagram.com/poncegc</v>
      </c>
      <c r="K969">
        <v>3879</v>
      </c>
      <c r="L969" t="s">
        <v>58</v>
      </c>
      <c r="N969" t="s">
        <v>59</v>
      </c>
      <c r="O969" t="s">
        <v>3695</v>
      </c>
      <c r="P969" t="str">
        <f>HYPERLINK("http://instagram.com/poncegc")</f>
        <v>http://instagram.com/poncegc</v>
      </c>
      <c r="Q969">
        <v>3879</v>
      </c>
      <c r="R969" t="s">
        <v>60</v>
      </c>
      <c r="W969">
        <v>460</v>
      </c>
      <c r="X969">
        <v>460</v>
      </c>
      <c r="AE969">
        <v>22</v>
      </c>
      <c r="AI969" t="s">
        <v>52</v>
      </c>
      <c r="AJ969" t="s">
        <v>3696</v>
      </c>
      <c r="AK969" t="s">
        <v>52</v>
      </c>
      <c r="AL969" t="str">
        <f>HYPERLINK("https://www.instagram.com/p/BzHFRACHyuS/media/?size=l")</f>
        <v>https://www.instagram.com/p/BzHFRACHyuS/media/?size=l</v>
      </c>
      <c r="AM969" t="s">
        <v>52</v>
      </c>
      <c r="AN969" t="s">
        <v>53</v>
      </c>
    </row>
    <row r="970" spans="1:40">
      <c r="A970" t="s">
        <v>2370</v>
      </c>
      <c r="B970" t="s">
        <v>3697</v>
      </c>
      <c r="C970" t="s">
        <v>3641</v>
      </c>
      <c r="D970" t="s">
        <v>3698</v>
      </c>
      <c r="E970" t="s">
        <v>3699</v>
      </c>
      <c r="F970" t="s">
        <v>45</v>
      </c>
      <c r="G970" t="str">
        <f>HYPERLINK("https://www.youtube.com/watch?v=5gT1Q_EvfZw")</f>
        <v>https://www.youtube.com/watch?v=5gT1Q_EvfZw</v>
      </c>
      <c r="H970" t="s">
        <v>46</v>
      </c>
      <c r="I970" t="s">
        <v>3700</v>
      </c>
      <c r="J970" t="str">
        <f>HYPERLINK("https://www.youtube.com/channel/UCYFQ-dUX6qWqoJY1uHYZJmg")</f>
        <v>https://www.youtube.com/channel/UCYFQ-dUX6qWqoJY1uHYZJmg</v>
      </c>
      <c r="K970">
        <v>297</v>
      </c>
      <c r="N970" t="s">
        <v>116</v>
      </c>
      <c r="O970" t="s">
        <v>3700</v>
      </c>
      <c r="P970" t="str">
        <f>HYPERLINK("https://www.youtube.com/channel/UCYFQ-dUX6qWqoJY1uHYZJmg")</f>
        <v>https://www.youtube.com/channel/UCYFQ-dUX6qWqoJY1uHYZJmg</v>
      </c>
      <c r="Q970">
        <v>297</v>
      </c>
      <c r="R970" t="s">
        <v>60</v>
      </c>
      <c r="S970" t="s">
        <v>51</v>
      </c>
      <c r="W970">
        <v>1</v>
      </c>
      <c r="X970">
        <v>1</v>
      </c>
      <c r="AD970">
        <v>0</v>
      </c>
      <c r="AE970">
        <v>1</v>
      </c>
      <c r="AG970">
        <v>17</v>
      </c>
      <c r="AI970" t="s">
        <v>52</v>
      </c>
      <c r="AJ970" t="s">
        <v>52</v>
      </c>
      <c r="AK970" t="s">
        <v>52</v>
      </c>
      <c r="AL970" t="str">
        <f>HYPERLINK("https://i.ytimg.com/vi/5gT1Q_EvfZw/maxresdefault_live.jpg")</f>
        <v>https://i.ytimg.com/vi/5gT1Q_EvfZw/maxresdefault_live.jpg</v>
      </c>
      <c r="AM970" t="s">
        <v>52</v>
      </c>
      <c r="AN970" t="s">
        <v>53</v>
      </c>
    </row>
    <row r="971" spans="1:40">
      <c r="A971" t="s">
        <v>2370</v>
      </c>
      <c r="B971" t="s">
        <v>3701</v>
      </c>
      <c r="C971" t="s">
        <v>3471</v>
      </c>
      <c r="D971" t="s">
        <v>52</v>
      </c>
      <c r="E971" t="s">
        <v>3702</v>
      </c>
      <c r="F971" t="s">
        <v>71</v>
      </c>
      <c r="G971" t="str">
        <f>HYPERLINK("https://twitter.com/962844536769794048/status/1143296801652518914")</f>
        <v>https://twitter.com/962844536769794048/status/1143296801652518914</v>
      </c>
      <c r="H971" t="s">
        <v>46</v>
      </c>
      <c r="I971" t="s">
        <v>3703</v>
      </c>
      <c r="J971" t="str">
        <f>HYPERLINK("http://twitter.com/LaurenHobson14")</f>
        <v>http://twitter.com/LaurenHobson14</v>
      </c>
      <c r="K971">
        <v>5</v>
      </c>
      <c r="N971" t="s">
        <v>65</v>
      </c>
      <c r="R971" t="s">
        <v>60</v>
      </c>
      <c r="W971">
        <v>0</v>
      </c>
      <c r="X971">
        <v>0</v>
      </c>
      <c r="AE971">
        <v>0</v>
      </c>
      <c r="AF971">
        <v>0</v>
      </c>
      <c r="AI971" t="s">
        <v>108</v>
      </c>
      <c r="AJ971" t="s">
        <v>52</v>
      </c>
      <c r="AK971" t="s">
        <v>52</v>
      </c>
      <c r="AL971" t="str">
        <f>HYPERLINK("https://pbs.twimg.com/media/D9XTkLWW4AAOYnJ.jpg")</f>
        <v>https://pbs.twimg.com/media/D9XTkLWW4AAOYnJ.jpg</v>
      </c>
      <c r="AM971" t="s">
        <v>52</v>
      </c>
      <c r="AN971" t="s">
        <v>53</v>
      </c>
    </row>
    <row r="972" spans="1:40">
      <c r="A972" t="s">
        <v>2370</v>
      </c>
      <c r="B972" t="s">
        <v>3704</v>
      </c>
      <c r="C972" t="s">
        <v>1242</v>
      </c>
      <c r="D972" t="s">
        <v>3705</v>
      </c>
      <c r="E972" t="s">
        <v>3706</v>
      </c>
      <c r="F972" t="s">
        <v>45</v>
      </c>
      <c r="G972" t="str">
        <f>HYPERLINK("https://www.reddit.com/r/Drugs/comments/c4muai/australian_study_names_alcohol_the_most_harmful/?sort=new#thing_t1_ery45yf")</f>
        <v>https://www.reddit.com/r/Drugs/comments/c4muai/australian_study_names_alcohol_the_most_harmful/?sort=new#thing_t1_ery45yf</v>
      </c>
      <c r="H972" t="s">
        <v>91</v>
      </c>
      <c r="I972" t="s">
        <v>3707</v>
      </c>
      <c r="J972" t="str">
        <f>HYPERLINK("https://www.reddit.com/r/Drugs/comments/c4muai/australian_study_names_alcohol_the_most_harmful/?sort=new#thing_t1_ery45yf")</f>
        <v>https://www.reddit.com/r/Drugs/comments/c4muai/australian_study_names_alcohol_the_most_harmful/?sort=new#thing_t1_ery45yf</v>
      </c>
      <c r="N972" t="s">
        <v>545</v>
      </c>
      <c r="O972" t="s">
        <v>3708</v>
      </c>
      <c r="P972" t="str">
        <f>HYPERLINK("https://www.reddit.com/r/Drugs/")</f>
        <v>https://www.reddit.com/r/Drugs/</v>
      </c>
      <c r="R972" t="s">
        <v>516</v>
      </c>
      <c r="S972" t="s">
        <v>51</v>
      </c>
      <c r="AM972" t="s">
        <v>52</v>
      </c>
      <c r="AN972" t="s">
        <v>53</v>
      </c>
    </row>
    <row r="973" spans="1:40">
      <c r="A973" t="s">
        <v>2370</v>
      </c>
      <c r="B973" t="s">
        <v>3709</v>
      </c>
      <c r="C973" t="s">
        <v>2076</v>
      </c>
      <c r="D973" t="s">
        <v>52</v>
      </c>
      <c r="E973" t="s">
        <v>3710</v>
      </c>
      <c r="F973" t="s">
        <v>45</v>
      </c>
      <c r="G973" t="str">
        <f>HYPERLINK("https://www.instagram.com/p/BzHEpPSnFgW")</f>
        <v>https://www.instagram.com/p/BzHEpPSnFgW</v>
      </c>
      <c r="H973" t="s">
        <v>46</v>
      </c>
      <c r="I973" t="s">
        <v>3711</v>
      </c>
      <c r="J973" t="str">
        <f>HYPERLINK("http://instagram.com/missluvweed")</f>
        <v>http://instagram.com/missluvweed</v>
      </c>
      <c r="K973">
        <v>443</v>
      </c>
      <c r="N973" t="s">
        <v>59</v>
      </c>
      <c r="O973" t="s">
        <v>3711</v>
      </c>
      <c r="P973" t="str">
        <f>HYPERLINK("http://instagram.com/missluvweed")</f>
        <v>http://instagram.com/missluvweed</v>
      </c>
      <c r="Q973">
        <v>443</v>
      </c>
      <c r="R973" t="s">
        <v>60</v>
      </c>
      <c r="W973">
        <v>44</v>
      </c>
      <c r="X973">
        <v>44</v>
      </c>
      <c r="AE973">
        <v>7</v>
      </c>
      <c r="AI973" t="s">
        <v>108</v>
      </c>
      <c r="AJ973" t="s">
        <v>52</v>
      </c>
      <c r="AK973" t="s">
        <v>680</v>
      </c>
      <c r="AL973" t="str">
        <f>HYPERLINK("https://www.instagram.com/p/BzHEpPSnFgW/media/?size=l")</f>
        <v>https://www.instagram.com/p/BzHEpPSnFgW/media/?size=l</v>
      </c>
      <c r="AM973" t="s">
        <v>52</v>
      </c>
      <c r="AN973" t="s">
        <v>53</v>
      </c>
    </row>
    <row r="974" spans="1:40">
      <c r="A974" t="s">
        <v>2370</v>
      </c>
      <c r="B974" t="s">
        <v>3709</v>
      </c>
      <c r="C974" t="s">
        <v>3712</v>
      </c>
      <c r="D974" t="s">
        <v>52</v>
      </c>
      <c r="E974" t="s">
        <v>3713</v>
      </c>
      <c r="F974" t="s">
        <v>71</v>
      </c>
      <c r="G974" t="str">
        <f>HYPERLINK("https://twitter.com/947301004109860864/status/1143295892537184256")</f>
        <v>https://twitter.com/947301004109860864/status/1143295892537184256</v>
      </c>
      <c r="H974" t="s">
        <v>46</v>
      </c>
      <c r="I974" t="s">
        <v>3714</v>
      </c>
      <c r="J974" t="str">
        <f>HYPERLINK("http://twitter.com/ChaelaSummers")</f>
        <v>http://twitter.com/ChaelaSummers</v>
      </c>
      <c r="K974">
        <v>120</v>
      </c>
      <c r="N974" t="s">
        <v>65</v>
      </c>
      <c r="R974" t="s">
        <v>60</v>
      </c>
      <c r="S974" t="s">
        <v>3715</v>
      </c>
      <c r="W974">
        <v>0</v>
      </c>
      <c r="X974">
        <v>0</v>
      </c>
      <c r="AE974">
        <v>0</v>
      </c>
      <c r="AF974">
        <v>0</v>
      </c>
      <c r="AM974" t="s">
        <v>52</v>
      </c>
      <c r="AN974" t="s">
        <v>53</v>
      </c>
    </row>
    <row r="975" spans="1:40">
      <c r="A975" t="s">
        <v>2370</v>
      </c>
      <c r="B975" t="s">
        <v>3716</v>
      </c>
      <c r="C975" t="s">
        <v>3717</v>
      </c>
      <c r="D975" t="s">
        <v>52</v>
      </c>
      <c r="E975" t="s">
        <v>3718</v>
      </c>
      <c r="F975" t="s">
        <v>71</v>
      </c>
      <c r="G975" t="str">
        <f>HYPERLINK("https://twitter.com/1009652804250718209/status/1143295296706945025")</f>
        <v>https://twitter.com/1009652804250718209/status/1143295296706945025</v>
      </c>
      <c r="H975" t="s">
        <v>46</v>
      </c>
      <c r="I975" t="s">
        <v>3719</v>
      </c>
      <c r="J975" t="str">
        <f>HYPERLINK("http://twitter.com/johnyel97")</f>
        <v>http://twitter.com/johnyel97</v>
      </c>
      <c r="K975">
        <v>25</v>
      </c>
      <c r="L975" t="s">
        <v>48</v>
      </c>
      <c r="N975" t="s">
        <v>65</v>
      </c>
      <c r="R975" t="s">
        <v>60</v>
      </c>
      <c r="W975">
        <v>1</v>
      </c>
      <c r="X975">
        <v>1</v>
      </c>
      <c r="AE975">
        <v>0</v>
      </c>
      <c r="AF975">
        <v>0</v>
      </c>
      <c r="AM975" t="s">
        <v>52</v>
      </c>
      <c r="AN975" t="s">
        <v>53</v>
      </c>
    </row>
    <row r="976" spans="1:40">
      <c r="A976" t="s">
        <v>2370</v>
      </c>
      <c r="B976" t="s">
        <v>3720</v>
      </c>
      <c r="C976" t="s">
        <v>3721</v>
      </c>
      <c r="D976" t="s">
        <v>52</v>
      </c>
      <c r="E976" t="s">
        <v>3722</v>
      </c>
      <c r="F976" t="s">
        <v>45</v>
      </c>
      <c r="G976" t="str">
        <f>HYPERLINK("https://twitter.com/1013294287059120128/status/1143294841855651840")</f>
        <v>https://twitter.com/1013294287059120128/status/1143294841855651840</v>
      </c>
      <c r="H976" t="s">
        <v>46</v>
      </c>
      <c r="I976" t="s">
        <v>3723</v>
      </c>
      <c r="J976" t="str">
        <f>HYPERLINK("http://twitter.com/123_mythoughts")</f>
        <v>http://twitter.com/123_mythoughts</v>
      </c>
      <c r="K976">
        <v>33</v>
      </c>
      <c r="N976" t="s">
        <v>65</v>
      </c>
      <c r="R976" t="s">
        <v>60</v>
      </c>
      <c r="W976">
        <v>0</v>
      </c>
      <c r="X976">
        <v>0</v>
      </c>
      <c r="AE976">
        <v>0</v>
      </c>
      <c r="AF976">
        <v>0</v>
      </c>
      <c r="AM976" t="s">
        <v>52</v>
      </c>
      <c r="AN976" t="s">
        <v>53</v>
      </c>
    </row>
    <row r="977" spans="1:40">
      <c r="A977" t="s">
        <v>2370</v>
      </c>
      <c r="B977" t="s">
        <v>3724</v>
      </c>
      <c r="C977" t="s">
        <v>3471</v>
      </c>
      <c r="D977" t="s">
        <v>52</v>
      </c>
      <c r="E977" t="s">
        <v>3725</v>
      </c>
      <c r="F977" t="s">
        <v>45</v>
      </c>
      <c r="G977" t="str">
        <f>HYPERLINK("https://www.instagram.com/p/BzHEF62BI2H")</f>
        <v>https://www.instagram.com/p/BzHEF62BI2H</v>
      </c>
      <c r="H977" t="s">
        <v>46</v>
      </c>
      <c r="I977" t="s">
        <v>3726</v>
      </c>
      <c r="J977" t="str">
        <f>HYPERLINK("http://instagram.com/gucci_gunther")</f>
        <v>http://instagram.com/gucci_gunther</v>
      </c>
      <c r="K977">
        <v>125</v>
      </c>
      <c r="N977" t="s">
        <v>59</v>
      </c>
      <c r="O977" t="s">
        <v>3726</v>
      </c>
      <c r="P977" t="str">
        <f>HYPERLINK("http://instagram.com/gucci_gunther")</f>
        <v>http://instagram.com/gucci_gunther</v>
      </c>
      <c r="Q977">
        <v>125</v>
      </c>
      <c r="R977" t="s">
        <v>60</v>
      </c>
      <c r="W977">
        <v>13</v>
      </c>
      <c r="X977">
        <v>13</v>
      </c>
      <c r="AE977">
        <v>0</v>
      </c>
      <c r="AI977" t="s">
        <v>52</v>
      </c>
      <c r="AJ977" t="s">
        <v>3727</v>
      </c>
      <c r="AK977" t="s">
        <v>52</v>
      </c>
      <c r="AL977" t="str">
        <f>HYPERLINK("https://www.instagram.com/p/BzHEF62BI2H/media/?size=l")</f>
        <v>https://www.instagram.com/p/BzHEF62BI2H/media/?size=l</v>
      </c>
      <c r="AM977" t="s">
        <v>52</v>
      </c>
      <c r="AN977" t="s">
        <v>53</v>
      </c>
    </row>
    <row r="978" spans="1:40">
      <c r="A978" t="s">
        <v>2370</v>
      </c>
      <c r="B978" t="s">
        <v>3728</v>
      </c>
      <c r="C978" t="s">
        <v>3729</v>
      </c>
      <c r="D978" t="s">
        <v>52</v>
      </c>
      <c r="E978" t="s">
        <v>3730</v>
      </c>
      <c r="F978" t="s">
        <v>45</v>
      </c>
      <c r="G978" t="str">
        <f>HYPERLINK("https://www.instagram.com/p/BzHD-H4hWpT")</f>
        <v>https://www.instagram.com/p/BzHD-H4hWpT</v>
      </c>
      <c r="H978" t="s">
        <v>46</v>
      </c>
      <c r="I978" t="s">
        <v>3731</v>
      </c>
      <c r="J978" t="str">
        <f>HYPERLINK("http://instagram.com/bearded_inspiration")</f>
        <v>http://instagram.com/bearded_inspiration</v>
      </c>
      <c r="K978">
        <v>651</v>
      </c>
      <c r="L978" t="s">
        <v>48</v>
      </c>
      <c r="N978" t="s">
        <v>59</v>
      </c>
      <c r="O978" t="s">
        <v>3731</v>
      </c>
      <c r="P978" t="str">
        <f>HYPERLINK("http://instagram.com/bearded_inspiration")</f>
        <v>http://instagram.com/bearded_inspiration</v>
      </c>
      <c r="Q978">
        <v>651</v>
      </c>
      <c r="R978" t="s">
        <v>60</v>
      </c>
      <c r="W978">
        <v>4</v>
      </c>
      <c r="X978">
        <v>4</v>
      </c>
      <c r="AE978">
        <v>0</v>
      </c>
      <c r="AI978" t="s">
        <v>52</v>
      </c>
      <c r="AJ978" t="s">
        <v>52</v>
      </c>
      <c r="AK978" t="s">
        <v>52</v>
      </c>
      <c r="AL978" t="str">
        <f>HYPERLINK("https://www.instagram.com/p/BzHD-H4hWpT/media/?size=l")</f>
        <v>https://www.instagram.com/p/BzHD-H4hWpT/media/?size=l</v>
      </c>
      <c r="AM978" t="s">
        <v>52</v>
      </c>
      <c r="AN978" t="s">
        <v>53</v>
      </c>
    </row>
    <row r="979" spans="1:40">
      <c r="A979" t="s">
        <v>2370</v>
      </c>
      <c r="B979" t="s">
        <v>3728</v>
      </c>
      <c r="C979" t="s">
        <v>3732</v>
      </c>
      <c r="D979" t="s">
        <v>52</v>
      </c>
      <c r="E979" t="s">
        <v>3733</v>
      </c>
      <c r="F979" t="s">
        <v>95</v>
      </c>
      <c r="G979" t="str">
        <f>HYPERLINK("https://twitter.com/23603190/status/1143294317785600000")</f>
        <v>https://twitter.com/23603190/status/1143294317785600000</v>
      </c>
      <c r="H979" t="s">
        <v>215</v>
      </c>
      <c r="I979" t="s">
        <v>3734</v>
      </c>
      <c r="J979" t="str">
        <f>HYPERLINK("http://twitter.com/luchagringo")</f>
        <v>http://twitter.com/luchagringo</v>
      </c>
      <c r="K979">
        <v>1003</v>
      </c>
      <c r="N979" t="s">
        <v>65</v>
      </c>
      <c r="R979" t="s">
        <v>60</v>
      </c>
      <c r="S979" t="s">
        <v>3735</v>
      </c>
      <c r="T979" t="s">
        <v>3736</v>
      </c>
      <c r="U979" t="s">
        <v>3737</v>
      </c>
      <c r="W979">
        <v>0</v>
      </c>
      <c r="X979">
        <v>0</v>
      </c>
      <c r="AE979">
        <v>0</v>
      </c>
      <c r="AF979">
        <v>0</v>
      </c>
      <c r="AM979" t="s">
        <v>52</v>
      </c>
      <c r="AN979" t="s">
        <v>53</v>
      </c>
    </row>
    <row r="980" spans="1:40">
      <c r="A980" t="s">
        <v>2370</v>
      </c>
      <c r="B980" t="s">
        <v>3738</v>
      </c>
      <c r="C980" t="s">
        <v>3729</v>
      </c>
      <c r="D980" t="s">
        <v>52</v>
      </c>
      <c r="E980" t="s">
        <v>3739</v>
      </c>
      <c r="F980" t="s">
        <v>45</v>
      </c>
      <c r="G980" t="str">
        <f>HYPERLINK("https://www.instagram.com/p/BzHDsk7hD7A")</f>
        <v>https://www.instagram.com/p/BzHDsk7hD7A</v>
      </c>
      <c r="H980" t="s">
        <v>46</v>
      </c>
      <c r="I980" t="s">
        <v>2728</v>
      </c>
      <c r="J980" t="str">
        <f>HYPERLINK("http://instagram.com/rotary_compression_tester")</f>
        <v>http://instagram.com/rotary_compression_tester</v>
      </c>
      <c r="K980">
        <v>17696</v>
      </c>
      <c r="N980" t="s">
        <v>59</v>
      </c>
      <c r="O980" t="s">
        <v>2728</v>
      </c>
      <c r="P980" t="str">
        <f>HYPERLINK("http://instagram.com/rotary_compression_tester")</f>
        <v>http://instagram.com/rotary_compression_tester</v>
      </c>
      <c r="Q980">
        <v>17696</v>
      </c>
      <c r="R980" t="s">
        <v>60</v>
      </c>
      <c r="S980" t="s">
        <v>51</v>
      </c>
      <c r="T980" t="s">
        <v>2729</v>
      </c>
      <c r="U980" t="s">
        <v>2730</v>
      </c>
      <c r="W980">
        <v>215</v>
      </c>
      <c r="X980">
        <v>215</v>
      </c>
      <c r="AE980">
        <v>3</v>
      </c>
      <c r="AI980" t="s">
        <v>52</v>
      </c>
      <c r="AJ980" t="s">
        <v>2063</v>
      </c>
      <c r="AK980" t="s">
        <v>52</v>
      </c>
      <c r="AL980" t="str">
        <f>HYPERLINK("https://www.instagram.com/p/BzHDsk7hD7A/media/?size=l")</f>
        <v>https://www.instagram.com/p/BzHDsk7hD7A/media/?size=l</v>
      </c>
      <c r="AM980" t="s">
        <v>52</v>
      </c>
      <c r="AN980" t="s">
        <v>53</v>
      </c>
    </row>
    <row r="981" spans="1:40">
      <c r="A981" t="s">
        <v>2370</v>
      </c>
      <c r="B981" t="s">
        <v>3738</v>
      </c>
      <c r="C981" t="s">
        <v>3467</v>
      </c>
      <c r="D981" t="s">
        <v>3468</v>
      </c>
      <c r="E981" t="s">
        <v>3740</v>
      </c>
      <c r="F981" t="s">
        <v>45</v>
      </c>
      <c r="G981" t="str">
        <f>HYPERLINK("https://forums.battlefield.com/en-us/discussion/188457/bfv-is-a-campy-try-hard-insta-death-bore/p17#Comment_1562722")</f>
        <v>https://forums.battlefield.com/en-us/discussion/188457/bfv-is-a-campy-try-hard-insta-death-bore/p17#Comment_1562722</v>
      </c>
      <c r="H981" t="s">
        <v>46</v>
      </c>
      <c r="I981" t="s">
        <v>3470</v>
      </c>
      <c r="J981" t="str">
        <f>HYPERLINK("https://forums.battlefield.com/en-us/discussion/188457/bfv-is-a-campy-try-hard-insta-death-bore/p17#Comment_1562722")</f>
        <v>https://forums.battlefield.com/en-us/discussion/188457/bfv-is-a-campy-try-hard-insta-death-bore/p17#Comment_1562722</v>
      </c>
      <c r="N981" t="s">
        <v>3237</v>
      </c>
      <c r="O981" t="s">
        <v>3238</v>
      </c>
      <c r="P981" t="str">
        <f>HYPERLINK("https://forums.battlefield.com/en-us/categories/battlefield-v-general-discussion")</f>
        <v>https://forums.battlefield.com/en-us/categories/battlefield-v-general-discussion</v>
      </c>
      <c r="R981" t="s">
        <v>516</v>
      </c>
      <c r="S981" t="s">
        <v>51</v>
      </c>
      <c r="AM981" t="s">
        <v>52</v>
      </c>
      <c r="AN981" t="s">
        <v>53</v>
      </c>
    </row>
    <row r="982" spans="1:40">
      <c r="A982" t="s">
        <v>2370</v>
      </c>
      <c r="B982" t="s">
        <v>3741</v>
      </c>
      <c r="C982" t="s">
        <v>3717</v>
      </c>
      <c r="D982" t="s">
        <v>52</v>
      </c>
      <c r="E982" t="s">
        <v>2796</v>
      </c>
      <c r="F982" t="s">
        <v>45</v>
      </c>
      <c r="G982" t="str">
        <f>HYPERLINK("https://twitter.com/120872991/status/1143293060010446848")</f>
        <v>https://twitter.com/120872991/status/1143293060010446848</v>
      </c>
      <c r="H982" t="s">
        <v>46</v>
      </c>
      <c r="I982" t="s">
        <v>3742</v>
      </c>
      <c r="J982" t="str">
        <f>HYPERLINK("http://twitter.com/NBK_JuNi")</f>
        <v>http://twitter.com/NBK_JuNi</v>
      </c>
      <c r="K982">
        <v>382</v>
      </c>
      <c r="L982" t="s">
        <v>48</v>
      </c>
      <c r="N982" t="s">
        <v>65</v>
      </c>
      <c r="R982" t="s">
        <v>60</v>
      </c>
      <c r="S982" t="s">
        <v>51</v>
      </c>
      <c r="T982" t="s">
        <v>490</v>
      </c>
      <c r="U982" t="s">
        <v>3743</v>
      </c>
      <c r="W982">
        <v>0</v>
      </c>
      <c r="X982">
        <v>0</v>
      </c>
      <c r="AE982">
        <v>0</v>
      </c>
      <c r="AF982">
        <v>0</v>
      </c>
      <c r="AM982" t="s">
        <v>52</v>
      </c>
      <c r="AN982" t="s">
        <v>53</v>
      </c>
    </row>
    <row r="983" spans="1:40">
      <c r="A983" t="s">
        <v>2370</v>
      </c>
      <c r="B983" t="s">
        <v>3744</v>
      </c>
      <c r="C983" t="s">
        <v>3745</v>
      </c>
      <c r="D983" t="s">
        <v>52</v>
      </c>
      <c r="E983" t="s">
        <v>130</v>
      </c>
      <c r="F983" t="s">
        <v>131</v>
      </c>
      <c r="G983" t="str">
        <f>HYPERLINK("https://twitter.com/98566828/status/1143292943865982978")</f>
        <v>https://twitter.com/98566828/status/1143292943865982978</v>
      </c>
      <c r="H983" t="s">
        <v>46</v>
      </c>
      <c r="I983" t="s">
        <v>3746</v>
      </c>
      <c r="J983" t="str">
        <f>HYPERLINK("http://twitter.com/chris4891")</f>
        <v>http://twitter.com/chris4891</v>
      </c>
      <c r="K983">
        <v>229</v>
      </c>
      <c r="N983" t="s">
        <v>65</v>
      </c>
      <c r="R983" t="s">
        <v>60</v>
      </c>
      <c r="S983" t="s">
        <v>97</v>
      </c>
      <c r="T983" t="s">
        <v>177</v>
      </c>
      <c r="U983" t="s">
        <v>3747</v>
      </c>
      <c r="W983">
        <v>0</v>
      </c>
      <c r="X983">
        <v>0</v>
      </c>
      <c r="AE983">
        <v>0</v>
      </c>
      <c r="AI983" t="s">
        <v>108</v>
      </c>
      <c r="AJ983" t="s">
        <v>52</v>
      </c>
      <c r="AK983" t="s">
        <v>52</v>
      </c>
      <c r="AL983" t="str">
        <f>HYPERLINK("https://pbs.twimg.com/media/D9XTkLWW4AAOYnJ.jpg")</f>
        <v>https://pbs.twimg.com/media/D9XTkLWW4AAOYnJ.jpg</v>
      </c>
      <c r="AM983" t="s">
        <v>52</v>
      </c>
      <c r="AN983" t="s">
        <v>53</v>
      </c>
    </row>
    <row r="984" spans="1:40">
      <c r="A984" t="s">
        <v>2370</v>
      </c>
      <c r="B984" t="s">
        <v>3744</v>
      </c>
      <c r="C984" t="s">
        <v>3748</v>
      </c>
      <c r="D984" t="s">
        <v>52</v>
      </c>
      <c r="E984" t="s">
        <v>3749</v>
      </c>
      <c r="F984" t="s">
        <v>71</v>
      </c>
      <c r="G984" t="str">
        <f>HYPERLINK("https://twitter.com/862818697/status/1143292929563340801")</f>
        <v>https://twitter.com/862818697/status/1143292929563340801</v>
      </c>
      <c r="H984" t="s">
        <v>46</v>
      </c>
      <c r="I984" t="s">
        <v>3750</v>
      </c>
      <c r="J984" t="str">
        <f>HYPERLINK("http://twitter.com/ZukDr")</f>
        <v>http://twitter.com/ZukDr</v>
      </c>
      <c r="K984">
        <v>253</v>
      </c>
      <c r="N984" t="s">
        <v>65</v>
      </c>
      <c r="R984" t="s">
        <v>60</v>
      </c>
      <c r="S984" t="s">
        <v>1071</v>
      </c>
      <c r="T984" t="s">
        <v>3751</v>
      </c>
      <c r="U984" t="s">
        <v>3752</v>
      </c>
      <c r="W984">
        <v>0</v>
      </c>
      <c r="X984">
        <v>0</v>
      </c>
      <c r="AE984">
        <v>0</v>
      </c>
      <c r="AF984">
        <v>0</v>
      </c>
      <c r="AI984" t="s">
        <v>108</v>
      </c>
      <c r="AJ984" t="s">
        <v>52</v>
      </c>
      <c r="AK984" t="s">
        <v>52</v>
      </c>
      <c r="AL984" t="str">
        <f>HYPERLINK("https://pbs.twimg.com/media/D9sAXHUX4AA6vJs.jpg")</f>
        <v>https://pbs.twimg.com/media/D9sAXHUX4AA6vJs.jpg</v>
      </c>
      <c r="AM984" t="s">
        <v>52</v>
      </c>
      <c r="AN984" t="s">
        <v>53</v>
      </c>
    </row>
    <row r="985" spans="1:40">
      <c r="A985" t="s">
        <v>2370</v>
      </c>
      <c r="B985" t="s">
        <v>3744</v>
      </c>
      <c r="C985" t="s">
        <v>3748</v>
      </c>
      <c r="D985" t="s">
        <v>52</v>
      </c>
      <c r="E985" t="s">
        <v>1194</v>
      </c>
      <c r="F985" t="s">
        <v>131</v>
      </c>
      <c r="G985" t="str">
        <f>HYPERLINK("https://twitter.com/882333618663596032/status/1143292902963056651")</f>
        <v>https://twitter.com/882333618663596032/status/1143292902963056651</v>
      </c>
      <c r="H985" t="s">
        <v>46</v>
      </c>
      <c r="I985" t="s">
        <v>3753</v>
      </c>
      <c r="J985" t="str">
        <f>HYPERLINK("http://twitter.com/nevin_aljaddou")</f>
        <v>http://twitter.com/nevin_aljaddou</v>
      </c>
      <c r="K985">
        <v>201</v>
      </c>
      <c r="N985" t="s">
        <v>65</v>
      </c>
      <c r="R985" t="s">
        <v>60</v>
      </c>
      <c r="S985" t="s">
        <v>51</v>
      </c>
      <c r="T985" t="s">
        <v>79</v>
      </c>
      <c r="U985" t="s">
        <v>3754</v>
      </c>
      <c r="W985">
        <v>0</v>
      </c>
      <c r="X985">
        <v>0</v>
      </c>
      <c r="AE985">
        <v>0</v>
      </c>
      <c r="AI985" t="s">
        <v>52</v>
      </c>
      <c r="AJ985" t="s">
        <v>1196</v>
      </c>
      <c r="AK985" t="s">
        <v>52</v>
      </c>
      <c r="AL985" t="str">
        <f>HYPERLINK("https://pbs.twimg.com/media/D9xgk2YXkAAd2ql.jpg")</f>
        <v>https://pbs.twimg.com/media/D9xgk2YXkAAd2ql.jpg</v>
      </c>
      <c r="AM985" t="s">
        <v>52</v>
      </c>
      <c r="AN985" t="s">
        <v>53</v>
      </c>
    </row>
    <row r="986" spans="1:40">
      <c r="A986" t="s">
        <v>2370</v>
      </c>
      <c r="B986" t="s">
        <v>3755</v>
      </c>
      <c r="C986" t="s">
        <v>3756</v>
      </c>
      <c r="D986" t="s">
        <v>52</v>
      </c>
      <c r="E986" t="s">
        <v>130</v>
      </c>
      <c r="F986" t="s">
        <v>131</v>
      </c>
      <c r="G986" t="str">
        <f>HYPERLINK("https://twitter.com/857917531276943360/status/1143292567460765697")</f>
        <v>https://twitter.com/857917531276943360/status/1143292567460765697</v>
      </c>
      <c r="H986" t="s">
        <v>46</v>
      </c>
      <c r="I986" t="s">
        <v>3757</v>
      </c>
      <c r="J986" t="str">
        <f>HYPERLINK("http://twitter.com/Laura_Olivia1")</f>
        <v>http://twitter.com/Laura_Olivia1</v>
      </c>
      <c r="K986">
        <v>1392</v>
      </c>
      <c r="L986" t="s">
        <v>58</v>
      </c>
      <c r="N986" t="s">
        <v>65</v>
      </c>
      <c r="R986" t="s">
        <v>60</v>
      </c>
      <c r="S986" t="s">
        <v>97</v>
      </c>
      <c r="T986" t="s">
        <v>177</v>
      </c>
      <c r="W986">
        <v>0</v>
      </c>
      <c r="X986">
        <v>0</v>
      </c>
      <c r="AE986">
        <v>0</v>
      </c>
      <c r="AI986" t="s">
        <v>108</v>
      </c>
      <c r="AJ986" t="s">
        <v>52</v>
      </c>
      <c r="AK986" t="s">
        <v>52</v>
      </c>
      <c r="AL986" t="str">
        <f>HYPERLINK("https://pbs.twimg.com/media/D9XTkLWW4AAOYnJ.jpg")</f>
        <v>https://pbs.twimg.com/media/D9XTkLWW4AAOYnJ.jpg</v>
      </c>
      <c r="AM986" t="s">
        <v>52</v>
      </c>
      <c r="AN986" t="s">
        <v>53</v>
      </c>
    </row>
    <row r="987" spans="1:40">
      <c r="A987" t="s">
        <v>2370</v>
      </c>
      <c r="B987" t="s">
        <v>3758</v>
      </c>
      <c r="C987" t="s">
        <v>3759</v>
      </c>
      <c r="D987" t="s">
        <v>52</v>
      </c>
      <c r="E987" t="s">
        <v>3760</v>
      </c>
      <c r="F987" t="s">
        <v>45</v>
      </c>
      <c r="G987" t="str">
        <f>HYPERLINK("https://twitter.com/1124951617680420864/status/1143292249855410177")</f>
        <v>https://twitter.com/1124951617680420864/status/1143292249855410177</v>
      </c>
      <c r="H987" t="s">
        <v>46</v>
      </c>
      <c r="I987" t="s">
        <v>3761</v>
      </c>
      <c r="J987" t="str">
        <f>HYPERLINK("http://twitter.com/chynadagoof")</f>
        <v>http://twitter.com/chynadagoof</v>
      </c>
      <c r="K987">
        <v>161</v>
      </c>
      <c r="N987" t="s">
        <v>65</v>
      </c>
      <c r="R987" t="s">
        <v>60</v>
      </c>
      <c r="W987">
        <v>1</v>
      </c>
      <c r="X987">
        <v>1</v>
      </c>
      <c r="AE987">
        <v>0</v>
      </c>
      <c r="AF987">
        <v>0</v>
      </c>
      <c r="AM987" t="s">
        <v>52</v>
      </c>
      <c r="AN987" t="s">
        <v>53</v>
      </c>
    </row>
    <row r="988" spans="1:40">
      <c r="A988" t="s">
        <v>2370</v>
      </c>
      <c r="B988" t="s">
        <v>3762</v>
      </c>
      <c r="C988" t="s">
        <v>3763</v>
      </c>
      <c r="D988" t="s">
        <v>52</v>
      </c>
      <c r="E988" t="s">
        <v>3764</v>
      </c>
      <c r="F988" t="s">
        <v>71</v>
      </c>
      <c r="G988" t="str">
        <f>HYPERLINK("https://twitter.com/1067425887535026177/status/1143292182159187968")</f>
        <v>https://twitter.com/1067425887535026177/status/1143292182159187968</v>
      </c>
      <c r="H988" t="s">
        <v>46</v>
      </c>
      <c r="I988" t="s">
        <v>3765</v>
      </c>
      <c r="J988" t="str">
        <f>HYPERLINK("http://twitter.com/sun66sue")</f>
        <v>http://twitter.com/sun66sue</v>
      </c>
      <c r="K988">
        <v>3</v>
      </c>
      <c r="N988" t="s">
        <v>65</v>
      </c>
      <c r="R988" t="s">
        <v>60</v>
      </c>
      <c r="W988">
        <v>0</v>
      </c>
      <c r="X988">
        <v>0</v>
      </c>
      <c r="AE988">
        <v>0</v>
      </c>
      <c r="AF988">
        <v>0</v>
      </c>
      <c r="AI988" t="s">
        <v>108</v>
      </c>
      <c r="AJ988" t="s">
        <v>1894</v>
      </c>
      <c r="AK988" t="s">
        <v>52</v>
      </c>
      <c r="AL988" t="str">
        <f>HYPERLINK("https://pbs.twimg.com/media/D9ze6kEU4AEjuDQ.jpg")</f>
        <v>https://pbs.twimg.com/media/D9ze6kEU4AEjuDQ.jpg</v>
      </c>
      <c r="AM988" t="s">
        <v>52</v>
      </c>
      <c r="AN988" t="s">
        <v>53</v>
      </c>
    </row>
    <row r="989" spans="1:40">
      <c r="A989" t="s">
        <v>2370</v>
      </c>
      <c r="B989" t="s">
        <v>3762</v>
      </c>
      <c r="C989" t="s">
        <v>3748</v>
      </c>
      <c r="D989" t="s">
        <v>52</v>
      </c>
      <c r="E989" t="s">
        <v>3766</v>
      </c>
      <c r="F989" t="s">
        <v>45</v>
      </c>
      <c r="G989" t="str">
        <f>HYPERLINK("https://www.instagram.com/p/BzHC5m4BdKT")</f>
        <v>https://www.instagram.com/p/BzHC5m4BdKT</v>
      </c>
      <c r="H989" t="s">
        <v>46</v>
      </c>
      <c r="I989" t="s">
        <v>3767</v>
      </c>
      <c r="J989" t="str">
        <f>HYPERLINK("http://instagram.com/goddess_god_universe")</f>
        <v>http://instagram.com/goddess_god_universe</v>
      </c>
      <c r="K989">
        <v>491</v>
      </c>
      <c r="N989" t="s">
        <v>59</v>
      </c>
      <c r="O989" t="s">
        <v>3767</v>
      </c>
      <c r="P989" t="str">
        <f>HYPERLINK("http://instagram.com/goddess_god_universe")</f>
        <v>http://instagram.com/goddess_god_universe</v>
      </c>
      <c r="Q989">
        <v>491</v>
      </c>
      <c r="R989" t="s">
        <v>60</v>
      </c>
      <c r="W989">
        <v>8</v>
      </c>
      <c r="X989">
        <v>8</v>
      </c>
      <c r="AE989">
        <v>0</v>
      </c>
      <c r="AG989">
        <v>38</v>
      </c>
      <c r="AI989" t="s">
        <v>1176</v>
      </c>
      <c r="AJ989" t="s">
        <v>1177</v>
      </c>
      <c r="AK989" t="s">
        <v>52</v>
      </c>
      <c r="AL989" t="str">
        <f>HYPERLINK("https://www.instagram.com/p/BzHC5m4BdKT/media/?size=l")</f>
        <v>https://www.instagram.com/p/BzHC5m4BdKT/media/?size=l</v>
      </c>
      <c r="AM989" t="s">
        <v>52</v>
      </c>
      <c r="AN989" t="s">
        <v>53</v>
      </c>
    </row>
    <row r="990" spans="1:40">
      <c r="A990" t="s">
        <v>2370</v>
      </c>
      <c r="B990" t="s">
        <v>3762</v>
      </c>
      <c r="C990" t="s">
        <v>3768</v>
      </c>
      <c r="D990" t="s">
        <v>52</v>
      </c>
      <c r="E990" t="s">
        <v>3769</v>
      </c>
      <c r="F990" t="s">
        <v>95</v>
      </c>
      <c r="G990" t="str">
        <f>HYPERLINK("https://twitter.com/319270514/status/1143292166921433088")</f>
        <v>https://twitter.com/319270514/status/1143292166921433088</v>
      </c>
      <c r="H990" t="s">
        <v>46</v>
      </c>
      <c r="I990" t="s">
        <v>3770</v>
      </c>
      <c r="J990" t="str">
        <f>HYPERLINK("http://twitter.com/Lady_Oyanka")</f>
        <v>http://twitter.com/Lady_Oyanka</v>
      </c>
      <c r="K990">
        <v>33</v>
      </c>
      <c r="N990" t="s">
        <v>65</v>
      </c>
      <c r="R990" t="s">
        <v>60</v>
      </c>
      <c r="S990" t="s">
        <v>51</v>
      </c>
      <c r="T990" t="s">
        <v>380</v>
      </c>
      <c r="U990" t="s">
        <v>380</v>
      </c>
      <c r="W990">
        <v>1</v>
      </c>
      <c r="X990">
        <v>1</v>
      </c>
      <c r="AE990">
        <v>0</v>
      </c>
      <c r="AF990">
        <v>0</v>
      </c>
      <c r="AM990" t="s">
        <v>52</v>
      </c>
      <c r="AN990" t="s">
        <v>53</v>
      </c>
    </row>
    <row r="991" spans="1:40">
      <c r="A991" t="s">
        <v>2370</v>
      </c>
      <c r="B991" t="s">
        <v>3771</v>
      </c>
      <c r="C991" t="s">
        <v>3772</v>
      </c>
      <c r="D991" t="s">
        <v>52</v>
      </c>
      <c r="E991" t="s">
        <v>130</v>
      </c>
      <c r="F991" t="s">
        <v>131</v>
      </c>
      <c r="G991" t="str">
        <f>HYPERLINK("https://twitter.com/1095480803633569798/status/1143291596991029248")</f>
        <v>https://twitter.com/1095480803633569798/status/1143291596991029248</v>
      </c>
      <c r="H991" t="s">
        <v>46</v>
      </c>
      <c r="I991" t="s">
        <v>3773</v>
      </c>
      <c r="J991" t="str">
        <f>HYPERLINK("http://twitter.com/Sarahice2018")</f>
        <v>http://twitter.com/Sarahice2018</v>
      </c>
      <c r="K991">
        <v>18</v>
      </c>
      <c r="L991" t="s">
        <v>58</v>
      </c>
      <c r="N991" t="s">
        <v>65</v>
      </c>
      <c r="R991" t="s">
        <v>60</v>
      </c>
      <c r="W991">
        <v>0</v>
      </c>
      <c r="X991">
        <v>0</v>
      </c>
      <c r="AE991">
        <v>0</v>
      </c>
      <c r="AI991" t="s">
        <v>108</v>
      </c>
      <c r="AJ991" t="s">
        <v>52</v>
      </c>
      <c r="AK991" t="s">
        <v>52</v>
      </c>
      <c r="AL991" t="str">
        <f>HYPERLINK("https://pbs.twimg.com/media/D9XTkLWW4AAOYnJ.jpg")</f>
        <v>https://pbs.twimg.com/media/D9XTkLWW4AAOYnJ.jpg</v>
      </c>
      <c r="AM991" t="s">
        <v>52</v>
      </c>
      <c r="AN991" t="s">
        <v>53</v>
      </c>
    </row>
    <row r="992" spans="1:40">
      <c r="A992" t="s">
        <v>2370</v>
      </c>
      <c r="B992" t="s">
        <v>3774</v>
      </c>
      <c r="C992" t="s">
        <v>3745</v>
      </c>
      <c r="D992" t="s">
        <v>52</v>
      </c>
      <c r="E992" t="s">
        <v>3775</v>
      </c>
      <c r="F992" t="s">
        <v>45</v>
      </c>
      <c r="G992" t="str">
        <f>HYPERLINK("https://www.instagram.com/p/BzHCiuhHAZ1")</f>
        <v>https://www.instagram.com/p/BzHCiuhHAZ1</v>
      </c>
      <c r="H992" t="s">
        <v>46</v>
      </c>
      <c r="I992" t="s">
        <v>3776</v>
      </c>
      <c r="J992" t="str">
        <f>HYPERLINK("http://instagram.com/blaykeaubree")</f>
        <v>http://instagram.com/blaykeaubree</v>
      </c>
      <c r="K992">
        <v>876</v>
      </c>
      <c r="N992" t="s">
        <v>59</v>
      </c>
      <c r="O992" t="s">
        <v>3776</v>
      </c>
      <c r="P992" t="str">
        <f>HYPERLINK("http://instagram.com/blaykeaubree")</f>
        <v>http://instagram.com/blaykeaubree</v>
      </c>
      <c r="Q992">
        <v>876</v>
      </c>
      <c r="R992" t="s">
        <v>60</v>
      </c>
      <c r="W992">
        <v>167</v>
      </c>
      <c r="X992">
        <v>167</v>
      </c>
      <c r="AE992">
        <v>0</v>
      </c>
      <c r="AI992" t="s">
        <v>52</v>
      </c>
      <c r="AJ992" t="s">
        <v>3777</v>
      </c>
      <c r="AK992" t="s">
        <v>3778</v>
      </c>
      <c r="AL992" t="str">
        <f>HYPERLINK("https://www.instagram.com/p/BzHCiuhHAZ1/media/?size=l")</f>
        <v>https://www.instagram.com/p/BzHCiuhHAZ1/media/?size=l</v>
      </c>
      <c r="AM992" t="s">
        <v>52</v>
      </c>
      <c r="AN992" t="s">
        <v>53</v>
      </c>
    </row>
    <row r="993" spans="1:40">
      <c r="A993" t="s">
        <v>2370</v>
      </c>
      <c r="B993" t="s">
        <v>3779</v>
      </c>
      <c r="C993" t="s">
        <v>3780</v>
      </c>
      <c r="D993" t="s">
        <v>52</v>
      </c>
      <c r="E993" t="s">
        <v>3781</v>
      </c>
      <c r="F993" t="s">
        <v>71</v>
      </c>
      <c r="G993" t="str">
        <f>HYPERLINK("https://twitter.com/1067425887535026177/status/1143291164038090752")</f>
        <v>https://twitter.com/1067425887535026177/status/1143291164038090752</v>
      </c>
      <c r="H993" t="s">
        <v>46</v>
      </c>
      <c r="I993" t="s">
        <v>3765</v>
      </c>
      <c r="J993" t="str">
        <f>HYPERLINK("http://twitter.com/sun66sue")</f>
        <v>http://twitter.com/sun66sue</v>
      </c>
      <c r="K993">
        <v>3</v>
      </c>
      <c r="N993" t="s">
        <v>65</v>
      </c>
      <c r="R993" t="s">
        <v>60</v>
      </c>
      <c r="W993">
        <v>0</v>
      </c>
      <c r="X993">
        <v>0</v>
      </c>
      <c r="AE993">
        <v>0</v>
      </c>
      <c r="AF993">
        <v>0</v>
      </c>
      <c r="AI993" t="s">
        <v>52</v>
      </c>
      <c r="AJ993" t="s">
        <v>52</v>
      </c>
      <c r="AK993" t="s">
        <v>52</v>
      </c>
      <c r="AL993" t="str">
        <f>HYPERLINK("https://pbs.twimg.com/media/D9zcUU4UIAEdx0b.jpg")</f>
        <v>https://pbs.twimg.com/media/D9zcUU4UIAEdx0b.jpg</v>
      </c>
      <c r="AM993" t="s">
        <v>52</v>
      </c>
      <c r="AN993" t="s">
        <v>53</v>
      </c>
    </row>
    <row r="994" spans="1:40">
      <c r="A994" t="s">
        <v>2370</v>
      </c>
      <c r="B994" t="s">
        <v>3779</v>
      </c>
      <c r="C994" t="s">
        <v>3782</v>
      </c>
      <c r="D994" t="s">
        <v>52</v>
      </c>
      <c r="E994" t="s">
        <v>3783</v>
      </c>
      <c r="F994" t="s">
        <v>71</v>
      </c>
      <c r="G994" t="str">
        <f>HYPERLINK("https://twitter.com/1067425887535026177/status/1143291074334478336")</f>
        <v>https://twitter.com/1067425887535026177/status/1143291074334478336</v>
      </c>
      <c r="H994" t="s">
        <v>46</v>
      </c>
      <c r="I994" t="s">
        <v>3765</v>
      </c>
      <c r="J994" t="str">
        <f>HYPERLINK("http://twitter.com/sun66sue")</f>
        <v>http://twitter.com/sun66sue</v>
      </c>
      <c r="K994">
        <v>3</v>
      </c>
      <c r="N994" t="s">
        <v>65</v>
      </c>
      <c r="R994" t="s">
        <v>60</v>
      </c>
      <c r="W994">
        <v>1</v>
      </c>
      <c r="X994">
        <v>1</v>
      </c>
      <c r="AE994">
        <v>0</v>
      </c>
      <c r="AF994">
        <v>0</v>
      </c>
      <c r="AI994" t="s">
        <v>52</v>
      </c>
      <c r="AJ994" t="s">
        <v>1901</v>
      </c>
      <c r="AK994" t="s">
        <v>52</v>
      </c>
      <c r="AL994" t="str">
        <f>HYPERLINK("https://pbs.twimg.com/media/D9zbTcxVAAADaUG.jpg")</f>
        <v>https://pbs.twimg.com/media/D9zbTcxVAAADaUG.jpg</v>
      </c>
      <c r="AM994" t="s">
        <v>52</v>
      </c>
      <c r="AN994" t="s">
        <v>53</v>
      </c>
    </row>
    <row r="995" spans="1:40">
      <c r="A995" t="s">
        <v>2370</v>
      </c>
      <c r="B995" t="s">
        <v>3779</v>
      </c>
      <c r="C995" t="s">
        <v>3772</v>
      </c>
      <c r="D995" t="s">
        <v>52</v>
      </c>
      <c r="E995" t="s">
        <v>3784</v>
      </c>
      <c r="F995" t="s">
        <v>45</v>
      </c>
      <c r="G995" t="str">
        <f>HYPERLINK("https://twitter.com/1348699609/status/1143291073696899072")</f>
        <v>https://twitter.com/1348699609/status/1143291073696899072</v>
      </c>
      <c r="H995" t="s">
        <v>46</v>
      </c>
      <c r="I995" t="s">
        <v>3785</v>
      </c>
      <c r="J995" t="str">
        <f>HYPERLINK("http://twitter.com/Krptd")</f>
        <v>http://twitter.com/Krptd</v>
      </c>
      <c r="K995">
        <v>254</v>
      </c>
      <c r="N995" t="s">
        <v>65</v>
      </c>
      <c r="R995" t="s">
        <v>60</v>
      </c>
      <c r="S995" t="s">
        <v>51</v>
      </c>
      <c r="T995" t="s">
        <v>738</v>
      </c>
      <c r="U995" t="s">
        <v>3786</v>
      </c>
      <c r="W995">
        <v>2</v>
      </c>
      <c r="X995">
        <v>2</v>
      </c>
      <c r="AE995">
        <v>0</v>
      </c>
      <c r="AF995">
        <v>0</v>
      </c>
      <c r="AM995" t="s">
        <v>52</v>
      </c>
      <c r="AN995" t="s">
        <v>53</v>
      </c>
    </row>
    <row r="996" spans="1:40">
      <c r="A996" t="s">
        <v>2370</v>
      </c>
      <c r="B996" t="s">
        <v>3779</v>
      </c>
      <c r="C996" t="s">
        <v>3787</v>
      </c>
      <c r="D996" t="s">
        <v>52</v>
      </c>
      <c r="E996" t="s">
        <v>3788</v>
      </c>
      <c r="F996" t="s">
        <v>71</v>
      </c>
      <c r="G996" t="str">
        <f>HYPERLINK("https://twitter.com/999824882518183936/status/1143291044248870912")</f>
        <v>https://twitter.com/999824882518183936/status/1143291044248870912</v>
      </c>
      <c r="H996" t="s">
        <v>46</v>
      </c>
      <c r="I996" t="s">
        <v>3789</v>
      </c>
      <c r="J996" t="str">
        <f>HYPERLINK("http://twitter.com/_PB1__")</f>
        <v>http://twitter.com/_PB1__</v>
      </c>
      <c r="K996">
        <v>4233</v>
      </c>
      <c r="N996" t="s">
        <v>65</v>
      </c>
      <c r="R996" t="s">
        <v>60</v>
      </c>
      <c r="S996" t="s">
        <v>51</v>
      </c>
      <c r="T996" t="s">
        <v>2200</v>
      </c>
      <c r="U996" t="s">
        <v>3790</v>
      </c>
      <c r="W996">
        <v>0</v>
      </c>
      <c r="X996">
        <v>0</v>
      </c>
      <c r="AE996">
        <v>0</v>
      </c>
      <c r="AF996">
        <v>0</v>
      </c>
      <c r="AI996" t="s">
        <v>108</v>
      </c>
      <c r="AJ996" t="s">
        <v>52</v>
      </c>
      <c r="AK996" t="s">
        <v>52</v>
      </c>
      <c r="AL996" t="str">
        <f>HYPERLINK("https://pbs.twimg.com/tweet_video_thumb/D9hvNNzXUAATAS3.jpg")</f>
        <v>https://pbs.twimg.com/tweet_video_thumb/D9hvNNzXUAATAS3.jpg</v>
      </c>
      <c r="AM996" t="s">
        <v>52</v>
      </c>
      <c r="AN996" t="s">
        <v>53</v>
      </c>
    </row>
    <row r="997" spans="1:40">
      <c r="A997" t="s">
        <v>2370</v>
      </c>
      <c r="B997" t="s">
        <v>3779</v>
      </c>
      <c r="C997" t="s">
        <v>3787</v>
      </c>
      <c r="D997" t="s">
        <v>52</v>
      </c>
      <c r="E997" t="s">
        <v>3791</v>
      </c>
      <c r="F997" t="s">
        <v>131</v>
      </c>
      <c r="G997" t="str">
        <f>HYPERLINK("https://twitter.com/807733419845292032/status/1143291011365507074")</f>
        <v>https://twitter.com/807733419845292032/status/1143291011365507074</v>
      </c>
      <c r="H997" t="s">
        <v>46</v>
      </c>
      <c r="I997" t="s">
        <v>3792</v>
      </c>
      <c r="J997" t="str">
        <f>HYPERLINK("http://twitter.com/RWBYMAGIC100")</f>
        <v>http://twitter.com/RWBYMAGIC100</v>
      </c>
      <c r="K997">
        <v>10</v>
      </c>
      <c r="N997" t="s">
        <v>65</v>
      </c>
      <c r="R997" t="s">
        <v>60</v>
      </c>
      <c r="W997">
        <v>0</v>
      </c>
      <c r="X997">
        <v>0</v>
      </c>
      <c r="AE997">
        <v>0</v>
      </c>
      <c r="AI997" t="s">
        <v>108</v>
      </c>
      <c r="AJ997" t="s">
        <v>52</v>
      </c>
      <c r="AK997" t="s">
        <v>52</v>
      </c>
      <c r="AL997" t="str">
        <f>HYPERLINK("https://pbs.twimg.com/media/D927H38VAAASVcz.jpg")</f>
        <v>https://pbs.twimg.com/media/D927H38VAAASVcz.jpg</v>
      </c>
      <c r="AM997" t="s">
        <v>52</v>
      </c>
      <c r="AN997" t="s">
        <v>53</v>
      </c>
    </row>
    <row r="998" spans="1:40">
      <c r="A998" t="s">
        <v>2370</v>
      </c>
      <c r="B998" t="s">
        <v>3779</v>
      </c>
      <c r="C998" t="s">
        <v>3782</v>
      </c>
      <c r="D998" t="s">
        <v>52</v>
      </c>
      <c r="E998" t="s">
        <v>3793</v>
      </c>
      <c r="F998" t="s">
        <v>71</v>
      </c>
      <c r="G998" t="str">
        <f>HYPERLINK("https://twitter.com/454427854/status/1143290983863312384")</f>
        <v>https://twitter.com/454427854/status/1143290983863312384</v>
      </c>
      <c r="H998" t="s">
        <v>46</v>
      </c>
      <c r="I998" t="s">
        <v>3794</v>
      </c>
      <c r="J998" t="str">
        <f>HYPERLINK("http://twitter.com/Ruby_DeSantiago")</f>
        <v>http://twitter.com/Ruby_DeSantiago</v>
      </c>
      <c r="K998">
        <v>570</v>
      </c>
      <c r="N998" t="s">
        <v>65</v>
      </c>
      <c r="R998" t="s">
        <v>60</v>
      </c>
      <c r="S998" t="s">
        <v>51</v>
      </c>
      <c r="T998" t="s">
        <v>1661</v>
      </c>
      <c r="U998" t="s">
        <v>1662</v>
      </c>
      <c r="W998">
        <v>0</v>
      </c>
      <c r="X998">
        <v>0</v>
      </c>
      <c r="AE998">
        <v>1</v>
      </c>
      <c r="AF998">
        <v>0</v>
      </c>
      <c r="AI998" t="s">
        <v>108</v>
      </c>
      <c r="AJ998" t="s">
        <v>52</v>
      </c>
      <c r="AK998" t="s">
        <v>52</v>
      </c>
      <c r="AL998" t="str">
        <f>HYPERLINK("https://pbs.twimg.com/ext_tw_video_thumb/1141360066962100224/pu/img/5_tGc4hLFQwcD07b.jpg")</f>
        <v>https://pbs.twimg.com/ext_tw_video_thumb/1141360066962100224/pu/img/5_tGc4hLFQwcD07b.jpg</v>
      </c>
      <c r="AM998" t="s">
        <v>52</v>
      </c>
      <c r="AN998" t="s">
        <v>53</v>
      </c>
    </row>
    <row r="999" spans="1:40">
      <c r="A999" t="s">
        <v>2370</v>
      </c>
      <c r="B999" t="s">
        <v>3795</v>
      </c>
      <c r="C999" t="s">
        <v>3796</v>
      </c>
      <c r="D999" t="s">
        <v>52</v>
      </c>
      <c r="E999" t="s">
        <v>3797</v>
      </c>
      <c r="F999" t="s">
        <v>45</v>
      </c>
      <c r="G999" t="str">
        <f>HYPERLINK("https://www.instagram.com/p/BzHCT3QHDvD")</f>
        <v>https://www.instagram.com/p/BzHCT3QHDvD</v>
      </c>
      <c r="H999" t="s">
        <v>46</v>
      </c>
      <c r="I999" t="s">
        <v>3798</v>
      </c>
      <c r="J999" t="str">
        <f>HYPERLINK("http://instagram.com/importtunerdigital")</f>
        <v>http://instagram.com/importtunerdigital</v>
      </c>
      <c r="K999">
        <v>773162</v>
      </c>
      <c r="N999" t="s">
        <v>59</v>
      </c>
      <c r="O999" t="s">
        <v>3798</v>
      </c>
      <c r="P999" t="str">
        <f>HYPERLINK("http://instagram.com/importtunerdigital")</f>
        <v>http://instagram.com/importtunerdigital</v>
      </c>
      <c r="Q999">
        <v>773162</v>
      </c>
      <c r="R999" t="s">
        <v>60</v>
      </c>
      <c r="W999">
        <v>5550</v>
      </c>
      <c r="X999">
        <v>5550</v>
      </c>
      <c r="AE999">
        <v>21</v>
      </c>
      <c r="AI999" t="s">
        <v>52</v>
      </c>
      <c r="AJ999" t="s">
        <v>121</v>
      </c>
      <c r="AK999" t="s">
        <v>52</v>
      </c>
      <c r="AL999" t="str">
        <f>HYPERLINK("https://www.instagram.com/p/BzHCT3QHDvD/media/?size=l")</f>
        <v>https://www.instagram.com/p/BzHCT3QHDvD/media/?size=l</v>
      </c>
      <c r="AM999" t="s">
        <v>52</v>
      </c>
      <c r="AN999" t="s">
        <v>53</v>
      </c>
    </row>
    <row r="1000" spans="1:40">
      <c r="A1000" t="s">
        <v>2370</v>
      </c>
      <c r="B1000" t="s">
        <v>3799</v>
      </c>
      <c r="C1000" t="s">
        <v>3800</v>
      </c>
      <c r="D1000" t="s">
        <v>52</v>
      </c>
      <c r="E1000" t="s">
        <v>3801</v>
      </c>
      <c r="F1000" t="s">
        <v>45</v>
      </c>
      <c r="G1000" t="str">
        <f>HYPERLINK("https://twitter.com/1388356514/status/1143290323705180160")</f>
        <v>https://twitter.com/1388356514/status/1143290323705180160</v>
      </c>
      <c r="H1000" t="s">
        <v>46</v>
      </c>
      <c r="I1000" t="s">
        <v>3802</v>
      </c>
      <c r="J1000" t="str">
        <f>HYPERLINK("http://twitter.com/___jlc")</f>
        <v>http://twitter.com/___jlc</v>
      </c>
      <c r="K1000">
        <v>3745</v>
      </c>
      <c r="N1000" t="s">
        <v>65</v>
      </c>
      <c r="R1000" t="s">
        <v>60</v>
      </c>
      <c r="W1000">
        <v>0</v>
      </c>
      <c r="X1000">
        <v>0</v>
      </c>
      <c r="AE1000">
        <v>0</v>
      </c>
      <c r="AF1000">
        <v>0</v>
      </c>
      <c r="AM1000" t="s">
        <v>52</v>
      </c>
      <c r="AN1000" t="s">
        <v>53</v>
      </c>
    </row>
    <row r="1001" spans="1:40">
      <c r="A1001" t="s">
        <v>2370</v>
      </c>
      <c r="B1001" t="s">
        <v>3803</v>
      </c>
      <c r="C1001" t="s">
        <v>3804</v>
      </c>
      <c r="D1001" t="s">
        <v>52</v>
      </c>
      <c r="E1001" t="s">
        <v>3805</v>
      </c>
      <c r="F1001" t="s">
        <v>95</v>
      </c>
      <c r="G1001" t="str">
        <f>HYPERLINK("https://twitter.com/43730789/status/1143290016392720384")</f>
        <v>https://twitter.com/43730789/status/1143290016392720384</v>
      </c>
      <c r="H1001" t="s">
        <v>46</v>
      </c>
      <c r="I1001" t="s">
        <v>3806</v>
      </c>
      <c r="J1001" t="str">
        <f>HYPERLINK("http://twitter.com/RedBrickz26")</f>
        <v>http://twitter.com/RedBrickz26</v>
      </c>
      <c r="K1001">
        <v>3160</v>
      </c>
      <c r="N1001" t="s">
        <v>65</v>
      </c>
      <c r="R1001" t="s">
        <v>60</v>
      </c>
      <c r="S1001" t="s">
        <v>97</v>
      </c>
      <c r="T1001" t="s">
        <v>98</v>
      </c>
      <c r="U1001" t="s">
        <v>3631</v>
      </c>
      <c r="W1001">
        <v>0</v>
      </c>
      <c r="X1001">
        <v>0</v>
      </c>
      <c r="AE1001">
        <v>1</v>
      </c>
      <c r="AF1001">
        <v>0</v>
      </c>
      <c r="AI1001" t="s">
        <v>52</v>
      </c>
      <c r="AJ1001" t="s">
        <v>52</v>
      </c>
      <c r="AK1001" t="s">
        <v>52</v>
      </c>
      <c r="AL1001" t="str">
        <f>HYPERLINK("https://pbs.twimg.com/tweet_video_thumb/D93IMyUW4AEz0AJ.jpg")</f>
        <v>https://pbs.twimg.com/tweet_video_thumb/D93IMyUW4AEz0AJ.jpg</v>
      </c>
      <c r="AM1001" t="s">
        <v>52</v>
      </c>
      <c r="AN1001" t="s">
        <v>53</v>
      </c>
    </row>
    <row r="1002" spans="1:40">
      <c r="A1002" t="s">
        <v>2370</v>
      </c>
      <c r="B1002" t="s">
        <v>3803</v>
      </c>
      <c r="C1002" t="s">
        <v>3807</v>
      </c>
      <c r="D1002" t="s">
        <v>52</v>
      </c>
      <c r="E1002" t="s">
        <v>3808</v>
      </c>
      <c r="F1002" t="s">
        <v>45</v>
      </c>
      <c r="G1002" t="str">
        <f>HYPERLINK("https://www.instagram.com/p/BzHB953hGsp")</f>
        <v>https://www.instagram.com/p/BzHB953hGsp</v>
      </c>
      <c r="H1002" t="s">
        <v>46</v>
      </c>
      <c r="I1002" t="s">
        <v>3809</v>
      </c>
      <c r="J1002" t="str">
        <f>HYPERLINK("http://instagram.com/maylenna_1")</f>
        <v>http://instagram.com/maylenna_1</v>
      </c>
      <c r="K1002">
        <v>119</v>
      </c>
      <c r="N1002" t="s">
        <v>59</v>
      </c>
      <c r="O1002" t="s">
        <v>3809</v>
      </c>
      <c r="P1002" t="str">
        <f>HYPERLINK("http://instagram.com/maylenna_1")</f>
        <v>http://instagram.com/maylenna_1</v>
      </c>
      <c r="Q1002">
        <v>119</v>
      </c>
      <c r="R1002" t="s">
        <v>60</v>
      </c>
      <c r="W1002">
        <v>5</v>
      </c>
      <c r="X1002">
        <v>5</v>
      </c>
      <c r="AE1002">
        <v>1</v>
      </c>
      <c r="AI1002" t="s">
        <v>52</v>
      </c>
      <c r="AJ1002" t="s">
        <v>3810</v>
      </c>
      <c r="AK1002" t="s">
        <v>52</v>
      </c>
      <c r="AL1002" t="str">
        <f>HYPERLINK("https://www.instagram.com/p/BzHB953hGsp/media/?size=l")</f>
        <v>https://www.instagram.com/p/BzHB953hGsp/media/?size=l</v>
      </c>
      <c r="AM1002" t="s">
        <v>52</v>
      </c>
      <c r="AN1002" t="s">
        <v>53</v>
      </c>
    </row>
    <row r="1003" spans="1:40">
      <c r="A1003" t="s">
        <v>2370</v>
      </c>
      <c r="B1003" t="s">
        <v>3803</v>
      </c>
      <c r="C1003" t="s">
        <v>3787</v>
      </c>
      <c r="D1003" t="s">
        <v>52</v>
      </c>
      <c r="E1003" t="s">
        <v>108</v>
      </c>
      <c r="F1003" t="s">
        <v>45</v>
      </c>
      <c r="G1003" t="str">
        <f>HYPERLINK("https://www.instagram.com/p/BzHB9e3HdwH")</f>
        <v>https://www.instagram.com/p/BzHB9e3HdwH</v>
      </c>
      <c r="H1003" t="s">
        <v>215</v>
      </c>
      <c r="I1003" t="s">
        <v>52</v>
      </c>
      <c r="J1003" t="str">
        <f>HYPERLINK("http://instagram.com/the.cheesy.chimpanzee")</f>
        <v>http://instagram.com/the.cheesy.chimpanzee</v>
      </c>
      <c r="K1003">
        <v>75</v>
      </c>
      <c r="N1003" t="s">
        <v>59</v>
      </c>
      <c r="O1003" t="s">
        <v>52</v>
      </c>
      <c r="P1003" t="str">
        <f>HYPERLINK("http://instagram.com/the.cheesy.chimpanzee")</f>
        <v>http://instagram.com/the.cheesy.chimpanzee</v>
      </c>
      <c r="Q1003">
        <v>75</v>
      </c>
      <c r="R1003" t="s">
        <v>60</v>
      </c>
      <c r="W1003">
        <v>6</v>
      </c>
      <c r="X1003">
        <v>6</v>
      </c>
      <c r="AE1003">
        <v>1</v>
      </c>
      <c r="AI1003" t="s">
        <v>52</v>
      </c>
      <c r="AJ1003" t="s">
        <v>3811</v>
      </c>
      <c r="AK1003" t="s">
        <v>52</v>
      </c>
      <c r="AL1003" t="str">
        <f>HYPERLINK("https://www.instagram.com/p/BzHB9e3HdwH/media/?size=l")</f>
        <v>https://www.instagram.com/p/BzHB9e3HdwH/media/?size=l</v>
      </c>
      <c r="AM1003" t="s">
        <v>52</v>
      </c>
      <c r="AN1003" t="s">
        <v>53</v>
      </c>
    </row>
    <row r="1004" spans="1:40">
      <c r="A1004" t="s">
        <v>2370</v>
      </c>
      <c r="B1004" t="s">
        <v>3803</v>
      </c>
      <c r="C1004" t="s">
        <v>3768</v>
      </c>
      <c r="D1004" t="s">
        <v>3812</v>
      </c>
      <c r="E1004" t="s">
        <v>3813</v>
      </c>
      <c r="F1004" t="s">
        <v>95</v>
      </c>
      <c r="G1004" t="str">
        <f>HYPERLINK("https://www.youtube.com/watch?v=RwYk-PaeQus&amp;lc=UgyfwWt7mXlC9_wS8uN4AaABAg")</f>
        <v>https://www.youtube.com/watch?v=RwYk-PaeQus&amp;lc=UgyfwWt7mXlC9_wS8uN4AaABAg</v>
      </c>
      <c r="H1004" t="s">
        <v>46</v>
      </c>
      <c r="I1004" t="s">
        <v>3814</v>
      </c>
      <c r="J1004" t="str">
        <f>HYPERLINK("https://www.youtube.com/channel/UCYmGNBp2BLRItv_rdzg49sw")</f>
        <v>https://www.youtube.com/channel/UCYmGNBp2BLRItv_rdzg49sw</v>
      </c>
      <c r="K1004">
        <v>8</v>
      </c>
      <c r="N1004" t="s">
        <v>116</v>
      </c>
      <c r="O1004" t="s">
        <v>3814</v>
      </c>
      <c r="P1004" t="str">
        <f>HYPERLINK("https://www.youtube.com/channel/UCYmGNBp2BLRItv_rdzg49sw")</f>
        <v>https://www.youtube.com/channel/UCYmGNBp2BLRItv_rdzg49sw</v>
      </c>
      <c r="Q1004">
        <v>8</v>
      </c>
      <c r="R1004" t="s">
        <v>60</v>
      </c>
      <c r="W1004">
        <v>1</v>
      </c>
      <c r="X1004">
        <v>1</v>
      </c>
      <c r="AE1004">
        <v>0</v>
      </c>
      <c r="AM1004" t="s">
        <v>52</v>
      </c>
      <c r="AN1004" t="s">
        <v>53</v>
      </c>
    </row>
    <row r="1005" spans="1:40">
      <c r="A1005" t="s">
        <v>2370</v>
      </c>
      <c r="B1005" t="s">
        <v>3815</v>
      </c>
      <c r="C1005" t="s">
        <v>3559</v>
      </c>
      <c r="D1005" t="s">
        <v>3816</v>
      </c>
      <c r="E1005" t="s">
        <v>3817</v>
      </c>
      <c r="F1005" t="s">
        <v>45</v>
      </c>
      <c r="G1005" t="str">
        <f>HYPERLINK("https://medium.com/@ricmichaels/from-ice-hockey-to-modeling-the-official-chris-west-interview-c569c40d3538")</f>
        <v>https://medium.com/@ricmichaels/from-ice-hockey-to-modeling-the-official-chris-west-interview-c569c40d3538</v>
      </c>
      <c r="H1005" t="s">
        <v>46</v>
      </c>
      <c r="I1005" t="s">
        <v>3818</v>
      </c>
      <c r="J1005" t="str">
        <f>HYPERLINK("https://medium.com/@ricmichaels/from-ice-hockey-to-modeling-the-official-chris-west-interview-c569c40d3538")</f>
        <v>https://medium.com/@ricmichaels/from-ice-hockey-to-modeling-the-official-chris-west-interview-c569c40d3538</v>
      </c>
      <c r="N1005" t="s">
        <v>1270</v>
      </c>
      <c r="R1005" t="s">
        <v>50</v>
      </c>
      <c r="S1005" t="s">
        <v>51</v>
      </c>
      <c r="AM1005" t="s">
        <v>52</v>
      </c>
      <c r="AN1005" t="s">
        <v>53</v>
      </c>
    </row>
    <row r="1006" spans="1:40">
      <c r="A1006" t="s">
        <v>2370</v>
      </c>
      <c r="B1006" t="s">
        <v>3819</v>
      </c>
      <c r="C1006" t="s">
        <v>1494</v>
      </c>
      <c r="D1006" t="s">
        <v>52</v>
      </c>
      <c r="E1006" t="s">
        <v>3820</v>
      </c>
      <c r="F1006" t="s">
        <v>45</v>
      </c>
      <c r="G1006" t="str">
        <f>HYPERLINK("https://www.instagram.com/p/BzHByWsJLlq")</f>
        <v>https://www.instagram.com/p/BzHByWsJLlq</v>
      </c>
      <c r="H1006" t="s">
        <v>46</v>
      </c>
      <c r="I1006" t="s">
        <v>3821</v>
      </c>
      <c r="J1006" t="str">
        <f>HYPERLINK("http://instagram.com/vader_thegoodboy")</f>
        <v>http://instagram.com/vader_thegoodboy</v>
      </c>
      <c r="K1006">
        <v>113</v>
      </c>
      <c r="N1006" t="s">
        <v>59</v>
      </c>
      <c r="O1006" t="s">
        <v>3821</v>
      </c>
      <c r="P1006" t="str">
        <f>HYPERLINK("http://instagram.com/vader_thegoodboy")</f>
        <v>http://instagram.com/vader_thegoodboy</v>
      </c>
      <c r="Q1006">
        <v>113</v>
      </c>
      <c r="R1006" t="s">
        <v>60</v>
      </c>
      <c r="W1006">
        <v>9</v>
      </c>
      <c r="X1006">
        <v>9</v>
      </c>
      <c r="AE1006">
        <v>0</v>
      </c>
      <c r="AI1006" t="s">
        <v>108</v>
      </c>
      <c r="AJ1006" t="s">
        <v>985</v>
      </c>
      <c r="AK1006" t="s">
        <v>52</v>
      </c>
      <c r="AL1006" t="str">
        <f>HYPERLINK("https://www.instagram.com/p/BzHByWsJLlq/media/?size=l")</f>
        <v>https://www.instagram.com/p/BzHByWsJLlq/media/?size=l</v>
      </c>
      <c r="AM1006" t="s">
        <v>52</v>
      </c>
      <c r="AN1006" t="s">
        <v>53</v>
      </c>
    </row>
    <row r="1007" spans="1:40">
      <c r="A1007" t="s">
        <v>2370</v>
      </c>
      <c r="B1007" t="s">
        <v>3819</v>
      </c>
      <c r="C1007" t="s">
        <v>3780</v>
      </c>
      <c r="D1007" t="s">
        <v>52</v>
      </c>
      <c r="E1007" t="s">
        <v>3385</v>
      </c>
      <c r="F1007" t="s">
        <v>131</v>
      </c>
      <c r="G1007" t="str">
        <f>HYPERLINK("https://twitter.com/407315537/status/1143289596782010369")</f>
        <v>https://twitter.com/407315537/status/1143289596782010369</v>
      </c>
      <c r="H1007" t="s">
        <v>46</v>
      </c>
      <c r="I1007" t="s">
        <v>3822</v>
      </c>
      <c r="J1007" t="str">
        <f>HYPERLINK("http://twitter.com/aWeeG3")</f>
        <v>http://twitter.com/aWeeG3</v>
      </c>
      <c r="K1007">
        <v>2212</v>
      </c>
      <c r="N1007" t="s">
        <v>65</v>
      </c>
      <c r="R1007" t="s">
        <v>60</v>
      </c>
      <c r="S1007" t="s">
        <v>2226</v>
      </c>
      <c r="T1007" t="s">
        <v>3823</v>
      </c>
      <c r="U1007" t="s">
        <v>3824</v>
      </c>
      <c r="W1007">
        <v>0</v>
      </c>
      <c r="X1007">
        <v>0</v>
      </c>
      <c r="AE1007">
        <v>0</v>
      </c>
      <c r="AM1007" t="s">
        <v>52</v>
      </c>
      <c r="AN1007" t="s">
        <v>53</v>
      </c>
    </row>
    <row r="1008" spans="1:40">
      <c r="A1008" t="s">
        <v>2370</v>
      </c>
      <c r="B1008" t="s">
        <v>3819</v>
      </c>
      <c r="C1008" t="s">
        <v>3768</v>
      </c>
      <c r="D1008" t="s">
        <v>52</v>
      </c>
      <c r="E1008" t="s">
        <v>3825</v>
      </c>
      <c r="F1008" t="s">
        <v>95</v>
      </c>
      <c r="G1008" t="str">
        <f>HYPERLINK("https://twitter.com/2305653462/status/1143289517018890240")</f>
        <v>https://twitter.com/2305653462/status/1143289517018890240</v>
      </c>
      <c r="H1008" t="s">
        <v>46</v>
      </c>
      <c r="I1008" t="s">
        <v>3826</v>
      </c>
      <c r="J1008" t="str">
        <f>HYPERLINK("http://twitter.com/kell_mcgarry")</f>
        <v>http://twitter.com/kell_mcgarry</v>
      </c>
      <c r="K1008">
        <v>248</v>
      </c>
      <c r="N1008" t="s">
        <v>65</v>
      </c>
      <c r="R1008" t="s">
        <v>60</v>
      </c>
      <c r="W1008">
        <v>1</v>
      </c>
      <c r="X1008">
        <v>1</v>
      </c>
      <c r="AE1008">
        <v>1</v>
      </c>
      <c r="AF1008">
        <v>0</v>
      </c>
      <c r="AM1008" t="s">
        <v>52</v>
      </c>
      <c r="AN1008" t="s">
        <v>53</v>
      </c>
    </row>
    <row r="1009" spans="1:40">
      <c r="A1009" t="s">
        <v>2370</v>
      </c>
      <c r="B1009" t="s">
        <v>3827</v>
      </c>
      <c r="C1009" t="s">
        <v>3768</v>
      </c>
      <c r="D1009" t="s">
        <v>3812</v>
      </c>
      <c r="E1009" t="s">
        <v>3828</v>
      </c>
      <c r="F1009" t="s">
        <v>45</v>
      </c>
      <c r="G1009" t="str">
        <f>HYPERLINK("https://www.youtube.com/watch?v=RwYk-PaeQus")</f>
        <v>https://www.youtube.com/watch?v=RwYk-PaeQus</v>
      </c>
      <c r="H1009" t="s">
        <v>46</v>
      </c>
      <c r="I1009" t="s">
        <v>3814</v>
      </c>
      <c r="J1009" t="str">
        <f>HYPERLINK("https://www.youtube.com/channel/UCYmGNBp2BLRItv_rdzg49sw")</f>
        <v>https://www.youtube.com/channel/UCYmGNBp2BLRItv_rdzg49sw</v>
      </c>
      <c r="K1009">
        <v>8</v>
      </c>
      <c r="N1009" t="s">
        <v>116</v>
      </c>
      <c r="O1009" t="s">
        <v>3814</v>
      </c>
      <c r="P1009" t="str">
        <f>HYPERLINK("https://www.youtube.com/channel/UCYmGNBp2BLRItv_rdzg49sw")</f>
        <v>https://www.youtube.com/channel/UCYmGNBp2BLRItv_rdzg49sw</v>
      </c>
      <c r="Q1009">
        <v>8</v>
      </c>
      <c r="R1009" t="s">
        <v>60</v>
      </c>
      <c r="W1009">
        <v>1</v>
      </c>
      <c r="X1009">
        <v>1</v>
      </c>
      <c r="AD1009">
        <v>0</v>
      </c>
      <c r="AE1009">
        <v>1</v>
      </c>
      <c r="AG1009">
        <v>4</v>
      </c>
      <c r="AI1009" t="s">
        <v>52</v>
      </c>
      <c r="AJ1009" t="s">
        <v>52</v>
      </c>
      <c r="AK1009" t="s">
        <v>581</v>
      </c>
      <c r="AL1009" t="str">
        <f>HYPERLINK("https://i.ytimg.com/vi/RwYk-PaeQus/maxresdefault.jpg")</f>
        <v>https://i.ytimg.com/vi/RwYk-PaeQus/maxresdefault.jpg</v>
      </c>
      <c r="AM1009" t="s">
        <v>52</v>
      </c>
      <c r="AN1009" t="s">
        <v>53</v>
      </c>
    </row>
    <row r="1010" spans="1:40">
      <c r="A1010" t="s">
        <v>2370</v>
      </c>
      <c r="B1010" t="s">
        <v>3829</v>
      </c>
      <c r="C1010" t="s">
        <v>3800</v>
      </c>
      <c r="D1010" t="s">
        <v>52</v>
      </c>
      <c r="E1010" t="s">
        <v>1194</v>
      </c>
      <c r="F1010" t="s">
        <v>131</v>
      </c>
      <c r="G1010" t="str">
        <f>HYPERLINK("https://twitter.com/1128307783626047495/status/1143288996128337920")</f>
        <v>https://twitter.com/1128307783626047495/status/1143288996128337920</v>
      </c>
      <c r="H1010" t="s">
        <v>46</v>
      </c>
      <c r="I1010" t="s">
        <v>3830</v>
      </c>
      <c r="J1010" t="str">
        <f>HYPERLINK("http://twitter.com/syriamccb")</f>
        <v>http://twitter.com/syriamccb</v>
      </c>
      <c r="K1010">
        <v>288</v>
      </c>
      <c r="N1010" t="s">
        <v>65</v>
      </c>
      <c r="R1010" t="s">
        <v>60</v>
      </c>
      <c r="S1010" t="s">
        <v>2187</v>
      </c>
      <c r="W1010">
        <v>0</v>
      </c>
      <c r="X1010">
        <v>0</v>
      </c>
      <c r="AE1010">
        <v>0</v>
      </c>
      <c r="AI1010" t="s">
        <v>52</v>
      </c>
      <c r="AJ1010" t="s">
        <v>1196</v>
      </c>
      <c r="AK1010" t="s">
        <v>52</v>
      </c>
      <c r="AL1010" t="str">
        <f>HYPERLINK("https://pbs.twimg.com/media/D9xgk2YXkAAd2ql.jpg")</f>
        <v>https://pbs.twimg.com/media/D9xgk2YXkAAd2ql.jpg</v>
      </c>
      <c r="AM1010" t="s">
        <v>52</v>
      </c>
      <c r="AN1010" t="s">
        <v>53</v>
      </c>
    </row>
    <row r="1011" spans="1:40">
      <c r="A1011" t="s">
        <v>2370</v>
      </c>
      <c r="B1011" t="s">
        <v>3829</v>
      </c>
      <c r="C1011" t="s">
        <v>3831</v>
      </c>
      <c r="D1011" t="s">
        <v>52</v>
      </c>
      <c r="E1011" t="s">
        <v>3832</v>
      </c>
      <c r="F1011" t="s">
        <v>45</v>
      </c>
      <c r="G1011" t="str">
        <f>HYPERLINK("https://www.instagram.com/p/BzHBf7sJkuB")</f>
        <v>https://www.instagram.com/p/BzHBf7sJkuB</v>
      </c>
      <c r="H1011" t="s">
        <v>46</v>
      </c>
      <c r="I1011" t="s">
        <v>3833</v>
      </c>
      <c r="J1011" t="str">
        <f>HYPERLINK("http://instagram.com/katelynnehabel")</f>
        <v>http://instagram.com/katelynnehabel</v>
      </c>
      <c r="K1011">
        <v>836</v>
      </c>
      <c r="L1011" t="s">
        <v>58</v>
      </c>
      <c r="N1011" t="s">
        <v>59</v>
      </c>
      <c r="O1011" t="s">
        <v>3833</v>
      </c>
      <c r="P1011" t="str">
        <f>HYPERLINK("http://instagram.com/katelynnehabel")</f>
        <v>http://instagram.com/katelynnehabel</v>
      </c>
      <c r="Q1011">
        <v>836</v>
      </c>
      <c r="R1011" t="s">
        <v>60</v>
      </c>
      <c r="W1011">
        <v>21</v>
      </c>
      <c r="X1011">
        <v>21</v>
      </c>
      <c r="AE1011">
        <v>1</v>
      </c>
      <c r="AI1011" t="s">
        <v>52</v>
      </c>
      <c r="AJ1011" t="s">
        <v>3834</v>
      </c>
      <c r="AK1011" t="s">
        <v>3835</v>
      </c>
      <c r="AL1011" t="str">
        <f>HYPERLINK("https://www.instagram.com/p/BzHBf7sJkuB/media/?size=l")</f>
        <v>https://www.instagram.com/p/BzHBf7sJkuB/media/?size=l</v>
      </c>
      <c r="AM1011" t="s">
        <v>52</v>
      </c>
      <c r="AN1011" t="s">
        <v>53</v>
      </c>
    </row>
    <row r="1012" spans="1:40">
      <c r="A1012" t="s">
        <v>2370</v>
      </c>
      <c r="B1012" t="s">
        <v>3829</v>
      </c>
      <c r="C1012" t="s">
        <v>3836</v>
      </c>
      <c r="D1012" t="s">
        <v>3837</v>
      </c>
      <c r="E1012" t="s">
        <v>3838</v>
      </c>
      <c r="F1012" t="s">
        <v>45</v>
      </c>
      <c r="G1012" t="str">
        <f>HYPERLINK("https://www.youtube.com/watch?v=hkifdoo-2Zg")</f>
        <v>https://www.youtube.com/watch?v=hkifdoo-2Zg</v>
      </c>
      <c r="H1012" t="s">
        <v>46</v>
      </c>
      <c r="I1012" t="s">
        <v>3839</v>
      </c>
      <c r="J1012" t="str">
        <f>HYPERLINK("https://www.youtube.com/channel/UCy_R2FHunuGIRzPFvgQhiew")</f>
        <v>https://www.youtube.com/channel/UCy_R2FHunuGIRzPFvgQhiew</v>
      </c>
      <c r="K1012">
        <v>7</v>
      </c>
      <c r="N1012" t="s">
        <v>116</v>
      </c>
      <c r="O1012" t="s">
        <v>3839</v>
      </c>
      <c r="P1012" t="str">
        <f>HYPERLINK("https://www.youtube.com/channel/UCy_R2FHunuGIRzPFvgQhiew")</f>
        <v>https://www.youtube.com/channel/UCy_R2FHunuGIRzPFvgQhiew</v>
      </c>
      <c r="Q1012">
        <v>7</v>
      </c>
      <c r="R1012" t="s">
        <v>60</v>
      </c>
      <c r="W1012">
        <v>1</v>
      </c>
      <c r="X1012">
        <v>1</v>
      </c>
      <c r="AD1012">
        <v>0</v>
      </c>
      <c r="AE1012">
        <v>0</v>
      </c>
      <c r="AG1012">
        <v>3</v>
      </c>
      <c r="AI1012" t="s">
        <v>52</v>
      </c>
      <c r="AJ1012" t="s">
        <v>3336</v>
      </c>
      <c r="AK1012" t="s">
        <v>52</v>
      </c>
      <c r="AL1012" t="str">
        <f>HYPERLINK("https://i.ytimg.com/vi/hkifdoo-2Zg/maxresdefault.jpg")</f>
        <v>https://i.ytimg.com/vi/hkifdoo-2Zg/maxresdefault.jpg</v>
      </c>
      <c r="AM1012" t="s">
        <v>52</v>
      </c>
      <c r="AN1012" t="s">
        <v>53</v>
      </c>
    </row>
    <row r="1013" spans="1:40">
      <c r="A1013" t="s">
        <v>2370</v>
      </c>
      <c r="B1013" t="s">
        <v>3840</v>
      </c>
      <c r="C1013" t="s">
        <v>3804</v>
      </c>
      <c r="D1013" t="s">
        <v>52</v>
      </c>
      <c r="E1013" t="s">
        <v>3841</v>
      </c>
      <c r="F1013" t="s">
        <v>45</v>
      </c>
      <c r="G1013" t="str">
        <f>HYPERLINK("https://twitter.com/4854406870/status/1143288861256237062")</f>
        <v>https://twitter.com/4854406870/status/1143288861256237062</v>
      </c>
      <c r="H1013" t="s">
        <v>215</v>
      </c>
      <c r="I1013" t="s">
        <v>3842</v>
      </c>
      <c r="J1013" t="str">
        <f>HYPERLINK("http://twitter.com/Bian_Montenegro")</f>
        <v>http://twitter.com/Bian_Montenegro</v>
      </c>
      <c r="K1013">
        <v>321</v>
      </c>
      <c r="N1013" t="s">
        <v>65</v>
      </c>
      <c r="R1013" t="s">
        <v>60</v>
      </c>
      <c r="S1013" t="s">
        <v>701</v>
      </c>
      <c r="T1013" t="s">
        <v>2321</v>
      </c>
      <c r="W1013">
        <v>0</v>
      </c>
      <c r="X1013">
        <v>0</v>
      </c>
      <c r="AE1013">
        <v>0</v>
      </c>
      <c r="AF1013">
        <v>0</v>
      </c>
      <c r="AM1013" t="s">
        <v>52</v>
      </c>
      <c r="AN1013" t="s">
        <v>53</v>
      </c>
    </row>
    <row r="1014" spans="1:40">
      <c r="A1014" t="s">
        <v>2370</v>
      </c>
      <c r="B1014" t="s">
        <v>3840</v>
      </c>
      <c r="C1014" t="s">
        <v>3804</v>
      </c>
      <c r="D1014" t="s">
        <v>52</v>
      </c>
      <c r="E1014" t="s">
        <v>1174</v>
      </c>
      <c r="F1014" t="s">
        <v>131</v>
      </c>
      <c r="G1014" t="str">
        <f>HYPERLINK("https://twitter.com/2710270635/status/1143288835675213825")</f>
        <v>https://twitter.com/2710270635/status/1143288835675213825</v>
      </c>
      <c r="H1014" t="s">
        <v>46</v>
      </c>
      <c r="I1014" t="s">
        <v>3843</v>
      </c>
      <c r="J1014" t="str">
        <f>HYPERLINK("http://twitter.com/jillnicolez")</f>
        <v>http://twitter.com/jillnicolez</v>
      </c>
      <c r="K1014">
        <v>2055</v>
      </c>
      <c r="L1014" t="s">
        <v>58</v>
      </c>
      <c r="N1014" t="s">
        <v>65</v>
      </c>
      <c r="R1014" t="s">
        <v>60</v>
      </c>
      <c r="S1014" t="s">
        <v>51</v>
      </c>
      <c r="W1014">
        <v>0</v>
      </c>
      <c r="X1014">
        <v>0</v>
      </c>
      <c r="AE1014">
        <v>0</v>
      </c>
      <c r="AI1014" t="s">
        <v>1176</v>
      </c>
      <c r="AJ1014" t="s">
        <v>1177</v>
      </c>
      <c r="AK1014" t="s">
        <v>52</v>
      </c>
      <c r="AL1014" t="str">
        <f>HYPERLINK("https://pbs.twimg.com/ext_tw_video_thumb/1143268619956056064/pu/img/SLb27Fb_f5FBj8oQ.jpg")</f>
        <v>https://pbs.twimg.com/ext_tw_video_thumb/1143268619956056064/pu/img/SLb27Fb_f5FBj8oQ.jpg</v>
      </c>
      <c r="AM1014" t="s">
        <v>52</v>
      </c>
      <c r="AN1014" t="s">
        <v>53</v>
      </c>
    </row>
    <row r="1015" spans="1:40">
      <c r="A1015" t="s">
        <v>2370</v>
      </c>
      <c r="B1015" t="s">
        <v>3840</v>
      </c>
      <c r="C1015" t="s">
        <v>3836</v>
      </c>
      <c r="D1015" t="s">
        <v>52</v>
      </c>
      <c r="E1015" t="s">
        <v>3844</v>
      </c>
      <c r="F1015" t="s">
        <v>45</v>
      </c>
      <c r="G1015" t="str">
        <f>HYPERLINK("https://twitter.com/265680158/status/1143288719534956545")</f>
        <v>https://twitter.com/265680158/status/1143288719534956545</v>
      </c>
      <c r="H1015" t="s">
        <v>46</v>
      </c>
      <c r="I1015" t="s">
        <v>3845</v>
      </c>
      <c r="J1015" t="str">
        <f>HYPERLINK("http://twitter.com/MartuuSerra")</f>
        <v>http://twitter.com/MartuuSerra</v>
      </c>
      <c r="K1015">
        <v>524</v>
      </c>
      <c r="L1015" t="s">
        <v>58</v>
      </c>
      <c r="N1015" t="s">
        <v>65</v>
      </c>
      <c r="R1015" t="s">
        <v>60</v>
      </c>
      <c r="S1015" t="s">
        <v>701</v>
      </c>
      <c r="T1015" t="s">
        <v>2528</v>
      </c>
      <c r="U1015" t="s">
        <v>2816</v>
      </c>
      <c r="W1015">
        <v>1</v>
      </c>
      <c r="X1015">
        <v>1</v>
      </c>
      <c r="AE1015">
        <v>0</v>
      </c>
      <c r="AF1015">
        <v>0</v>
      </c>
      <c r="AM1015" t="s">
        <v>52</v>
      </c>
      <c r="AN1015" t="s">
        <v>53</v>
      </c>
    </row>
    <row r="1016" spans="1:40">
      <c r="A1016" t="s">
        <v>2370</v>
      </c>
      <c r="B1016" t="s">
        <v>3840</v>
      </c>
      <c r="C1016" t="s">
        <v>3831</v>
      </c>
      <c r="D1016" t="s">
        <v>52</v>
      </c>
      <c r="E1016" t="s">
        <v>3846</v>
      </c>
      <c r="F1016" t="s">
        <v>95</v>
      </c>
      <c r="G1016" t="str">
        <f>HYPERLINK("https://twitter.com/144362611/status/1143288709544067074")</f>
        <v>https://twitter.com/144362611/status/1143288709544067074</v>
      </c>
      <c r="H1016" t="s">
        <v>215</v>
      </c>
      <c r="I1016" t="s">
        <v>3847</v>
      </c>
      <c r="J1016" t="str">
        <f>HYPERLINK("http://twitter.com/A_Swinson")</f>
        <v>http://twitter.com/A_Swinson</v>
      </c>
      <c r="K1016">
        <v>255</v>
      </c>
      <c r="N1016" t="s">
        <v>65</v>
      </c>
      <c r="R1016" t="s">
        <v>60</v>
      </c>
      <c r="W1016">
        <v>2</v>
      </c>
      <c r="X1016">
        <v>2</v>
      </c>
      <c r="AE1016">
        <v>0</v>
      </c>
      <c r="AF1016">
        <v>0</v>
      </c>
      <c r="AM1016" t="s">
        <v>52</v>
      </c>
      <c r="AN1016" t="s">
        <v>53</v>
      </c>
    </row>
    <row r="1017" spans="1:40">
      <c r="A1017" t="s">
        <v>2370</v>
      </c>
      <c r="B1017" t="s">
        <v>3848</v>
      </c>
      <c r="C1017" t="s">
        <v>3849</v>
      </c>
      <c r="D1017" t="s">
        <v>52</v>
      </c>
      <c r="E1017" t="s">
        <v>1194</v>
      </c>
      <c r="F1017" t="s">
        <v>131</v>
      </c>
      <c r="G1017" t="str">
        <f>HYPERLINK("https://twitter.com/475463298/status/1143288655051665411")</f>
        <v>https://twitter.com/475463298/status/1143288655051665411</v>
      </c>
      <c r="H1017" t="s">
        <v>46</v>
      </c>
      <c r="I1017" t="s">
        <v>3850</v>
      </c>
      <c r="J1017" t="str">
        <f>HYPERLINK("http://twitter.com/FuzzyLumpkin")</f>
        <v>http://twitter.com/FuzzyLumpkin</v>
      </c>
      <c r="K1017">
        <v>193</v>
      </c>
      <c r="N1017" t="s">
        <v>65</v>
      </c>
      <c r="R1017" t="s">
        <v>60</v>
      </c>
      <c r="W1017">
        <v>0</v>
      </c>
      <c r="X1017">
        <v>0</v>
      </c>
      <c r="AE1017">
        <v>0</v>
      </c>
      <c r="AI1017" t="s">
        <v>52</v>
      </c>
      <c r="AJ1017" t="s">
        <v>1196</v>
      </c>
      <c r="AK1017" t="s">
        <v>52</v>
      </c>
      <c r="AL1017" t="str">
        <f>HYPERLINK("https://pbs.twimg.com/media/D9xgk2YXkAAd2ql.jpg")</f>
        <v>https://pbs.twimg.com/media/D9xgk2YXkAAd2ql.jpg</v>
      </c>
      <c r="AM1017" t="s">
        <v>52</v>
      </c>
      <c r="AN1017" t="s">
        <v>53</v>
      </c>
    </row>
    <row r="1018" spans="1:40">
      <c r="A1018" t="s">
        <v>2370</v>
      </c>
      <c r="B1018" t="s">
        <v>3851</v>
      </c>
      <c r="C1018" t="s">
        <v>3849</v>
      </c>
      <c r="D1018" t="s">
        <v>52</v>
      </c>
      <c r="E1018" t="s">
        <v>3852</v>
      </c>
      <c r="F1018" t="s">
        <v>45</v>
      </c>
      <c r="G1018" t="str">
        <f>HYPERLINK("https://www.instagram.com/p/BzHBLfbgmo0")</f>
        <v>https://www.instagram.com/p/BzHBLfbgmo0</v>
      </c>
      <c r="H1018" t="s">
        <v>215</v>
      </c>
      <c r="I1018" t="s">
        <v>3853</v>
      </c>
      <c r="J1018" t="str">
        <f>HYPERLINK("http://instagram.com/raisinglittlesavages")</f>
        <v>http://instagram.com/raisinglittlesavages</v>
      </c>
      <c r="K1018">
        <v>1158</v>
      </c>
      <c r="N1018" t="s">
        <v>59</v>
      </c>
      <c r="O1018" t="s">
        <v>3853</v>
      </c>
      <c r="P1018" t="str">
        <f>HYPERLINK("http://instagram.com/raisinglittlesavages")</f>
        <v>http://instagram.com/raisinglittlesavages</v>
      </c>
      <c r="Q1018">
        <v>1158</v>
      </c>
      <c r="R1018" t="s">
        <v>60</v>
      </c>
      <c r="S1018" t="s">
        <v>51</v>
      </c>
      <c r="T1018" t="s">
        <v>73</v>
      </c>
      <c r="U1018" t="s">
        <v>3854</v>
      </c>
      <c r="W1018">
        <v>31</v>
      </c>
      <c r="X1018">
        <v>31</v>
      </c>
      <c r="AE1018">
        <v>2</v>
      </c>
      <c r="AI1018" t="s">
        <v>52</v>
      </c>
      <c r="AJ1018" t="s">
        <v>3855</v>
      </c>
      <c r="AK1018" t="s">
        <v>3856</v>
      </c>
      <c r="AL1018" t="str">
        <f>HYPERLINK("https://www.instagram.com/p/BzHBLfbgmo0/media/?size=l")</f>
        <v>https://www.instagram.com/p/BzHBLfbgmo0/media/?size=l</v>
      </c>
      <c r="AM1018" t="s">
        <v>52</v>
      </c>
      <c r="AN1018" t="s">
        <v>53</v>
      </c>
    </row>
    <row r="1019" spans="1:40">
      <c r="A1019" t="s">
        <v>2370</v>
      </c>
      <c r="B1019" t="s">
        <v>3851</v>
      </c>
      <c r="C1019" t="s">
        <v>3857</v>
      </c>
      <c r="D1019" t="s">
        <v>52</v>
      </c>
      <c r="E1019" t="s">
        <v>3858</v>
      </c>
      <c r="F1019" t="s">
        <v>45</v>
      </c>
      <c r="G1019" t="str">
        <f>HYPERLINK("https://twitter.com/63988994/status/1143288266554298369")</f>
        <v>https://twitter.com/63988994/status/1143288266554298369</v>
      </c>
      <c r="H1019" t="s">
        <v>46</v>
      </c>
      <c r="I1019" t="s">
        <v>3859</v>
      </c>
      <c r="J1019" t="str">
        <f>HYPERLINK("http://twitter.com/BillionaireKK")</f>
        <v>http://twitter.com/BillionaireKK</v>
      </c>
      <c r="K1019">
        <v>2079</v>
      </c>
      <c r="N1019" t="s">
        <v>65</v>
      </c>
      <c r="R1019" t="s">
        <v>60</v>
      </c>
      <c r="W1019">
        <v>7</v>
      </c>
      <c r="X1019">
        <v>7</v>
      </c>
      <c r="AE1019">
        <v>3</v>
      </c>
      <c r="AF1019">
        <v>0</v>
      </c>
      <c r="AM1019" t="s">
        <v>52</v>
      </c>
      <c r="AN1019" t="s">
        <v>53</v>
      </c>
    </row>
    <row r="1020" spans="1:40">
      <c r="A1020" t="s">
        <v>2370</v>
      </c>
      <c r="B1020" t="s">
        <v>3860</v>
      </c>
      <c r="C1020" t="s">
        <v>3861</v>
      </c>
      <c r="D1020" t="s">
        <v>511</v>
      </c>
      <c r="E1020" t="s">
        <v>3862</v>
      </c>
      <c r="F1020" t="s">
        <v>45</v>
      </c>
      <c r="G1020" t="str">
        <f>HYPERLINK("https://www.resetera.com/threads/i-didnt-realize-how-niche-video-games-were-until-i-got-a-job.125343/page-4#22186566")</f>
        <v>https://www.resetera.com/threads/i-didnt-realize-how-niche-video-games-were-until-i-got-a-job.125343/page-4#22186566</v>
      </c>
      <c r="H1020" t="s">
        <v>215</v>
      </c>
      <c r="I1020" t="s">
        <v>3863</v>
      </c>
      <c r="J1020" t="str">
        <f>HYPERLINK("https://www.resetera.com/threads/i-didnt-realize-how-niche-video-games-were-until-i-got-a-job.125343/page-4#22186566")</f>
        <v>https://www.resetera.com/threads/i-didnt-realize-how-niche-video-games-were-until-i-got-a-job.125343/page-4#22186566</v>
      </c>
      <c r="N1020" t="s">
        <v>514</v>
      </c>
      <c r="O1020" t="s">
        <v>515</v>
      </c>
      <c r="P1020" t="str">
        <f>HYPERLINK("https://www.resetera.com/forums/gaming-forum.7")</f>
        <v>https://www.resetera.com/forums/gaming-forum.7</v>
      </c>
      <c r="R1020" t="s">
        <v>516</v>
      </c>
      <c r="S1020" t="s">
        <v>51</v>
      </c>
      <c r="AM1020" t="s">
        <v>52</v>
      </c>
      <c r="AN1020" t="s">
        <v>53</v>
      </c>
    </row>
    <row r="1021" spans="1:40">
      <c r="A1021" t="s">
        <v>2370</v>
      </c>
      <c r="B1021" t="s">
        <v>3864</v>
      </c>
      <c r="C1021" t="s">
        <v>3865</v>
      </c>
      <c r="D1021" t="s">
        <v>52</v>
      </c>
      <c r="E1021" t="s">
        <v>3866</v>
      </c>
      <c r="F1021" t="s">
        <v>71</v>
      </c>
      <c r="G1021" t="str">
        <f>HYPERLINK("https://twitter.com/725434703449341953/status/1143287867122339841")</f>
        <v>https://twitter.com/725434703449341953/status/1143287867122339841</v>
      </c>
      <c r="H1021" t="s">
        <v>46</v>
      </c>
      <c r="I1021" t="s">
        <v>3867</v>
      </c>
      <c r="J1021" t="str">
        <f>HYPERLINK("http://twitter.com/AngelaSquiresa")</f>
        <v>http://twitter.com/AngelaSquiresa</v>
      </c>
      <c r="K1021">
        <v>440</v>
      </c>
      <c r="L1021" t="s">
        <v>58</v>
      </c>
      <c r="N1021" t="s">
        <v>65</v>
      </c>
      <c r="R1021" t="s">
        <v>60</v>
      </c>
      <c r="W1021">
        <v>0</v>
      </c>
      <c r="X1021">
        <v>0</v>
      </c>
      <c r="AE1021">
        <v>0</v>
      </c>
      <c r="AF1021">
        <v>0</v>
      </c>
      <c r="AI1021" t="s">
        <v>108</v>
      </c>
      <c r="AJ1021" t="s">
        <v>52</v>
      </c>
      <c r="AK1021" t="s">
        <v>52</v>
      </c>
      <c r="AL1021" t="str">
        <f>HYPERLINK("https://pbs.twimg.com/media/D9XTkLWW4AAOYnJ.jpg")</f>
        <v>https://pbs.twimg.com/media/D9XTkLWW4AAOYnJ.jpg</v>
      </c>
      <c r="AM1021" t="s">
        <v>52</v>
      </c>
      <c r="AN1021" t="s">
        <v>53</v>
      </c>
    </row>
    <row r="1022" spans="1:40">
      <c r="A1022" t="s">
        <v>2370</v>
      </c>
      <c r="B1022" t="s">
        <v>3864</v>
      </c>
      <c r="C1022" t="s">
        <v>3868</v>
      </c>
      <c r="D1022" t="s">
        <v>52</v>
      </c>
      <c r="E1022" t="s">
        <v>3869</v>
      </c>
      <c r="F1022" t="s">
        <v>71</v>
      </c>
      <c r="G1022" t="str">
        <f>HYPERLINK("https://twitter.com/19573556/status/1143287790811209733")</f>
        <v>https://twitter.com/19573556/status/1143287790811209733</v>
      </c>
      <c r="H1022" t="s">
        <v>215</v>
      </c>
      <c r="I1022" t="s">
        <v>3870</v>
      </c>
      <c r="J1022" t="str">
        <f>HYPERLINK("http://twitter.com/pavlichenkolyu")</f>
        <v>http://twitter.com/pavlichenkolyu</v>
      </c>
      <c r="K1022">
        <v>157</v>
      </c>
      <c r="N1022" t="s">
        <v>65</v>
      </c>
      <c r="R1022" t="s">
        <v>60</v>
      </c>
      <c r="S1022" t="s">
        <v>325</v>
      </c>
      <c r="U1022" t="s">
        <v>3871</v>
      </c>
      <c r="W1022">
        <v>1</v>
      </c>
      <c r="X1022">
        <v>1</v>
      </c>
      <c r="AE1022">
        <v>1</v>
      </c>
      <c r="AF1022">
        <v>0</v>
      </c>
      <c r="AI1022" t="s">
        <v>52</v>
      </c>
      <c r="AJ1022" t="s">
        <v>52</v>
      </c>
      <c r="AK1022" t="s">
        <v>52</v>
      </c>
      <c r="AL1022" t="str">
        <f>HYPERLINK("https://pbs.twimg.com/media/D8TtEadUcAAwgRQ.jpg")</f>
        <v>https://pbs.twimg.com/media/D8TtEadUcAAwgRQ.jpg</v>
      </c>
      <c r="AM1022" t="s">
        <v>52</v>
      </c>
      <c r="AN1022" t="s">
        <v>53</v>
      </c>
    </row>
    <row r="1023" spans="1:40">
      <c r="A1023" t="s">
        <v>2370</v>
      </c>
      <c r="B1023" t="s">
        <v>3872</v>
      </c>
      <c r="C1023" t="s">
        <v>3873</v>
      </c>
      <c r="D1023" t="s">
        <v>52</v>
      </c>
      <c r="E1023" t="s">
        <v>3874</v>
      </c>
      <c r="F1023" t="s">
        <v>45</v>
      </c>
      <c r="G1023" t="str">
        <f>HYPERLINK("https://www.instagram.com/p/BzHAo8NHX1o")</f>
        <v>https://www.instagram.com/p/BzHAo8NHX1o</v>
      </c>
      <c r="H1023" t="s">
        <v>46</v>
      </c>
      <c r="I1023" t="s">
        <v>3875</v>
      </c>
      <c r="J1023" t="str">
        <f>HYPERLINK("http://instagram.com/the_lonely_white_guy")</f>
        <v>http://instagram.com/the_lonely_white_guy</v>
      </c>
      <c r="K1023">
        <v>414</v>
      </c>
      <c r="N1023" t="s">
        <v>59</v>
      </c>
      <c r="O1023" t="s">
        <v>3875</v>
      </c>
      <c r="P1023" t="str">
        <f>HYPERLINK("http://instagram.com/the_lonely_white_guy")</f>
        <v>http://instagram.com/the_lonely_white_guy</v>
      </c>
      <c r="Q1023">
        <v>414</v>
      </c>
      <c r="R1023" t="s">
        <v>60</v>
      </c>
      <c r="W1023">
        <v>212</v>
      </c>
      <c r="X1023">
        <v>212</v>
      </c>
      <c r="AE1023">
        <v>5</v>
      </c>
      <c r="AI1023" t="s">
        <v>52</v>
      </c>
      <c r="AJ1023" t="s">
        <v>52</v>
      </c>
      <c r="AK1023" t="s">
        <v>52</v>
      </c>
      <c r="AL1023" t="str">
        <f>HYPERLINK("https://www.instagram.com/p/BzHAo8NHX1o/media/?size=l")</f>
        <v>https://www.instagram.com/p/BzHAo8NHX1o/media/?size=l</v>
      </c>
      <c r="AM1023" t="s">
        <v>52</v>
      </c>
      <c r="AN1023" t="s">
        <v>53</v>
      </c>
    </row>
    <row r="1024" spans="1:40">
      <c r="A1024" t="s">
        <v>2370</v>
      </c>
      <c r="B1024" t="s">
        <v>3876</v>
      </c>
      <c r="C1024" t="s">
        <v>3868</v>
      </c>
      <c r="D1024" t="s">
        <v>52</v>
      </c>
      <c r="E1024" t="s">
        <v>3877</v>
      </c>
      <c r="F1024" t="s">
        <v>95</v>
      </c>
      <c r="G1024" t="str">
        <f>HYPERLINK("https://twitter.com/3294770770/status/1143286879938326529")</f>
        <v>https://twitter.com/3294770770/status/1143286879938326529</v>
      </c>
      <c r="H1024" t="s">
        <v>46</v>
      </c>
      <c r="I1024" t="s">
        <v>3878</v>
      </c>
      <c r="J1024" t="str">
        <f>HYPERLINK("http://twitter.com/warm_blankets")</f>
        <v>http://twitter.com/warm_blankets</v>
      </c>
      <c r="K1024">
        <v>127</v>
      </c>
      <c r="N1024" t="s">
        <v>65</v>
      </c>
      <c r="R1024" t="s">
        <v>60</v>
      </c>
      <c r="W1024">
        <v>1</v>
      </c>
      <c r="X1024">
        <v>1</v>
      </c>
      <c r="AE1024">
        <v>1</v>
      </c>
      <c r="AF1024">
        <v>0</v>
      </c>
      <c r="AM1024" t="s">
        <v>52</v>
      </c>
      <c r="AN1024" t="s">
        <v>53</v>
      </c>
    </row>
    <row r="1025" spans="1:40">
      <c r="A1025" t="s">
        <v>2370</v>
      </c>
      <c r="B1025" t="s">
        <v>3876</v>
      </c>
      <c r="C1025" t="s">
        <v>1652</v>
      </c>
      <c r="D1025" t="s">
        <v>52</v>
      </c>
      <c r="E1025" t="s">
        <v>3879</v>
      </c>
      <c r="F1025" t="s">
        <v>45</v>
      </c>
      <c r="G1025" t="str">
        <f>HYPERLINK("https://www.instagram.com/p/BzHAiRvA7rA")</f>
        <v>https://www.instagram.com/p/BzHAiRvA7rA</v>
      </c>
      <c r="H1025" t="s">
        <v>46</v>
      </c>
      <c r="I1025" t="s">
        <v>262</v>
      </c>
      <c r="J1025" t="str">
        <f>HYPERLINK("http://instagram.com/bonetownburgers")</f>
        <v>http://instagram.com/bonetownburgers</v>
      </c>
      <c r="K1025">
        <v>2083</v>
      </c>
      <c r="N1025" t="s">
        <v>59</v>
      </c>
      <c r="O1025" t="s">
        <v>262</v>
      </c>
      <c r="P1025" t="str">
        <f>HYPERLINK("http://instagram.com/bonetownburgers")</f>
        <v>http://instagram.com/bonetownburgers</v>
      </c>
      <c r="Q1025">
        <v>2083</v>
      </c>
      <c r="R1025" t="s">
        <v>60</v>
      </c>
      <c r="S1025" t="s">
        <v>51</v>
      </c>
      <c r="T1025" t="s">
        <v>263</v>
      </c>
      <c r="U1025" t="s">
        <v>352</v>
      </c>
      <c r="W1025">
        <v>23</v>
      </c>
      <c r="X1025">
        <v>23</v>
      </c>
      <c r="AE1025">
        <v>1</v>
      </c>
      <c r="AI1025" t="s">
        <v>108</v>
      </c>
      <c r="AJ1025" t="s">
        <v>1894</v>
      </c>
      <c r="AK1025" t="s">
        <v>52</v>
      </c>
      <c r="AL1025" t="str">
        <f>HYPERLINK("https://www.instagram.com/p/BzHAiRvA7rA/media/?size=l")</f>
        <v>https://www.instagram.com/p/BzHAiRvA7rA/media/?size=l</v>
      </c>
      <c r="AM1025" t="s">
        <v>52</v>
      </c>
      <c r="AN1025" t="s">
        <v>53</v>
      </c>
    </row>
    <row r="1026" spans="1:40">
      <c r="A1026" t="s">
        <v>2370</v>
      </c>
      <c r="B1026" t="s">
        <v>3876</v>
      </c>
      <c r="C1026" t="s">
        <v>3452</v>
      </c>
      <c r="D1026" t="s">
        <v>3880</v>
      </c>
      <c r="E1026" t="s">
        <v>3881</v>
      </c>
      <c r="F1026" t="s">
        <v>45</v>
      </c>
      <c r="G1026" t="str">
        <f>HYPERLINK("https://www.youtube.com/watch?v=_-5iQSG7Yq0")</f>
        <v>https://www.youtube.com/watch?v=_-5iQSG7Yq0</v>
      </c>
      <c r="H1026" t="s">
        <v>46</v>
      </c>
      <c r="I1026" t="s">
        <v>3882</v>
      </c>
      <c r="J1026" t="str">
        <f>HYPERLINK("https://www.youtube.com/channel/UC18YMgtKnX6Pe_Gm0nN1F9A")</f>
        <v>https://www.youtube.com/channel/UC18YMgtKnX6Pe_Gm0nN1F9A</v>
      </c>
      <c r="K1026">
        <v>7</v>
      </c>
      <c r="L1026" t="s">
        <v>48</v>
      </c>
      <c r="N1026" t="s">
        <v>116</v>
      </c>
      <c r="O1026" t="s">
        <v>3882</v>
      </c>
      <c r="P1026" t="str">
        <f>HYPERLINK("https://www.youtube.com/channel/UC18YMgtKnX6Pe_Gm0nN1F9A")</f>
        <v>https://www.youtube.com/channel/UC18YMgtKnX6Pe_Gm0nN1F9A</v>
      </c>
      <c r="Q1026">
        <v>7</v>
      </c>
      <c r="R1026" t="s">
        <v>60</v>
      </c>
      <c r="W1026">
        <v>2</v>
      </c>
      <c r="X1026">
        <v>2</v>
      </c>
      <c r="AD1026">
        <v>0</v>
      </c>
      <c r="AE1026">
        <v>0</v>
      </c>
      <c r="AG1026">
        <v>3</v>
      </c>
      <c r="AI1026" t="s">
        <v>52</v>
      </c>
      <c r="AJ1026" t="s">
        <v>121</v>
      </c>
      <c r="AK1026" t="s">
        <v>52</v>
      </c>
      <c r="AL1026" t="str">
        <f>HYPERLINK("https://i.ytimg.com/vi/_-5iQSG7Yq0/maxresdefault.jpg")</f>
        <v>https://i.ytimg.com/vi/_-5iQSG7Yq0/maxresdefault.jpg</v>
      </c>
      <c r="AM1026" t="s">
        <v>52</v>
      </c>
      <c r="AN1026" t="s">
        <v>53</v>
      </c>
    </row>
    <row r="1027" spans="1:40">
      <c r="A1027" t="s">
        <v>2370</v>
      </c>
      <c r="B1027" t="s">
        <v>3876</v>
      </c>
      <c r="C1027" t="s">
        <v>3883</v>
      </c>
      <c r="D1027" t="s">
        <v>52</v>
      </c>
      <c r="E1027" t="s">
        <v>3884</v>
      </c>
      <c r="F1027" t="s">
        <v>45</v>
      </c>
      <c r="G1027" t="str">
        <f>HYPERLINK("https://www.instagram.com/p/BzHAek9BM42")</f>
        <v>https://www.instagram.com/p/BzHAek9BM42</v>
      </c>
      <c r="H1027" t="s">
        <v>46</v>
      </c>
      <c r="I1027" t="s">
        <v>3885</v>
      </c>
      <c r="J1027" t="str">
        <f>HYPERLINK("http://instagram.com/thetabletopgameshop")</f>
        <v>http://instagram.com/thetabletopgameshop</v>
      </c>
      <c r="K1027">
        <v>28817</v>
      </c>
      <c r="N1027" t="s">
        <v>59</v>
      </c>
      <c r="O1027" t="s">
        <v>3885</v>
      </c>
      <c r="P1027" t="str">
        <f>HYPERLINK("http://instagram.com/thetabletopgameshop")</f>
        <v>http://instagram.com/thetabletopgameshop</v>
      </c>
      <c r="Q1027">
        <v>28817</v>
      </c>
      <c r="R1027" t="s">
        <v>60</v>
      </c>
      <c r="S1027" t="s">
        <v>51</v>
      </c>
      <c r="T1027" t="s">
        <v>173</v>
      </c>
      <c r="U1027" t="s">
        <v>3886</v>
      </c>
      <c r="W1027">
        <v>1612</v>
      </c>
      <c r="X1027">
        <v>1612</v>
      </c>
      <c r="AE1027">
        <v>6</v>
      </c>
      <c r="AI1027" t="s">
        <v>52</v>
      </c>
      <c r="AJ1027" t="s">
        <v>52</v>
      </c>
      <c r="AK1027" t="s">
        <v>52</v>
      </c>
      <c r="AL1027" t="str">
        <f>HYPERLINK("https://www.instagram.com/p/BzHAek9BM42/media/?size=l")</f>
        <v>https://www.instagram.com/p/BzHAek9BM42/media/?size=l</v>
      </c>
      <c r="AM1027" t="s">
        <v>52</v>
      </c>
      <c r="AN1027" t="s">
        <v>53</v>
      </c>
    </row>
    <row r="1028" spans="1:40">
      <c r="A1028" t="s">
        <v>2370</v>
      </c>
      <c r="B1028" t="s">
        <v>3876</v>
      </c>
      <c r="C1028" t="s">
        <v>1547</v>
      </c>
      <c r="D1028" t="s">
        <v>52</v>
      </c>
      <c r="E1028" t="s">
        <v>3887</v>
      </c>
      <c r="F1028" t="s">
        <v>45</v>
      </c>
      <c r="G1028" t="str">
        <f>HYPERLINK("https://www.instagram.com/p/BzHAdaDFD1i")</f>
        <v>https://www.instagram.com/p/BzHAdaDFD1i</v>
      </c>
      <c r="H1028" t="s">
        <v>91</v>
      </c>
      <c r="I1028" t="s">
        <v>3888</v>
      </c>
      <c r="J1028" t="str">
        <f>HYPERLINK("http://instagram.com/marmiq12")</f>
        <v>http://instagram.com/marmiq12</v>
      </c>
      <c r="K1028">
        <v>0</v>
      </c>
      <c r="N1028" t="s">
        <v>59</v>
      </c>
      <c r="O1028" t="s">
        <v>3888</v>
      </c>
      <c r="P1028" t="str">
        <f>HYPERLINK("http://instagram.com/marmiq12")</f>
        <v>http://instagram.com/marmiq12</v>
      </c>
      <c r="Q1028">
        <v>0</v>
      </c>
      <c r="R1028" t="s">
        <v>60</v>
      </c>
      <c r="W1028">
        <v>5</v>
      </c>
      <c r="X1028">
        <v>5</v>
      </c>
      <c r="AE1028">
        <v>23</v>
      </c>
      <c r="AI1028" t="s">
        <v>108</v>
      </c>
      <c r="AJ1028" t="s">
        <v>3889</v>
      </c>
      <c r="AK1028" t="s">
        <v>52</v>
      </c>
      <c r="AL1028" t="str">
        <f>HYPERLINK("https://www.instagram.com/p/BzHAdaDFD1i/media/?size=l")</f>
        <v>https://www.instagram.com/p/BzHAdaDFD1i/media/?size=l</v>
      </c>
      <c r="AM1028" t="s">
        <v>52</v>
      </c>
      <c r="AN1028" t="s">
        <v>53</v>
      </c>
    </row>
    <row r="1029" spans="1:40">
      <c r="A1029" t="s">
        <v>2370</v>
      </c>
      <c r="B1029" t="s">
        <v>3890</v>
      </c>
      <c r="C1029" t="s">
        <v>3891</v>
      </c>
      <c r="D1029" t="s">
        <v>52</v>
      </c>
      <c r="E1029" t="s">
        <v>3892</v>
      </c>
      <c r="F1029" t="s">
        <v>71</v>
      </c>
      <c r="G1029" t="str">
        <f>HYPERLINK("https://twitter.com/844296614835605504/status/1143286412554452994")</f>
        <v>https://twitter.com/844296614835605504/status/1143286412554452994</v>
      </c>
      <c r="H1029" t="s">
        <v>215</v>
      </c>
      <c r="I1029" t="s">
        <v>3893</v>
      </c>
      <c r="J1029" t="str">
        <f>HYPERLINK("http://twitter.com/1950sLibrarian")</f>
        <v>http://twitter.com/1950sLibrarian</v>
      </c>
      <c r="K1029">
        <v>91</v>
      </c>
      <c r="N1029" t="s">
        <v>65</v>
      </c>
      <c r="R1029" t="s">
        <v>60</v>
      </c>
      <c r="S1029" t="s">
        <v>1592</v>
      </c>
      <c r="T1029" t="s">
        <v>1819</v>
      </c>
      <c r="U1029" t="s">
        <v>3894</v>
      </c>
      <c r="W1029">
        <v>0</v>
      </c>
      <c r="X1029">
        <v>0</v>
      </c>
      <c r="AE1029">
        <v>0</v>
      </c>
      <c r="AF1029">
        <v>0</v>
      </c>
      <c r="AI1029" t="s">
        <v>108</v>
      </c>
      <c r="AJ1029" t="s">
        <v>52</v>
      </c>
      <c r="AK1029" t="s">
        <v>52</v>
      </c>
      <c r="AL1029" t="str">
        <f>HYPERLINK("https://pbs.twimg.com/media/D9XTkLWW4AAOYnJ.jpg")</f>
        <v>https://pbs.twimg.com/media/D9XTkLWW4AAOYnJ.jpg</v>
      </c>
      <c r="AM1029" t="s">
        <v>52</v>
      </c>
      <c r="AN1029" t="s">
        <v>53</v>
      </c>
    </row>
    <row r="1030" spans="1:40">
      <c r="A1030" t="s">
        <v>2370</v>
      </c>
      <c r="B1030" t="s">
        <v>3890</v>
      </c>
      <c r="C1030" t="s">
        <v>3292</v>
      </c>
      <c r="D1030" t="s">
        <v>3895</v>
      </c>
      <c r="E1030" t="s">
        <v>3896</v>
      </c>
      <c r="F1030" t="s">
        <v>45</v>
      </c>
      <c r="G1030" t="str">
        <f>HYPERLINK("https://www.gq.com/story/ocean-vuong-interview")</f>
        <v>https://www.gq.com/story/ocean-vuong-interview</v>
      </c>
      <c r="H1030" t="s">
        <v>46</v>
      </c>
      <c r="N1030" t="s">
        <v>3897</v>
      </c>
      <c r="R1030" t="s">
        <v>357</v>
      </c>
      <c r="S1030" t="s">
        <v>51</v>
      </c>
      <c r="AM1030" t="s">
        <v>52</v>
      </c>
      <c r="AN1030" t="s">
        <v>53</v>
      </c>
    </row>
    <row r="1031" spans="1:40">
      <c r="A1031" t="s">
        <v>2370</v>
      </c>
      <c r="B1031" t="s">
        <v>3898</v>
      </c>
      <c r="C1031" t="s">
        <v>3891</v>
      </c>
      <c r="D1031" t="s">
        <v>52</v>
      </c>
      <c r="E1031" t="s">
        <v>3899</v>
      </c>
      <c r="F1031" t="s">
        <v>45</v>
      </c>
      <c r="G1031" t="str">
        <f>HYPERLINK("https://www.instagram.com/p/BzHALhCoZkL")</f>
        <v>https://www.instagram.com/p/BzHALhCoZkL</v>
      </c>
      <c r="H1031" t="s">
        <v>46</v>
      </c>
      <c r="I1031" t="s">
        <v>3900</v>
      </c>
      <c r="J1031" t="str">
        <f>HYPERLINK("http://instagram.com/skeleton_lover")</f>
        <v>http://instagram.com/skeleton_lover</v>
      </c>
      <c r="K1031">
        <v>242</v>
      </c>
      <c r="N1031" t="s">
        <v>59</v>
      </c>
      <c r="O1031" t="s">
        <v>3900</v>
      </c>
      <c r="P1031" t="str">
        <f>HYPERLINK("http://instagram.com/skeleton_lover")</f>
        <v>http://instagram.com/skeleton_lover</v>
      </c>
      <c r="Q1031">
        <v>242</v>
      </c>
      <c r="R1031" t="s">
        <v>60</v>
      </c>
      <c r="W1031">
        <v>37</v>
      </c>
      <c r="X1031">
        <v>37</v>
      </c>
      <c r="AE1031">
        <v>0</v>
      </c>
      <c r="AI1031" t="s">
        <v>108</v>
      </c>
      <c r="AJ1031" t="s">
        <v>52</v>
      </c>
      <c r="AK1031" t="s">
        <v>3901</v>
      </c>
      <c r="AL1031" t="str">
        <f>HYPERLINK("https://www.instagram.com/p/BzHALhCoZkL/media/?size=l")</f>
        <v>https://www.instagram.com/p/BzHALhCoZkL/media/?size=l</v>
      </c>
      <c r="AM1031" t="s">
        <v>52</v>
      </c>
      <c r="AN1031" t="s">
        <v>53</v>
      </c>
    </row>
    <row r="1032" spans="1:40">
      <c r="A1032" t="s">
        <v>2370</v>
      </c>
      <c r="B1032" t="s">
        <v>3902</v>
      </c>
      <c r="C1032" t="s">
        <v>3891</v>
      </c>
      <c r="D1032" t="s">
        <v>52</v>
      </c>
      <c r="E1032" t="s">
        <v>3903</v>
      </c>
      <c r="F1032" t="s">
        <v>45</v>
      </c>
      <c r="G1032" t="str">
        <f>HYPERLINK("https://twitter.com/26107511/status/1143285713938636800")</f>
        <v>https://twitter.com/26107511/status/1143285713938636800</v>
      </c>
      <c r="H1032" t="s">
        <v>46</v>
      </c>
      <c r="I1032" t="s">
        <v>3904</v>
      </c>
      <c r="J1032" t="str">
        <f>HYPERLINK("http://twitter.com/davidcanter")</f>
        <v>http://twitter.com/davidcanter</v>
      </c>
      <c r="K1032">
        <v>12193</v>
      </c>
      <c r="N1032" t="s">
        <v>65</v>
      </c>
      <c r="R1032" t="s">
        <v>60</v>
      </c>
      <c r="S1032" t="s">
        <v>51</v>
      </c>
      <c r="T1032" t="s">
        <v>73</v>
      </c>
      <c r="U1032" t="s">
        <v>3905</v>
      </c>
      <c r="W1032">
        <v>6</v>
      </c>
      <c r="X1032">
        <v>6</v>
      </c>
      <c r="AE1032">
        <v>4</v>
      </c>
      <c r="AF1032">
        <v>0</v>
      </c>
      <c r="AM1032" t="s">
        <v>52</v>
      </c>
      <c r="AN1032" t="s">
        <v>53</v>
      </c>
    </row>
    <row r="1033" spans="1:40">
      <c r="A1033" t="s">
        <v>2370</v>
      </c>
      <c r="B1033" t="s">
        <v>3902</v>
      </c>
      <c r="C1033" t="s">
        <v>3364</v>
      </c>
      <c r="D1033" t="s">
        <v>3906</v>
      </c>
      <c r="E1033" t="s">
        <v>3907</v>
      </c>
      <c r="F1033" t="s">
        <v>45</v>
      </c>
      <c r="G1033" t="str">
        <f>HYPERLINK("https://techknowbits.com/2019/06/24/pepsico-inc-nasdaqpep-stake-lowered-by-metropolitan-life-insurance-co-ny.html")</f>
        <v>https://techknowbits.com/2019/06/24/pepsico-inc-nasdaqpep-stake-lowered-by-metropolitan-life-insurance-co-ny.html</v>
      </c>
      <c r="H1033" t="s">
        <v>46</v>
      </c>
      <c r="I1033" t="s">
        <v>1433</v>
      </c>
      <c r="J1033" t="str">
        <f>HYPERLINK("https://techknowbits.com/2019/06/24/pepsico-inc-nasdaqpep-stake-lowered-by-metropolitan-life-insurance-co-ny.html")</f>
        <v>https://techknowbits.com/2019/06/24/pepsico-inc-nasdaqpep-stake-lowered-by-metropolitan-life-insurance-co-ny.html</v>
      </c>
      <c r="L1033" t="s">
        <v>58</v>
      </c>
      <c r="N1033" t="s">
        <v>49</v>
      </c>
      <c r="R1033" t="s">
        <v>50</v>
      </c>
      <c r="S1033" t="s">
        <v>51</v>
      </c>
      <c r="AM1033" t="s">
        <v>52</v>
      </c>
      <c r="AN1033" t="s">
        <v>53</v>
      </c>
    </row>
    <row r="1034" spans="1:40">
      <c r="A1034" t="s">
        <v>2370</v>
      </c>
      <c r="B1034" t="s">
        <v>3908</v>
      </c>
      <c r="C1034" t="s">
        <v>3909</v>
      </c>
      <c r="D1034" t="s">
        <v>52</v>
      </c>
      <c r="E1034" t="s">
        <v>3910</v>
      </c>
      <c r="F1034" t="s">
        <v>71</v>
      </c>
      <c r="G1034" t="str">
        <f>HYPERLINK("https://twitter.com/1040977638150627328/status/1143285610414825473")</f>
        <v>https://twitter.com/1040977638150627328/status/1143285610414825473</v>
      </c>
      <c r="H1034" t="s">
        <v>46</v>
      </c>
      <c r="I1034" t="s">
        <v>3911</v>
      </c>
      <c r="J1034" t="str">
        <f>HYPERLINK("http://twitter.com/djaime626")</f>
        <v>http://twitter.com/djaime626</v>
      </c>
      <c r="K1034">
        <v>95</v>
      </c>
      <c r="L1034" t="s">
        <v>48</v>
      </c>
      <c r="N1034" t="s">
        <v>65</v>
      </c>
      <c r="R1034" t="s">
        <v>60</v>
      </c>
      <c r="S1034" t="s">
        <v>51</v>
      </c>
      <c r="T1034" t="s">
        <v>152</v>
      </c>
      <c r="U1034" t="s">
        <v>3912</v>
      </c>
      <c r="W1034">
        <v>0</v>
      </c>
      <c r="X1034">
        <v>0</v>
      </c>
      <c r="AE1034">
        <v>0</v>
      </c>
      <c r="AF1034">
        <v>0</v>
      </c>
      <c r="AM1034" t="s">
        <v>52</v>
      </c>
      <c r="AN1034" t="s">
        <v>53</v>
      </c>
    </row>
    <row r="1035" spans="1:40">
      <c r="A1035" t="s">
        <v>2370</v>
      </c>
      <c r="B1035" t="s">
        <v>3908</v>
      </c>
      <c r="C1035" t="s">
        <v>1604</v>
      </c>
      <c r="D1035" t="s">
        <v>52</v>
      </c>
      <c r="E1035" t="s">
        <v>3913</v>
      </c>
      <c r="F1035" t="s">
        <v>45</v>
      </c>
      <c r="G1035" t="str">
        <f>HYPERLINK("https://www.instagram.com/p/BzG_943p330")</f>
        <v>https://www.instagram.com/p/BzG_943p330</v>
      </c>
      <c r="H1035" t="s">
        <v>46</v>
      </c>
      <c r="I1035" t="s">
        <v>3914</v>
      </c>
      <c r="J1035" t="str">
        <f>HYPERLINK("http://instagram.com/scaasports1958")</f>
        <v>http://instagram.com/scaasports1958</v>
      </c>
      <c r="K1035">
        <v>228</v>
      </c>
      <c r="N1035" t="s">
        <v>59</v>
      </c>
      <c r="O1035" t="s">
        <v>3914</v>
      </c>
      <c r="P1035" t="str">
        <f>HYPERLINK("http://instagram.com/scaasports1958")</f>
        <v>http://instagram.com/scaasports1958</v>
      </c>
      <c r="Q1035">
        <v>228</v>
      </c>
      <c r="R1035" t="s">
        <v>60</v>
      </c>
      <c r="S1035" t="s">
        <v>51</v>
      </c>
      <c r="T1035" t="s">
        <v>851</v>
      </c>
      <c r="U1035" t="s">
        <v>2050</v>
      </c>
      <c r="W1035">
        <v>15</v>
      </c>
      <c r="X1035">
        <v>15</v>
      </c>
      <c r="AE1035">
        <v>0</v>
      </c>
      <c r="AI1035" t="s">
        <v>108</v>
      </c>
      <c r="AJ1035" t="s">
        <v>899</v>
      </c>
      <c r="AK1035" t="s">
        <v>52</v>
      </c>
      <c r="AL1035" t="str">
        <f>HYPERLINK("https://www.instagram.com/p/BzG_943p330/media/?size=l")</f>
        <v>https://www.instagram.com/p/BzG_943p330/media/?size=l</v>
      </c>
      <c r="AM1035" t="s">
        <v>52</v>
      </c>
      <c r="AN1035" t="s">
        <v>53</v>
      </c>
    </row>
    <row r="1036" spans="1:40">
      <c r="A1036" t="s">
        <v>2370</v>
      </c>
      <c r="B1036" t="s">
        <v>3915</v>
      </c>
      <c r="C1036" t="s">
        <v>3916</v>
      </c>
      <c r="D1036" t="s">
        <v>52</v>
      </c>
      <c r="E1036" t="s">
        <v>3917</v>
      </c>
      <c r="F1036" t="s">
        <v>45</v>
      </c>
      <c r="G1036" t="str">
        <f>HYPERLINK("https://www.instagram.com/p/BzG_24ugsbD")</f>
        <v>https://www.instagram.com/p/BzG_24ugsbD</v>
      </c>
      <c r="H1036" t="s">
        <v>46</v>
      </c>
      <c r="I1036" t="s">
        <v>3918</v>
      </c>
      <c r="J1036" t="str">
        <f>HYPERLINK("http://instagram.com/herault_but.not_super")</f>
        <v>http://instagram.com/herault_but.not_super</v>
      </c>
      <c r="K1036">
        <v>1059</v>
      </c>
      <c r="N1036" t="s">
        <v>59</v>
      </c>
      <c r="O1036" t="s">
        <v>3918</v>
      </c>
      <c r="P1036" t="str">
        <f>HYPERLINK("http://instagram.com/herault_but.not_super")</f>
        <v>http://instagram.com/herault_but.not_super</v>
      </c>
      <c r="Q1036">
        <v>1059</v>
      </c>
      <c r="R1036" t="s">
        <v>60</v>
      </c>
      <c r="S1036" t="s">
        <v>444</v>
      </c>
      <c r="T1036" t="s">
        <v>2608</v>
      </c>
      <c r="U1036" t="s">
        <v>3919</v>
      </c>
      <c r="W1036">
        <v>17</v>
      </c>
      <c r="X1036">
        <v>17</v>
      </c>
      <c r="AE1036">
        <v>0</v>
      </c>
      <c r="AI1036" t="s">
        <v>52</v>
      </c>
      <c r="AJ1036" t="s">
        <v>985</v>
      </c>
      <c r="AK1036" t="s">
        <v>52</v>
      </c>
      <c r="AL1036" t="str">
        <f>HYPERLINK("https://www.instagram.com/p/BzG_24ugsbD/media/?size=l")</f>
        <v>https://www.instagram.com/p/BzG_24ugsbD/media/?size=l</v>
      </c>
      <c r="AM1036" t="s">
        <v>52</v>
      </c>
      <c r="AN1036" t="s">
        <v>53</v>
      </c>
    </row>
    <row r="1037" spans="1:40">
      <c r="A1037" t="s">
        <v>2370</v>
      </c>
      <c r="B1037" t="s">
        <v>3915</v>
      </c>
      <c r="C1037" t="s">
        <v>3920</v>
      </c>
      <c r="D1037" t="s">
        <v>52</v>
      </c>
      <c r="E1037" t="s">
        <v>3921</v>
      </c>
      <c r="F1037" t="s">
        <v>95</v>
      </c>
      <c r="G1037" t="str">
        <f>HYPERLINK("https://twitter.com/1104582924140109824/status/1143285198622269442")</f>
        <v>https://twitter.com/1104582924140109824/status/1143285198622269442</v>
      </c>
      <c r="H1037" t="s">
        <v>46</v>
      </c>
      <c r="I1037" t="s">
        <v>3922</v>
      </c>
      <c r="J1037" t="str">
        <f>HYPERLINK("http://twitter.com/SpiderMan71526")</f>
        <v>http://twitter.com/SpiderMan71526</v>
      </c>
      <c r="K1037">
        <v>0</v>
      </c>
      <c r="L1037" t="s">
        <v>48</v>
      </c>
      <c r="N1037" t="s">
        <v>65</v>
      </c>
      <c r="R1037" t="s">
        <v>60</v>
      </c>
      <c r="W1037">
        <v>0</v>
      </c>
      <c r="X1037">
        <v>0</v>
      </c>
      <c r="AE1037">
        <v>0</v>
      </c>
      <c r="AF1037">
        <v>0</v>
      </c>
      <c r="AM1037" t="s">
        <v>52</v>
      </c>
      <c r="AN1037" t="s">
        <v>53</v>
      </c>
    </row>
    <row r="1038" spans="1:40">
      <c r="A1038" t="s">
        <v>2370</v>
      </c>
      <c r="B1038" t="s">
        <v>3923</v>
      </c>
      <c r="C1038" t="s">
        <v>3868</v>
      </c>
      <c r="D1038" t="s">
        <v>3924</v>
      </c>
      <c r="E1038" t="s">
        <v>3925</v>
      </c>
      <c r="F1038" t="s">
        <v>45</v>
      </c>
      <c r="G1038" t="str">
        <f>HYPERLINK("https://www.youtube.com/watch?v=jUUdR2f47pg")</f>
        <v>https://www.youtube.com/watch?v=jUUdR2f47pg</v>
      </c>
      <c r="H1038" t="s">
        <v>46</v>
      </c>
      <c r="I1038" t="s">
        <v>3926</v>
      </c>
      <c r="J1038" t="str">
        <f>HYPERLINK("https://www.youtube.com/channel/UCb-P6QgJ-UefPmukhbN3Adw")</f>
        <v>https://www.youtube.com/channel/UCb-P6QgJ-UefPmukhbN3Adw</v>
      </c>
      <c r="K1038">
        <v>5</v>
      </c>
      <c r="N1038" t="s">
        <v>116</v>
      </c>
      <c r="O1038" t="s">
        <v>3926</v>
      </c>
      <c r="P1038" t="str">
        <f>HYPERLINK("https://www.youtube.com/channel/UCb-P6QgJ-UefPmukhbN3Adw")</f>
        <v>https://www.youtube.com/channel/UCb-P6QgJ-UefPmukhbN3Adw</v>
      </c>
      <c r="Q1038">
        <v>5</v>
      </c>
      <c r="R1038" t="s">
        <v>60</v>
      </c>
      <c r="W1038">
        <v>1</v>
      </c>
      <c r="X1038">
        <v>1</v>
      </c>
      <c r="AD1038">
        <v>0</v>
      </c>
      <c r="AE1038">
        <v>0</v>
      </c>
      <c r="AG1038">
        <v>1</v>
      </c>
      <c r="AI1038" t="s">
        <v>52</v>
      </c>
      <c r="AJ1038" t="s">
        <v>2277</v>
      </c>
      <c r="AK1038" t="s">
        <v>52</v>
      </c>
      <c r="AL1038" t="str">
        <f>HYPERLINK("https://i.ytimg.com/vi/jUUdR2f47pg/hqdefault.jpg")</f>
        <v>https://i.ytimg.com/vi/jUUdR2f47pg/hqdefault.jpg</v>
      </c>
      <c r="AM1038" t="s">
        <v>52</v>
      </c>
      <c r="AN1038" t="s">
        <v>53</v>
      </c>
    </row>
    <row r="1039" spans="1:40">
      <c r="A1039" t="s">
        <v>2370</v>
      </c>
      <c r="B1039" t="s">
        <v>3923</v>
      </c>
      <c r="C1039" t="s">
        <v>3927</v>
      </c>
      <c r="D1039" t="s">
        <v>52</v>
      </c>
      <c r="E1039" t="s">
        <v>3892</v>
      </c>
      <c r="F1039" t="s">
        <v>71</v>
      </c>
      <c r="G1039" t="str">
        <f>HYPERLINK("https://twitter.com/844296614835605504/status/1143284977276243968")</f>
        <v>https://twitter.com/844296614835605504/status/1143284977276243968</v>
      </c>
      <c r="H1039" t="s">
        <v>215</v>
      </c>
      <c r="I1039" t="s">
        <v>3893</v>
      </c>
      <c r="J1039" t="str">
        <f>HYPERLINK("http://twitter.com/1950sLibrarian")</f>
        <v>http://twitter.com/1950sLibrarian</v>
      </c>
      <c r="K1039">
        <v>91</v>
      </c>
      <c r="N1039" t="s">
        <v>65</v>
      </c>
      <c r="R1039" t="s">
        <v>60</v>
      </c>
      <c r="S1039" t="s">
        <v>1592</v>
      </c>
      <c r="T1039" t="s">
        <v>1819</v>
      </c>
      <c r="U1039" t="s">
        <v>3894</v>
      </c>
      <c r="W1039">
        <v>1</v>
      </c>
      <c r="X1039">
        <v>1</v>
      </c>
      <c r="AE1039">
        <v>0</v>
      </c>
      <c r="AF1039">
        <v>1</v>
      </c>
      <c r="AI1039" t="s">
        <v>108</v>
      </c>
      <c r="AJ1039" t="s">
        <v>52</v>
      </c>
      <c r="AK1039" t="s">
        <v>52</v>
      </c>
      <c r="AL1039" t="str">
        <f>HYPERLINK("https://pbs.twimg.com/media/D9XTkLWW4AAOYnJ.jpg")</f>
        <v>https://pbs.twimg.com/media/D9XTkLWW4AAOYnJ.jpg</v>
      </c>
      <c r="AM1039" t="s">
        <v>52</v>
      </c>
      <c r="AN1039" t="s">
        <v>53</v>
      </c>
    </row>
    <row r="1040" spans="1:40">
      <c r="A1040" t="s">
        <v>2370</v>
      </c>
      <c r="B1040" t="s">
        <v>3928</v>
      </c>
      <c r="C1040" t="s">
        <v>3929</v>
      </c>
      <c r="D1040" t="s">
        <v>52</v>
      </c>
      <c r="E1040" t="s">
        <v>3930</v>
      </c>
      <c r="F1040" t="s">
        <v>45</v>
      </c>
      <c r="G1040" t="str">
        <f>HYPERLINK("https://www.instagram.com/p/BzG_UdfBt_k")</f>
        <v>https://www.instagram.com/p/BzG_UdfBt_k</v>
      </c>
      <c r="H1040" t="s">
        <v>215</v>
      </c>
      <c r="I1040" t="s">
        <v>3931</v>
      </c>
      <c r="J1040" t="str">
        <f>HYPERLINK("http://instagram.com/tashchillin_3")</f>
        <v>http://instagram.com/tashchillin_3</v>
      </c>
      <c r="K1040">
        <v>1105</v>
      </c>
      <c r="N1040" t="s">
        <v>59</v>
      </c>
      <c r="O1040" t="s">
        <v>3931</v>
      </c>
      <c r="P1040" t="str">
        <f>HYPERLINK("http://instagram.com/tashchillin_3")</f>
        <v>http://instagram.com/tashchillin_3</v>
      </c>
      <c r="Q1040">
        <v>1105</v>
      </c>
      <c r="R1040" t="s">
        <v>60</v>
      </c>
      <c r="W1040">
        <v>10</v>
      </c>
      <c r="X1040">
        <v>10</v>
      </c>
      <c r="AE1040">
        <v>0</v>
      </c>
      <c r="AG1040">
        <v>28</v>
      </c>
      <c r="AI1040" t="s">
        <v>52</v>
      </c>
      <c r="AJ1040" t="s">
        <v>2277</v>
      </c>
      <c r="AK1040" t="s">
        <v>3932</v>
      </c>
      <c r="AL1040" t="str">
        <f>HYPERLINK("https://www.instagram.com/p/BzG_UdfBt_k/media/?size=l")</f>
        <v>https://www.instagram.com/p/BzG_UdfBt_k/media/?size=l</v>
      </c>
      <c r="AM1040" t="s">
        <v>52</v>
      </c>
      <c r="AN1040" t="s">
        <v>53</v>
      </c>
    </row>
    <row r="1041" spans="1:40">
      <c r="A1041" t="s">
        <v>2370</v>
      </c>
      <c r="B1041" t="s">
        <v>3928</v>
      </c>
      <c r="C1041" t="s">
        <v>3920</v>
      </c>
      <c r="D1041" t="s">
        <v>3933</v>
      </c>
      <c r="E1041" t="s">
        <v>3934</v>
      </c>
      <c r="F1041" t="s">
        <v>45</v>
      </c>
      <c r="G1041" t="str">
        <f>HYPERLINK("https://www.youtube.com/watch?v=E_9VXD1HL2Q")</f>
        <v>https://www.youtube.com/watch?v=E_9VXD1HL2Q</v>
      </c>
      <c r="H1041" t="s">
        <v>46</v>
      </c>
      <c r="I1041" t="s">
        <v>3935</v>
      </c>
      <c r="J1041" t="str">
        <f>HYPERLINK("https://www.youtube.com/channel/UCcGciRmPrtUixhmzga9Yl6Q")</f>
        <v>https://www.youtube.com/channel/UCcGciRmPrtUixhmzga9Yl6Q</v>
      </c>
      <c r="K1041">
        <v>27</v>
      </c>
      <c r="N1041" t="s">
        <v>116</v>
      </c>
      <c r="O1041" t="s">
        <v>3935</v>
      </c>
      <c r="P1041" t="str">
        <f>HYPERLINK("https://www.youtube.com/channel/UCcGciRmPrtUixhmzga9Yl6Q")</f>
        <v>https://www.youtube.com/channel/UCcGciRmPrtUixhmzga9Yl6Q</v>
      </c>
      <c r="Q1041">
        <v>27</v>
      </c>
      <c r="R1041" t="s">
        <v>60</v>
      </c>
      <c r="W1041">
        <v>0</v>
      </c>
      <c r="X1041">
        <v>0</v>
      </c>
      <c r="AD1041">
        <v>0</v>
      </c>
      <c r="AE1041">
        <v>0</v>
      </c>
      <c r="AG1041">
        <v>3</v>
      </c>
      <c r="AI1041" t="s">
        <v>52</v>
      </c>
      <c r="AJ1041" t="s">
        <v>3936</v>
      </c>
      <c r="AK1041" t="s">
        <v>52</v>
      </c>
      <c r="AL1041" t="str">
        <f>HYPERLINK("https://i.ytimg.com/vi/E_9VXD1HL2Q/hqdefault.jpg")</f>
        <v>https://i.ytimg.com/vi/E_9VXD1HL2Q/hqdefault.jpg</v>
      </c>
      <c r="AM1041" t="s">
        <v>52</v>
      </c>
      <c r="AN1041" t="s">
        <v>53</v>
      </c>
    </row>
    <row r="1042" spans="1:40">
      <c r="A1042" t="s">
        <v>2370</v>
      </c>
      <c r="B1042" t="s">
        <v>3937</v>
      </c>
      <c r="C1042" t="s">
        <v>3938</v>
      </c>
      <c r="D1042" t="s">
        <v>52</v>
      </c>
      <c r="E1042" t="s">
        <v>3939</v>
      </c>
      <c r="F1042" t="s">
        <v>71</v>
      </c>
      <c r="G1042" t="str">
        <f>HYPERLINK("https://twitter.com/882458119292452865/status/1143284480825864194")</f>
        <v>https://twitter.com/882458119292452865/status/1143284480825864194</v>
      </c>
      <c r="H1042" t="s">
        <v>46</v>
      </c>
      <c r="I1042" t="s">
        <v>3940</v>
      </c>
      <c r="J1042" t="str">
        <f>HYPERLINK("http://twitter.com/mannyfreshcobar")</f>
        <v>http://twitter.com/mannyfreshcobar</v>
      </c>
      <c r="K1042">
        <v>61</v>
      </c>
      <c r="N1042" t="s">
        <v>65</v>
      </c>
      <c r="R1042" t="s">
        <v>60</v>
      </c>
      <c r="S1042" t="s">
        <v>97</v>
      </c>
      <c r="T1042" t="s">
        <v>177</v>
      </c>
      <c r="U1042" t="s">
        <v>3941</v>
      </c>
      <c r="W1042">
        <v>2</v>
      </c>
      <c r="X1042">
        <v>2</v>
      </c>
      <c r="AE1042">
        <v>0</v>
      </c>
      <c r="AF1042">
        <v>0</v>
      </c>
      <c r="AI1042" t="s">
        <v>3942</v>
      </c>
      <c r="AJ1042" t="s">
        <v>52</v>
      </c>
      <c r="AK1042" t="s">
        <v>3943</v>
      </c>
      <c r="AL1042" t="str">
        <f>HYPERLINK("https://pbs.twimg.com/media/D92gKgXWsAEOS2-.jpg")</f>
        <v>https://pbs.twimg.com/media/D92gKgXWsAEOS2-.jpg</v>
      </c>
      <c r="AM1042" t="s">
        <v>52</v>
      </c>
      <c r="AN1042" t="s">
        <v>53</v>
      </c>
    </row>
    <row r="1043" spans="1:40">
      <c r="A1043" t="s">
        <v>2370</v>
      </c>
      <c r="B1043" t="s">
        <v>3944</v>
      </c>
      <c r="C1043" t="s">
        <v>3945</v>
      </c>
      <c r="D1043" t="s">
        <v>52</v>
      </c>
      <c r="E1043" t="s">
        <v>130</v>
      </c>
      <c r="F1043" t="s">
        <v>131</v>
      </c>
      <c r="G1043" t="str">
        <f>HYPERLINK("https://twitter.com/3309748235/status/1143284290450579457")</f>
        <v>https://twitter.com/3309748235/status/1143284290450579457</v>
      </c>
      <c r="H1043" t="s">
        <v>46</v>
      </c>
      <c r="I1043" t="s">
        <v>3946</v>
      </c>
      <c r="J1043" t="str">
        <f>HYPERLINK("http://twitter.com/CHennighan")</f>
        <v>http://twitter.com/CHennighan</v>
      </c>
      <c r="K1043">
        <v>97</v>
      </c>
      <c r="L1043" t="s">
        <v>58</v>
      </c>
      <c r="N1043" t="s">
        <v>65</v>
      </c>
      <c r="R1043" t="s">
        <v>60</v>
      </c>
      <c r="S1043" t="s">
        <v>97</v>
      </c>
      <c r="T1043" t="s">
        <v>177</v>
      </c>
      <c r="U1043" t="s">
        <v>3947</v>
      </c>
      <c r="W1043">
        <v>0</v>
      </c>
      <c r="X1043">
        <v>0</v>
      </c>
      <c r="AE1043">
        <v>0</v>
      </c>
      <c r="AI1043" t="s">
        <v>108</v>
      </c>
      <c r="AJ1043" t="s">
        <v>52</v>
      </c>
      <c r="AK1043" t="s">
        <v>52</v>
      </c>
      <c r="AL1043" t="str">
        <f>HYPERLINK("https://pbs.twimg.com/media/D9XTkLWW4AAOYnJ.jpg")</f>
        <v>https://pbs.twimg.com/media/D9XTkLWW4AAOYnJ.jpg</v>
      </c>
      <c r="AM1043" t="s">
        <v>52</v>
      </c>
      <c r="AN1043" t="s">
        <v>53</v>
      </c>
    </row>
    <row r="1044" spans="1:40">
      <c r="A1044" t="s">
        <v>2370</v>
      </c>
      <c r="B1044" t="s">
        <v>3948</v>
      </c>
      <c r="C1044" t="s">
        <v>3920</v>
      </c>
      <c r="D1044" t="s">
        <v>52</v>
      </c>
      <c r="E1044" t="s">
        <v>3949</v>
      </c>
      <c r="F1044" t="s">
        <v>95</v>
      </c>
      <c r="G1044" t="str">
        <f>HYPERLINK("https://twitter.com/1103838333535440896/status/1143283935914409985")</f>
        <v>https://twitter.com/1103838333535440896/status/1143283935914409985</v>
      </c>
      <c r="H1044" t="s">
        <v>46</v>
      </c>
      <c r="I1044" t="s">
        <v>3950</v>
      </c>
      <c r="J1044" t="str">
        <f>HYPERLINK("http://twitter.com/moderateDG")</f>
        <v>http://twitter.com/moderateDG</v>
      </c>
      <c r="K1044">
        <v>36</v>
      </c>
      <c r="N1044" t="s">
        <v>65</v>
      </c>
      <c r="R1044" t="s">
        <v>60</v>
      </c>
      <c r="W1044">
        <v>1</v>
      </c>
      <c r="X1044">
        <v>1</v>
      </c>
      <c r="AE1044">
        <v>1</v>
      </c>
      <c r="AF1044">
        <v>0</v>
      </c>
      <c r="AM1044" t="s">
        <v>52</v>
      </c>
      <c r="AN1044" t="s">
        <v>53</v>
      </c>
    </row>
    <row r="1045" spans="1:40">
      <c r="A1045" t="s">
        <v>2370</v>
      </c>
      <c r="B1045" t="s">
        <v>3951</v>
      </c>
      <c r="C1045" t="s">
        <v>3952</v>
      </c>
      <c r="D1045" t="s">
        <v>52</v>
      </c>
      <c r="E1045" t="s">
        <v>3953</v>
      </c>
      <c r="F1045" t="s">
        <v>45</v>
      </c>
      <c r="G1045" t="str">
        <f>HYPERLINK("https://twitter.com/3976500017/status/1143283862472142852")</f>
        <v>https://twitter.com/3976500017/status/1143283862472142852</v>
      </c>
      <c r="H1045" t="s">
        <v>91</v>
      </c>
      <c r="I1045" t="s">
        <v>1697</v>
      </c>
      <c r="J1045" t="str">
        <f>HYPERLINK("http://twitter.com/memerbot404")</f>
        <v>http://twitter.com/memerbot404</v>
      </c>
      <c r="K1045">
        <v>12</v>
      </c>
      <c r="L1045" t="s">
        <v>48</v>
      </c>
      <c r="N1045" t="s">
        <v>65</v>
      </c>
      <c r="R1045" t="s">
        <v>60</v>
      </c>
      <c r="S1045" t="s">
        <v>774</v>
      </c>
      <c r="W1045">
        <v>0</v>
      </c>
      <c r="X1045">
        <v>0</v>
      </c>
      <c r="AE1045">
        <v>0</v>
      </c>
      <c r="AF1045">
        <v>0</v>
      </c>
      <c r="AM1045" t="s">
        <v>52</v>
      </c>
      <c r="AN1045" t="s">
        <v>53</v>
      </c>
    </row>
    <row r="1046" spans="1:40">
      <c r="A1046" t="s">
        <v>2370</v>
      </c>
      <c r="B1046" t="s">
        <v>3951</v>
      </c>
      <c r="C1046" t="s">
        <v>3952</v>
      </c>
      <c r="D1046" t="s">
        <v>52</v>
      </c>
      <c r="E1046" t="s">
        <v>3954</v>
      </c>
      <c r="F1046" t="s">
        <v>131</v>
      </c>
      <c r="G1046" t="str">
        <f>HYPERLINK("https://twitter.com/1115030838943584256/status/1143283838661079040")</f>
        <v>https://twitter.com/1115030838943584256/status/1143283838661079040</v>
      </c>
      <c r="H1046" t="s">
        <v>46</v>
      </c>
      <c r="I1046" t="s">
        <v>3955</v>
      </c>
      <c r="J1046" t="str">
        <f>HYPERLINK("http://twitter.com/BTS4EVER_PT")</f>
        <v>http://twitter.com/BTS4EVER_PT</v>
      </c>
      <c r="K1046">
        <v>126</v>
      </c>
      <c r="N1046" t="s">
        <v>65</v>
      </c>
      <c r="R1046" t="s">
        <v>60</v>
      </c>
      <c r="W1046">
        <v>0</v>
      </c>
      <c r="X1046">
        <v>0</v>
      </c>
      <c r="AE1046">
        <v>0</v>
      </c>
      <c r="AI1046" t="s">
        <v>52</v>
      </c>
      <c r="AJ1046" t="s">
        <v>52</v>
      </c>
      <c r="AK1046" t="s">
        <v>52</v>
      </c>
      <c r="AL1046" t="str">
        <f>HYPERLINK("https://pbs.twimg.com/ext_tw_video_thumb/1143274961450229760/pu/img/grfG_QxeMwOowJjP.jpg")</f>
        <v>https://pbs.twimg.com/ext_tw_video_thumb/1143274961450229760/pu/img/grfG_QxeMwOowJjP.jpg</v>
      </c>
      <c r="AM1046" t="s">
        <v>52</v>
      </c>
      <c r="AN1046" t="s">
        <v>53</v>
      </c>
    </row>
    <row r="1047" spans="1:40">
      <c r="A1047" t="s">
        <v>2370</v>
      </c>
      <c r="B1047" t="s">
        <v>3951</v>
      </c>
      <c r="C1047" t="s">
        <v>3938</v>
      </c>
      <c r="D1047" t="s">
        <v>52</v>
      </c>
      <c r="E1047" t="s">
        <v>3956</v>
      </c>
      <c r="F1047" t="s">
        <v>131</v>
      </c>
      <c r="G1047" t="str">
        <f>HYPERLINK("https://twitter.com/1137914437690712064/status/1143283828972118017")</f>
        <v>https://twitter.com/1137914437690712064/status/1143283828972118017</v>
      </c>
      <c r="H1047" t="s">
        <v>46</v>
      </c>
      <c r="I1047" t="s">
        <v>3957</v>
      </c>
      <c r="J1047" t="str">
        <f>HYPERLINK("http://twitter.com/LosLos__")</f>
        <v>http://twitter.com/LosLos__</v>
      </c>
      <c r="K1047">
        <v>279</v>
      </c>
      <c r="N1047" t="s">
        <v>65</v>
      </c>
      <c r="R1047" t="s">
        <v>60</v>
      </c>
      <c r="S1047" t="s">
        <v>1403</v>
      </c>
      <c r="T1047" t="s">
        <v>3958</v>
      </c>
      <c r="U1047" t="s">
        <v>3959</v>
      </c>
      <c r="W1047">
        <v>0</v>
      </c>
      <c r="X1047">
        <v>0</v>
      </c>
      <c r="AE1047">
        <v>0</v>
      </c>
      <c r="AM1047" t="s">
        <v>52</v>
      </c>
      <c r="AN1047" t="s">
        <v>53</v>
      </c>
    </row>
    <row r="1048" spans="1:40">
      <c r="A1048" t="s">
        <v>2370</v>
      </c>
      <c r="B1048" t="s">
        <v>3951</v>
      </c>
      <c r="C1048" t="s">
        <v>3938</v>
      </c>
      <c r="D1048" t="s">
        <v>52</v>
      </c>
      <c r="E1048" t="s">
        <v>3960</v>
      </c>
      <c r="F1048" t="s">
        <v>95</v>
      </c>
      <c r="G1048" t="str">
        <f>HYPERLINK("https://twitter.com/1115030838943584256/status/1143283821657362432")</f>
        <v>https://twitter.com/1115030838943584256/status/1143283821657362432</v>
      </c>
      <c r="H1048" t="s">
        <v>46</v>
      </c>
      <c r="I1048" t="s">
        <v>3955</v>
      </c>
      <c r="J1048" t="str">
        <f>HYPERLINK("http://twitter.com/BTS4EVER_PT")</f>
        <v>http://twitter.com/BTS4EVER_PT</v>
      </c>
      <c r="K1048">
        <v>126</v>
      </c>
      <c r="N1048" t="s">
        <v>65</v>
      </c>
      <c r="R1048" t="s">
        <v>60</v>
      </c>
      <c r="W1048">
        <v>0</v>
      </c>
      <c r="X1048">
        <v>0</v>
      </c>
      <c r="AE1048">
        <v>0</v>
      </c>
      <c r="AF1048">
        <v>0</v>
      </c>
      <c r="AM1048" t="s">
        <v>52</v>
      </c>
      <c r="AN1048" t="s">
        <v>53</v>
      </c>
    </row>
    <row r="1049" spans="1:40">
      <c r="A1049" t="s">
        <v>2370</v>
      </c>
      <c r="B1049" t="s">
        <v>3951</v>
      </c>
      <c r="C1049" t="s">
        <v>3945</v>
      </c>
      <c r="D1049" t="s">
        <v>52</v>
      </c>
      <c r="E1049" t="s">
        <v>3961</v>
      </c>
      <c r="F1049" t="s">
        <v>45</v>
      </c>
      <c r="G1049" t="str">
        <f>HYPERLINK("https://twitter.com/2317778384/status/1143283786446192640")</f>
        <v>https://twitter.com/2317778384/status/1143283786446192640</v>
      </c>
      <c r="H1049" t="s">
        <v>46</v>
      </c>
      <c r="I1049" t="s">
        <v>3962</v>
      </c>
      <c r="J1049" t="str">
        <f>HYPERLINK("http://twitter.com/bigsean0fficial")</f>
        <v>http://twitter.com/bigsean0fficial</v>
      </c>
      <c r="K1049">
        <v>424</v>
      </c>
      <c r="N1049" t="s">
        <v>65</v>
      </c>
      <c r="R1049" t="s">
        <v>60</v>
      </c>
      <c r="W1049">
        <v>1</v>
      </c>
      <c r="X1049">
        <v>1</v>
      </c>
      <c r="AE1049">
        <v>1</v>
      </c>
      <c r="AF1049">
        <v>0</v>
      </c>
      <c r="AM1049" t="s">
        <v>52</v>
      </c>
      <c r="AN1049" t="s">
        <v>53</v>
      </c>
    </row>
    <row r="1050" spans="1:40">
      <c r="A1050" t="s">
        <v>2370</v>
      </c>
      <c r="B1050" t="s">
        <v>3951</v>
      </c>
      <c r="C1050" t="s">
        <v>3836</v>
      </c>
      <c r="D1050" t="s">
        <v>3963</v>
      </c>
      <c r="E1050" t="s">
        <v>3964</v>
      </c>
      <c r="F1050" t="s">
        <v>95</v>
      </c>
      <c r="G1050" t="str">
        <f>HYPERLINK("http://www.worldstarhiphop.com/videos/video.php?v=wshholF2TgdhI3PFbmq1#comment-4514757579")</f>
        <v>http://www.worldstarhiphop.com/videos/video.php?v=wshholF2TgdhI3PFbmq1#comment-4514757579</v>
      </c>
      <c r="H1050" t="s">
        <v>46</v>
      </c>
      <c r="I1050" t="s">
        <v>3965</v>
      </c>
      <c r="J1050" t="str">
        <f>HYPERLINK("https://disqus.com/by/love10001/")</f>
        <v>https://disqus.com/by/love10001/</v>
      </c>
      <c r="K1050">
        <v>0</v>
      </c>
      <c r="N1050" t="s">
        <v>3966</v>
      </c>
      <c r="O1050" t="s">
        <v>3967</v>
      </c>
      <c r="P1050" t="str">
        <f>HYPERLINK("https://disqus.com/home/forum/worldstar/")</f>
        <v>https://disqus.com/home/forum/worldstar/</v>
      </c>
      <c r="R1050" t="s">
        <v>50</v>
      </c>
      <c r="W1050">
        <v>1</v>
      </c>
      <c r="X1050">
        <v>1</v>
      </c>
      <c r="AM1050" t="s">
        <v>52</v>
      </c>
      <c r="AN1050" t="s">
        <v>53</v>
      </c>
    </row>
    <row r="1051" spans="1:40">
      <c r="A1051" t="s">
        <v>2370</v>
      </c>
      <c r="B1051" t="s">
        <v>3951</v>
      </c>
      <c r="C1051" t="s">
        <v>3968</v>
      </c>
      <c r="D1051" t="s">
        <v>52</v>
      </c>
      <c r="E1051" t="s">
        <v>3969</v>
      </c>
      <c r="F1051" t="s">
        <v>95</v>
      </c>
      <c r="G1051" t="str">
        <f>HYPERLINK("https://twitter.com/932026984623828992/status/1143283679696838657")</f>
        <v>https://twitter.com/932026984623828992/status/1143283679696838657</v>
      </c>
      <c r="H1051" t="s">
        <v>46</v>
      </c>
      <c r="I1051" t="s">
        <v>3970</v>
      </c>
      <c r="J1051" t="str">
        <f>HYPERLINK("http://twitter.com/DoorCurtain")</f>
        <v>http://twitter.com/DoorCurtain</v>
      </c>
      <c r="K1051">
        <v>41</v>
      </c>
      <c r="L1051" t="s">
        <v>48</v>
      </c>
      <c r="N1051" t="s">
        <v>65</v>
      </c>
      <c r="R1051" t="s">
        <v>60</v>
      </c>
      <c r="W1051">
        <v>0</v>
      </c>
      <c r="X1051">
        <v>0</v>
      </c>
      <c r="AE1051">
        <v>0</v>
      </c>
      <c r="AF1051">
        <v>0</v>
      </c>
      <c r="AM1051" t="s">
        <v>52</v>
      </c>
      <c r="AN1051" t="s">
        <v>53</v>
      </c>
    </row>
    <row r="1052" spans="1:40">
      <c r="A1052" t="s">
        <v>2370</v>
      </c>
      <c r="B1052" t="s">
        <v>3971</v>
      </c>
      <c r="C1052" t="s">
        <v>3836</v>
      </c>
      <c r="D1052" t="s">
        <v>3963</v>
      </c>
      <c r="E1052" t="s">
        <v>3972</v>
      </c>
      <c r="F1052" t="s">
        <v>95</v>
      </c>
      <c r="G1052" t="str">
        <f>HYPERLINK("http://www.worldstarhiphop.com/videos/video.php?v=wshholF2TgdhI3PFbmq1#comment-4514756760")</f>
        <v>http://www.worldstarhiphop.com/videos/video.php?v=wshholF2TgdhI3PFbmq1#comment-4514756760</v>
      </c>
      <c r="H1052" t="s">
        <v>46</v>
      </c>
      <c r="I1052" t="s">
        <v>3973</v>
      </c>
      <c r="J1052" t="str">
        <f>HYPERLINK("https://disqus.com/by/disqus_k6jGGlLKCR/")</f>
        <v>https://disqus.com/by/disqus_k6jGGlLKCR/</v>
      </c>
      <c r="K1052">
        <v>1</v>
      </c>
      <c r="N1052" t="s">
        <v>3966</v>
      </c>
      <c r="O1052" t="s">
        <v>3967</v>
      </c>
      <c r="P1052" t="str">
        <f>HYPERLINK("https://disqus.com/home/forum/worldstar/")</f>
        <v>https://disqus.com/home/forum/worldstar/</v>
      </c>
      <c r="R1052" t="s">
        <v>50</v>
      </c>
      <c r="W1052">
        <v>1</v>
      </c>
      <c r="X1052">
        <v>1</v>
      </c>
      <c r="AM1052" t="s">
        <v>52</v>
      </c>
      <c r="AN1052" t="s">
        <v>53</v>
      </c>
    </row>
    <row r="1053" spans="1:40">
      <c r="A1053" t="s">
        <v>2370</v>
      </c>
      <c r="B1053" t="s">
        <v>3974</v>
      </c>
      <c r="C1053" t="s">
        <v>3975</v>
      </c>
      <c r="D1053" t="s">
        <v>52</v>
      </c>
      <c r="E1053" t="s">
        <v>3976</v>
      </c>
      <c r="F1053" t="s">
        <v>45</v>
      </c>
      <c r="G1053" t="str">
        <f>HYPERLINK("https://twitter.com/592433196/status/1143282942422245376")</f>
        <v>https://twitter.com/592433196/status/1143282942422245376</v>
      </c>
      <c r="H1053" t="s">
        <v>46</v>
      </c>
      <c r="I1053" t="s">
        <v>3977</v>
      </c>
      <c r="J1053" t="str">
        <f>HYPERLINK("http://twitter.com/iamjeiru")</f>
        <v>http://twitter.com/iamjeiru</v>
      </c>
      <c r="K1053">
        <v>907</v>
      </c>
      <c r="N1053" t="s">
        <v>65</v>
      </c>
      <c r="R1053" t="s">
        <v>60</v>
      </c>
      <c r="S1053" t="s">
        <v>51</v>
      </c>
      <c r="T1053" t="s">
        <v>73</v>
      </c>
      <c r="U1053" t="s">
        <v>3978</v>
      </c>
      <c r="W1053">
        <v>0</v>
      </c>
      <c r="X1053">
        <v>0</v>
      </c>
      <c r="AE1053">
        <v>0</v>
      </c>
      <c r="AF1053">
        <v>0</v>
      </c>
      <c r="AM1053" t="s">
        <v>52</v>
      </c>
      <c r="AN1053" t="s">
        <v>53</v>
      </c>
    </row>
    <row r="1054" spans="1:40">
      <c r="A1054" t="s">
        <v>2370</v>
      </c>
      <c r="B1054" t="s">
        <v>3974</v>
      </c>
      <c r="C1054" t="s">
        <v>3920</v>
      </c>
      <c r="D1054" t="s">
        <v>52</v>
      </c>
      <c r="E1054" t="s">
        <v>3979</v>
      </c>
      <c r="F1054" t="s">
        <v>95</v>
      </c>
      <c r="G1054" t="str">
        <f>HYPERLINK("https://twitter.com/719369722257649664/status/1143282934020886531")</f>
        <v>https://twitter.com/719369722257649664/status/1143282934020886531</v>
      </c>
      <c r="H1054" t="s">
        <v>46</v>
      </c>
      <c r="I1054" t="s">
        <v>3980</v>
      </c>
      <c r="J1054" t="str">
        <f>HYPERLINK("http://twitter.com/themistyview")</f>
        <v>http://twitter.com/themistyview</v>
      </c>
      <c r="K1054">
        <v>337</v>
      </c>
      <c r="L1054" t="s">
        <v>58</v>
      </c>
      <c r="N1054" t="s">
        <v>65</v>
      </c>
      <c r="R1054" t="s">
        <v>60</v>
      </c>
      <c r="S1054" t="s">
        <v>51</v>
      </c>
      <c r="T1054" t="s">
        <v>738</v>
      </c>
      <c r="W1054">
        <v>0</v>
      </c>
      <c r="X1054">
        <v>0</v>
      </c>
      <c r="AE1054">
        <v>0</v>
      </c>
      <c r="AF1054">
        <v>0</v>
      </c>
      <c r="AM1054" t="s">
        <v>52</v>
      </c>
      <c r="AN1054" t="s">
        <v>53</v>
      </c>
    </row>
    <row r="1055" spans="1:40">
      <c r="A1055" t="s">
        <v>2370</v>
      </c>
      <c r="B1055" t="s">
        <v>3981</v>
      </c>
      <c r="C1055" t="s">
        <v>3938</v>
      </c>
      <c r="D1055" t="s">
        <v>52</v>
      </c>
      <c r="E1055" t="s">
        <v>3982</v>
      </c>
      <c r="F1055" t="s">
        <v>45</v>
      </c>
      <c r="G1055" t="str">
        <f>HYPERLINK("https://twitter.com/980835419712520192/status/1143282855788908551")</f>
        <v>https://twitter.com/980835419712520192/status/1143282855788908551</v>
      </c>
      <c r="H1055" t="s">
        <v>46</v>
      </c>
      <c r="I1055" t="s">
        <v>3983</v>
      </c>
      <c r="J1055" t="str">
        <f>HYPERLINK("http://twitter.com/uhborge")</f>
        <v>http://twitter.com/uhborge</v>
      </c>
      <c r="K1055">
        <v>33</v>
      </c>
      <c r="N1055" t="s">
        <v>65</v>
      </c>
      <c r="R1055" t="s">
        <v>60</v>
      </c>
      <c r="S1055" t="s">
        <v>387</v>
      </c>
      <c r="T1055" t="s">
        <v>2251</v>
      </c>
      <c r="U1055" t="s">
        <v>3984</v>
      </c>
      <c r="W1055">
        <v>0</v>
      </c>
      <c r="X1055">
        <v>0</v>
      </c>
      <c r="AE1055">
        <v>0</v>
      </c>
      <c r="AF1055">
        <v>0</v>
      </c>
      <c r="AL1055" t="str">
        <f>HYPERLINK("https://pbs.twimg.com/media/D93BslSXUAEceL5.jpg")</f>
        <v>https://pbs.twimg.com/media/D93BslSXUAEceL5.jpg</v>
      </c>
      <c r="AM1055" t="s">
        <v>52</v>
      </c>
      <c r="AN1055" t="s">
        <v>53</v>
      </c>
    </row>
    <row r="1056" spans="1:40">
      <c r="A1056" t="s">
        <v>2370</v>
      </c>
      <c r="B1056" t="s">
        <v>3981</v>
      </c>
      <c r="C1056" t="s">
        <v>3985</v>
      </c>
      <c r="D1056" t="s">
        <v>52</v>
      </c>
      <c r="E1056" t="s">
        <v>3986</v>
      </c>
      <c r="F1056" t="s">
        <v>95</v>
      </c>
      <c r="G1056" t="str">
        <f>HYPERLINK("https://twitter.com/719369722257649664/status/1143282711613718528")</f>
        <v>https://twitter.com/719369722257649664/status/1143282711613718528</v>
      </c>
      <c r="H1056" t="s">
        <v>46</v>
      </c>
      <c r="I1056" t="s">
        <v>3980</v>
      </c>
      <c r="J1056" t="str">
        <f>HYPERLINK("http://twitter.com/themistyview")</f>
        <v>http://twitter.com/themistyview</v>
      </c>
      <c r="K1056">
        <v>337</v>
      </c>
      <c r="L1056" t="s">
        <v>58</v>
      </c>
      <c r="N1056" t="s">
        <v>65</v>
      </c>
      <c r="R1056" t="s">
        <v>60</v>
      </c>
      <c r="S1056" t="s">
        <v>51</v>
      </c>
      <c r="T1056" t="s">
        <v>738</v>
      </c>
      <c r="W1056">
        <v>0</v>
      </c>
      <c r="X1056">
        <v>0</v>
      </c>
      <c r="AE1056">
        <v>0</v>
      </c>
      <c r="AF1056">
        <v>0</v>
      </c>
      <c r="AM1056" t="s">
        <v>52</v>
      </c>
      <c r="AN1056" t="s">
        <v>53</v>
      </c>
    </row>
    <row r="1057" spans="1:40">
      <c r="A1057" t="s">
        <v>2370</v>
      </c>
      <c r="B1057" t="s">
        <v>3981</v>
      </c>
      <c r="C1057" t="s">
        <v>1579</v>
      </c>
      <c r="D1057" t="s">
        <v>52</v>
      </c>
      <c r="E1057" t="s">
        <v>3987</v>
      </c>
      <c r="F1057" t="s">
        <v>45</v>
      </c>
      <c r="G1057" t="str">
        <f>HYPERLINK("https://www.instagram.com/p/BzG-pZsBN9e")</f>
        <v>https://www.instagram.com/p/BzG-pZsBN9e</v>
      </c>
      <c r="H1057" t="s">
        <v>46</v>
      </c>
      <c r="I1057" t="s">
        <v>3988</v>
      </c>
      <c r="J1057" t="str">
        <f>HYPERLINK("http://instagram.com/messsy.chabela")</f>
        <v>http://instagram.com/messsy.chabela</v>
      </c>
      <c r="K1057">
        <v>81</v>
      </c>
      <c r="N1057" t="s">
        <v>59</v>
      </c>
      <c r="O1057" t="s">
        <v>3988</v>
      </c>
      <c r="P1057" t="str">
        <f>HYPERLINK("http://instagram.com/messsy.chabela")</f>
        <v>http://instagram.com/messsy.chabela</v>
      </c>
      <c r="Q1057">
        <v>81</v>
      </c>
      <c r="R1057" t="s">
        <v>60</v>
      </c>
      <c r="W1057">
        <v>7</v>
      </c>
      <c r="X1057">
        <v>7</v>
      </c>
      <c r="AE1057">
        <v>0</v>
      </c>
      <c r="AI1057" t="s">
        <v>108</v>
      </c>
      <c r="AJ1057" t="s">
        <v>52</v>
      </c>
      <c r="AK1057" t="s">
        <v>52</v>
      </c>
      <c r="AL1057" t="str">
        <f>HYPERLINK("https://www.instagram.com/p/BzG-pZsBN9e/media/?size=l")</f>
        <v>https://www.instagram.com/p/BzG-pZsBN9e/media/?size=l</v>
      </c>
      <c r="AM1057" t="s">
        <v>52</v>
      </c>
      <c r="AN1057" t="s">
        <v>53</v>
      </c>
    </row>
    <row r="1058" spans="1:40">
      <c r="A1058" t="s">
        <v>2370</v>
      </c>
      <c r="B1058" t="s">
        <v>3989</v>
      </c>
      <c r="C1058" t="s">
        <v>3945</v>
      </c>
      <c r="D1058" t="s">
        <v>52</v>
      </c>
      <c r="E1058" t="s">
        <v>130</v>
      </c>
      <c r="F1058" t="s">
        <v>131</v>
      </c>
      <c r="G1058" t="str">
        <f>HYPERLINK("https://twitter.com/235994183/status/1143282291873079304")</f>
        <v>https://twitter.com/235994183/status/1143282291873079304</v>
      </c>
      <c r="H1058" t="s">
        <v>46</v>
      </c>
      <c r="I1058" t="s">
        <v>3990</v>
      </c>
      <c r="J1058" t="str">
        <f>HYPERLINK("http://twitter.com/ajbe78")</f>
        <v>http://twitter.com/ajbe78</v>
      </c>
      <c r="K1058">
        <v>225</v>
      </c>
      <c r="N1058" t="s">
        <v>65</v>
      </c>
      <c r="R1058" t="s">
        <v>60</v>
      </c>
      <c r="S1058" t="s">
        <v>97</v>
      </c>
      <c r="T1058" t="s">
        <v>177</v>
      </c>
      <c r="U1058" t="s">
        <v>195</v>
      </c>
      <c r="W1058">
        <v>0</v>
      </c>
      <c r="X1058">
        <v>0</v>
      </c>
      <c r="AE1058">
        <v>0</v>
      </c>
      <c r="AI1058" t="s">
        <v>108</v>
      </c>
      <c r="AJ1058" t="s">
        <v>52</v>
      </c>
      <c r="AK1058" t="s">
        <v>52</v>
      </c>
      <c r="AL1058" t="str">
        <f>HYPERLINK("https://pbs.twimg.com/media/D9XTkLWW4AAOYnJ.jpg")</f>
        <v>https://pbs.twimg.com/media/D9XTkLWW4AAOYnJ.jpg</v>
      </c>
      <c r="AM1058" t="s">
        <v>52</v>
      </c>
      <c r="AN1058" t="s">
        <v>53</v>
      </c>
    </row>
    <row r="1059" spans="1:40">
      <c r="A1059" t="s">
        <v>2370</v>
      </c>
      <c r="B1059" t="s">
        <v>3991</v>
      </c>
      <c r="C1059" t="s">
        <v>3975</v>
      </c>
      <c r="D1059" t="s">
        <v>52</v>
      </c>
      <c r="E1059" t="s">
        <v>3992</v>
      </c>
      <c r="F1059" t="s">
        <v>95</v>
      </c>
      <c r="G1059" t="str">
        <f>HYPERLINK("https://twitter.com/1137144290000408576/status/1143281683766161408")</f>
        <v>https://twitter.com/1137144290000408576/status/1143281683766161408</v>
      </c>
      <c r="H1059" t="s">
        <v>215</v>
      </c>
      <c r="I1059" t="s">
        <v>3993</v>
      </c>
      <c r="J1059" t="str">
        <f>HYPERLINK("http://twitter.com/Rodolfo98985659")</f>
        <v>http://twitter.com/Rodolfo98985659</v>
      </c>
      <c r="K1059">
        <v>0</v>
      </c>
      <c r="L1059" t="s">
        <v>48</v>
      </c>
      <c r="N1059" t="s">
        <v>65</v>
      </c>
      <c r="R1059" t="s">
        <v>60</v>
      </c>
      <c r="W1059">
        <v>0</v>
      </c>
      <c r="X1059">
        <v>0</v>
      </c>
      <c r="AE1059">
        <v>0</v>
      </c>
      <c r="AF1059">
        <v>0</v>
      </c>
      <c r="AM1059" t="s">
        <v>52</v>
      </c>
      <c r="AN1059" t="s">
        <v>53</v>
      </c>
    </row>
    <row r="1060" spans="1:40">
      <c r="A1060" t="s">
        <v>2370</v>
      </c>
      <c r="B1060" t="s">
        <v>3994</v>
      </c>
      <c r="C1060" t="s">
        <v>3995</v>
      </c>
      <c r="D1060" t="s">
        <v>52</v>
      </c>
      <c r="E1060" t="s">
        <v>3996</v>
      </c>
      <c r="F1060" t="s">
        <v>45</v>
      </c>
      <c r="G1060" t="str">
        <f>HYPERLINK("https://twitter.com/1117692996/status/1143281501439778816")</f>
        <v>https://twitter.com/1117692996/status/1143281501439778816</v>
      </c>
      <c r="H1060" t="s">
        <v>46</v>
      </c>
      <c r="I1060" t="s">
        <v>3997</v>
      </c>
      <c r="J1060" t="str">
        <f>HYPERLINK("http://twitter.com/neyeencarp_")</f>
        <v>http://twitter.com/neyeencarp_</v>
      </c>
      <c r="K1060">
        <v>1270</v>
      </c>
      <c r="N1060" t="s">
        <v>65</v>
      </c>
      <c r="R1060" t="s">
        <v>60</v>
      </c>
      <c r="S1060" t="s">
        <v>1322</v>
      </c>
      <c r="T1060" t="s">
        <v>3998</v>
      </c>
      <c r="U1060" t="s">
        <v>3999</v>
      </c>
      <c r="W1060">
        <v>0</v>
      </c>
      <c r="X1060">
        <v>0</v>
      </c>
      <c r="AE1060">
        <v>0</v>
      </c>
      <c r="AF1060">
        <v>0</v>
      </c>
      <c r="AM1060" t="s">
        <v>52</v>
      </c>
      <c r="AN1060" t="s">
        <v>53</v>
      </c>
    </row>
    <row r="1061" spans="1:40">
      <c r="A1061" t="s">
        <v>2370</v>
      </c>
      <c r="B1061" t="s">
        <v>4000</v>
      </c>
      <c r="C1061" t="s">
        <v>4001</v>
      </c>
      <c r="D1061" t="s">
        <v>52</v>
      </c>
      <c r="E1061" t="s">
        <v>4002</v>
      </c>
      <c r="F1061" t="s">
        <v>71</v>
      </c>
      <c r="G1061" t="str">
        <f>HYPERLINK("https://twitter.com/1088601041271177218/status/1143281333264953346")</f>
        <v>https://twitter.com/1088601041271177218/status/1143281333264953346</v>
      </c>
      <c r="H1061" t="s">
        <v>46</v>
      </c>
      <c r="I1061" t="s">
        <v>4003</v>
      </c>
      <c r="J1061" t="str">
        <f>HYPERLINK("http://twitter.com/yourlocalsia")</f>
        <v>http://twitter.com/yourlocalsia</v>
      </c>
      <c r="K1061">
        <v>133</v>
      </c>
      <c r="N1061" t="s">
        <v>65</v>
      </c>
      <c r="R1061" t="s">
        <v>60</v>
      </c>
      <c r="W1061">
        <v>0</v>
      </c>
      <c r="X1061">
        <v>0</v>
      </c>
      <c r="AE1061">
        <v>0</v>
      </c>
      <c r="AF1061">
        <v>0</v>
      </c>
      <c r="AM1061" t="s">
        <v>52</v>
      </c>
      <c r="AN1061" t="s">
        <v>53</v>
      </c>
    </row>
    <row r="1062" spans="1:40">
      <c r="A1062" t="s">
        <v>2370</v>
      </c>
      <c r="B1062" t="s">
        <v>4000</v>
      </c>
      <c r="C1062" t="s">
        <v>1699</v>
      </c>
      <c r="D1062" t="s">
        <v>52</v>
      </c>
      <c r="E1062" t="s">
        <v>4004</v>
      </c>
      <c r="F1062" t="s">
        <v>45</v>
      </c>
      <c r="G1062" t="str">
        <f>HYPERLINK("https://www.instagram.com/p/BzG9-jPIo4V")</f>
        <v>https://www.instagram.com/p/BzG9-jPIo4V</v>
      </c>
      <c r="H1062" t="s">
        <v>46</v>
      </c>
      <c r="I1062" t="s">
        <v>4005</v>
      </c>
      <c r="J1062" t="str">
        <f>HYPERLINK("http://instagram.com/lonesome_llama")</f>
        <v>http://instagram.com/lonesome_llama</v>
      </c>
      <c r="K1062">
        <v>249</v>
      </c>
      <c r="N1062" t="s">
        <v>59</v>
      </c>
      <c r="O1062" t="s">
        <v>4005</v>
      </c>
      <c r="P1062" t="str">
        <f>HYPERLINK("http://instagram.com/lonesome_llama")</f>
        <v>http://instagram.com/lonesome_llama</v>
      </c>
      <c r="Q1062">
        <v>249</v>
      </c>
      <c r="R1062" t="s">
        <v>60</v>
      </c>
      <c r="W1062">
        <v>9</v>
      </c>
      <c r="X1062">
        <v>9</v>
      </c>
      <c r="AE1062">
        <v>1</v>
      </c>
      <c r="AI1062" t="s">
        <v>108</v>
      </c>
      <c r="AJ1062" t="s">
        <v>4006</v>
      </c>
      <c r="AK1062" t="s">
        <v>52</v>
      </c>
      <c r="AL1062" t="str">
        <f>HYPERLINK("https://www.instagram.com/p/BzG9-jPIo4V/media/?size=l")</f>
        <v>https://www.instagram.com/p/BzG9-jPIo4V/media/?size=l</v>
      </c>
      <c r="AM1062" t="s">
        <v>52</v>
      </c>
      <c r="AN1062" t="s">
        <v>53</v>
      </c>
    </row>
    <row r="1063" spans="1:40">
      <c r="A1063" t="s">
        <v>2370</v>
      </c>
      <c r="B1063" t="s">
        <v>4000</v>
      </c>
      <c r="C1063" t="s">
        <v>4007</v>
      </c>
      <c r="D1063" t="s">
        <v>52</v>
      </c>
      <c r="E1063" t="s">
        <v>130</v>
      </c>
      <c r="F1063" t="s">
        <v>131</v>
      </c>
      <c r="G1063" t="str">
        <f>HYPERLINK("https://twitter.com/241896075/status/1143281219154653186")</f>
        <v>https://twitter.com/241896075/status/1143281219154653186</v>
      </c>
      <c r="H1063" t="s">
        <v>46</v>
      </c>
      <c r="I1063" t="s">
        <v>4008</v>
      </c>
      <c r="J1063" t="str">
        <f>HYPERLINK("http://twitter.com/mand47")</f>
        <v>http://twitter.com/mand47</v>
      </c>
      <c r="K1063">
        <v>591</v>
      </c>
      <c r="N1063" t="s">
        <v>65</v>
      </c>
      <c r="R1063" t="s">
        <v>60</v>
      </c>
      <c r="S1063" t="s">
        <v>97</v>
      </c>
      <c r="T1063" t="s">
        <v>177</v>
      </c>
      <c r="U1063" t="s">
        <v>4009</v>
      </c>
      <c r="W1063">
        <v>0</v>
      </c>
      <c r="X1063">
        <v>0</v>
      </c>
      <c r="AE1063">
        <v>0</v>
      </c>
      <c r="AI1063" t="s">
        <v>108</v>
      </c>
      <c r="AJ1063" t="s">
        <v>52</v>
      </c>
      <c r="AK1063" t="s">
        <v>52</v>
      </c>
      <c r="AL1063" t="str">
        <f>HYPERLINK("https://pbs.twimg.com/media/D9XTkLWW4AAOYnJ.jpg")</f>
        <v>https://pbs.twimg.com/media/D9XTkLWW4AAOYnJ.jpg</v>
      </c>
      <c r="AM1063" t="s">
        <v>52</v>
      </c>
      <c r="AN1063" t="s">
        <v>53</v>
      </c>
    </row>
    <row r="1064" spans="1:40">
      <c r="A1064" t="s">
        <v>2370</v>
      </c>
      <c r="B1064" t="s">
        <v>4010</v>
      </c>
      <c r="C1064" t="s">
        <v>4011</v>
      </c>
      <c r="D1064" t="s">
        <v>52</v>
      </c>
      <c r="E1064" t="s">
        <v>4012</v>
      </c>
      <c r="F1064" t="s">
        <v>45</v>
      </c>
      <c r="G1064" t="str">
        <f>HYPERLINK("https://www.facebook.com/726315847385449/posts/2773618679321812")</f>
        <v>https://www.facebook.com/726315847385449/posts/2773618679321812</v>
      </c>
      <c r="H1064" t="s">
        <v>46</v>
      </c>
      <c r="N1064" t="s">
        <v>1792</v>
      </c>
      <c r="O1064" t="s">
        <v>108</v>
      </c>
      <c r="P1064" t="str">
        <f>HYPERLINK("https://www.facebook.com/726315847385449")</f>
        <v>https://www.facebook.com/726315847385449</v>
      </c>
      <c r="Q1064">
        <v>16725504</v>
      </c>
      <c r="R1064" t="s">
        <v>60</v>
      </c>
      <c r="W1064">
        <v>0</v>
      </c>
      <c r="X1064">
        <v>0</v>
      </c>
      <c r="AE1064">
        <v>0</v>
      </c>
      <c r="AF1064">
        <v>0</v>
      </c>
      <c r="AM1064" t="s">
        <v>52</v>
      </c>
      <c r="AN1064" t="s">
        <v>53</v>
      </c>
    </row>
    <row r="1065" spans="1:40">
      <c r="A1065" t="s">
        <v>2370</v>
      </c>
      <c r="B1065" t="s">
        <v>4010</v>
      </c>
      <c r="C1065" t="s">
        <v>4013</v>
      </c>
      <c r="D1065" t="s">
        <v>52</v>
      </c>
      <c r="E1065" t="s">
        <v>4014</v>
      </c>
      <c r="F1065" t="s">
        <v>45</v>
      </c>
      <c r="G1065" t="str">
        <f>HYPERLINK("https://twitter.com/1133878250629935104/status/1143281081979985920")</f>
        <v>https://twitter.com/1133878250629935104/status/1143281081979985920</v>
      </c>
      <c r="H1065" t="s">
        <v>46</v>
      </c>
      <c r="I1065" t="s">
        <v>3667</v>
      </c>
      <c r="J1065" t="str">
        <f>HYPERLINK("http://twitter.com/Lydia56638590")</f>
        <v>http://twitter.com/Lydia56638590</v>
      </c>
      <c r="K1065">
        <v>0</v>
      </c>
      <c r="L1065" t="s">
        <v>58</v>
      </c>
      <c r="N1065" t="s">
        <v>65</v>
      </c>
      <c r="R1065" t="s">
        <v>60</v>
      </c>
      <c r="W1065">
        <v>0</v>
      </c>
      <c r="X1065">
        <v>0</v>
      </c>
      <c r="AE1065">
        <v>0</v>
      </c>
      <c r="AF1065">
        <v>0</v>
      </c>
      <c r="AM1065" t="s">
        <v>52</v>
      </c>
      <c r="AN1065" t="s">
        <v>53</v>
      </c>
    </row>
    <row r="1066" spans="1:40">
      <c r="A1066" t="s">
        <v>2370</v>
      </c>
      <c r="B1066" t="s">
        <v>4015</v>
      </c>
      <c r="C1066" t="s">
        <v>4016</v>
      </c>
      <c r="D1066" t="s">
        <v>52</v>
      </c>
      <c r="E1066" t="s">
        <v>130</v>
      </c>
      <c r="F1066" t="s">
        <v>131</v>
      </c>
      <c r="G1066" t="str">
        <f>HYPERLINK("https://twitter.com/310551519/status/1143280653766680576")</f>
        <v>https://twitter.com/310551519/status/1143280653766680576</v>
      </c>
      <c r="H1066" t="s">
        <v>46</v>
      </c>
      <c r="I1066" t="s">
        <v>4017</v>
      </c>
      <c r="J1066" t="str">
        <f>HYPERLINK("http://twitter.com/bottyzuk")</f>
        <v>http://twitter.com/bottyzuk</v>
      </c>
      <c r="K1066">
        <v>31</v>
      </c>
      <c r="L1066" t="s">
        <v>48</v>
      </c>
      <c r="N1066" t="s">
        <v>65</v>
      </c>
      <c r="R1066" t="s">
        <v>60</v>
      </c>
      <c r="S1066" t="s">
        <v>97</v>
      </c>
      <c r="T1066" t="s">
        <v>177</v>
      </c>
      <c r="U1066" t="s">
        <v>4018</v>
      </c>
      <c r="W1066">
        <v>0</v>
      </c>
      <c r="X1066">
        <v>0</v>
      </c>
      <c r="AE1066">
        <v>0</v>
      </c>
      <c r="AI1066" t="s">
        <v>108</v>
      </c>
      <c r="AJ1066" t="s">
        <v>52</v>
      </c>
      <c r="AK1066" t="s">
        <v>52</v>
      </c>
      <c r="AL1066" t="str">
        <f>HYPERLINK("https://pbs.twimg.com/media/D9XTkLWW4AAOYnJ.jpg")</f>
        <v>https://pbs.twimg.com/media/D9XTkLWW4AAOYnJ.jpg</v>
      </c>
      <c r="AM1066" t="s">
        <v>52</v>
      </c>
      <c r="AN1066" t="s">
        <v>53</v>
      </c>
    </row>
    <row r="1067" spans="1:40">
      <c r="A1067" t="s">
        <v>2370</v>
      </c>
      <c r="B1067" t="s">
        <v>4019</v>
      </c>
      <c r="C1067" t="s">
        <v>4016</v>
      </c>
      <c r="D1067" t="s">
        <v>52</v>
      </c>
      <c r="E1067" t="s">
        <v>4020</v>
      </c>
      <c r="F1067" t="s">
        <v>95</v>
      </c>
      <c r="G1067" t="str">
        <f>HYPERLINK("https://twitter.com/896934887852318721/status/1143280623102173185")</f>
        <v>https://twitter.com/896934887852318721/status/1143280623102173185</v>
      </c>
      <c r="H1067" t="s">
        <v>46</v>
      </c>
      <c r="I1067" t="s">
        <v>4021</v>
      </c>
      <c r="J1067" t="str">
        <f>HYPERLINK("http://twitter.com/Eddy290692")</f>
        <v>http://twitter.com/Eddy290692</v>
      </c>
      <c r="K1067">
        <v>422</v>
      </c>
      <c r="L1067" t="s">
        <v>48</v>
      </c>
      <c r="N1067" t="s">
        <v>65</v>
      </c>
      <c r="R1067" t="s">
        <v>60</v>
      </c>
      <c r="W1067">
        <v>0</v>
      </c>
      <c r="X1067">
        <v>0</v>
      </c>
      <c r="AE1067">
        <v>1</v>
      </c>
      <c r="AF1067">
        <v>0</v>
      </c>
      <c r="AM1067" t="s">
        <v>52</v>
      </c>
      <c r="AN1067" t="s">
        <v>53</v>
      </c>
    </row>
    <row r="1068" spans="1:40">
      <c r="A1068" t="s">
        <v>2370</v>
      </c>
      <c r="B1068" t="s">
        <v>4019</v>
      </c>
      <c r="C1068" t="s">
        <v>4022</v>
      </c>
      <c r="D1068" t="s">
        <v>52</v>
      </c>
      <c r="E1068" t="s">
        <v>4023</v>
      </c>
      <c r="F1068" t="s">
        <v>45</v>
      </c>
      <c r="G1068" t="str">
        <f>HYPERLINK("https://www.facebook.com/122060841164933/posts/2428610323843295")</f>
        <v>https://www.facebook.com/122060841164933/posts/2428610323843295</v>
      </c>
      <c r="H1068" t="s">
        <v>46</v>
      </c>
      <c r="I1068" t="s">
        <v>4024</v>
      </c>
      <c r="J1068" t="str">
        <f>HYPERLINK("https://www.facebook.com/122060841164933")</f>
        <v>https://www.facebook.com/122060841164933</v>
      </c>
      <c r="K1068">
        <v>6335</v>
      </c>
      <c r="L1068" t="s">
        <v>651</v>
      </c>
      <c r="N1068" t="s">
        <v>1792</v>
      </c>
      <c r="O1068" t="s">
        <v>4024</v>
      </c>
      <c r="P1068" t="str">
        <f>HYPERLINK("https://www.facebook.com/122060841164933")</f>
        <v>https://www.facebook.com/122060841164933</v>
      </c>
      <c r="Q1068">
        <v>6335</v>
      </c>
      <c r="R1068" t="s">
        <v>60</v>
      </c>
      <c r="S1068" t="s">
        <v>51</v>
      </c>
      <c r="W1068">
        <v>4</v>
      </c>
      <c r="X1068">
        <v>4</v>
      </c>
      <c r="Y1068">
        <v>0</v>
      </c>
      <c r="Z1068">
        <v>0</v>
      </c>
      <c r="AA1068">
        <v>0</v>
      </c>
      <c r="AB1068">
        <v>0</v>
      </c>
      <c r="AC1068">
        <v>0</v>
      </c>
      <c r="AE1068">
        <v>0</v>
      </c>
      <c r="AF1068">
        <v>0</v>
      </c>
      <c r="AI1068" t="s">
        <v>52</v>
      </c>
      <c r="AJ1068" t="s">
        <v>4025</v>
      </c>
      <c r="AK1068" t="s">
        <v>52</v>
      </c>
      <c r="AL1068" t="str">
        <f>HYPERLINK("https://scontent.xx.fbcdn.net/v/t1.0-9/s720x720/65559168_2428610080509986_848836415595741184_n.jpg?_nc_cat=102&amp;_nc_oc=AQnsMTXokuA6fmzuAXJ3ZIAC67TJZTV4k19njvkyFtMUm3zCzI8j3m_y78WyfLFxNZM&amp;_nc_ht=scontent.xx&amp;oh=c4c3cca2401561e5ffb82493eab73ad3&amp;oe=5D82AC3B")</f>
        <v>https://scontent.xx.fbcdn.net/v/t1.0-9/s720x720/65559168_2428610080509986_848836415595741184_n.jpg?_nc_cat=102&amp;_nc_oc=AQnsMTXokuA6fmzuAXJ3ZIAC67TJZTV4k19njvkyFtMUm3zCzI8j3m_y78WyfLFxNZM&amp;_nc_ht=scontent.xx&amp;oh=c4c3cca2401561e5ffb82493eab73ad3&amp;oe=5D82AC3B</v>
      </c>
      <c r="AM1068" t="s">
        <v>52</v>
      </c>
      <c r="AN1068" t="s">
        <v>53</v>
      </c>
    </row>
    <row r="1069" spans="1:40">
      <c r="A1069" t="s">
        <v>2370</v>
      </c>
      <c r="B1069" t="s">
        <v>4026</v>
      </c>
      <c r="C1069" t="s">
        <v>3891</v>
      </c>
      <c r="D1069" t="s">
        <v>52</v>
      </c>
      <c r="E1069" t="s">
        <v>4027</v>
      </c>
      <c r="F1069" t="s">
        <v>45</v>
      </c>
      <c r="G1069" t="str">
        <f>HYPERLINK("https://www.instagram.com/p/BzG9SDOl_Ti")</f>
        <v>https://www.instagram.com/p/BzG9SDOl_Ti</v>
      </c>
      <c r="H1069" t="s">
        <v>46</v>
      </c>
      <c r="I1069" t="s">
        <v>52</v>
      </c>
      <c r="J1069" t="str">
        <f>HYPERLINK("http://instagram.com/glassofwaste")</f>
        <v>http://instagram.com/glassofwaste</v>
      </c>
      <c r="K1069">
        <v>0</v>
      </c>
      <c r="N1069" t="s">
        <v>59</v>
      </c>
      <c r="O1069" t="s">
        <v>52</v>
      </c>
      <c r="P1069" t="str">
        <f>HYPERLINK("http://instagram.com/glassofwaste")</f>
        <v>http://instagram.com/glassofwaste</v>
      </c>
      <c r="Q1069">
        <v>0</v>
      </c>
      <c r="R1069" t="s">
        <v>60</v>
      </c>
      <c r="W1069">
        <v>2</v>
      </c>
      <c r="X1069">
        <v>2</v>
      </c>
      <c r="AE1069">
        <v>0</v>
      </c>
      <c r="AG1069">
        <v>6</v>
      </c>
      <c r="AI1069" t="s">
        <v>52</v>
      </c>
      <c r="AJ1069" t="s">
        <v>52</v>
      </c>
      <c r="AK1069" t="s">
        <v>52</v>
      </c>
      <c r="AL1069" t="str">
        <f>HYPERLINK("https://www.instagram.com/p/BzG9SDOl_Ti/media/?size=l")</f>
        <v>https://www.instagram.com/p/BzG9SDOl_Ti/media/?size=l</v>
      </c>
      <c r="AM1069" t="s">
        <v>52</v>
      </c>
      <c r="AN1069" t="s">
        <v>53</v>
      </c>
    </row>
    <row r="1070" spans="1:40">
      <c r="A1070" t="s">
        <v>2370</v>
      </c>
      <c r="B1070" t="s">
        <v>4026</v>
      </c>
      <c r="C1070" t="s">
        <v>4013</v>
      </c>
      <c r="D1070" t="s">
        <v>52</v>
      </c>
      <c r="E1070" t="s">
        <v>4028</v>
      </c>
      <c r="F1070" t="s">
        <v>45</v>
      </c>
      <c r="G1070" t="str">
        <f>HYPERLINK("https://www.instagram.com/p/BzG9iVoAqku")</f>
        <v>https://www.instagram.com/p/BzG9iVoAqku</v>
      </c>
      <c r="H1070" t="s">
        <v>46</v>
      </c>
      <c r="I1070" t="s">
        <v>4029</v>
      </c>
      <c r="J1070" t="str">
        <f>HYPERLINK("http://instagram.com/julieehealth")</f>
        <v>http://instagram.com/julieehealth</v>
      </c>
      <c r="K1070">
        <v>7218</v>
      </c>
      <c r="L1070" t="s">
        <v>58</v>
      </c>
      <c r="N1070" t="s">
        <v>59</v>
      </c>
      <c r="O1070" t="s">
        <v>4029</v>
      </c>
      <c r="P1070" t="str">
        <f>HYPERLINK("http://instagram.com/julieehealth")</f>
        <v>http://instagram.com/julieehealth</v>
      </c>
      <c r="Q1070">
        <v>7218</v>
      </c>
      <c r="R1070" t="s">
        <v>60</v>
      </c>
      <c r="S1070" t="s">
        <v>432</v>
      </c>
      <c r="T1070" t="s">
        <v>1985</v>
      </c>
      <c r="U1070" t="s">
        <v>4030</v>
      </c>
      <c r="W1070">
        <v>15</v>
      </c>
      <c r="X1070">
        <v>15</v>
      </c>
      <c r="AE1070">
        <v>0</v>
      </c>
      <c r="AI1070" t="s">
        <v>52</v>
      </c>
      <c r="AJ1070" t="s">
        <v>4031</v>
      </c>
      <c r="AK1070" t="s">
        <v>52</v>
      </c>
      <c r="AL1070" t="str">
        <f>HYPERLINK("https://www.instagram.com/p/BzG9iVoAqku/media/?size=l")</f>
        <v>https://www.instagram.com/p/BzG9iVoAqku/media/?size=l</v>
      </c>
      <c r="AM1070" t="s">
        <v>52</v>
      </c>
      <c r="AN1070" t="s">
        <v>53</v>
      </c>
    </row>
    <row r="1071" spans="1:40">
      <c r="A1071" t="s">
        <v>2370</v>
      </c>
      <c r="B1071" t="s">
        <v>4032</v>
      </c>
      <c r="C1071" t="s">
        <v>4033</v>
      </c>
      <c r="D1071" t="s">
        <v>52</v>
      </c>
      <c r="E1071" t="s">
        <v>130</v>
      </c>
      <c r="F1071" t="s">
        <v>131</v>
      </c>
      <c r="G1071" t="str">
        <f>HYPERLINK("https://twitter.com/906603810/status/1143280087602728960")</f>
        <v>https://twitter.com/906603810/status/1143280087602728960</v>
      </c>
      <c r="H1071" t="s">
        <v>46</v>
      </c>
      <c r="I1071" t="s">
        <v>4034</v>
      </c>
      <c r="J1071" t="str">
        <f>HYPERLINK("http://twitter.com/Jinty85")</f>
        <v>http://twitter.com/Jinty85</v>
      </c>
      <c r="K1071">
        <v>2912</v>
      </c>
      <c r="N1071" t="s">
        <v>65</v>
      </c>
      <c r="R1071" t="s">
        <v>60</v>
      </c>
      <c r="S1071" t="s">
        <v>97</v>
      </c>
      <c r="T1071" t="s">
        <v>177</v>
      </c>
      <c r="W1071">
        <v>0</v>
      </c>
      <c r="X1071">
        <v>0</v>
      </c>
      <c r="AE1071">
        <v>0</v>
      </c>
      <c r="AI1071" t="s">
        <v>108</v>
      </c>
      <c r="AJ1071" t="s">
        <v>52</v>
      </c>
      <c r="AK1071" t="s">
        <v>52</v>
      </c>
      <c r="AL1071" t="str">
        <f>HYPERLINK("https://pbs.twimg.com/media/D9XTkLWW4AAOYnJ.jpg")</f>
        <v>https://pbs.twimg.com/media/D9XTkLWW4AAOYnJ.jpg</v>
      </c>
      <c r="AM1071" t="s">
        <v>52</v>
      </c>
      <c r="AN1071" t="s">
        <v>53</v>
      </c>
    </row>
    <row r="1072" spans="1:40">
      <c r="A1072" t="s">
        <v>2370</v>
      </c>
      <c r="B1072" t="s">
        <v>4032</v>
      </c>
      <c r="C1072" t="s">
        <v>4013</v>
      </c>
      <c r="D1072" t="s">
        <v>52</v>
      </c>
      <c r="E1072" t="s">
        <v>4035</v>
      </c>
      <c r="F1072" t="s">
        <v>45</v>
      </c>
      <c r="G1072" t="str">
        <f>HYPERLINK("https://www.instagram.com/p/BzG9Yfwj6Zs")</f>
        <v>https://www.instagram.com/p/BzG9Yfwj6Zs</v>
      </c>
      <c r="H1072" t="s">
        <v>46</v>
      </c>
      <c r="I1072" t="s">
        <v>4036</v>
      </c>
      <c r="J1072" t="str">
        <f>HYPERLINK("http://instagram.com/barbiewowcolombia")</f>
        <v>http://instagram.com/barbiewowcolombia</v>
      </c>
      <c r="K1072">
        <v>68</v>
      </c>
      <c r="N1072" t="s">
        <v>59</v>
      </c>
      <c r="O1072" t="s">
        <v>4036</v>
      </c>
      <c r="P1072" t="str">
        <f>HYPERLINK("http://instagram.com/barbiewowcolombia")</f>
        <v>http://instagram.com/barbiewowcolombia</v>
      </c>
      <c r="Q1072">
        <v>68</v>
      </c>
      <c r="R1072" t="s">
        <v>60</v>
      </c>
      <c r="W1072">
        <v>12</v>
      </c>
      <c r="X1072">
        <v>12</v>
      </c>
      <c r="AE1072">
        <v>0</v>
      </c>
      <c r="AI1072" t="s">
        <v>52</v>
      </c>
      <c r="AJ1072" t="s">
        <v>4037</v>
      </c>
      <c r="AK1072" t="s">
        <v>4038</v>
      </c>
      <c r="AL1072" t="str">
        <f>HYPERLINK("https://www.instagram.com/p/BzG9Yfwj6Zs/media/?size=l")</f>
        <v>https://www.instagram.com/p/BzG9Yfwj6Zs/media/?size=l</v>
      </c>
      <c r="AM1072" t="s">
        <v>52</v>
      </c>
      <c r="AN1072" t="s">
        <v>53</v>
      </c>
    </row>
    <row r="1073" spans="1:40">
      <c r="A1073" t="s">
        <v>2370</v>
      </c>
      <c r="B1073" t="s">
        <v>4039</v>
      </c>
      <c r="C1073" t="s">
        <v>4040</v>
      </c>
      <c r="D1073" t="s">
        <v>52</v>
      </c>
      <c r="E1073" t="s">
        <v>4041</v>
      </c>
      <c r="F1073" t="s">
        <v>95</v>
      </c>
      <c r="G1073" t="str">
        <f>HYPERLINK("https://twitter.com/1027402940766740480/status/1143279375250595841")</f>
        <v>https://twitter.com/1027402940766740480/status/1143279375250595841</v>
      </c>
      <c r="H1073" t="s">
        <v>46</v>
      </c>
      <c r="I1073" t="s">
        <v>4042</v>
      </c>
      <c r="J1073" t="str">
        <f>HYPERLINK("http://twitter.com/CatsMotion")</f>
        <v>http://twitter.com/CatsMotion</v>
      </c>
      <c r="K1073">
        <v>4</v>
      </c>
      <c r="N1073" t="s">
        <v>65</v>
      </c>
      <c r="R1073" t="s">
        <v>60</v>
      </c>
      <c r="S1073" t="s">
        <v>437</v>
      </c>
      <c r="T1073" t="s">
        <v>3673</v>
      </c>
      <c r="W1073">
        <v>0</v>
      </c>
      <c r="X1073">
        <v>0</v>
      </c>
      <c r="AE1073">
        <v>1</v>
      </c>
      <c r="AF1073">
        <v>0</v>
      </c>
      <c r="AM1073" t="s">
        <v>52</v>
      </c>
      <c r="AN1073" t="s">
        <v>53</v>
      </c>
    </row>
    <row r="1074" spans="1:40">
      <c r="A1074" t="s">
        <v>2370</v>
      </c>
      <c r="B1074" t="s">
        <v>4039</v>
      </c>
      <c r="C1074" t="s">
        <v>4016</v>
      </c>
      <c r="D1074" t="s">
        <v>52</v>
      </c>
      <c r="E1074" t="s">
        <v>4043</v>
      </c>
      <c r="F1074" t="s">
        <v>131</v>
      </c>
      <c r="G1074" t="str">
        <f>HYPERLINK("https://twitter.com/23905138/status/1143279351439527938")</f>
        <v>https://twitter.com/23905138/status/1143279351439527938</v>
      </c>
      <c r="H1074" t="s">
        <v>46</v>
      </c>
      <c r="I1074" t="s">
        <v>4044</v>
      </c>
      <c r="J1074" t="str">
        <f>HYPERLINK("http://twitter.com/PatrickHastie")</f>
        <v>http://twitter.com/PatrickHastie</v>
      </c>
      <c r="K1074">
        <v>2291</v>
      </c>
      <c r="L1074" t="s">
        <v>48</v>
      </c>
      <c r="N1074" t="s">
        <v>65</v>
      </c>
      <c r="R1074" t="s">
        <v>60</v>
      </c>
      <c r="W1074">
        <v>0</v>
      </c>
      <c r="X1074">
        <v>0</v>
      </c>
      <c r="AE1074">
        <v>0</v>
      </c>
      <c r="AI1074" t="s">
        <v>52</v>
      </c>
      <c r="AJ1074" t="s">
        <v>52</v>
      </c>
      <c r="AK1074" t="s">
        <v>52</v>
      </c>
      <c r="AL1074" t="str">
        <f>HYPERLINK("https://pbs.twimg.com/media/D9z4lt6XoAAnleY.jpg")</f>
        <v>https://pbs.twimg.com/media/D9z4lt6XoAAnleY.jpg</v>
      </c>
      <c r="AM1074" t="s">
        <v>52</v>
      </c>
      <c r="AN1074" t="s">
        <v>53</v>
      </c>
    </row>
    <row r="1075" spans="1:40">
      <c r="A1075" t="s">
        <v>2370</v>
      </c>
      <c r="B1075" t="s">
        <v>4039</v>
      </c>
      <c r="C1075" t="s">
        <v>4045</v>
      </c>
      <c r="D1075" t="s">
        <v>52</v>
      </c>
      <c r="E1075" t="s">
        <v>4046</v>
      </c>
      <c r="F1075" t="s">
        <v>71</v>
      </c>
      <c r="G1075" t="str">
        <f>HYPERLINK("https://twitter.com/19202990/status/1143279298524008448")</f>
        <v>https://twitter.com/19202990/status/1143279298524008448</v>
      </c>
      <c r="H1075" t="s">
        <v>46</v>
      </c>
      <c r="I1075" t="s">
        <v>4047</v>
      </c>
      <c r="J1075" t="str">
        <f>HYPERLINK("http://twitter.com/adaslivinski")</f>
        <v>http://twitter.com/adaslivinski</v>
      </c>
      <c r="K1075">
        <v>1912</v>
      </c>
      <c r="N1075" t="s">
        <v>65</v>
      </c>
      <c r="R1075" t="s">
        <v>60</v>
      </c>
      <c r="S1075" t="s">
        <v>444</v>
      </c>
      <c r="T1075" t="s">
        <v>3539</v>
      </c>
      <c r="U1075" t="s">
        <v>4048</v>
      </c>
      <c r="W1075">
        <v>1</v>
      </c>
      <c r="X1075">
        <v>1</v>
      </c>
      <c r="AE1075">
        <v>1</v>
      </c>
      <c r="AF1075">
        <v>0</v>
      </c>
      <c r="AM1075" t="s">
        <v>52</v>
      </c>
      <c r="AN1075" t="s">
        <v>53</v>
      </c>
    </row>
    <row r="1076" spans="1:40">
      <c r="A1076" t="s">
        <v>2370</v>
      </c>
      <c r="B1076" t="s">
        <v>4039</v>
      </c>
      <c r="C1076" t="s">
        <v>4033</v>
      </c>
      <c r="D1076" t="s">
        <v>52</v>
      </c>
      <c r="E1076" t="s">
        <v>1194</v>
      </c>
      <c r="F1076" t="s">
        <v>131</v>
      </c>
      <c r="G1076" t="str">
        <f>HYPERLINK("https://twitter.com/2160029941/status/1143279267570225163")</f>
        <v>https://twitter.com/2160029941/status/1143279267570225163</v>
      </c>
      <c r="H1076" t="s">
        <v>46</v>
      </c>
      <c r="I1076" t="s">
        <v>4049</v>
      </c>
      <c r="J1076" t="str">
        <f>HYPERLINK("http://twitter.com/CamilaPose3")</f>
        <v>http://twitter.com/CamilaPose3</v>
      </c>
      <c r="K1076">
        <v>421</v>
      </c>
      <c r="N1076" t="s">
        <v>65</v>
      </c>
      <c r="R1076" t="s">
        <v>60</v>
      </c>
      <c r="S1076" t="s">
        <v>701</v>
      </c>
      <c r="T1076" t="s">
        <v>702</v>
      </c>
      <c r="U1076" t="s">
        <v>702</v>
      </c>
      <c r="W1076">
        <v>0</v>
      </c>
      <c r="X1076">
        <v>0</v>
      </c>
      <c r="AE1076">
        <v>0</v>
      </c>
      <c r="AI1076" t="s">
        <v>52</v>
      </c>
      <c r="AJ1076" t="s">
        <v>1196</v>
      </c>
      <c r="AK1076" t="s">
        <v>52</v>
      </c>
      <c r="AL1076" t="str">
        <f>HYPERLINK("https://pbs.twimg.com/media/D9xgk2YXkAAd2ql.jpg")</f>
        <v>https://pbs.twimg.com/media/D9xgk2YXkAAd2ql.jpg</v>
      </c>
      <c r="AM1076" t="s">
        <v>52</v>
      </c>
      <c r="AN1076" t="s">
        <v>53</v>
      </c>
    </row>
    <row r="1077" spans="1:40">
      <c r="A1077" t="s">
        <v>2370</v>
      </c>
      <c r="B1077" t="s">
        <v>4039</v>
      </c>
      <c r="C1077" t="s">
        <v>4033</v>
      </c>
      <c r="D1077" t="s">
        <v>52</v>
      </c>
      <c r="E1077" t="s">
        <v>1194</v>
      </c>
      <c r="F1077" t="s">
        <v>131</v>
      </c>
      <c r="G1077" t="str">
        <f>HYPERLINK("https://twitter.com/497502014/status/1143279264491376640")</f>
        <v>https://twitter.com/497502014/status/1143279264491376640</v>
      </c>
      <c r="H1077" t="s">
        <v>46</v>
      </c>
      <c r="I1077" t="s">
        <v>4050</v>
      </c>
      <c r="J1077" t="str">
        <f>HYPERLINK("http://twitter.com/MinelliValencia")</f>
        <v>http://twitter.com/MinelliValencia</v>
      </c>
      <c r="K1077">
        <v>227</v>
      </c>
      <c r="N1077" t="s">
        <v>65</v>
      </c>
      <c r="R1077" t="s">
        <v>60</v>
      </c>
      <c r="S1077" t="s">
        <v>51</v>
      </c>
      <c r="T1077" t="s">
        <v>173</v>
      </c>
      <c r="U1077" t="s">
        <v>4051</v>
      </c>
      <c r="W1077">
        <v>0</v>
      </c>
      <c r="X1077">
        <v>0</v>
      </c>
      <c r="AE1077">
        <v>0</v>
      </c>
      <c r="AI1077" t="s">
        <v>52</v>
      </c>
      <c r="AJ1077" t="s">
        <v>1196</v>
      </c>
      <c r="AK1077" t="s">
        <v>52</v>
      </c>
      <c r="AL1077" t="str">
        <f>HYPERLINK("https://pbs.twimg.com/media/D9xgk2YXkAAd2ql.jpg")</f>
        <v>https://pbs.twimg.com/media/D9xgk2YXkAAd2ql.jpg</v>
      </c>
      <c r="AM1077" t="s">
        <v>52</v>
      </c>
      <c r="AN1077" t="s">
        <v>53</v>
      </c>
    </row>
    <row r="1078" spans="1:40">
      <c r="A1078" t="s">
        <v>2370</v>
      </c>
      <c r="B1078" t="s">
        <v>4039</v>
      </c>
      <c r="C1078" t="s">
        <v>4040</v>
      </c>
      <c r="D1078" t="s">
        <v>52</v>
      </c>
      <c r="E1078" t="s">
        <v>4052</v>
      </c>
      <c r="F1078" t="s">
        <v>131</v>
      </c>
      <c r="G1078" t="str">
        <f>HYPERLINK("https://twitter.com/16814482/status/1143279178999054337")</f>
        <v>https://twitter.com/16814482/status/1143279178999054337</v>
      </c>
      <c r="H1078" t="s">
        <v>46</v>
      </c>
      <c r="I1078" t="s">
        <v>4053</v>
      </c>
      <c r="J1078" t="str">
        <f>HYPERLINK("http://twitter.com/kellyshouldice")</f>
        <v>http://twitter.com/kellyshouldice</v>
      </c>
      <c r="K1078">
        <v>597</v>
      </c>
      <c r="N1078" t="s">
        <v>65</v>
      </c>
      <c r="R1078" t="s">
        <v>60</v>
      </c>
      <c r="S1078" t="s">
        <v>444</v>
      </c>
      <c r="T1078" t="s">
        <v>1062</v>
      </c>
      <c r="U1078" t="s">
        <v>3442</v>
      </c>
      <c r="W1078">
        <v>0</v>
      </c>
      <c r="X1078">
        <v>0</v>
      </c>
      <c r="AE1078">
        <v>0</v>
      </c>
      <c r="AI1078" t="s">
        <v>108</v>
      </c>
      <c r="AJ1078" t="s">
        <v>4054</v>
      </c>
      <c r="AK1078" t="s">
        <v>52</v>
      </c>
      <c r="AL1078" t="str">
        <f>HYPERLINK("https://pbs.twimg.com/media/D9254rxUEAAIifH.jpg")</f>
        <v>https://pbs.twimg.com/media/D9254rxUEAAIifH.jpg</v>
      </c>
      <c r="AM1078" t="s">
        <v>52</v>
      </c>
      <c r="AN1078" t="s">
        <v>53</v>
      </c>
    </row>
    <row r="1079" spans="1:40">
      <c r="A1079" t="s">
        <v>2370</v>
      </c>
      <c r="B1079" t="s">
        <v>4039</v>
      </c>
      <c r="C1079" t="s">
        <v>4055</v>
      </c>
      <c r="D1079" t="s">
        <v>52</v>
      </c>
      <c r="E1079" t="s">
        <v>3954</v>
      </c>
      <c r="F1079" t="s">
        <v>131</v>
      </c>
      <c r="G1079" t="str">
        <f>HYPERLINK("https://twitter.com/990974832706834432/status/1143279163941556225")</f>
        <v>https://twitter.com/990974832706834432/status/1143279163941556225</v>
      </c>
      <c r="H1079" t="s">
        <v>46</v>
      </c>
      <c r="I1079" t="s">
        <v>4056</v>
      </c>
      <c r="J1079" t="str">
        <f>HYPERLINK("http://twitter.com/MrLindoVulgoTae")</f>
        <v>http://twitter.com/MrLindoVulgoTae</v>
      </c>
      <c r="K1079">
        <v>49</v>
      </c>
      <c r="L1079" t="s">
        <v>58</v>
      </c>
      <c r="N1079" t="s">
        <v>65</v>
      </c>
      <c r="R1079" t="s">
        <v>60</v>
      </c>
      <c r="S1079" t="s">
        <v>432</v>
      </c>
      <c r="W1079">
        <v>0</v>
      </c>
      <c r="X1079">
        <v>0</v>
      </c>
      <c r="AE1079">
        <v>0</v>
      </c>
      <c r="AI1079" t="s">
        <v>52</v>
      </c>
      <c r="AJ1079" t="s">
        <v>52</v>
      </c>
      <c r="AK1079" t="s">
        <v>52</v>
      </c>
      <c r="AL1079" t="str">
        <f>HYPERLINK("https://pbs.twimg.com/ext_tw_video_thumb/1143274961450229760/pu/img/grfG_QxeMwOowJjP.jpg")</f>
        <v>https://pbs.twimg.com/ext_tw_video_thumb/1143274961450229760/pu/img/grfG_QxeMwOowJjP.jpg</v>
      </c>
      <c r="AM1079" t="s">
        <v>52</v>
      </c>
      <c r="AN1079" t="s">
        <v>53</v>
      </c>
    </row>
    <row r="1080" spans="1:40">
      <c r="A1080" t="s">
        <v>2370</v>
      </c>
      <c r="B1080" t="s">
        <v>4039</v>
      </c>
      <c r="C1080" t="s">
        <v>4055</v>
      </c>
      <c r="D1080" t="s">
        <v>52</v>
      </c>
      <c r="E1080" t="s">
        <v>1194</v>
      </c>
      <c r="F1080" t="s">
        <v>131</v>
      </c>
      <c r="G1080" t="str">
        <f>HYPERLINK("https://twitter.com/342332394/status/1143279143687217153")</f>
        <v>https://twitter.com/342332394/status/1143279143687217153</v>
      </c>
      <c r="H1080" t="s">
        <v>46</v>
      </c>
      <c r="I1080" t="s">
        <v>4057</v>
      </c>
      <c r="J1080" t="str">
        <f>HYPERLINK("http://twitter.com/retroxcavadora")</f>
        <v>http://twitter.com/retroxcavadora</v>
      </c>
      <c r="K1080">
        <v>129</v>
      </c>
      <c r="N1080" t="s">
        <v>65</v>
      </c>
      <c r="R1080" t="s">
        <v>60</v>
      </c>
      <c r="W1080">
        <v>0</v>
      </c>
      <c r="X1080">
        <v>0</v>
      </c>
      <c r="AE1080">
        <v>0</v>
      </c>
      <c r="AI1080" t="s">
        <v>52</v>
      </c>
      <c r="AJ1080" t="s">
        <v>1196</v>
      </c>
      <c r="AK1080" t="s">
        <v>52</v>
      </c>
      <c r="AL1080" t="str">
        <f>HYPERLINK("https://pbs.twimg.com/media/D9xgk2YXkAAd2ql.jpg")</f>
        <v>https://pbs.twimg.com/media/D9xgk2YXkAAd2ql.jpg</v>
      </c>
      <c r="AM1080" t="s">
        <v>52</v>
      </c>
      <c r="AN1080" t="s">
        <v>53</v>
      </c>
    </row>
    <row r="1081" spans="1:40">
      <c r="A1081" t="s">
        <v>2370</v>
      </c>
      <c r="B1081" t="s">
        <v>4039</v>
      </c>
      <c r="C1081" t="s">
        <v>4055</v>
      </c>
      <c r="D1081" t="s">
        <v>52</v>
      </c>
      <c r="E1081" t="s">
        <v>577</v>
      </c>
      <c r="F1081" t="s">
        <v>131</v>
      </c>
      <c r="G1081" t="str">
        <f>HYPERLINK("https://twitter.com/4017957089/status/1143279137626439682")</f>
        <v>https://twitter.com/4017957089/status/1143279137626439682</v>
      </c>
      <c r="H1081" t="s">
        <v>46</v>
      </c>
      <c r="I1081" t="s">
        <v>4058</v>
      </c>
      <c r="J1081" t="str">
        <f>HYPERLINK("http://twitter.com/taenyork")</f>
        <v>http://twitter.com/taenyork</v>
      </c>
      <c r="K1081">
        <v>288</v>
      </c>
      <c r="N1081" t="s">
        <v>65</v>
      </c>
      <c r="R1081" t="s">
        <v>60</v>
      </c>
      <c r="S1081" t="s">
        <v>1322</v>
      </c>
      <c r="T1081" t="s">
        <v>3219</v>
      </c>
      <c r="U1081" t="s">
        <v>4059</v>
      </c>
      <c r="W1081">
        <v>0</v>
      </c>
      <c r="X1081">
        <v>0</v>
      </c>
      <c r="AE1081">
        <v>0</v>
      </c>
      <c r="AI1081" t="s">
        <v>52</v>
      </c>
      <c r="AJ1081" t="s">
        <v>52</v>
      </c>
      <c r="AK1081" t="s">
        <v>581</v>
      </c>
      <c r="AL1081" t="str">
        <f>HYPERLINK("https://pbs.twimg.com/ext_tw_video_thumb/1142915685863108608/pu/img/WRlHL3RIvWqv0H2N.jpg")</f>
        <v>https://pbs.twimg.com/ext_tw_video_thumb/1142915685863108608/pu/img/WRlHL3RIvWqv0H2N.jpg</v>
      </c>
      <c r="AM1081" t="s">
        <v>52</v>
      </c>
      <c r="AN1081" t="s">
        <v>53</v>
      </c>
    </row>
    <row r="1082" spans="1:40">
      <c r="A1082" t="s">
        <v>2370</v>
      </c>
      <c r="B1082" t="s">
        <v>4060</v>
      </c>
      <c r="C1082" t="s">
        <v>4061</v>
      </c>
      <c r="D1082" t="s">
        <v>52</v>
      </c>
      <c r="E1082" t="s">
        <v>4062</v>
      </c>
      <c r="F1082" t="s">
        <v>95</v>
      </c>
      <c r="G1082" t="str">
        <f>HYPERLINK("https://twitter.com/2750597567/status/1143279032332632066")</f>
        <v>https://twitter.com/2750597567/status/1143279032332632066</v>
      </c>
      <c r="H1082" t="s">
        <v>46</v>
      </c>
      <c r="I1082" t="s">
        <v>4063</v>
      </c>
      <c r="J1082" t="str">
        <f>HYPERLINK("http://twitter.com/FrancinaRitta")</f>
        <v>http://twitter.com/FrancinaRitta</v>
      </c>
      <c r="K1082">
        <v>560</v>
      </c>
      <c r="N1082" t="s">
        <v>65</v>
      </c>
      <c r="R1082" t="s">
        <v>60</v>
      </c>
      <c r="S1082" t="s">
        <v>701</v>
      </c>
      <c r="T1082" t="s">
        <v>2321</v>
      </c>
      <c r="U1082" t="s">
        <v>4064</v>
      </c>
      <c r="W1082">
        <v>2</v>
      </c>
      <c r="X1082">
        <v>2</v>
      </c>
      <c r="AE1082">
        <v>1</v>
      </c>
      <c r="AF1082">
        <v>0</v>
      </c>
      <c r="AM1082" t="s">
        <v>52</v>
      </c>
      <c r="AN1082" t="s">
        <v>53</v>
      </c>
    </row>
    <row r="1083" spans="1:40">
      <c r="A1083" t="s">
        <v>2370</v>
      </c>
      <c r="B1083" t="s">
        <v>4060</v>
      </c>
      <c r="C1083" t="s">
        <v>4065</v>
      </c>
      <c r="D1083" t="s">
        <v>4066</v>
      </c>
      <c r="E1083" t="s">
        <v>4067</v>
      </c>
      <c r="F1083" t="s">
        <v>45</v>
      </c>
      <c r="G1083" t="str">
        <f>HYPERLINK("https://www.popsugar.com/family/Easy-Kid-Friendly-Dinners-46304973")</f>
        <v>https://www.popsugar.com/family/Easy-Kid-Friendly-Dinners-46304973</v>
      </c>
      <c r="H1083" t="s">
        <v>46</v>
      </c>
      <c r="I1083" t="s">
        <v>4068</v>
      </c>
      <c r="J1083" t="str">
        <f>HYPERLINK("https://www.popsugar.com/family/Easy-Kid-Friendly-Dinners-46304973")</f>
        <v>https://www.popsugar.com/family/Easy-Kid-Friendly-Dinners-46304973</v>
      </c>
      <c r="N1083" t="s">
        <v>4069</v>
      </c>
      <c r="R1083" t="s">
        <v>357</v>
      </c>
      <c r="S1083" t="s">
        <v>51</v>
      </c>
      <c r="AI1083" t="s">
        <v>52</v>
      </c>
      <c r="AJ1083" t="s">
        <v>4070</v>
      </c>
      <c r="AK1083" t="s">
        <v>52</v>
      </c>
      <c r="AL1083" t="str">
        <f>HYPERLINK("https://media1.popsugar-assets.com/files/thumbor/s4JwXxAl3vvdqEdlQ04W6XvxUUo/fit-in/1024x1024/filters:format_auto-!!-:strip_icc-!!-/2019/06/22/799/n/40600665/174e485b3cddeaae_0d805ee9b31c4557_pizza/i/Easy-Breakfast-Pizza.jpg")</f>
        <v>https://media1.popsugar-assets.com/files/thumbor/s4JwXxAl3vvdqEdlQ04W6XvxUUo/fit-in/1024x1024/filters:format_auto-!!-:strip_icc-!!-/2019/06/22/799/n/40600665/174e485b3cddeaae_0d805ee9b31c4557_pizza/i/Easy-Breakfast-Pizza.jpg</v>
      </c>
      <c r="AM1083" t="s">
        <v>52</v>
      </c>
      <c r="AN1083" t="s">
        <v>53</v>
      </c>
    </row>
    <row r="1084" spans="1:40">
      <c r="A1084" t="s">
        <v>2370</v>
      </c>
      <c r="B1084" t="s">
        <v>4071</v>
      </c>
      <c r="C1084" t="s">
        <v>4033</v>
      </c>
      <c r="D1084" t="s">
        <v>4072</v>
      </c>
      <c r="E1084" t="s">
        <v>4072</v>
      </c>
      <c r="F1084" t="s">
        <v>45</v>
      </c>
      <c r="G1084" t="str">
        <f>HYPERLINK("https://www.youtube.com/watch?v=wVS48Sse5EM")</f>
        <v>https://www.youtube.com/watch?v=wVS48Sse5EM</v>
      </c>
      <c r="H1084" t="s">
        <v>46</v>
      </c>
      <c r="I1084" t="s">
        <v>4073</v>
      </c>
      <c r="J1084" t="str">
        <f>HYPERLINK("https://www.youtube.com/channel/UCSQcxMuv3tGu3a_9K1ZEZTg")</f>
        <v>https://www.youtube.com/channel/UCSQcxMuv3tGu3a_9K1ZEZTg</v>
      </c>
      <c r="K1084">
        <v>20</v>
      </c>
      <c r="N1084" t="s">
        <v>116</v>
      </c>
      <c r="O1084" t="s">
        <v>4073</v>
      </c>
      <c r="P1084" t="str">
        <f>HYPERLINK("https://www.youtube.com/channel/UCSQcxMuv3tGu3a_9K1ZEZTg")</f>
        <v>https://www.youtube.com/channel/UCSQcxMuv3tGu3a_9K1ZEZTg</v>
      </c>
      <c r="Q1084">
        <v>20</v>
      </c>
      <c r="R1084" t="s">
        <v>60</v>
      </c>
      <c r="W1084">
        <v>1</v>
      </c>
      <c r="X1084">
        <v>1</v>
      </c>
      <c r="AD1084">
        <v>0</v>
      </c>
      <c r="AE1084">
        <v>0</v>
      </c>
      <c r="AG1084">
        <v>7</v>
      </c>
      <c r="AI1084" t="s">
        <v>4074</v>
      </c>
      <c r="AJ1084" t="s">
        <v>52</v>
      </c>
      <c r="AK1084" t="s">
        <v>4075</v>
      </c>
      <c r="AL1084" t="str">
        <f>HYPERLINK("https://i.ytimg.com/vi/wVS48Sse5EM/maxresdefault.jpg")</f>
        <v>https://i.ytimg.com/vi/wVS48Sse5EM/maxresdefault.jpg</v>
      </c>
      <c r="AM1084" t="s">
        <v>52</v>
      </c>
      <c r="AN1084" t="s">
        <v>53</v>
      </c>
    </row>
    <row r="1085" spans="1:40">
      <c r="A1085" t="s">
        <v>2370</v>
      </c>
      <c r="B1085" t="s">
        <v>4076</v>
      </c>
      <c r="C1085" t="s">
        <v>4077</v>
      </c>
      <c r="D1085" t="s">
        <v>4078</v>
      </c>
      <c r="E1085" t="s">
        <v>4079</v>
      </c>
      <c r="F1085" t="s">
        <v>45</v>
      </c>
      <c r="G1085" t="str">
        <f>HYPERLINK("https://www.youtube.com/watch?v=L6PANbkjQlc")</f>
        <v>https://www.youtube.com/watch?v=L6PANbkjQlc</v>
      </c>
      <c r="H1085" t="s">
        <v>46</v>
      </c>
      <c r="I1085" t="s">
        <v>4080</v>
      </c>
      <c r="J1085" t="str">
        <f>HYPERLINK("https://www.youtube.com/channel/UCY5BvUUk9a6Oh-Xd3o4tN1w")</f>
        <v>https://www.youtube.com/channel/UCY5BvUUk9a6Oh-Xd3o4tN1w</v>
      </c>
      <c r="K1085">
        <v>5130</v>
      </c>
      <c r="N1085" t="s">
        <v>116</v>
      </c>
      <c r="O1085" t="s">
        <v>4080</v>
      </c>
      <c r="P1085" t="str">
        <f>HYPERLINK("https://www.youtube.com/channel/UCY5BvUUk9a6Oh-Xd3o4tN1w")</f>
        <v>https://www.youtube.com/channel/UCY5BvUUk9a6Oh-Xd3o4tN1w</v>
      </c>
      <c r="Q1085">
        <v>5130</v>
      </c>
      <c r="R1085" t="s">
        <v>60</v>
      </c>
      <c r="S1085" t="s">
        <v>51</v>
      </c>
      <c r="W1085">
        <v>13</v>
      </c>
      <c r="X1085">
        <v>13</v>
      </c>
      <c r="AD1085">
        <v>0</v>
      </c>
      <c r="AE1085">
        <v>14</v>
      </c>
      <c r="AG1085">
        <v>137</v>
      </c>
      <c r="AI1085" t="s">
        <v>52</v>
      </c>
      <c r="AJ1085" t="s">
        <v>4081</v>
      </c>
      <c r="AK1085" t="s">
        <v>4082</v>
      </c>
      <c r="AL1085" t="str">
        <f>HYPERLINK("https://i.ytimg.com/vi/L6PANbkjQlc/maxresdefault.jpg")</f>
        <v>https://i.ytimg.com/vi/L6PANbkjQlc/maxresdefault.jpg</v>
      </c>
      <c r="AM1085" t="s">
        <v>52</v>
      </c>
      <c r="AN1085" t="s">
        <v>53</v>
      </c>
    </row>
    <row r="1086" spans="1:40">
      <c r="A1086" t="s">
        <v>2370</v>
      </c>
      <c r="B1086" t="s">
        <v>4083</v>
      </c>
      <c r="C1086" t="s">
        <v>4084</v>
      </c>
      <c r="D1086" t="s">
        <v>52</v>
      </c>
      <c r="E1086" t="s">
        <v>4085</v>
      </c>
      <c r="F1086" t="s">
        <v>131</v>
      </c>
      <c r="G1086" t="str">
        <f>HYPERLINK("https://www.instagram.com/p/BzG8QbYF8iG")</f>
        <v>https://www.instagram.com/p/BzG8QbYF8iG</v>
      </c>
      <c r="H1086" t="s">
        <v>46</v>
      </c>
      <c r="I1086" t="s">
        <v>4086</v>
      </c>
      <c r="J1086" t="str">
        <f>HYPERLINK("http://instagram.com/vanessaaspillaga")</f>
        <v>http://instagram.com/vanessaaspillaga</v>
      </c>
      <c r="K1086">
        <v>1105</v>
      </c>
      <c r="L1086" t="s">
        <v>58</v>
      </c>
      <c r="N1086" t="s">
        <v>59</v>
      </c>
      <c r="O1086" t="s">
        <v>4086</v>
      </c>
      <c r="P1086" t="str">
        <f>HYPERLINK("http://instagram.com/vanessaaspillaga")</f>
        <v>http://instagram.com/vanessaaspillaga</v>
      </c>
      <c r="Q1086">
        <v>1105</v>
      </c>
      <c r="R1086" t="s">
        <v>60</v>
      </c>
      <c r="W1086">
        <v>9</v>
      </c>
      <c r="X1086">
        <v>9</v>
      </c>
      <c r="AE1086">
        <v>0</v>
      </c>
      <c r="AG1086">
        <v>48</v>
      </c>
      <c r="AI1086" t="s">
        <v>1176</v>
      </c>
      <c r="AJ1086" t="s">
        <v>4087</v>
      </c>
      <c r="AK1086" t="s">
        <v>52</v>
      </c>
      <c r="AL1086" t="str">
        <f>HYPERLINK("https://www.instagram.com/p/BzG8QbYF8iG/media/?size=l")</f>
        <v>https://www.instagram.com/p/BzG8QbYF8iG/media/?size=l</v>
      </c>
      <c r="AM1086" t="s">
        <v>52</v>
      </c>
      <c r="AN1086" t="s">
        <v>53</v>
      </c>
    </row>
    <row r="1087" spans="1:40">
      <c r="A1087" t="s">
        <v>2370</v>
      </c>
      <c r="B1087" t="s">
        <v>4083</v>
      </c>
      <c r="C1087" t="s">
        <v>4088</v>
      </c>
      <c r="D1087" t="s">
        <v>52</v>
      </c>
      <c r="E1087" t="s">
        <v>4089</v>
      </c>
      <c r="F1087" t="s">
        <v>71</v>
      </c>
      <c r="G1087" t="str">
        <f>HYPERLINK("https://twitter.com/471599911/status/1143277422772666368")</f>
        <v>https://twitter.com/471599911/status/1143277422772666368</v>
      </c>
      <c r="H1087" t="s">
        <v>215</v>
      </c>
      <c r="I1087" t="s">
        <v>4090</v>
      </c>
      <c r="J1087" t="str">
        <f>HYPERLINK("http://twitter.com/ohhh__kay")</f>
        <v>http://twitter.com/ohhh__kay</v>
      </c>
      <c r="K1087">
        <v>755</v>
      </c>
      <c r="N1087" t="s">
        <v>65</v>
      </c>
      <c r="R1087" t="s">
        <v>60</v>
      </c>
      <c r="S1087" t="s">
        <v>1774</v>
      </c>
      <c r="T1087" t="s">
        <v>1775</v>
      </c>
      <c r="U1087" t="s">
        <v>4091</v>
      </c>
      <c r="W1087">
        <v>12</v>
      </c>
      <c r="X1087">
        <v>12</v>
      </c>
      <c r="AE1087">
        <v>3</v>
      </c>
      <c r="AF1087">
        <v>1</v>
      </c>
      <c r="AM1087" t="s">
        <v>52</v>
      </c>
      <c r="AN1087" t="s">
        <v>53</v>
      </c>
    </row>
    <row r="1088" spans="1:40">
      <c r="A1088" t="s">
        <v>2370</v>
      </c>
      <c r="B1088" t="s">
        <v>4092</v>
      </c>
      <c r="C1088" t="s">
        <v>4033</v>
      </c>
      <c r="D1088" t="s">
        <v>52</v>
      </c>
      <c r="E1088" t="s">
        <v>4093</v>
      </c>
      <c r="F1088" t="s">
        <v>131</v>
      </c>
      <c r="G1088" t="str">
        <f>HYPERLINK("https://twitter.com/974670398485753856/status/1143277361523240960")</f>
        <v>https://twitter.com/974670398485753856/status/1143277361523240960</v>
      </c>
      <c r="H1088" t="s">
        <v>46</v>
      </c>
      <c r="I1088" t="s">
        <v>4094</v>
      </c>
      <c r="J1088" t="str">
        <f>HYPERLINK("http://twitter.com/honeygloth")</f>
        <v>http://twitter.com/honeygloth</v>
      </c>
      <c r="K1088">
        <v>218</v>
      </c>
      <c r="N1088" t="s">
        <v>65</v>
      </c>
      <c r="R1088" t="s">
        <v>60</v>
      </c>
      <c r="W1088">
        <v>0</v>
      </c>
      <c r="X1088">
        <v>0</v>
      </c>
      <c r="AE1088">
        <v>0</v>
      </c>
      <c r="AM1088" t="s">
        <v>52</v>
      </c>
      <c r="AN1088" t="s">
        <v>53</v>
      </c>
    </row>
    <row r="1089" spans="1:40">
      <c r="A1089" t="s">
        <v>2370</v>
      </c>
      <c r="B1089" t="s">
        <v>4092</v>
      </c>
      <c r="C1089" t="s">
        <v>4095</v>
      </c>
      <c r="D1089" t="s">
        <v>52</v>
      </c>
      <c r="E1089" t="s">
        <v>4096</v>
      </c>
      <c r="F1089" t="s">
        <v>45</v>
      </c>
      <c r="G1089" t="str">
        <f>HYPERLINK("https://twitter.com/585884338/status/1143277152907026435")</f>
        <v>https://twitter.com/585884338/status/1143277152907026435</v>
      </c>
      <c r="H1089" t="s">
        <v>215</v>
      </c>
      <c r="I1089" t="s">
        <v>4097</v>
      </c>
      <c r="J1089" t="str">
        <f>HYPERLINK("http://twitter.com/Yousef_Duh")</f>
        <v>http://twitter.com/Yousef_Duh</v>
      </c>
      <c r="K1089">
        <v>334</v>
      </c>
      <c r="N1089" t="s">
        <v>65</v>
      </c>
      <c r="R1089" t="s">
        <v>60</v>
      </c>
      <c r="S1089" t="s">
        <v>51</v>
      </c>
      <c r="T1089" t="s">
        <v>66</v>
      </c>
      <c r="U1089" t="s">
        <v>4098</v>
      </c>
      <c r="W1089">
        <v>8</v>
      </c>
      <c r="X1089">
        <v>8</v>
      </c>
      <c r="AE1089">
        <v>0</v>
      </c>
      <c r="AF1089">
        <v>0</v>
      </c>
      <c r="AM1089" t="s">
        <v>52</v>
      </c>
      <c r="AN1089" t="s">
        <v>53</v>
      </c>
    </row>
    <row r="1090" spans="1:40">
      <c r="A1090" t="s">
        <v>2370</v>
      </c>
      <c r="B1090" t="s">
        <v>4099</v>
      </c>
      <c r="C1090" t="s">
        <v>4100</v>
      </c>
      <c r="D1090" t="s">
        <v>52</v>
      </c>
      <c r="E1090" t="s">
        <v>4093</v>
      </c>
      <c r="F1090" t="s">
        <v>45</v>
      </c>
      <c r="G1090" t="str">
        <f>HYPERLINK("https://twitter.com/997235541384089600/status/1143277073441710082")</f>
        <v>https://twitter.com/997235541384089600/status/1143277073441710082</v>
      </c>
      <c r="H1090" t="s">
        <v>46</v>
      </c>
      <c r="I1090" t="s">
        <v>4101</v>
      </c>
      <c r="J1090" t="str">
        <f>HYPERLINK("http://twitter.com/vantaeclouds")</f>
        <v>http://twitter.com/vantaeclouds</v>
      </c>
      <c r="K1090">
        <v>838</v>
      </c>
      <c r="N1090" t="s">
        <v>65</v>
      </c>
      <c r="R1090" t="s">
        <v>60</v>
      </c>
      <c r="W1090">
        <v>2</v>
      </c>
      <c r="X1090">
        <v>2</v>
      </c>
      <c r="AE1090">
        <v>0</v>
      </c>
      <c r="AF1090">
        <v>1</v>
      </c>
      <c r="AM1090" t="s">
        <v>52</v>
      </c>
      <c r="AN1090" t="s">
        <v>53</v>
      </c>
    </row>
    <row r="1091" spans="1:40">
      <c r="A1091" t="s">
        <v>2370</v>
      </c>
      <c r="B1091" t="s">
        <v>4099</v>
      </c>
      <c r="C1091" t="s">
        <v>4084</v>
      </c>
      <c r="D1091" t="s">
        <v>52</v>
      </c>
      <c r="E1091" t="s">
        <v>4102</v>
      </c>
      <c r="F1091" t="s">
        <v>45</v>
      </c>
      <c r="G1091" t="str">
        <f>HYPERLINK("https://twitter.com/268884573/status/1143277024150089730")</f>
        <v>https://twitter.com/268884573/status/1143277024150089730</v>
      </c>
      <c r="H1091" t="s">
        <v>91</v>
      </c>
      <c r="I1091" t="s">
        <v>4103</v>
      </c>
      <c r="J1091" t="str">
        <f>HYPERLINK("http://twitter.com/Lord_Phxntom")</f>
        <v>http://twitter.com/Lord_Phxntom</v>
      </c>
      <c r="K1091">
        <v>388</v>
      </c>
      <c r="N1091" t="s">
        <v>65</v>
      </c>
      <c r="R1091" t="s">
        <v>60</v>
      </c>
      <c r="S1091" t="s">
        <v>51</v>
      </c>
      <c r="T1091" t="s">
        <v>173</v>
      </c>
      <c r="W1091">
        <v>0</v>
      </c>
      <c r="X1091">
        <v>0</v>
      </c>
      <c r="AE1091">
        <v>0</v>
      </c>
      <c r="AF1091">
        <v>0</v>
      </c>
      <c r="AI1091" t="s">
        <v>52</v>
      </c>
      <c r="AJ1091" t="s">
        <v>52</v>
      </c>
      <c r="AK1091" t="s">
        <v>52</v>
      </c>
      <c r="AL1091" t="str">
        <f>HYPERLINK("https://pbs.twimg.com/media/D928ZHVUIAAiKE9.jpg")</f>
        <v>https://pbs.twimg.com/media/D928ZHVUIAAiKE9.jpg</v>
      </c>
      <c r="AM1091" t="s">
        <v>52</v>
      </c>
      <c r="AN1091" t="s">
        <v>53</v>
      </c>
    </row>
    <row r="1092" spans="1:40">
      <c r="A1092" t="s">
        <v>2370</v>
      </c>
      <c r="B1092" t="s">
        <v>4099</v>
      </c>
      <c r="C1092" t="s">
        <v>4104</v>
      </c>
      <c r="D1092" t="s">
        <v>52</v>
      </c>
      <c r="E1092" t="s">
        <v>1194</v>
      </c>
      <c r="F1092" t="s">
        <v>131</v>
      </c>
      <c r="G1092" t="str">
        <f>HYPERLINK("https://twitter.com/749028893156319232/status/1143276945066602509")</f>
        <v>https://twitter.com/749028893156319232/status/1143276945066602509</v>
      </c>
      <c r="H1092" t="s">
        <v>46</v>
      </c>
      <c r="I1092" t="s">
        <v>4105</v>
      </c>
      <c r="J1092" t="str">
        <f>HYPERLINK("http://twitter.com/free_tekashi")</f>
        <v>http://twitter.com/free_tekashi</v>
      </c>
      <c r="K1092">
        <v>249</v>
      </c>
      <c r="N1092" t="s">
        <v>65</v>
      </c>
      <c r="R1092" t="s">
        <v>60</v>
      </c>
      <c r="S1092" t="s">
        <v>387</v>
      </c>
      <c r="T1092" t="s">
        <v>2251</v>
      </c>
      <c r="U1092" t="s">
        <v>4106</v>
      </c>
      <c r="W1092">
        <v>0</v>
      </c>
      <c r="X1092">
        <v>0</v>
      </c>
      <c r="AE1092">
        <v>0</v>
      </c>
      <c r="AI1092" t="s">
        <v>52</v>
      </c>
      <c r="AJ1092" t="s">
        <v>1196</v>
      </c>
      <c r="AK1092" t="s">
        <v>52</v>
      </c>
      <c r="AL1092" t="str">
        <f>HYPERLINK("https://pbs.twimg.com/media/D9xgk2YXkAAd2ql.jpg")</f>
        <v>https://pbs.twimg.com/media/D9xgk2YXkAAd2ql.jpg</v>
      </c>
      <c r="AM1092" t="s">
        <v>52</v>
      </c>
      <c r="AN1092" t="s">
        <v>53</v>
      </c>
    </row>
    <row r="1093" spans="1:40">
      <c r="A1093" t="s">
        <v>2370</v>
      </c>
      <c r="B1093" t="s">
        <v>4099</v>
      </c>
      <c r="C1093" t="s">
        <v>4084</v>
      </c>
      <c r="D1093" t="s">
        <v>52</v>
      </c>
      <c r="E1093" t="s">
        <v>4107</v>
      </c>
      <c r="F1093" t="s">
        <v>45</v>
      </c>
      <c r="G1093" t="str">
        <f>HYPERLINK("https://www.instagram.com/p/BzG8BR2nQRd")</f>
        <v>https://www.instagram.com/p/BzG8BR2nQRd</v>
      </c>
      <c r="H1093" t="s">
        <v>46</v>
      </c>
      <c r="I1093" t="s">
        <v>4108</v>
      </c>
      <c r="J1093" t="str">
        <f>HYPERLINK("http://instagram.com/chasing_an_otq")</f>
        <v>http://instagram.com/chasing_an_otq</v>
      </c>
      <c r="K1093">
        <v>447</v>
      </c>
      <c r="N1093" t="s">
        <v>59</v>
      </c>
      <c r="O1093" t="s">
        <v>4108</v>
      </c>
      <c r="P1093" t="str">
        <f>HYPERLINK("http://instagram.com/chasing_an_otq")</f>
        <v>http://instagram.com/chasing_an_otq</v>
      </c>
      <c r="Q1093">
        <v>447</v>
      </c>
      <c r="R1093" t="s">
        <v>60</v>
      </c>
      <c r="S1093" t="s">
        <v>51</v>
      </c>
      <c r="T1093" t="s">
        <v>137</v>
      </c>
      <c r="U1093" t="s">
        <v>4109</v>
      </c>
      <c r="W1093">
        <v>49</v>
      </c>
      <c r="X1093">
        <v>49</v>
      </c>
      <c r="AE1093">
        <v>11</v>
      </c>
      <c r="AI1093" t="s">
        <v>52</v>
      </c>
      <c r="AJ1093" t="s">
        <v>52</v>
      </c>
      <c r="AK1093" t="s">
        <v>4110</v>
      </c>
      <c r="AL1093" t="str">
        <f>HYPERLINK("https://www.instagram.com/p/BzG8BR2nQRd/media/?size=l")</f>
        <v>https://www.instagram.com/p/BzG8BR2nQRd/media/?size=l</v>
      </c>
      <c r="AM1093" t="s">
        <v>52</v>
      </c>
      <c r="AN1093" t="s">
        <v>53</v>
      </c>
    </row>
    <row r="1094" spans="1:40">
      <c r="A1094" t="s">
        <v>2370</v>
      </c>
      <c r="B1094" t="s">
        <v>4111</v>
      </c>
      <c r="C1094" t="s">
        <v>4112</v>
      </c>
      <c r="D1094" t="s">
        <v>52</v>
      </c>
      <c r="E1094" t="s">
        <v>3791</v>
      </c>
      <c r="F1094" t="s">
        <v>131</v>
      </c>
      <c r="G1094" t="str">
        <f>HYPERLINK("https://twitter.com/1272001688/status/1143276856348745729")</f>
        <v>https://twitter.com/1272001688/status/1143276856348745729</v>
      </c>
      <c r="H1094" t="s">
        <v>46</v>
      </c>
      <c r="I1094" t="s">
        <v>4113</v>
      </c>
      <c r="J1094" t="str">
        <f>HYPERLINK("http://twitter.com/coneyzz")</f>
        <v>http://twitter.com/coneyzz</v>
      </c>
      <c r="K1094">
        <v>33557</v>
      </c>
      <c r="N1094" t="s">
        <v>65</v>
      </c>
      <c r="R1094" t="s">
        <v>60</v>
      </c>
      <c r="S1094" t="s">
        <v>4114</v>
      </c>
      <c r="T1094" t="s">
        <v>4115</v>
      </c>
      <c r="U1094" t="s">
        <v>4116</v>
      </c>
      <c r="W1094">
        <v>0</v>
      </c>
      <c r="X1094">
        <v>0</v>
      </c>
      <c r="AE1094">
        <v>0</v>
      </c>
      <c r="AI1094" t="s">
        <v>108</v>
      </c>
      <c r="AJ1094" t="s">
        <v>52</v>
      </c>
      <c r="AK1094" t="s">
        <v>52</v>
      </c>
      <c r="AL1094" t="str">
        <f>HYPERLINK("https://pbs.twimg.com/media/D927H38VAAASVcz.jpg")</f>
        <v>https://pbs.twimg.com/media/D927H38VAAASVcz.jpg</v>
      </c>
      <c r="AM1094" t="s">
        <v>52</v>
      </c>
      <c r="AN1094" t="s">
        <v>53</v>
      </c>
    </row>
    <row r="1095" spans="1:40">
      <c r="A1095" t="s">
        <v>2370</v>
      </c>
      <c r="B1095" t="s">
        <v>4111</v>
      </c>
      <c r="C1095" t="s">
        <v>4112</v>
      </c>
      <c r="D1095" t="s">
        <v>52</v>
      </c>
      <c r="E1095" t="s">
        <v>3954</v>
      </c>
      <c r="F1095" t="s">
        <v>131</v>
      </c>
      <c r="G1095" t="str">
        <f>HYPERLINK("https://twitter.com/1140740641510625280/status/1143276833414270981")</f>
        <v>https://twitter.com/1140740641510625280/status/1143276833414270981</v>
      </c>
      <c r="H1095" t="s">
        <v>46</v>
      </c>
      <c r="I1095" t="s">
        <v>4117</v>
      </c>
      <c r="J1095" t="str">
        <f>HYPERLINK("http://twitter.com/BtsTraordinary")</f>
        <v>http://twitter.com/BtsTraordinary</v>
      </c>
      <c r="K1095">
        <v>0</v>
      </c>
      <c r="N1095" t="s">
        <v>65</v>
      </c>
      <c r="R1095" t="s">
        <v>60</v>
      </c>
      <c r="W1095">
        <v>0</v>
      </c>
      <c r="X1095">
        <v>0</v>
      </c>
      <c r="AE1095">
        <v>0</v>
      </c>
      <c r="AI1095" t="s">
        <v>52</v>
      </c>
      <c r="AJ1095" t="s">
        <v>52</v>
      </c>
      <c r="AK1095" t="s">
        <v>52</v>
      </c>
      <c r="AL1095" t="str">
        <f>HYPERLINK("https://pbs.twimg.com/ext_tw_video_thumb/1143274961450229760/pu/img/grfG_QxeMwOowJjP.jpg")</f>
        <v>https://pbs.twimg.com/ext_tw_video_thumb/1143274961450229760/pu/img/grfG_QxeMwOowJjP.jpg</v>
      </c>
      <c r="AM1095" t="s">
        <v>52</v>
      </c>
      <c r="AN1095" t="s">
        <v>53</v>
      </c>
    </row>
    <row r="1096" spans="1:40">
      <c r="A1096" t="s">
        <v>2370</v>
      </c>
      <c r="B1096" t="s">
        <v>4118</v>
      </c>
      <c r="C1096" t="s">
        <v>4119</v>
      </c>
      <c r="D1096" t="s">
        <v>52</v>
      </c>
      <c r="E1096" t="s">
        <v>4120</v>
      </c>
      <c r="F1096" t="s">
        <v>45</v>
      </c>
      <c r="G1096" t="str">
        <f>HYPERLINK("https://www.instagram.com/p/BzG7z7oHbNC")</f>
        <v>https://www.instagram.com/p/BzG7z7oHbNC</v>
      </c>
      <c r="H1096" t="s">
        <v>46</v>
      </c>
      <c r="I1096" t="s">
        <v>52</v>
      </c>
      <c r="J1096" t="str">
        <f>HYPERLINK("http://instagram.com/amrfakher13")</f>
        <v>http://instagram.com/amrfakher13</v>
      </c>
      <c r="K1096">
        <v>107</v>
      </c>
      <c r="N1096" t="s">
        <v>59</v>
      </c>
      <c r="O1096" t="s">
        <v>52</v>
      </c>
      <c r="P1096" t="str">
        <f>HYPERLINK("http://instagram.com/amrfakher13")</f>
        <v>http://instagram.com/amrfakher13</v>
      </c>
      <c r="Q1096">
        <v>107</v>
      </c>
      <c r="R1096" t="s">
        <v>60</v>
      </c>
      <c r="W1096">
        <v>6</v>
      </c>
      <c r="X1096">
        <v>6</v>
      </c>
      <c r="AE1096">
        <v>0</v>
      </c>
      <c r="AI1096" t="s">
        <v>52</v>
      </c>
      <c r="AJ1096" t="s">
        <v>52</v>
      </c>
      <c r="AK1096" t="s">
        <v>52</v>
      </c>
      <c r="AL1096" t="str">
        <f>HYPERLINK("https://www.instagram.com/p/BzG7z7oHbNC/media/?size=l")</f>
        <v>https://www.instagram.com/p/BzG7z7oHbNC/media/?size=l</v>
      </c>
      <c r="AM1096" t="s">
        <v>52</v>
      </c>
      <c r="AN1096" t="s">
        <v>53</v>
      </c>
    </row>
    <row r="1097" spans="1:40">
      <c r="A1097" t="s">
        <v>2370</v>
      </c>
      <c r="B1097" t="s">
        <v>4121</v>
      </c>
      <c r="C1097" t="s">
        <v>3287</v>
      </c>
      <c r="D1097" t="s">
        <v>4122</v>
      </c>
      <c r="E1097" t="s">
        <v>4123</v>
      </c>
      <c r="F1097" t="s">
        <v>45</v>
      </c>
      <c r="G1097" t="str">
        <f>HYPERLINK("https://apkhook.com/mt-dew.html")</f>
        <v>https://apkhook.com/mt-dew.html</v>
      </c>
      <c r="H1097" t="s">
        <v>46</v>
      </c>
      <c r="N1097" t="s">
        <v>1633</v>
      </c>
      <c r="R1097" t="s">
        <v>50</v>
      </c>
      <c r="S1097" t="s">
        <v>51</v>
      </c>
      <c r="AM1097" t="s">
        <v>52</v>
      </c>
      <c r="AN1097" t="s">
        <v>53</v>
      </c>
    </row>
    <row r="1098" spans="1:40">
      <c r="A1098" t="s">
        <v>2370</v>
      </c>
      <c r="B1098" t="s">
        <v>4124</v>
      </c>
      <c r="C1098" t="s">
        <v>4125</v>
      </c>
      <c r="D1098" t="s">
        <v>52</v>
      </c>
      <c r="E1098" t="s">
        <v>4126</v>
      </c>
      <c r="F1098" t="s">
        <v>45</v>
      </c>
      <c r="G1098" t="str">
        <f>HYPERLINK("https://www.instagram.com/p/BzG7gCDgCYi")</f>
        <v>https://www.instagram.com/p/BzG7gCDgCYi</v>
      </c>
      <c r="H1098" t="s">
        <v>46</v>
      </c>
      <c r="I1098" t="s">
        <v>4127</v>
      </c>
      <c r="J1098" t="str">
        <f>HYPERLINK("http://instagram.com/fitbrittni")</f>
        <v>http://instagram.com/fitbrittni</v>
      </c>
      <c r="K1098">
        <v>1627</v>
      </c>
      <c r="N1098" t="s">
        <v>59</v>
      </c>
      <c r="O1098" t="s">
        <v>4127</v>
      </c>
      <c r="P1098" t="str">
        <f>HYPERLINK("http://instagram.com/fitbrittni")</f>
        <v>http://instagram.com/fitbrittni</v>
      </c>
      <c r="Q1098">
        <v>1627</v>
      </c>
      <c r="R1098" t="s">
        <v>60</v>
      </c>
      <c r="W1098">
        <v>100</v>
      </c>
      <c r="X1098">
        <v>100</v>
      </c>
      <c r="AE1098">
        <v>6</v>
      </c>
      <c r="AI1098" t="s">
        <v>52</v>
      </c>
      <c r="AJ1098" t="s">
        <v>977</v>
      </c>
      <c r="AK1098" t="s">
        <v>4128</v>
      </c>
      <c r="AL1098" t="str">
        <f>HYPERLINK("https://www.instagram.com/p/BzG7gCDgCYi/media/?size=l")</f>
        <v>https://www.instagram.com/p/BzG7gCDgCYi/media/?size=l</v>
      </c>
      <c r="AM1098" t="s">
        <v>52</v>
      </c>
      <c r="AN1098" t="s">
        <v>53</v>
      </c>
    </row>
    <row r="1099" spans="1:40">
      <c r="A1099" t="s">
        <v>2370</v>
      </c>
      <c r="B1099" t="s">
        <v>4129</v>
      </c>
      <c r="C1099" t="s">
        <v>4130</v>
      </c>
      <c r="D1099" t="s">
        <v>52</v>
      </c>
      <c r="E1099" t="s">
        <v>4131</v>
      </c>
      <c r="F1099" t="s">
        <v>131</v>
      </c>
      <c r="G1099" t="str">
        <f>HYPERLINK("https://twitter.com/486309086/status/1143275560686276610")</f>
        <v>https://twitter.com/486309086/status/1143275560686276610</v>
      </c>
      <c r="H1099" t="s">
        <v>46</v>
      </c>
      <c r="I1099" t="s">
        <v>4132</v>
      </c>
      <c r="J1099" t="str">
        <f>HYPERLINK("http://twitter.com/GrocrE")</f>
        <v>http://twitter.com/GrocrE</v>
      </c>
      <c r="K1099">
        <v>581</v>
      </c>
      <c r="N1099" t="s">
        <v>65</v>
      </c>
      <c r="R1099" t="s">
        <v>60</v>
      </c>
      <c r="W1099">
        <v>0</v>
      </c>
      <c r="X1099">
        <v>0</v>
      </c>
      <c r="AE1099">
        <v>0</v>
      </c>
      <c r="AI1099" t="s">
        <v>4133</v>
      </c>
      <c r="AJ1099" t="s">
        <v>1853</v>
      </c>
      <c r="AK1099" t="s">
        <v>52</v>
      </c>
      <c r="AL1099" t="str">
        <f>HYPERLINK("https://pbs.twimg.com/media/D91bbJiXkAEsF1j.jpg")</f>
        <v>https://pbs.twimg.com/media/D91bbJiXkAEsF1j.jpg</v>
      </c>
      <c r="AM1099" t="s">
        <v>52</v>
      </c>
      <c r="AN1099" t="s">
        <v>53</v>
      </c>
    </row>
    <row r="1100" spans="1:40">
      <c r="A1100" t="s">
        <v>2370</v>
      </c>
      <c r="B1100" t="s">
        <v>4134</v>
      </c>
      <c r="C1100" t="s">
        <v>4088</v>
      </c>
      <c r="D1100" t="s">
        <v>52</v>
      </c>
      <c r="E1100" t="s">
        <v>4135</v>
      </c>
      <c r="F1100" t="s">
        <v>45</v>
      </c>
      <c r="G1100" t="str">
        <f>HYPERLINK("https://twitter.com/1155150085/status/1143275175858835456")</f>
        <v>https://twitter.com/1155150085/status/1143275175858835456</v>
      </c>
      <c r="H1100" t="s">
        <v>46</v>
      </c>
      <c r="I1100" t="s">
        <v>4136</v>
      </c>
      <c r="J1100" t="str">
        <f>HYPERLINK("http://twitter.com/Danny0hm")</f>
        <v>http://twitter.com/Danny0hm</v>
      </c>
      <c r="K1100">
        <v>87</v>
      </c>
      <c r="N1100" t="s">
        <v>65</v>
      </c>
      <c r="R1100" t="s">
        <v>60</v>
      </c>
      <c r="S1100" t="s">
        <v>51</v>
      </c>
      <c r="T1100" t="s">
        <v>152</v>
      </c>
      <c r="U1100" t="s">
        <v>4137</v>
      </c>
      <c r="W1100">
        <v>3</v>
      </c>
      <c r="X1100">
        <v>3</v>
      </c>
      <c r="AE1100">
        <v>3</v>
      </c>
      <c r="AF1100">
        <v>0</v>
      </c>
      <c r="AI1100" t="s">
        <v>52</v>
      </c>
      <c r="AJ1100" t="s">
        <v>268</v>
      </c>
      <c r="AK1100" t="s">
        <v>52</v>
      </c>
      <c r="AL1100" t="str">
        <f>HYPERLINK("https://pbs.twimg.com/media/D926tMRXsAAobQ6.jpg")</f>
        <v>https://pbs.twimg.com/media/D926tMRXsAAobQ6.jpg</v>
      </c>
      <c r="AM1100" t="s">
        <v>52</v>
      </c>
      <c r="AN1100" t="s">
        <v>53</v>
      </c>
    </row>
    <row r="1101" spans="1:40">
      <c r="A1101" t="s">
        <v>2370</v>
      </c>
      <c r="B1101" t="s">
        <v>4134</v>
      </c>
      <c r="C1101" t="s">
        <v>4138</v>
      </c>
      <c r="D1101" t="s">
        <v>52</v>
      </c>
      <c r="E1101" t="s">
        <v>4139</v>
      </c>
      <c r="F1101" t="s">
        <v>45</v>
      </c>
      <c r="G1101" t="str">
        <f>HYPERLINK("https://www.instagram.com/p/BzG7NAVFkmI")</f>
        <v>https://www.instagram.com/p/BzG7NAVFkmI</v>
      </c>
      <c r="H1101" t="s">
        <v>46</v>
      </c>
      <c r="I1101" t="s">
        <v>4140</v>
      </c>
      <c r="J1101" t="str">
        <f>HYPERLINK("http://instagram.com/lullabies.from.hades")</f>
        <v>http://instagram.com/lullabies.from.hades</v>
      </c>
      <c r="K1101">
        <v>191</v>
      </c>
      <c r="L1101" t="s">
        <v>48</v>
      </c>
      <c r="N1101" t="s">
        <v>59</v>
      </c>
      <c r="O1101" t="s">
        <v>4140</v>
      </c>
      <c r="P1101" t="str">
        <f>HYPERLINK("http://instagram.com/lullabies.from.hades")</f>
        <v>http://instagram.com/lullabies.from.hades</v>
      </c>
      <c r="Q1101">
        <v>191</v>
      </c>
      <c r="R1101" t="s">
        <v>60</v>
      </c>
      <c r="W1101">
        <v>22</v>
      </c>
      <c r="X1101">
        <v>22</v>
      </c>
      <c r="AE1101">
        <v>1</v>
      </c>
      <c r="AI1101" t="s">
        <v>108</v>
      </c>
      <c r="AJ1101" t="s">
        <v>52</v>
      </c>
      <c r="AK1101" t="s">
        <v>52</v>
      </c>
      <c r="AL1101" t="str">
        <f>HYPERLINK("https://www.instagram.com/p/BzG7NAVFkmI/media/?size=l")</f>
        <v>https://www.instagram.com/p/BzG7NAVFkmI/media/?size=l</v>
      </c>
      <c r="AM1101" t="s">
        <v>52</v>
      </c>
      <c r="AN1101" t="s">
        <v>53</v>
      </c>
    </row>
    <row r="1102" spans="1:40">
      <c r="A1102" t="s">
        <v>2370</v>
      </c>
      <c r="B1102" t="s">
        <v>4141</v>
      </c>
      <c r="C1102" t="s">
        <v>4142</v>
      </c>
      <c r="D1102" t="s">
        <v>52</v>
      </c>
      <c r="E1102" t="s">
        <v>4143</v>
      </c>
      <c r="F1102" t="s">
        <v>45</v>
      </c>
      <c r="G1102" t="str">
        <f>HYPERLINK("https://www.instagram.com/p/BzG7Gc6Fnno")</f>
        <v>https://www.instagram.com/p/BzG7Gc6Fnno</v>
      </c>
      <c r="H1102" t="s">
        <v>46</v>
      </c>
      <c r="I1102" t="s">
        <v>4144</v>
      </c>
      <c r="J1102" t="str">
        <f>HYPERLINK("http://instagram.com/regalosfers.trc")</f>
        <v>http://instagram.com/regalosfers.trc</v>
      </c>
      <c r="K1102">
        <v>72</v>
      </c>
      <c r="L1102" t="s">
        <v>651</v>
      </c>
      <c r="N1102" t="s">
        <v>59</v>
      </c>
      <c r="O1102" t="s">
        <v>4144</v>
      </c>
      <c r="P1102" t="str">
        <f>HYPERLINK("http://instagram.com/regalosfers.trc")</f>
        <v>http://instagram.com/regalosfers.trc</v>
      </c>
      <c r="Q1102">
        <v>72</v>
      </c>
      <c r="R1102" t="s">
        <v>60</v>
      </c>
      <c r="S1102" t="s">
        <v>437</v>
      </c>
      <c r="T1102" t="s">
        <v>4145</v>
      </c>
      <c r="U1102" t="s">
        <v>4146</v>
      </c>
      <c r="W1102">
        <v>11</v>
      </c>
      <c r="X1102">
        <v>11</v>
      </c>
      <c r="AE1102">
        <v>1</v>
      </c>
      <c r="AI1102" t="s">
        <v>108</v>
      </c>
      <c r="AJ1102" t="s">
        <v>52</v>
      </c>
      <c r="AK1102" t="s">
        <v>52</v>
      </c>
      <c r="AL1102" t="str">
        <f>HYPERLINK("https://www.instagram.com/p/BzG7Gc6Fnno/media/?size=l")</f>
        <v>https://www.instagram.com/p/BzG7Gc6Fnno/media/?size=l</v>
      </c>
      <c r="AM1102" t="s">
        <v>52</v>
      </c>
      <c r="AN1102" t="s">
        <v>53</v>
      </c>
    </row>
    <row r="1103" spans="1:40">
      <c r="A1103" t="s">
        <v>2370</v>
      </c>
      <c r="B1103" t="s">
        <v>4147</v>
      </c>
      <c r="C1103" t="s">
        <v>4119</v>
      </c>
      <c r="D1103" t="s">
        <v>52</v>
      </c>
      <c r="E1103" t="s">
        <v>4148</v>
      </c>
      <c r="F1103" t="s">
        <v>71</v>
      </c>
      <c r="G1103" t="str">
        <f>HYPERLINK("https://twitter.com/957707874/status/1143274159880978433")</f>
        <v>https://twitter.com/957707874/status/1143274159880978433</v>
      </c>
      <c r="H1103" t="s">
        <v>46</v>
      </c>
      <c r="I1103" t="s">
        <v>4149</v>
      </c>
      <c r="J1103" t="str">
        <f>HYPERLINK("http://twitter.com/RageMadeMe")</f>
        <v>http://twitter.com/RageMadeMe</v>
      </c>
      <c r="K1103">
        <v>148</v>
      </c>
      <c r="N1103" t="s">
        <v>65</v>
      </c>
      <c r="R1103" t="s">
        <v>60</v>
      </c>
      <c r="S1103" t="s">
        <v>4150</v>
      </c>
      <c r="T1103" t="s">
        <v>4151</v>
      </c>
      <c r="U1103" t="s">
        <v>4152</v>
      </c>
      <c r="W1103">
        <v>3</v>
      </c>
      <c r="X1103">
        <v>3</v>
      </c>
      <c r="AE1103">
        <v>1</v>
      </c>
      <c r="AF1103">
        <v>2</v>
      </c>
      <c r="AM1103" t="s">
        <v>52</v>
      </c>
      <c r="AN1103" t="s">
        <v>53</v>
      </c>
    </row>
    <row r="1104" spans="1:40">
      <c r="A1104" t="s">
        <v>2370</v>
      </c>
      <c r="B1104" t="s">
        <v>4153</v>
      </c>
      <c r="C1104" t="s">
        <v>4125</v>
      </c>
      <c r="D1104" t="s">
        <v>52</v>
      </c>
      <c r="E1104" t="s">
        <v>1194</v>
      </c>
      <c r="F1104" t="s">
        <v>131</v>
      </c>
      <c r="G1104" t="str">
        <f>HYPERLINK("https://twitter.com/1126739150248407040/status/1143274048811675651")</f>
        <v>https://twitter.com/1126739150248407040/status/1143274048811675651</v>
      </c>
      <c r="H1104" t="s">
        <v>46</v>
      </c>
      <c r="I1104" t="s">
        <v>4154</v>
      </c>
      <c r="J1104" t="str">
        <f>HYPERLINK("http://twitter.com/softstankarla")</f>
        <v>http://twitter.com/softstankarla</v>
      </c>
      <c r="K1104">
        <v>14</v>
      </c>
      <c r="N1104" t="s">
        <v>65</v>
      </c>
      <c r="R1104" t="s">
        <v>60</v>
      </c>
      <c r="W1104">
        <v>0</v>
      </c>
      <c r="X1104">
        <v>0</v>
      </c>
      <c r="AE1104">
        <v>0</v>
      </c>
      <c r="AI1104" t="s">
        <v>52</v>
      </c>
      <c r="AJ1104" t="s">
        <v>1196</v>
      </c>
      <c r="AK1104" t="s">
        <v>52</v>
      </c>
      <c r="AL1104" t="str">
        <f>HYPERLINK("https://pbs.twimg.com/media/D9xgk2YXkAAd2ql.jpg")</f>
        <v>https://pbs.twimg.com/media/D9xgk2YXkAAd2ql.jpg</v>
      </c>
      <c r="AM1104" t="s">
        <v>52</v>
      </c>
      <c r="AN1104" t="s">
        <v>53</v>
      </c>
    </row>
    <row r="1105" spans="1:40">
      <c r="A1105" t="s">
        <v>2370</v>
      </c>
      <c r="B1105" t="s">
        <v>4153</v>
      </c>
      <c r="C1105" t="s">
        <v>4130</v>
      </c>
      <c r="D1105" t="s">
        <v>52</v>
      </c>
      <c r="E1105" t="s">
        <v>4155</v>
      </c>
      <c r="F1105" t="s">
        <v>131</v>
      </c>
      <c r="G1105" t="str">
        <f>HYPERLINK("https://twitter.com/906321731417264128/status/1143273986899492864")</f>
        <v>https://twitter.com/906321731417264128/status/1143273986899492864</v>
      </c>
      <c r="H1105" t="s">
        <v>46</v>
      </c>
      <c r="I1105" t="s">
        <v>4156</v>
      </c>
      <c r="J1105" t="str">
        <f>HYPERLINK("http://twitter.com/MarianaSLiveira")</f>
        <v>http://twitter.com/MarianaSLiveira</v>
      </c>
      <c r="K1105">
        <v>306</v>
      </c>
      <c r="N1105" t="s">
        <v>65</v>
      </c>
      <c r="R1105" t="s">
        <v>60</v>
      </c>
      <c r="W1105">
        <v>0</v>
      </c>
      <c r="X1105">
        <v>0</v>
      </c>
      <c r="AE1105">
        <v>0</v>
      </c>
      <c r="AI1105" t="s">
        <v>108</v>
      </c>
      <c r="AJ1105" t="s">
        <v>1853</v>
      </c>
      <c r="AK1105" t="s">
        <v>52</v>
      </c>
      <c r="AL1105" t="str">
        <f>HYPERLINK("https://pbs.twimg.com/media/D9mukIWWkAIu0PD.jpg")</f>
        <v>https://pbs.twimg.com/media/D9mukIWWkAIu0PD.jpg</v>
      </c>
      <c r="AM1105" t="s">
        <v>52</v>
      </c>
      <c r="AN1105" t="s">
        <v>53</v>
      </c>
    </row>
    <row r="1106" spans="1:40">
      <c r="A1106" t="s">
        <v>2370</v>
      </c>
      <c r="B1106" t="s">
        <v>4153</v>
      </c>
      <c r="C1106" t="s">
        <v>4157</v>
      </c>
      <c r="D1106" t="s">
        <v>52</v>
      </c>
      <c r="E1106" t="s">
        <v>4158</v>
      </c>
      <c r="F1106" t="s">
        <v>45</v>
      </c>
      <c r="G1106" t="str">
        <f>HYPERLINK("https://twitter.com/745281888705744896/status/1143273983133061121")</f>
        <v>https://twitter.com/745281888705744896/status/1143273983133061121</v>
      </c>
      <c r="H1106" t="s">
        <v>215</v>
      </c>
      <c r="I1106" t="s">
        <v>4159</v>
      </c>
      <c r="J1106" t="str">
        <f>HYPERLINK("http://twitter.com/Floats_Whatever")</f>
        <v>http://twitter.com/Floats_Whatever</v>
      </c>
      <c r="K1106">
        <v>81</v>
      </c>
      <c r="N1106" t="s">
        <v>65</v>
      </c>
      <c r="R1106" t="s">
        <v>60</v>
      </c>
      <c r="W1106">
        <v>0</v>
      </c>
      <c r="X1106">
        <v>0</v>
      </c>
      <c r="AE1106">
        <v>0</v>
      </c>
      <c r="AF1106">
        <v>0</v>
      </c>
      <c r="AM1106" t="s">
        <v>52</v>
      </c>
      <c r="AN1106" t="s">
        <v>53</v>
      </c>
    </row>
    <row r="1107" spans="1:40">
      <c r="A1107" t="s">
        <v>2370</v>
      </c>
      <c r="B1107" t="s">
        <v>4153</v>
      </c>
      <c r="C1107" t="s">
        <v>4157</v>
      </c>
      <c r="D1107" t="s">
        <v>52</v>
      </c>
      <c r="E1107" t="s">
        <v>1411</v>
      </c>
      <c r="F1107" t="s">
        <v>131</v>
      </c>
      <c r="G1107" t="str">
        <f>HYPERLINK("https://twitter.com/998648392933834752/status/1143273947800190976")</f>
        <v>https://twitter.com/998648392933834752/status/1143273947800190976</v>
      </c>
      <c r="H1107" t="s">
        <v>46</v>
      </c>
      <c r="I1107" t="s">
        <v>4160</v>
      </c>
      <c r="J1107" t="str">
        <f>HYPERLINK("http://twitter.com/breemorenos")</f>
        <v>http://twitter.com/breemorenos</v>
      </c>
      <c r="K1107">
        <v>183</v>
      </c>
      <c r="N1107" t="s">
        <v>65</v>
      </c>
      <c r="R1107" t="s">
        <v>60</v>
      </c>
      <c r="S1107" t="s">
        <v>51</v>
      </c>
      <c r="T1107" t="s">
        <v>152</v>
      </c>
      <c r="U1107" t="s">
        <v>1958</v>
      </c>
      <c r="W1107">
        <v>0</v>
      </c>
      <c r="X1107">
        <v>0</v>
      </c>
      <c r="AE1107">
        <v>0</v>
      </c>
      <c r="AM1107" t="s">
        <v>52</v>
      </c>
      <c r="AN1107" t="s">
        <v>53</v>
      </c>
    </row>
    <row r="1108" spans="1:40">
      <c r="A1108" t="s">
        <v>2370</v>
      </c>
      <c r="B1108" t="s">
        <v>4153</v>
      </c>
      <c r="C1108" t="s">
        <v>4161</v>
      </c>
      <c r="D1108" t="s">
        <v>52</v>
      </c>
      <c r="E1108" t="s">
        <v>4162</v>
      </c>
      <c r="F1108" t="s">
        <v>95</v>
      </c>
      <c r="G1108" t="str">
        <f>HYPERLINK("https://twitter.com/4658461382/status/1143273868687290369")</f>
        <v>https://twitter.com/4658461382/status/1143273868687290369</v>
      </c>
      <c r="H1108" t="s">
        <v>46</v>
      </c>
      <c r="I1108" t="s">
        <v>4163</v>
      </c>
      <c r="J1108" t="str">
        <f>HYPERLINK("http://twitter.com/MonkeyDErkpo1")</f>
        <v>http://twitter.com/MonkeyDErkpo1</v>
      </c>
      <c r="K1108">
        <v>851</v>
      </c>
      <c r="N1108" t="s">
        <v>65</v>
      </c>
      <c r="R1108" t="s">
        <v>60</v>
      </c>
      <c r="W1108">
        <v>1</v>
      </c>
      <c r="X1108">
        <v>1</v>
      </c>
      <c r="AE1108">
        <v>1</v>
      </c>
      <c r="AF1108">
        <v>0</v>
      </c>
      <c r="AM1108" t="s">
        <v>52</v>
      </c>
      <c r="AN1108" t="s">
        <v>53</v>
      </c>
    </row>
    <row r="1109" spans="1:40">
      <c r="A1109" t="s">
        <v>2370</v>
      </c>
      <c r="B1109" t="s">
        <v>4153</v>
      </c>
      <c r="C1109" t="s">
        <v>4119</v>
      </c>
      <c r="D1109" t="s">
        <v>4164</v>
      </c>
      <c r="E1109" t="s">
        <v>4165</v>
      </c>
      <c r="F1109" t="s">
        <v>45</v>
      </c>
      <c r="G1109" t="str">
        <f>HYPERLINK("https://www.youtube.com/watch?v=KPMuOxePsHE")</f>
        <v>https://www.youtube.com/watch?v=KPMuOxePsHE</v>
      </c>
      <c r="H1109" t="s">
        <v>46</v>
      </c>
      <c r="I1109" t="s">
        <v>4166</v>
      </c>
      <c r="J1109" t="str">
        <f>HYPERLINK("https://www.youtube.com/channel/UC3Iuf_yDUh8uB5Go2QCE2IA")</f>
        <v>https://www.youtube.com/channel/UC3Iuf_yDUh8uB5Go2QCE2IA</v>
      </c>
      <c r="K1109">
        <v>46</v>
      </c>
      <c r="N1109" t="s">
        <v>116</v>
      </c>
      <c r="O1109" t="s">
        <v>4166</v>
      </c>
      <c r="P1109" t="str">
        <f>HYPERLINK("https://www.youtube.com/channel/UC3Iuf_yDUh8uB5Go2QCE2IA")</f>
        <v>https://www.youtube.com/channel/UC3Iuf_yDUh8uB5Go2QCE2IA</v>
      </c>
      <c r="Q1109">
        <v>46</v>
      </c>
      <c r="R1109" t="s">
        <v>60</v>
      </c>
      <c r="S1109" t="s">
        <v>437</v>
      </c>
      <c r="W1109">
        <v>1</v>
      </c>
      <c r="X1109">
        <v>1</v>
      </c>
      <c r="AD1109">
        <v>0</v>
      </c>
      <c r="AE1109">
        <v>0</v>
      </c>
      <c r="AG1109">
        <v>9</v>
      </c>
      <c r="AI1109" t="s">
        <v>52</v>
      </c>
      <c r="AJ1109" t="s">
        <v>52</v>
      </c>
      <c r="AK1109" t="s">
        <v>52</v>
      </c>
      <c r="AL1109" t="str">
        <f>HYPERLINK("https://i.ytimg.com/vi/KPMuOxePsHE/hqdefault.jpg")</f>
        <v>https://i.ytimg.com/vi/KPMuOxePsHE/hqdefault.jpg</v>
      </c>
      <c r="AM1109" t="s">
        <v>52</v>
      </c>
      <c r="AN1109" t="s">
        <v>53</v>
      </c>
    </row>
    <row r="1110" spans="1:40">
      <c r="A1110" t="s">
        <v>2370</v>
      </c>
      <c r="B1110" t="s">
        <v>4167</v>
      </c>
      <c r="C1110" t="s">
        <v>4168</v>
      </c>
      <c r="D1110" t="s">
        <v>52</v>
      </c>
      <c r="E1110" t="s">
        <v>4169</v>
      </c>
      <c r="F1110" t="s">
        <v>45</v>
      </c>
      <c r="G1110" t="str">
        <f>HYPERLINK("https://twitter.com/969398578497044480/status/1143273705096695808")</f>
        <v>https://twitter.com/969398578497044480/status/1143273705096695808</v>
      </c>
      <c r="H1110" t="s">
        <v>46</v>
      </c>
      <c r="I1110" t="s">
        <v>4170</v>
      </c>
      <c r="J1110" t="str">
        <f>HYPERLINK("http://twitter.com/GBInfinite")</f>
        <v>http://twitter.com/GBInfinite</v>
      </c>
      <c r="K1110">
        <v>3253</v>
      </c>
      <c r="N1110" t="s">
        <v>65</v>
      </c>
      <c r="R1110" t="s">
        <v>60</v>
      </c>
      <c r="W1110">
        <v>0</v>
      </c>
      <c r="X1110">
        <v>0</v>
      </c>
      <c r="AE1110">
        <v>0</v>
      </c>
      <c r="AF1110">
        <v>0</v>
      </c>
      <c r="AM1110" t="s">
        <v>52</v>
      </c>
      <c r="AN1110" t="s">
        <v>53</v>
      </c>
    </row>
    <row r="1111" spans="1:40">
      <c r="A1111" t="s">
        <v>2370</v>
      </c>
      <c r="B1111" t="s">
        <v>4171</v>
      </c>
      <c r="C1111" t="s">
        <v>4168</v>
      </c>
      <c r="D1111" t="s">
        <v>52</v>
      </c>
      <c r="E1111" t="s">
        <v>4172</v>
      </c>
      <c r="F1111" t="s">
        <v>45</v>
      </c>
      <c r="G1111" t="str">
        <f>HYPERLINK("https://www.instagram.com/p/BzG6T_JFP4i")</f>
        <v>https://www.instagram.com/p/BzG6T_JFP4i</v>
      </c>
      <c r="H1111" t="s">
        <v>46</v>
      </c>
      <c r="I1111" t="s">
        <v>52</v>
      </c>
      <c r="J1111" t="str">
        <f>HYPERLINK("http://instagram.com/multi_purpouse_accaount")</f>
        <v>http://instagram.com/multi_purpouse_accaount</v>
      </c>
      <c r="K1111">
        <v>52</v>
      </c>
      <c r="N1111" t="s">
        <v>59</v>
      </c>
      <c r="O1111" t="s">
        <v>52</v>
      </c>
      <c r="P1111" t="str">
        <f>HYPERLINK("http://instagram.com/multi_purpouse_accaount")</f>
        <v>http://instagram.com/multi_purpouse_accaount</v>
      </c>
      <c r="Q1111">
        <v>52</v>
      </c>
      <c r="R1111" t="s">
        <v>60</v>
      </c>
      <c r="W1111">
        <v>14</v>
      </c>
      <c r="X1111">
        <v>14</v>
      </c>
      <c r="AE1111">
        <v>0</v>
      </c>
      <c r="AG1111">
        <v>31</v>
      </c>
      <c r="AI1111" t="s">
        <v>52</v>
      </c>
      <c r="AJ1111" t="s">
        <v>52</v>
      </c>
      <c r="AK1111" t="s">
        <v>4173</v>
      </c>
      <c r="AL1111" t="str">
        <f>HYPERLINK("https://www.instagram.com/p/BzG6T_JFP4i/media/?size=l")</f>
        <v>https://www.instagram.com/p/BzG6T_JFP4i/media/?size=l</v>
      </c>
      <c r="AM1111" t="s">
        <v>52</v>
      </c>
      <c r="AN1111" t="s">
        <v>53</v>
      </c>
    </row>
    <row r="1112" spans="1:40">
      <c r="A1112" t="s">
        <v>2370</v>
      </c>
      <c r="B1112" t="s">
        <v>4174</v>
      </c>
      <c r="C1112" t="s">
        <v>4175</v>
      </c>
      <c r="D1112" t="s">
        <v>52</v>
      </c>
      <c r="E1112" t="s">
        <v>577</v>
      </c>
      <c r="F1112" t="s">
        <v>131</v>
      </c>
      <c r="G1112" t="str">
        <f>HYPERLINK("https://twitter.com/988109284482473984/status/1143273217601212418")</f>
        <v>https://twitter.com/988109284482473984/status/1143273217601212418</v>
      </c>
      <c r="H1112" t="s">
        <v>46</v>
      </c>
      <c r="I1112" t="s">
        <v>4176</v>
      </c>
      <c r="J1112" t="str">
        <f>HYPERLINK("http://twitter.com/rainmoobow")</f>
        <v>http://twitter.com/rainmoobow</v>
      </c>
      <c r="K1112">
        <v>166</v>
      </c>
      <c r="N1112" t="s">
        <v>65</v>
      </c>
      <c r="R1112" t="s">
        <v>60</v>
      </c>
      <c r="S1112" t="s">
        <v>1034</v>
      </c>
      <c r="U1112" t="s">
        <v>4177</v>
      </c>
      <c r="W1112">
        <v>0</v>
      </c>
      <c r="X1112">
        <v>0</v>
      </c>
      <c r="AE1112">
        <v>0</v>
      </c>
      <c r="AI1112" t="s">
        <v>52</v>
      </c>
      <c r="AJ1112" t="s">
        <v>52</v>
      </c>
      <c r="AK1112" t="s">
        <v>581</v>
      </c>
      <c r="AL1112" t="str">
        <f>HYPERLINK("https://pbs.twimg.com/ext_tw_video_thumb/1142915685863108608/pu/img/WRlHL3RIvWqv0H2N.jpg")</f>
        <v>https://pbs.twimg.com/ext_tw_video_thumb/1142915685863108608/pu/img/WRlHL3RIvWqv0H2N.jpg</v>
      </c>
      <c r="AM1112" t="s">
        <v>52</v>
      </c>
      <c r="AN1112" t="s">
        <v>53</v>
      </c>
    </row>
    <row r="1113" spans="1:40">
      <c r="A1113" t="s">
        <v>2370</v>
      </c>
      <c r="B1113" t="s">
        <v>4174</v>
      </c>
      <c r="C1113" t="s">
        <v>3528</v>
      </c>
      <c r="D1113" t="s">
        <v>52</v>
      </c>
      <c r="E1113" t="s">
        <v>4178</v>
      </c>
      <c r="F1113" t="s">
        <v>45</v>
      </c>
      <c r="G1113" t="str">
        <f>HYPERLINK("https://www.facebook.com/1182994501768844/posts/2212772242124393")</f>
        <v>https://www.facebook.com/1182994501768844/posts/2212772242124393</v>
      </c>
      <c r="H1113" t="s">
        <v>46</v>
      </c>
      <c r="I1113" t="s">
        <v>4179</v>
      </c>
      <c r="J1113" t="str">
        <f>HYPERLINK("https://www.facebook.com/1182994501768844")</f>
        <v>https://www.facebook.com/1182994501768844</v>
      </c>
      <c r="K1113">
        <v>78374</v>
      </c>
      <c r="L1113" t="s">
        <v>651</v>
      </c>
      <c r="N1113" t="s">
        <v>1792</v>
      </c>
      <c r="O1113" t="s">
        <v>4179</v>
      </c>
      <c r="P1113" t="str">
        <f>HYPERLINK("https://www.facebook.com/1182994501768844")</f>
        <v>https://www.facebook.com/1182994501768844</v>
      </c>
      <c r="Q1113">
        <v>78374</v>
      </c>
      <c r="R1113" t="s">
        <v>60</v>
      </c>
      <c r="S1113" t="s">
        <v>774</v>
      </c>
      <c r="W1113">
        <v>6</v>
      </c>
      <c r="X1113">
        <v>6</v>
      </c>
      <c r="Y1113">
        <v>0</v>
      </c>
      <c r="Z1113">
        <v>0</v>
      </c>
      <c r="AA1113">
        <v>0</v>
      </c>
      <c r="AB1113">
        <v>0</v>
      </c>
      <c r="AC1113">
        <v>0</v>
      </c>
      <c r="AE1113">
        <v>86</v>
      </c>
      <c r="AF1113">
        <v>0</v>
      </c>
      <c r="AI1113" t="s">
        <v>108</v>
      </c>
      <c r="AJ1113" t="s">
        <v>716</v>
      </c>
      <c r="AK1113" t="s">
        <v>52</v>
      </c>
      <c r="AL1113" t="str">
        <f>HYPERLINK("https://scontent.xx.fbcdn.net/v/t1.0-9/s720x720/64918480_2212769805457970_2185513229764001792_o.jpg?_nc_cat=105&amp;_nc_oc=AQlPCzrrNXVZ3Vr6eKJgm0tMYNk8_3BcPjvmf6EQMEmCmKgoMHxnh5UJYqn_r96gHsc&amp;_nc_ht=scontent.xx&amp;oh=abe50bfd08349b4ee405c7d4147c5ee9&amp;oe=5D86D226")</f>
        <v>https://scontent.xx.fbcdn.net/v/t1.0-9/s720x720/64918480_2212769805457970_2185513229764001792_o.jpg?_nc_cat=105&amp;_nc_oc=AQlPCzrrNXVZ3Vr6eKJgm0tMYNk8_3BcPjvmf6EQMEmCmKgoMHxnh5UJYqn_r96gHsc&amp;_nc_ht=scontent.xx&amp;oh=abe50bfd08349b4ee405c7d4147c5ee9&amp;oe=5D86D226</v>
      </c>
      <c r="AM1113" t="s">
        <v>52</v>
      </c>
      <c r="AN1113" t="s">
        <v>53</v>
      </c>
    </row>
    <row r="1114" spans="1:40">
      <c r="A1114" t="s">
        <v>2370</v>
      </c>
      <c r="B1114" t="s">
        <v>4174</v>
      </c>
      <c r="C1114" t="s">
        <v>3152</v>
      </c>
      <c r="D1114" t="s">
        <v>4180</v>
      </c>
      <c r="E1114" t="s">
        <v>4181</v>
      </c>
      <c r="F1114" t="s">
        <v>45</v>
      </c>
      <c r="G1114" t="str">
        <f>HYPERLINK("https://www.reddit.com/r/WTF/comments/c441at/yummers_in_my_tummers/?sort=new#thing_t1_erxvol9")</f>
        <v>https://www.reddit.com/r/WTF/comments/c441at/yummers_in_my_tummers/?sort=new#thing_t1_erxvol9</v>
      </c>
      <c r="H1114" t="s">
        <v>46</v>
      </c>
      <c r="I1114" t="s">
        <v>4182</v>
      </c>
      <c r="J1114" t="str">
        <f>HYPERLINK("https://www.reddit.com/r/WTF/comments/c441at/yummers_in_my_tummers/?sort=new#thing_t1_erxvol9")</f>
        <v>https://www.reddit.com/r/WTF/comments/c441at/yummers_in_my_tummers/?sort=new#thing_t1_erxvol9</v>
      </c>
      <c r="N1114" t="s">
        <v>545</v>
      </c>
      <c r="O1114" t="s">
        <v>4183</v>
      </c>
      <c r="P1114" t="str">
        <f>HYPERLINK("https://www.reddit.com/r/WTF/")</f>
        <v>https://www.reddit.com/r/WTF/</v>
      </c>
      <c r="R1114" t="s">
        <v>516</v>
      </c>
      <c r="S1114" t="s">
        <v>51</v>
      </c>
      <c r="AM1114" t="s">
        <v>52</v>
      </c>
      <c r="AN1114" t="s">
        <v>53</v>
      </c>
    </row>
    <row r="1115" spans="1:40">
      <c r="A1115" t="s">
        <v>2370</v>
      </c>
      <c r="B1115" t="s">
        <v>4184</v>
      </c>
      <c r="C1115" t="s">
        <v>4185</v>
      </c>
      <c r="D1115" t="s">
        <v>52</v>
      </c>
      <c r="E1115" t="s">
        <v>4186</v>
      </c>
      <c r="F1115" t="s">
        <v>71</v>
      </c>
      <c r="G1115" t="str">
        <f>HYPERLINK("https://twitter.com/868351315/status/1143272808623030273")</f>
        <v>https://twitter.com/868351315/status/1143272808623030273</v>
      </c>
      <c r="H1115" t="s">
        <v>46</v>
      </c>
      <c r="I1115" t="s">
        <v>4187</v>
      </c>
      <c r="J1115" t="str">
        <f>HYPERLINK("http://twitter.com/princebroseph")</f>
        <v>http://twitter.com/princebroseph</v>
      </c>
      <c r="K1115">
        <v>10</v>
      </c>
      <c r="N1115" t="s">
        <v>65</v>
      </c>
      <c r="R1115" t="s">
        <v>60</v>
      </c>
      <c r="S1115" t="s">
        <v>51</v>
      </c>
      <c r="T1115" t="s">
        <v>3267</v>
      </c>
      <c r="U1115" t="s">
        <v>4188</v>
      </c>
      <c r="W1115">
        <v>0</v>
      </c>
      <c r="X1115">
        <v>0</v>
      </c>
      <c r="AE1115">
        <v>0</v>
      </c>
      <c r="AF1115">
        <v>0</v>
      </c>
      <c r="AM1115" t="s">
        <v>52</v>
      </c>
      <c r="AN1115" t="s">
        <v>53</v>
      </c>
    </row>
    <row r="1116" spans="1:40">
      <c r="A1116" t="s">
        <v>2370</v>
      </c>
      <c r="B1116" t="s">
        <v>4189</v>
      </c>
      <c r="C1116" t="s">
        <v>4190</v>
      </c>
      <c r="D1116" t="s">
        <v>52</v>
      </c>
      <c r="E1116" t="s">
        <v>4191</v>
      </c>
      <c r="F1116" t="s">
        <v>45</v>
      </c>
      <c r="G1116" t="str">
        <f>HYPERLINK("https://www.instagram.com/p/BzG5_lXgwkn")</f>
        <v>https://www.instagram.com/p/BzG5_lXgwkn</v>
      </c>
      <c r="H1116" t="s">
        <v>46</v>
      </c>
      <c r="I1116" t="s">
        <v>4192</v>
      </c>
      <c r="J1116" t="str">
        <f>HYPERLINK("http://instagram.com/pnw_visualz")</f>
        <v>http://instagram.com/pnw_visualz</v>
      </c>
      <c r="K1116">
        <v>405</v>
      </c>
      <c r="N1116" t="s">
        <v>59</v>
      </c>
      <c r="O1116" t="s">
        <v>4192</v>
      </c>
      <c r="P1116" t="str">
        <f>HYPERLINK("http://instagram.com/pnw_visualz")</f>
        <v>http://instagram.com/pnw_visualz</v>
      </c>
      <c r="Q1116">
        <v>405</v>
      </c>
      <c r="R1116" t="s">
        <v>60</v>
      </c>
      <c r="W1116">
        <v>38</v>
      </c>
      <c r="X1116">
        <v>38</v>
      </c>
      <c r="AE1116">
        <v>1</v>
      </c>
      <c r="AI1116" t="s">
        <v>52</v>
      </c>
      <c r="AJ1116" t="s">
        <v>121</v>
      </c>
      <c r="AK1116" t="s">
        <v>4193</v>
      </c>
      <c r="AL1116" t="str">
        <f>HYPERLINK("https://www.instagram.com/p/BzG5_lXgwkn/media/?size=l")</f>
        <v>https://www.instagram.com/p/BzG5_lXgwkn/media/?size=l</v>
      </c>
      <c r="AM1116" t="s">
        <v>52</v>
      </c>
      <c r="AN1116" t="s">
        <v>53</v>
      </c>
    </row>
    <row r="1117" spans="1:40">
      <c r="A1117" t="s">
        <v>2370</v>
      </c>
      <c r="B1117" t="s">
        <v>4189</v>
      </c>
      <c r="C1117" t="s">
        <v>4194</v>
      </c>
      <c r="D1117" t="s">
        <v>52</v>
      </c>
      <c r="E1117" t="s">
        <v>4195</v>
      </c>
      <c r="F1117" t="s">
        <v>95</v>
      </c>
      <c r="G1117" t="str">
        <f>HYPERLINK("https://twitter.com/177827058/status/1143272350089170946")</f>
        <v>https://twitter.com/177827058/status/1143272350089170946</v>
      </c>
      <c r="H1117" t="s">
        <v>46</v>
      </c>
      <c r="I1117" t="s">
        <v>4196</v>
      </c>
      <c r="J1117" t="str">
        <f>HYPERLINK("http://twitter.com/marcvr14")</f>
        <v>http://twitter.com/marcvr14</v>
      </c>
      <c r="K1117">
        <v>60</v>
      </c>
      <c r="N1117" t="s">
        <v>65</v>
      </c>
      <c r="R1117" t="s">
        <v>60</v>
      </c>
      <c r="W1117">
        <v>0</v>
      </c>
      <c r="X1117">
        <v>0</v>
      </c>
      <c r="AE1117">
        <v>0</v>
      </c>
      <c r="AF1117">
        <v>0</v>
      </c>
      <c r="AI1117" t="s">
        <v>52</v>
      </c>
      <c r="AJ1117" t="s">
        <v>52</v>
      </c>
      <c r="AK1117" t="s">
        <v>52</v>
      </c>
      <c r="AL1117" t="str">
        <f>HYPERLINK("https://pbs.twimg.com/media/D924EL8XYAAwysm.png")</f>
        <v>https://pbs.twimg.com/media/D924EL8XYAAwysm.png</v>
      </c>
      <c r="AM1117" t="s">
        <v>52</v>
      </c>
      <c r="AN1117" t="s">
        <v>53</v>
      </c>
    </row>
    <row r="1118" spans="1:40">
      <c r="A1118" t="s">
        <v>2370</v>
      </c>
      <c r="B1118" t="s">
        <v>4189</v>
      </c>
      <c r="C1118" t="s">
        <v>93</v>
      </c>
      <c r="D1118" t="s">
        <v>4197</v>
      </c>
      <c r="E1118" t="s">
        <v>4198</v>
      </c>
      <c r="F1118" t="s">
        <v>45</v>
      </c>
      <c r="G1118" t="str">
        <f>HYPERLINK("https://www.reddit.com/r/AnimalsBeingDerps/comments/c4pcbf/hardcore_sploot/?sort=new#thing_t1_erxvct3")</f>
        <v>https://www.reddit.com/r/AnimalsBeingDerps/comments/c4pcbf/hardcore_sploot/?sort=new#thing_t1_erxvct3</v>
      </c>
      <c r="H1118" t="s">
        <v>46</v>
      </c>
      <c r="I1118" t="s">
        <v>4199</v>
      </c>
      <c r="J1118" t="str">
        <f>HYPERLINK("https://www.reddit.com/r/AnimalsBeingDerps/comments/c4pcbf/hardcore_sploot/?sort=new#thing_t1_erxvct3")</f>
        <v>https://www.reddit.com/r/AnimalsBeingDerps/comments/c4pcbf/hardcore_sploot/?sort=new#thing_t1_erxvct3</v>
      </c>
      <c r="N1118" t="s">
        <v>545</v>
      </c>
      <c r="O1118" t="s">
        <v>52</v>
      </c>
      <c r="P1118" t="str">
        <f>HYPERLINK("https://www.reddit.com/r/Chonkers/")</f>
        <v>https://www.reddit.com/r/Chonkers/</v>
      </c>
      <c r="R1118" t="s">
        <v>516</v>
      </c>
      <c r="S1118" t="s">
        <v>51</v>
      </c>
      <c r="AM1118" t="s">
        <v>52</v>
      </c>
      <c r="AN1118" t="s">
        <v>53</v>
      </c>
    </row>
    <row r="1119" spans="1:40">
      <c r="A1119" t="s">
        <v>2370</v>
      </c>
      <c r="B1119" t="s">
        <v>4200</v>
      </c>
      <c r="C1119" t="s">
        <v>4201</v>
      </c>
      <c r="D1119" t="s">
        <v>52</v>
      </c>
      <c r="E1119" t="s">
        <v>4202</v>
      </c>
      <c r="F1119" t="s">
        <v>45</v>
      </c>
      <c r="G1119" t="str">
        <f>HYPERLINK("https://www.instagram.com/p/BzG563Ch8TA")</f>
        <v>https://www.instagram.com/p/BzG563Ch8TA</v>
      </c>
      <c r="H1119" t="s">
        <v>46</v>
      </c>
      <c r="I1119" t="s">
        <v>4203</v>
      </c>
      <c r="J1119" t="str">
        <f>HYPERLINK("http://instagram.com/outoftheweigh")</f>
        <v>http://instagram.com/outoftheweigh</v>
      </c>
      <c r="K1119">
        <v>618</v>
      </c>
      <c r="L1119" t="s">
        <v>58</v>
      </c>
      <c r="N1119" t="s">
        <v>59</v>
      </c>
      <c r="O1119" t="s">
        <v>4203</v>
      </c>
      <c r="P1119" t="str">
        <f>HYPERLINK("http://instagram.com/outoftheweigh")</f>
        <v>http://instagram.com/outoftheweigh</v>
      </c>
      <c r="Q1119">
        <v>618</v>
      </c>
      <c r="R1119" t="s">
        <v>60</v>
      </c>
      <c r="W1119">
        <v>10</v>
      </c>
      <c r="X1119">
        <v>10</v>
      </c>
      <c r="AE1119">
        <v>0</v>
      </c>
      <c r="AI1119" t="s">
        <v>52</v>
      </c>
      <c r="AJ1119" t="s">
        <v>4204</v>
      </c>
      <c r="AK1119" t="s">
        <v>52</v>
      </c>
      <c r="AL1119" t="str">
        <f>HYPERLINK("https://www.instagram.com/p/BzG563Ch8TA/media/?size=l")</f>
        <v>https://www.instagram.com/p/BzG563Ch8TA/media/?size=l</v>
      </c>
      <c r="AM1119" t="s">
        <v>52</v>
      </c>
      <c r="AN1119" t="s">
        <v>53</v>
      </c>
    </row>
    <row r="1120" spans="1:40">
      <c r="A1120" t="s">
        <v>2370</v>
      </c>
      <c r="B1120" t="s">
        <v>4200</v>
      </c>
      <c r="C1120" t="s">
        <v>4190</v>
      </c>
      <c r="D1120" t="s">
        <v>52</v>
      </c>
      <c r="E1120" t="s">
        <v>1194</v>
      </c>
      <c r="F1120" t="s">
        <v>131</v>
      </c>
      <c r="G1120" t="str">
        <f>HYPERLINK("https://twitter.com/1141065503219298304/status/1143272298645991424")</f>
        <v>https://twitter.com/1141065503219298304/status/1143272298645991424</v>
      </c>
      <c r="H1120" t="s">
        <v>46</v>
      </c>
      <c r="I1120" t="s">
        <v>4205</v>
      </c>
      <c r="J1120" t="str">
        <f>HYPERLINK("http://twitter.com/Dyonathakr")</f>
        <v>http://twitter.com/Dyonathakr</v>
      </c>
      <c r="K1120">
        <v>13</v>
      </c>
      <c r="N1120" t="s">
        <v>65</v>
      </c>
      <c r="R1120" t="s">
        <v>60</v>
      </c>
      <c r="W1120">
        <v>0</v>
      </c>
      <c r="X1120">
        <v>0</v>
      </c>
      <c r="AE1120">
        <v>0</v>
      </c>
      <c r="AI1120" t="s">
        <v>52</v>
      </c>
      <c r="AJ1120" t="s">
        <v>1196</v>
      </c>
      <c r="AK1120" t="s">
        <v>52</v>
      </c>
      <c r="AL1120" t="str">
        <f>HYPERLINK("https://pbs.twimg.com/media/D9xgk2YXkAAd2ql.jpg")</f>
        <v>https://pbs.twimg.com/media/D9xgk2YXkAAd2ql.jpg</v>
      </c>
      <c r="AM1120" t="s">
        <v>52</v>
      </c>
      <c r="AN1120" t="s">
        <v>53</v>
      </c>
    </row>
    <row r="1121" spans="1:40">
      <c r="A1121" t="s">
        <v>2370</v>
      </c>
      <c r="B1121" t="s">
        <v>4200</v>
      </c>
      <c r="C1121" t="s">
        <v>4190</v>
      </c>
      <c r="D1121" t="s">
        <v>52</v>
      </c>
      <c r="E1121" t="s">
        <v>577</v>
      </c>
      <c r="F1121" t="s">
        <v>45</v>
      </c>
      <c r="G1121" t="str">
        <f>HYPERLINK("https://twitter.com/1066799181254336512/status/1143272278391762945")</f>
        <v>https://twitter.com/1066799181254336512/status/1143272278391762945</v>
      </c>
      <c r="H1121" t="s">
        <v>46</v>
      </c>
      <c r="I1121" t="s">
        <v>4206</v>
      </c>
      <c r="J1121" t="str">
        <f>HYPERLINK("http://twitter.com/uttsohye")</f>
        <v>http://twitter.com/uttsohye</v>
      </c>
      <c r="K1121">
        <v>2767</v>
      </c>
      <c r="N1121" t="s">
        <v>65</v>
      </c>
      <c r="R1121" t="s">
        <v>60</v>
      </c>
      <c r="W1121">
        <v>25</v>
      </c>
      <c r="X1121">
        <v>25</v>
      </c>
      <c r="AE1121">
        <v>13</v>
      </c>
      <c r="AF1121">
        <v>12</v>
      </c>
      <c r="AI1121" t="s">
        <v>52</v>
      </c>
      <c r="AJ1121" t="s">
        <v>52</v>
      </c>
      <c r="AK1121" t="s">
        <v>581</v>
      </c>
      <c r="AL1121" t="str">
        <f>HYPERLINK("https://pbs.twimg.com/ext_tw_video_thumb/1142915685863108608/pu/img/WRlHL3RIvWqv0H2N.jpg")</f>
        <v>https://pbs.twimg.com/ext_tw_video_thumb/1142915685863108608/pu/img/WRlHL3RIvWqv0H2N.jpg</v>
      </c>
      <c r="AM1121" t="s">
        <v>52</v>
      </c>
      <c r="AN1121" t="s">
        <v>53</v>
      </c>
    </row>
    <row r="1122" spans="1:40">
      <c r="A1122" t="s">
        <v>2370</v>
      </c>
      <c r="B1122" t="s">
        <v>4200</v>
      </c>
      <c r="C1122" t="s">
        <v>4207</v>
      </c>
      <c r="D1122" t="s">
        <v>52</v>
      </c>
      <c r="E1122" t="s">
        <v>4208</v>
      </c>
      <c r="F1122" t="s">
        <v>45</v>
      </c>
      <c r="G1122" t="str">
        <f>HYPERLINK("https://twitter.com/2238403417/status/1143272144370991104")</f>
        <v>https://twitter.com/2238403417/status/1143272144370991104</v>
      </c>
      <c r="H1122" t="s">
        <v>46</v>
      </c>
      <c r="I1122" t="s">
        <v>4209</v>
      </c>
      <c r="J1122" t="str">
        <f>HYPERLINK("http://twitter.com/DavidGalvan23")</f>
        <v>http://twitter.com/DavidGalvan23</v>
      </c>
      <c r="K1122">
        <v>393</v>
      </c>
      <c r="N1122" t="s">
        <v>65</v>
      </c>
      <c r="R1122" t="s">
        <v>60</v>
      </c>
      <c r="W1122">
        <v>0</v>
      </c>
      <c r="X1122">
        <v>0</v>
      </c>
      <c r="AE1122">
        <v>1</v>
      </c>
      <c r="AF1122">
        <v>0</v>
      </c>
      <c r="AM1122" t="s">
        <v>52</v>
      </c>
      <c r="AN1122" t="s">
        <v>53</v>
      </c>
    </row>
    <row r="1123" spans="1:40">
      <c r="A1123" t="s">
        <v>2370</v>
      </c>
      <c r="B1123" t="s">
        <v>4210</v>
      </c>
      <c r="C1123" t="s">
        <v>3452</v>
      </c>
      <c r="D1123" t="s">
        <v>108</v>
      </c>
      <c r="E1123" t="s">
        <v>108</v>
      </c>
      <c r="F1123" t="s">
        <v>45</v>
      </c>
      <c r="G1123" t="str">
        <f>HYPERLINK("https://www.youtube.com/watch?v=GOSbz845810")</f>
        <v>https://www.youtube.com/watch?v=GOSbz845810</v>
      </c>
      <c r="H1123" t="s">
        <v>215</v>
      </c>
      <c r="I1123" t="s">
        <v>4211</v>
      </c>
      <c r="J1123" t="str">
        <f>HYPERLINK("https://www.youtube.com/channel/UCnUCHucd3a2p8mtn-TVhhVQ")</f>
        <v>https://www.youtube.com/channel/UCnUCHucd3a2p8mtn-TVhhVQ</v>
      </c>
      <c r="K1123">
        <v>1</v>
      </c>
      <c r="N1123" t="s">
        <v>116</v>
      </c>
      <c r="O1123" t="s">
        <v>4211</v>
      </c>
      <c r="P1123" t="str">
        <f>HYPERLINK("https://www.youtube.com/channel/UCnUCHucd3a2p8mtn-TVhhVQ")</f>
        <v>https://www.youtube.com/channel/UCnUCHucd3a2p8mtn-TVhhVQ</v>
      </c>
      <c r="Q1123">
        <v>1</v>
      </c>
      <c r="R1123" t="s">
        <v>60</v>
      </c>
      <c r="W1123">
        <v>0</v>
      </c>
      <c r="X1123">
        <v>0</v>
      </c>
      <c r="AD1123">
        <v>0</v>
      </c>
      <c r="AE1123">
        <v>0</v>
      </c>
      <c r="AG1123">
        <v>0</v>
      </c>
      <c r="AI1123" t="s">
        <v>52</v>
      </c>
      <c r="AJ1123" t="s">
        <v>52</v>
      </c>
      <c r="AK1123" t="s">
        <v>52</v>
      </c>
      <c r="AL1123" t="str">
        <f>HYPERLINK("https://i.ytimg.com/vi/GOSbz845810/sddefault.jpg")</f>
        <v>https://i.ytimg.com/vi/GOSbz845810/sddefault.jpg</v>
      </c>
      <c r="AM1123" t="s">
        <v>52</v>
      </c>
      <c r="AN1123" t="s">
        <v>53</v>
      </c>
    </row>
    <row r="1124" spans="1:40">
      <c r="A1124" t="s">
        <v>2370</v>
      </c>
      <c r="B1124" t="s">
        <v>4212</v>
      </c>
      <c r="C1124" t="s">
        <v>1777</v>
      </c>
      <c r="D1124" t="s">
        <v>52</v>
      </c>
      <c r="E1124" t="s">
        <v>4213</v>
      </c>
      <c r="F1124" t="s">
        <v>45</v>
      </c>
      <c r="G1124" t="str">
        <f>HYPERLINK("https://www.instagram.com/p/BzG5p79lKX-")</f>
        <v>https://www.instagram.com/p/BzG5p79lKX-</v>
      </c>
      <c r="H1124" t="s">
        <v>46</v>
      </c>
      <c r="I1124" t="s">
        <v>4214</v>
      </c>
      <c r="J1124" t="str">
        <f>HYPERLINK("http://instagram.com/gapssolutionsnyc")</f>
        <v>http://instagram.com/gapssolutionsnyc</v>
      </c>
      <c r="K1124">
        <v>314</v>
      </c>
      <c r="L1124" t="s">
        <v>651</v>
      </c>
      <c r="N1124" t="s">
        <v>59</v>
      </c>
      <c r="O1124" t="s">
        <v>4214</v>
      </c>
      <c r="P1124" t="str">
        <f>HYPERLINK("http://instagram.com/gapssolutionsnyc")</f>
        <v>http://instagram.com/gapssolutionsnyc</v>
      </c>
      <c r="Q1124">
        <v>314</v>
      </c>
      <c r="R1124" t="s">
        <v>60</v>
      </c>
      <c r="S1124" t="s">
        <v>51</v>
      </c>
      <c r="T1124" t="s">
        <v>380</v>
      </c>
      <c r="U1124" t="s">
        <v>380</v>
      </c>
      <c r="W1124">
        <v>3</v>
      </c>
      <c r="X1124">
        <v>3</v>
      </c>
      <c r="AE1124">
        <v>1</v>
      </c>
      <c r="AI1124" t="s">
        <v>108</v>
      </c>
      <c r="AJ1124" t="s">
        <v>4215</v>
      </c>
      <c r="AK1124" t="s">
        <v>52</v>
      </c>
      <c r="AL1124" t="str">
        <f>HYPERLINK("https://www.instagram.com/p/BzG5p79lKX-/media/?size=l")</f>
        <v>https://www.instagram.com/p/BzG5p79lKX-/media/?size=l</v>
      </c>
      <c r="AM1124" t="s">
        <v>52</v>
      </c>
      <c r="AN1124" t="s">
        <v>53</v>
      </c>
    </row>
    <row r="1125" spans="1:40">
      <c r="A1125" t="s">
        <v>2370</v>
      </c>
      <c r="B1125" t="s">
        <v>4216</v>
      </c>
      <c r="C1125" t="s">
        <v>1885</v>
      </c>
      <c r="D1125" t="s">
        <v>4217</v>
      </c>
      <c r="E1125" t="s">
        <v>4218</v>
      </c>
      <c r="F1125" t="s">
        <v>45</v>
      </c>
      <c r="G1125" t="str">
        <f>HYPERLINK("https://www.reddit.com/r/NoFap/comments/c4i83j/why_nofap_might_be_killing_you/?sort=new#thing_t1_erxuzrv")</f>
        <v>https://www.reddit.com/r/NoFap/comments/c4i83j/why_nofap_might_be_killing_you/?sort=new#thing_t1_erxuzrv</v>
      </c>
      <c r="H1125" t="s">
        <v>46</v>
      </c>
      <c r="I1125" t="s">
        <v>4219</v>
      </c>
      <c r="J1125" t="str">
        <f>HYPERLINK("https://www.reddit.com/r/NoFap/comments/c4i83j/why_nofap_might_be_killing_you/?sort=new#thing_t1_erxuzrv")</f>
        <v>https://www.reddit.com/r/NoFap/comments/c4i83j/why_nofap_might_be_killing_you/?sort=new#thing_t1_erxuzrv</v>
      </c>
      <c r="N1125" t="s">
        <v>545</v>
      </c>
      <c r="O1125" t="s">
        <v>4220</v>
      </c>
      <c r="P1125" t="str">
        <f>HYPERLINK("https://www.reddit.com/r/NoFap/")</f>
        <v>https://www.reddit.com/r/NoFap/</v>
      </c>
      <c r="R1125" t="s">
        <v>516</v>
      </c>
      <c r="S1125" t="s">
        <v>51</v>
      </c>
      <c r="AM1125" t="s">
        <v>52</v>
      </c>
      <c r="AN1125" t="s">
        <v>53</v>
      </c>
    </row>
    <row r="1126" spans="1:40">
      <c r="A1126" t="s">
        <v>2370</v>
      </c>
      <c r="B1126" t="s">
        <v>4221</v>
      </c>
      <c r="C1126" t="s">
        <v>4168</v>
      </c>
      <c r="D1126" t="s">
        <v>52</v>
      </c>
      <c r="E1126" t="s">
        <v>4222</v>
      </c>
      <c r="F1126" t="s">
        <v>95</v>
      </c>
      <c r="G1126" t="str">
        <f>HYPERLINK("https://twitter.com/84165519/status/1143271291660771330")</f>
        <v>https://twitter.com/84165519/status/1143271291660771330</v>
      </c>
      <c r="H1126" t="s">
        <v>215</v>
      </c>
      <c r="I1126" t="s">
        <v>4223</v>
      </c>
      <c r="J1126" t="str">
        <f>HYPERLINK("http://twitter.com/straysuzi1")</f>
        <v>http://twitter.com/straysuzi1</v>
      </c>
      <c r="K1126">
        <v>725</v>
      </c>
      <c r="L1126" t="s">
        <v>58</v>
      </c>
      <c r="N1126" t="s">
        <v>65</v>
      </c>
      <c r="R1126" t="s">
        <v>60</v>
      </c>
      <c r="S1126" t="s">
        <v>97</v>
      </c>
      <c r="T1126" t="s">
        <v>177</v>
      </c>
      <c r="U1126" t="s">
        <v>4224</v>
      </c>
      <c r="W1126">
        <v>0</v>
      </c>
      <c r="X1126">
        <v>0</v>
      </c>
      <c r="AE1126">
        <v>0</v>
      </c>
      <c r="AF1126">
        <v>0</v>
      </c>
      <c r="AM1126" t="s">
        <v>52</v>
      </c>
      <c r="AN1126" t="s">
        <v>53</v>
      </c>
    </row>
    <row r="1127" spans="1:40">
      <c r="A1127" t="s">
        <v>2370</v>
      </c>
      <c r="B1127" t="s">
        <v>4221</v>
      </c>
      <c r="C1127" t="s">
        <v>4225</v>
      </c>
      <c r="D1127" t="s">
        <v>52</v>
      </c>
      <c r="E1127" t="s">
        <v>4226</v>
      </c>
      <c r="F1127" t="s">
        <v>131</v>
      </c>
      <c r="G1127" t="str">
        <f>HYPERLINK("https://twitter.com/303830839/status/1143271079269609481")</f>
        <v>https://twitter.com/303830839/status/1143271079269609481</v>
      </c>
      <c r="H1127" t="s">
        <v>46</v>
      </c>
      <c r="I1127" t="s">
        <v>4227</v>
      </c>
      <c r="J1127" t="str">
        <f>HYPERLINK("http://twitter.com/GarethChurchill")</f>
        <v>http://twitter.com/GarethChurchill</v>
      </c>
      <c r="K1127">
        <v>265</v>
      </c>
      <c r="L1127" t="s">
        <v>48</v>
      </c>
      <c r="N1127" t="s">
        <v>65</v>
      </c>
      <c r="R1127" t="s">
        <v>60</v>
      </c>
      <c r="S1127" t="s">
        <v>97</v>
      </c>
      <c r="T1127" t="s">
        <v>1332</v>
      </c>
      <c r="U1127" t="s">
        <v>4228</v>
      </c>
      <c r="W1127">
        <v>0</v>
      </c>
      <c r="X1127">
        <v>0</v>
      </c>
      <c r="AE1127">
        <v>0</v>
      </c>
      <c r="AI1127" t="s">
        <v>52</v>
      </c>
      <c r="AJ1127" t="s">
        <v>52</v>
      </c>
      <c r="AK1127" t="s">
        <v>52</v>
      </c>
      <c r="AL1127" t="str">
        <f>HYPERLINK("https://pbs.twimg.com/media/D90N5JHWsAAfj6U.jpg")</f>
        <v>https://pbs.twimg.com/media/D90N5JHWsAAfj6U.jpg</v>
      </c>
      <c r="AM1127" t="s">
        <v>52</v>
      </c>
      <c r="AN1127" t="s">
        <v>53</v>
      </c>
    </row>
    <row r="1128" spans="1:40">
      <c r="A1128" t="s">
        <v>2370</v>
      </c>
      <c r="B1128" t="s">
        <v>4229</v>
      </c>
      <c r="C1128" t="s">
        <v>4230</v>
      </c>
      <c r="D1128" t="s">
        <v>52</v>
      </c>
      <c r="E1128" t="s">
        <v>130</v>
      </c>
      <c r="F1128" t="s">
        <v>131</v>
      </c>
      <c r="G1128" t="str">
        <f>HYPERLINK("https://twitter.com/3825008063/status/1143270734342623232")</f>
        <v>https://twitter.com/3825008063/status/1143270734342623232</v>
      </c>
      <c r="H1128" t="s">
        <v>46</v>
      </c>
      <c r="I1128" t="s">
        <v>4231</v>
      </c>
      <c r="J1128" t="str">
        <f>HYPERLINK("http://twitter.com/NannyTooFour")</f>
        <v>http://twitter.com/NannyTooFour</v>
      </c>
      <c r="K1128">
        <v>383</v>
      </c>
      <c r="L1128" t="s">
        <v>58</v>
      </c>
      <c r="N1128" t="s">
        <v>65</v>
      </c>
      <c r="R1128" t="s">
        <v>60</v>
      </c>
      <c r="S1128" t="s">
        <v>97</v>
      </c>
      <c r="T1128" t="s">
        <v>177</v>
      </c>
      <c r="W1128">
        <v>0</v>
      </c>
      <c r="X1128">
        <v>0</v>
      </c>
      <c r="AE1128">
        <v>0</v>
      </c>
      <c r="AI1128" t="s">
        <v>108</v>
      </c>
      <c r="AJ1128" t="s">
        <v>52</v>
      </c>
      <c r="AK1128" t="s">
        <v>52</v>
      </c>
      <c r="AL1128" t="str">
        <f>HYPERLINK("https://pbs.twimg.com/media/D9XTkLWW4AAOYnJ.jpg")</f>
        <v>https://pbs.twimg.com/media/D9XTkLWW4AAOYnJ.jpg</v>
      </c>
      <c r="AM1128" t="s">
        <v>52</v>
      </c>
      <c r="AN1128" t="s">
        <v>53</v>
      </c>
    </row>
    <row r="1129" spans="1:40">
      <c r="A1129" t="s">
        <v>2370</v>
      </c>
      <c r="B1129" t="s">
        <v>4229</v>
      </c>
      <c r="C1129" t="s">
        <v>4225</v>
      </c>
      <c r="D1129" t="s">
        <v>52</v>
      </c>
      <c r="E1129" t="s">
        <v>4232</v>
      </c>
      <c r="F1129" t="s">
        <v>45</v>
      </c>
      <c r="G1129" t="str">
        <f>HYPERLINK("https://twitter.com/309314081/status/1143270670266195970")</f>
        <v>https://twitter.com/309314081/status/1143270670266195970</v>
      </c>
      <c r="H1129" t="s">
        <v>46</v>
      </c>
      <c r="I1129" t="s">
        <v>4233</v>
      </c>
      <c r="J1129" t="str">
        <f>HYPERLINK("http://twitter.com/Infamous_Kayi")</f>
        <v>http://twitter.com/Infamous_Kayi</v>
      </c>
      <c r="K1129">
        <v>1302</v>
      </c>
      <c r="N1129" t="s">
        <v>65</v>
      </c>
      <c r="R1129" t="s">
        <v>60</v>
      </c>
      <c r="W1129">
        <v>0</v>
      </c>
      <c r="X1129">
        <v>0</v>
      </c>
      <c r="AE1129">
        <v>0</v>
      </c>
      <c r="AF1129">
        <v>0</v>
      </c>
      <c r="AI1129" t="s">
        <v>52</v>
      </c>
      <c r="AJ1129" t="s">
        <v>52</v>
      </c>
      <c r="AK1129" t="s">
        <v>52</v>
      </c>
      <c r="AL1129" t="str">
        <f>HYPERLINK("https://pbs.twimg.com/tweet_video_thumb/D922m4PXoAcoPnq.jpg")</f>
        <v>https://pbs.twimg.com/tweet_video_thumb/D922m4PXoAcoPnq.jpg</v>
      </c>
      <c r="AM1129" t="s">
        <v>52</v>
      </c>
      <c r="AN1129" t="s">
        <v>53</v>
      </c>
    </row>
    <row r="1130" spans="1:40">
      <c r="A1130" t="s">
        <v>2370</v>
      </c>
      <c r="B1130" t="s">
        <v>4234</v>
      </c>
      <c r="C1130" t="s">
        <v>4235</v>
      </c>
      <c r="D1130" t="s">
        <v>4236</v>
      </c>
      <c r="E1130" t="s">
        <v>4237</v>
      </c>
      <c r="F1130" t="s">
        <v>45</v>
      </c>
      <c r="G1130" t="str">
        <f>HYPERLINK("https://www.youtube.com/watch?v=OLvHQjdGVU4")</f>
        <v>https://www.youtube.com/watch?v=OLvHQjdGVU4</v>
      </c>
      <c r="H1130" t="s">
        <v>46</v>
      </c>
      <c r="I1130" t="s">
        <v>4238</v>
      </c>
      <c r="J1130" t="str">
        <f>HYPERLINK("https://www.youtube.com/channel/UC8MfBj-mKMZyX1czgKj7XSA")</f>
        <v>https://www.youtube.com/channel/UC8MfBj-mKMZyX1czgKj7XSA</v>
      </c>
      <c r="K1130">
        <v>806</v>
      </c>
      <c r="N1130" t="s">
        <v>116</v>
      </c>
      <c r="O1130" t="s">
        <v>4238</v>
      </c>
      <c r="P1130" t="str">
        <f>HYPERLINK("https://www.youtube.com/channel/UC8MfBj-mKMZyX1czgKj7XSA")</f>
        <v>https://www.youtube.com/channel/UC8MfBj-mKMZyX1czgKj7XSA</v>
      </c>
      <c r="Q1130">
        <v>806</v>
      </c>
      <c r="R1130" t="s">
        <v>60</v>
      </c>
      <c r="W1130">
        <v>1</v>
      </c>
      <c r="X1130">
        <v>1</v>
      </c>
      <c r="AD1130">
        <v>0</v>
      </c>
      <c r="AE1130">
        <v>0</v>
      </c>
      <c r="AG1130">
        <v>13</v>
      </c>
      <c r="AI1130" t="s">
        <v>52</v>
      </c>
      <c r="AJ1130" t="s">
        <v>52</v>
      </c>
      <c r="AK1130" t="s">
        <v>52</v>
      </c>
      <c r="AL1130" t="str">
        <f>HYPERLINK("https://i.ytimg.com/vi/OLvHQjdGVU4/maxresdefault.jpg")</f>
        <v>https://i.ytimg.com/vi/OLvHQjdGVU4/maxresdefault.jpg</v>
      </c>
      <c r="AM1130" t="s">
        <v>52</v>
      </c>
      <c r="AN1130" t="s">
        <v>53</v>
      </c>
    </row>
    <row r="1131" spans="1:40">
      <c r="A1131" t="s">
        <v>2370</v>
      </c>
      <c r="B1131" t="s">
        <v>4234</v>
      </c>
      <c r="C1131" t="s">
        <v>1821</v>
      </c>
      <c r="D1131" t="s">
        <v>4239</v>
      </c>
      <c r="E1131" t="s">
        <v>4240</v>
      </c>
      <c r="F1131" t="s">
        <v>95</v>
      </c>
      <c r="G1131" t="str">
        <f>HYPERLINK("https://telegram.me/OSRSVNZLA/340069")</f>
        <v>https://telegram.me/OSRSVNZLA/340069</v>
      </c>
      <c r="H1131" t="s">
        <v>46</v>
      </c>
      <c r="I1131" t="s">
        <v>4241</v>
      </c>
      <c r="J1131" t="str">
        <f>HYPERLINK("https://telegram.me/ldessert")</f>
        <v>https://telegram.me/ldessert</v>
      </c>
      <c r="N1131" t="s">
        <v>4242</v>
      </c>
      <c r="O1131" t="s">
        <v>4243</v>
      </c>
      <c r="P1131" t="str">
        <f>HYPERLINK("https://telegram.me/osrsvnzla")</f>
        <v>https://telegram.me/osrsvnzla</v>
      </c>
      <c r="Q1131">
        <v>451</v>
      </c>
      <c r="R1131" t="s">
        <v>4244</v>
      </c>
      <c r="AM1131" t="s">
        <v>52</v>
      </c>
      <c r="AN1131" t="s">
        <v>53</v>
      </c>
    </row>
    <row r="1132" spans="1:40">
      <c r="A1132" t="s">
        <v>2370</v>
      </c>
      <c r="B1132" t="s">
        <v>4245</v>
      </c>
      <c r="C1132" t="s">
        <v>4207</v>
      </c>
      <c r="D1132" t="s">
        <v>52</v>
      </c>
      <c r="E1132" t="s">
        <v>4246</v>
      </c>
      <c r="F1132" t="s">
        <v>95</v>
      </c>
      <c r="G1132" t="str">
        <f>HYPERLINK("https://twitter.com/837476224112836608/status/1143270200109756418")</f>
        <v>https://twitter.com/837476224112836608/status/1143270200109756418</v>
      </c>
      <c r="H1132" t="s">
        <v>215</v>
      </c>
      <c r="I1132" t="s">
        <v>4247</v>
      </c>
      <c r="J1132" t="str">
        <f>HYPERLINK("http://twitter.com/joywhoelse")</f>
        <v>http://twitter.com/joywhoelse</v>
      </c>
      <c r="K1132">
        <v>158</v>
      </c>
      <c r="N1132" t="s">
        <v>65</v>
      </c>
      <c r="R1132" t="s">
        <v>60</v>
      </c>
      <c r="W1132">
        <v>1</v>
      </c>
      <c r="X1132">
        <v>1</v>
      </c>
      <c r="AE1132">
        <v>1</v>
      </c>
      <c r="AF1132">
        <v>1</v>
      </c>
      <c r="AM1132" t="s">
        <v>52</v>
      </c>
      <c r="AN1132" t="s">
        <v>53</v>
      </c>
    </row>
    <row r="1133" spans="1:40">
      <c r="A1133" t="s">
        <v>2370</v>
      </c>
      <c r="B1133" t="s">
        <v>4248</v>
      </c>
      <c r="C1133" t="s">
        <v>4249</v>
      </c>
      <c r="D1133" t="s">
        <v>52</v>
      </c>
      <c r="E1133" t="s">
        <v>4250</v>
      </c>
      <c r="F1133" t="s">
        <v>45</v>
      </c>
      <c r="G1133" t="str">
        <f>HYPERLINK("https://www.instagram.com/p/BzG42-opnHx")</f>
        <v>https://www.instagram.com/p/BzG42-opnHx</v>
      </c>
      <c r="H1133" t="s">
        <v>46</v>
      </c>
      <c r="I1133" t="s">
        <v>4251</v>
      </c>
      <c r="J1133" t="str">
        <f>HYPERLINK("http://instagram.com/southsalemculinary")</f>
        <v>http://instagram.com/southsalemculinary</v>
      </c>
      <c r="K1133">
        <v>248</v>
      </c>
      <c r="N1133" t="s">
        <v>59</v>
      </c>
      <c r="O1133" t="s">
        <v>4251</v>
      </c>
      <c r="P1133" t="str">
        <f>HYPERLINK("http://instagram.com/southsalemculinary")</f>
        <v>http://instagram.com/southsalemculinary</v>
      </c>
      <c r="Q1133">
        <v>248</v>
      </c>
      <c r="R1133" t="s">
        <v>60</v>
      </c>
      <c r="W1133">
        <v>29</v>
      </c>
      <c r="X1133">
        <v>29</v>
      </c>
      <c r="AE1133">
        <v>0</v>
      </c>
      <c r="AI1133" t="s">
        <v>52</v>
      </c>
      <c r="AJ1133" t="s">
        <v>659</v>
      </c>
      <c r="AK1133" t="s">
        <v>52</v>
      </c>
      <c r="AL1133" t="str">
        <f>HYPERLINK("https://www.instagram.com/p/BzG42-opnHx/media/?size=l")</f>
        <v>https://www.instagram.com/p/BzG42-opnHx/media/?size=l</v>
      </c>
      <c r="AM1133" t="s">
        <v>52</v>
      </c>
      <c r="AN1133" t="s">
        <v>53</v>
      </c>
    </row>
    <row r="1134" spans="1:40">
      <c r="A1134" t="s">
        <v>2370</v>
      </c>
      <c r="B1134" t="s">
        <v>4252</v>
      </c>
      <c r="C1134" t="s">
        <v>4253</v>
      </c>
      <c r="D1134" t="s">
        <v>52</v>
      </c>
      <c r="E1134" t="s">
        <v>4254</v>
      </c>
      <c r="F1134" t="s">
        <v>45</v>
      </c>
      <c r="G1134" t="str">
        <f>HYPERLINK("https://twitter.com/633578106/status/1143269697586192385")</f>
        <v>https://twitter.com/633578106/status/1143269697586192385</v>
      </c>
      <c r="H1134" t="s">
        <v>46</v>
      </c>
      <c r="I1134" t="s">
        <v>4255</v>
      </c>
      <c r="J1134" t="str">
        <f>HYPERLINK("http://twitter.com/daija_ajiad")</f>
        <v>http://twitter.com/daija_ajiad</v>
      </c>
      <c r="K1134">
        <v>1625</v>
      </c>
      <c r="N1134" t="s">
        <v>65</v>
      </c>
      <c r="R1134" t="s">
        <v>60</v>
      </c>
      <c r="W1134">
        <v>2</v>
      </c>
      <c r="X1134">
        <v>2</v>
      </c>
      <c r="AE1134">
        <v>0</v>
      </c>
      <c r="AF1134">
        <v>6</v>
      </c>
      <c r="AM1134" t="s">
        <v>52</v>
      </c>
      <c r="AN1134" t="s">
        <v>53</v>
      </c>
    </row>
    <row r="1135" spans="1:40">
      <c r="A1135" t="s">
        <v>2370</v>
      </c>
      <c r="B1135" t="s">
        <v>4252</v>
      </c>
      <c r="C1135" t="s">
        <v>4249</v>
      </c>
      <c r="D1135" t="s">
        <v>52</v>
      </c>
      <c r="E1135" t="s">
        <v>4256</v>
      </c>
      <c r="F1135" t="s">
        <v>131</v>
      </c>
      <c r="G1135" t="str">
        <f>HYPERLINK("https://twitter.com/1289911836/status/1143269587095556096")</f>
        <v>https://twitter.com/1289911836/status/1143269587095556096</v>
      </c>
      <c r="H1135" t="s">
        <v>215</v>
      </c>
      <c r="I1135" t="s">
        <v>4257</v>
      </c>
      <c r="J1135" t="str">
        <f>HYPERLINK("http://twitter.com/iRunSlowNB")</f>
        <v>http://twitter.com/iRunSlowNB</v>
      </c>
      <c r="K1135">
        <v>313</v>
      </c>
      <c r="L1135" t="s">
        <v>48</v>
      </c>
      <c r="N1135" t="s">
        <v>65</v>
      </c>
      <c r="R1135" t="s">
        <v>60</v>
      </c>
      <c r="W1135">
        <v>0</v>
      </c>
      <c r="X1135">
        <v>0</v>
      </c>
      <c r="AE1135">
        <v>0</v>
      </c>
      <c r="AI1135" t="s">
        <v>108</v>
      </c>
      <c r="AJ1135" t="s">
        <v>52</v>
      </c>
      <c r="AK1135" t="s">
        <v>52</v>
      </c>
      <c r="AL1135" t="str">
        <f>HYPERLINK("https://pbs.twimg.com/media/D9wASdAXYAAV8vY.jpg")</f>
        <v>https://pbs.twimg.com/media/D9wASdAXYAAV8vY.jpg</v>
      </c>
      <c r="AM1135" t="s">
        <v>52</v>
      </c>
      <c r="AN1135" t="s">
        <v>53</v>
      </c>
    </row>
    <row r="1136" spans="1:40">
      <c r="A1136" t="s">
        <v>2370</v>
      </c>
      <c r="B1136" t="s">
        <v>4258</v>
      </c>
      <c r="C1136" t="s">
        <v>4190</v>
      </c>
      <c r="D1136" t="s">
        <v>52</v>
      </c>
      <c r="E1136" t="s">
        <v>4259</v>
      </c>
      <c r="F1136" t="s">
        <v>95</v>
      </c>
      <c r="G1136" t="str">
        <f>HYPERLINK("https://twitter.com/235867692/status/1143269392135757824")</f>
        <v>https://twitter.com/235867692/status/1143269392135757824</v>
      </c>
      <c r="H1136" t="s">
        <v>46</v>
      </c>
      <c r="I1136" t="s">
        <v>4260</v>
      </c>
      <c r="J1136" t="str">
        <f>HYPERLINK("http://twitter.com/mrscole131")</f>
        <v>http://twitter.com/mrscole131</v>
      </c>
      <c r="K1136">
        <v>268</v>
      </c>
      <c r="N1136" t="s">
        <v>65</v>
      </c>
      <c r="R1136" t="s">
        <v>60</v>
      </c>
      <c r="W1136">
        <v>0</v>
      </c>
      <c r="X1136">
        <v>0</v>
      </c>
      <c r="AE1136">
        <v>0</v>
      </c>
      <c r="AF1136">
        <v>0</v>
      </c>
      <c r="AM1136" t="s">
        <v>52</v>
      </c>
      <c r="AN1136" t="s">
        <v>53</v>
      </c>
    </row>
    <row r="1137" spans="1:40">
      <c r="A1137" t="s">
        <v>2370</v>
      </c>
      <c r="B1137" t="s">
        <v>4261</v>
      </c>
      <c r="C1137" t="s">
        <v>4262</v>
      </c>
      <c r="D1137" t="s">
        <v>52</v>
      </c>
      <c r="E1137" t="s">
        <v>4263</v>
      </c>
      <c r="F1137" t="s">
        <v>71</v>
      </c>
      <c r="G1137" t="str">
        <f>HYPERLINK("https://twitter.com/2435559159/status/1143268991005331457")</f>
        <v>https://twitter.com/2435559159/status/1143268991005331457</v>
      </c>
      <c r="H1137" t="s">
        <v>46</v>
      </c>
      <c r="I1137" t="s">
        <v>4264</v>
      </c>
      <c r="J1137" t="str">
        <f>HYPERLINK("http://twitter.com/kwrtcobain")</f>
        <v>http://twitter.com/kwrtcobain</v>
      </c>
      <c r="K1137">
        <v>6154</v>
      </c>
      <c r="N1137" t="s">
        <v>65</v>
      </c>
      <c r="R1137" t="s">
        <v>60</v>
      </c>
      <c r="S1137" t="s">
        <v>51</v>
      </c>
      <c r="T1137" t="s">
        <v>4265</v>
      </c>
      <c r="U1137" t="s">
        <v>4266</v>
      </c>
      <c r="W1137">
        <v>1</v>
      </c>
      <c r="X1137">
        <v>1</v>
      </c>
      <c r="AE1137">
        <v>0</v>
      </c>
      <c r="AF1137">
        <v>0</v>
      </c>
      <c r="AI1137" t="s">
        <v>52</v>
      </c>
      <c r="AJ1137" t="s">
        <v>1196</v>
      </c>
      <c r="AK1137" t="s">
        <v>52</v>
      </c>
      <c r="AL1137" t="str">
        <f>HYPERLINK("https://pbs.twimg.com/media/D9xgk2YXkAAd2ql.jpg")</f>
        <v>https://pbs.twimg.com/media/D9xgk2YXkAAd2ql.jpg</v>
      </c>
      <c r="AM1137" t="s">
        <v>52</v>
      </c>
      <c r="AN1137" t="s">
        <v>53</v>
      </c>
    </row>
    <row r="1138" spans="1:40">
      <c r="A1138" t="s">
        <v>2370</v>
      </c>
      <c r="B1138" t="s">
        <v>4267</v>
      </c>
      <c r="C1138" t="s">
        <v>4268</v>
      </c>
      <c r="D1138" t="s">
        <v>52</v>
      </c>
      <c r="E1138" t="s">
        <v>4269</v>
      </c>
      <c r="F1138" t="s">
        <v>45</v>
      </c>
      <c r="G1138" t="str">
        <f>HYPERLINK("https://www.instagram.com/p/BzG4T4glwHF")</f>
        <v>https://www.instagram.com/p/BzG4T4glwHF</v>
      </c>
      <c r="H1138" t="s">
        <v>46</v>
      </c>
      <c r="I1138" t="s">
        <v>4270</v>
      </c>
      <c r="J1138" t="str">
        <f>HYPERLINK("http://instagram.com/colline.do")</f>
        <v>http://instagram.com/colline.do</v>
      </c>
      <c r="K1138">
        <v>312</v>
      </c>
      <c r="N1138" t="s">
        <v>59</v>
      </c>
      <c r="O1138" t="s">
        <v>4270</v>
      </c>
      <c r="P1138" t="str">
        <f>HYPERLINK("http://instagram.com/colline.do")</f>
        <v>http://instagram.com/colline.do</v>
      </c>
      <c r="Q1138">
        <v>312</v>
      </c>
      <c r="R1138" t="s">
        <v>60</v>
      </c>
      <c r="W1138">
        <v>39</v>
      </c>
      <c r="X1138">
        <v>39</v>
      </c>
      <c r="AE1138">
        <v>0</v>
      </c>
      <c r="AI1138" t="s">
        <v>52</v>
      </c>
      <c r="AJ1138" t="s">
        <v>4271</v>
      </c>
      <c r="AK1138" t="s">
        <v>4272</v>
      </c>
      <c r="AL1138" t="str">
        <f>HYPERLINK("https://www.instagram.com/p/BzG4T4glwHF/media/?size=l")</f>
        <v>https://www.instagram.com/p/BzG4T4glwHF/media/?size=l</v>
      </c>
      <c r="AM1138" t="s">
        <v>52</v>
      </c>
      <c r="AN1138" t="s">
        <v>53</v>
      </c>
    </row>
    <row r="1139" spans="1:40">
      <c r="A1139" t="s">
        <v>2370</v>
      </c>
      <c r="B1139" t="s">
        <v>4267</v>
      </c>
      <c r="C1139" t="s">
        <v>4249</v>
      </c>
      <c r="D1139" t="s">
        <v>52</v>
      </c>
      <c r="E1139" t="s">
        <v>1174</v>
      </c>
      <c r="F1139" t="s">
        <v>45</v>
      </c>
      <c r="G1139" t="str">
        <f>HYPERLINK("https://twitter.com/929033799622713345/status/1143268742207459328")</f>
        <v>https://twitter.com/929033799622713345/status/1143268742207459328</v>
      </c>
      <c r="H1139" t="s">
        <v>46</v>
      </c>
      <c r="I1139" t="s">
        <v>4273</v>
      </c>
      <c r="J1139" t="str">
        <f>HYPERLINK("http://twitter.com/Brightly50")</f>
        <v>http://twitter.com/Brightly50</v>
      </c>
      <c r="K1139">
        <v>2022</v>
      </c>
      <c r="N1139" t="s">
        <v>65</v>
      </c>
      <c r="R1139" t="s">
        <v>60</v>
      </c>
      <c r="W1139">
        <v>71</v>
      </c>
      <c r="X1139">
        <v>71</v>
      </c>
      <c r="AE1139">
        <v>18</v>
      </c>
      <c r="AF1139">
        <v>6</v>
      </c>
      <c r="AI1139" t="s">
        <v>1176</v>
      </c>
      <c r="AJ1139" t="s">
        <v>1177</v>
      </c>
      <c r="AK1139" t="s">
        <v>52</v>
      </c>
      <c r="AL1139" t="str">
        <f>HYPERLINK("https://pbs.twimg.com/ext_tw_video_thumb/1143268619956056064/pu/img/SLb27Fb_f5FBj8oQ.jpg")</f>
        <v>https://pbs.twimg.com/ext_tw_video_thumb/1143268619956056064/pu/img/SLb27Fb_f5FBj8oQ.jpg</v>
      </c>
      <c r="AM1139" t="s">
        <v>52</v>
      </c>
      <c r="AN1139" t="s">
        <v>53</v>
      </c>
    </row>
    <row r="1140" spans="1:40">
      <c r="A1140" t="s">
        <v>2370</v>
      </c>
      <c r="B1140" t="s">
        <v>4267</v>
      </c>
      <c r="C1140" t="s">
        <v>4125</v>
      </c>
      <c r="D1140" t="s">
        <v>52</v>
      </c>
      <c r="E1140" t="s">
        <v>4274</v>
      </c>
      <c r="F1140" t="s">
        <v>45</v>
      </c>
      <c r="G1140" t="str">
        <f>HYPERLINK("https://www.instagram.com/p/BzG4RB1hDw3")</f>
        <v>https://www.instagram.com/p/BzG4RB1hDw3</v>
      </c>
      <c r="H1140" t="s">
        <v>46</v>
      </c>
      <c r="I1140" t="s">
        <v>4275</v>
      </c>
      <c r="J1140" t="str">
        <f>HYPERLINK("http://instagram.com/qtphotoz")</f>
        <v>http://instagram.com/qtphotoz</v>
      </c>
      <c r="K1140">
        <v>124</v>
      </c>
      <c r="N1140" t="s">
        <v>59</v>
      </c>
      <c r="O1140" t="s">
        <v>4275</v>
      </c>
      <c r="P1140" t="str">
        <f>HYPERLINK("http://instagram.com/qtphotoz")</f>
        <v>http://instagram.com/qtphotoz</v>
      </c>
      <c r="Q1140">
        <v>124</v>
      </c>
      <c r="R1140" t="s">
        <v>60</v>
      </c>
      <c r="S1140" t="s">
        <v>4276</v>
      </c>
      <c r="T1140" t="s">
        <v>4277</v>
      </c>
      <c r="U1140" t="s">
        <v>4278</v>
      </c>
      <c r="W1140">
        <v>12</v>
      </c>
      <c r="X1140">
        <v>12</v>
      </c>
      <c r="AE1140">
        <v>1</v>
      </c>
      <c r="AI1140" t="s">
        <v>52</v>
      </c>
      <c r="AJ1140" t="s">
        <v>52</v>
      </c>
      <c r="AK1140" t="s">
        <v>52</v>
      </c>
      <c r="AL1140" t="str">
        <f>HYPERLINK("https://www.instagram.com/p/BzG4RB1hDw3/media/?size=l")</f>
        <v>https://www.instagram.com/p/BzG4RB1hDw3/media/?size=l</v>
      </c>
      <c r="AM1140" t="s">
        <v>52</v>
      </c>
      <c r="AN1140" t="s">
        <v>53</v>
      </c>
    </row>
    <row r="1141" spans="1:40">
      <c r="A1141" t="s">
        <v>2370</v>
      </c>
      <c r="B1141" t="s">
        <v>4279</v>
      </c>
      <c r="C1141" t="s">
        <v>4280</v>
      </c>
      <c r="D1141" t="s">
        <v>52</v>
      </c>
      <c r="E1141" t="s">
        <v>130</v>
      </c>
      <c r="F1141" t="s">
        <v>131</v>
      </c>
      <c r="G1141" t="str">
        <f>HYPERLINK("https://twitter.com/23834017/status/1143268363294203904")</f>
        <v>https://twitter.com/23834017/status/1143268363294203904</v>
      </c>
      <c r="H1141" t="s">
        <v>46</v>
      </c>
      <c r="I1141" t="s">
        <v>4281</v>
      </c>
      <c r="J1141" t="str">
        <f>HYPERLINK("http://twitter.com/rac39")</f>
        <v>http://twitter.com/rac39</v>
      </c>
      <c r="K1141">
        <v>149</v>
      </c>
      <c r="L1141" t="s">
        <v>58</v>
      </c>
      <c r="N1141" t="s">
        <v>65</v>
      </c>
      <c r="R1141" t="s">
        <v>60</v>
      </c>
      <c r="W1141">
        <v>0</v>
      </c>
      <c r="X1141">
        <v>0</v>
      </c>
      <c r="AE1141">
        <v>0</v>
      </c>
      <c r="AI1141" t="s">
        <v>108</v>
      </c>
      <c r="AJ1141" t="s">
        <v>52</v>
      </c>
      <c r="AK1141" t="s">
        <v>52</v>
      </c>
      <c r="AL1141" t="str">
        <f>HYPERLINK("https://pbs.twimg.com/media/D9XTkLWW4AAOYnJ.jpg")</f>
        <v>https://pbs.twimg.com/media/D9XTkLWW4AAOYnJ.jpg</v>
      </c>
      <c r="AM1141" t="s">
        <v>52</v>
      </c>
      <c r="AN1141" t="s">
        <v>53</v>
      </c>
    </row>
    <row r="1142" spans="1:40">
      <c r="A1142" t="s">
        <v>2370</v>
      </c>
      <c r="B1142" t="s">
        <v>4282</v>
      </c>
      <c r="C1142" t="s">
        <v>4283</v>
      </c>
      <c r="D1142" t="s">
        <v>52</v>
      </c>
      <c r="E1142" t="s">
        <v>130</v>
      </c>
      <c r="F1142" t="s">
        <v>131</v>
      </c>
      <c r="G1142" t="str">
        <f>HYPERLINK("https://twitter.com/231181048/status/1143268287981248512")</f>
        <v>https://twitter.com/231181048/status/1143268287981248512</v>
      </c>
      <c r="H1142" t="s">
        <v>46</v>
      </c>
      <c r="I1142" t="s">
        <v>4284</v>
      </c>
      <c r="J1142" t="str">
        <f>HYPERLINK("http://twitter.com/SPOOGYWOOGY")</f>
        <v>http://twitter.com/SPOOGYWOOGY</v>
      </c>
      <c r="K1142">
        <v>914</v>
      </c>
      <c r="N1142" t="s">
        <v>65</v>
      </c>
      <c r="R1142" t="s">
        <v>60</v>
      </c>
      <c r="W1142">
        <v>0</v>
      </c>
      <c r="X1142">
        <v>0</v>
      </c>
      <c r="AE1142">
        <v>0</v>
      </c>
      <c r="AI1142" t="s">
        <v>108</v>
      </c>
      <c r="AJ1142" t="s">
        <v>52</v>
      </c>
      <c r="AK1142" t="s">
        <v>52</v>
      </c>
      <c r="AL1142" t="str">
        <f>HYPERLINK("https://pbs.twimg.com/media/D9XTkLWW4AAOYnJ.jpg")</f>
        <v>https://pbs.twimg.com/media/D9XTkLWW4AAOYnJ.jpg</v>
      </c>
      <c r="AM1142" t="s">
        <v>52</v>
      </c>
      <c r="AN1142" t="s">
        <v>53</v>
      </c>
    </row>
    <row r="1143" spans="1:40">
      <c r="A1143" t="s">
        <v>2370</v>
      </c>
      <c r="B1143" t="s">
        <v>4282</v>
      </c>
      <c r="C1143" t="s">
        <v>4285</v>
      </c>
      <c r="D1143" t="s">
        <v>52</v>
      </c>
      <c r="E1143" t="s">
        <v>130</v>
      </c>
      <c r="F1143" t="s">
        <v>131</v>
      </c>
      <c r="G1143" t="str">
        <f>HYPERLINK("https://twitter.com/2250262440/status/1143268131181346817")</f>
        <v>https://twitter.com/2250262440/status/1143268131181346817</v>
      </c>
      <c r="H1143" t="s">
        <v>46</v>
      </c>
      <c r="I1143" t="s">
        <v>4286</v>
      </c>
      <c r="J1143" t="str">
        <f>HYPERLINK("http://twitter.com/DaddyWhitney")</f>
        <v>http://twitter.com/DaddyWhitney</v>
      </c>
      <c r="K1143">
        <v>174</v>
      </c>
      <c r="N1143" t="s">
        <v>65</v>
      </c>
      <c r="R1143" t="s">
        <v>60</v>
      </c>
      <c r="W1143">
        <v>0</v>
      </c>
      <c r="X1143">
        <v>0</v>
      </c>
      <c r="AE1143">
        <v>0</v>
      </c>
      <c r="AI1143" t="s">
        <v>108</v>
      </c>
      <c r="AJ1143" t="s">
        <v>52</v>
      </c>
      <c r="AK1143" t="s">
        <v>52</v>
      </c>
      <c r="AL1143" t="str">
        <f>HYPERLINK("https://pbs.twimg.com/media/D9XTkLWW4AAOYnJ.jpg")</f>
        <v>https://pbs.twimg.com/media/D9XTkLWW4AAOYnJ.jpg</v>
      </c>
      <c r="AM1143" t="s">
        <v>52</v>
      </c>
      <c r="AN1143" t="s">
        <v>53</v>
      </c>
    </row>
    <row r="1144" spans="1:40">
      <c r="A1144" t="s">
        <v>2370</v>
      </c>
      <c r="B1144" t="s">
        <v>4287</v>
      </c>
      <c r="C1144" t="s">
        <v>4268</v>
      </c>
      <c r="D1144" t="s">
        <v>52</v>
      </c>
      <c r="E1144" t="s">
        <v>4288</v>
      </c>
      <c r="F1144" t="s">
        <v>95</v>
      </c>
      <c r="G1144" t="str">
        <f>HYPERLINK("https://twitter.com/217717149/status/1143267680788418560")</f>
        <v>https://twitter.com/217717149/status/1143267680788418560</v>
      </c>
      <c r="H1144" t="s">
        <v>46</v>
      </c>
      <c r="I1144" t="s">
        <v>4289</v>
      </c>
      <c r="J1144" t="str">
        <f>HYPERLINK("http://twitter.com/Damianwolo")</f>
        <v>http://twitter.com/Damianwolo</v>
      </c>
      <c r="K1144">
        <v>154</v>
      </c>
      <c r="N1144" t="s">
        <v>65</v>
      </c>
      <c r="R1144" t="s">
        <v>60</v>
      </c>
      <c r="W1144">
        <v>2</v>
      </c>
      <c r="X1144">
        <v>2</v>
      </c>
      <c r="AE1144">
        <v>0</v>
      </c>
      <c r="AF1144">
        <v>0</v>
      </c>
      <c r="AI1144" t="s">
        <v>52</v>
      </c>
      <c r="AJ1144" t="s">
        <v>4290</v>
      </c>
      <c r="AK1144" t="s">
        <v>52</v>
      </c>
      <c r="AL1144" t="str">
        <f>HYPERLINK("https://pbs.twimg.com/tweet_video_thumb/D92z42hUcAA1PtW.jpg")</f>
        <v>https://pbs.twimg.com/tweet_video_thumb/D92z42hUcAA1PtW.jpg</v>
      </c>
      <c r="AM1144" t="s">
        <v>52</v>
      </c>
      <c r="AN1144" t="s">
        <v>53</v>
      </c>
    </row>
    <row r="1145" spans="1:40">
      <c r="A1145" t="s">
        <v>2370</v>
      </c>
      <c r="B1145" t="s">
        <v>4287</v>
      </c>
      <c r="C1145" t="s">
        <v>4291</v>
      </c>
      <c r="D1145" t="s">
        <v>52</v>
      </c>
      <c r="E1145" t="s">
        <v>1194</v>
      </c>
      <c r="F1145" t="s">
        <v>131</v>
      </c>
      <c r="G1145" t="str">
        <f>HYPERLINK("https://twitter.com/919668126425538562/status/1143267600530644997")</f>
        <v>https://twitter.com/919668126425538562/status/1143267600530644997</v>
      </c>
      <c r="H1145" t="s">
        <v>46</v>
      </c>
      <c r="I1145" t="s">
        <v>4292</v>
      </c>
      <c r="J1145" t="str">
        <f>HYPERLINK("http://twitter.com/danielr0al")</f>
        <v>http://twitter.com/danielr0al</v>
      </c>
      <c r="K1145">
        <v>102</v>
      </c>
      <c r="L1145" t="s">
        <v>48</v>
      </c>
      <c r="N1145" t="s">
        <v>65</v>
      </c>
      <c r="R1145" t="s">
        <v>60</v>
      </c>
      <c r="S1145" t="s">
        <v>4293</v>
      </c>
      <c r="T1145" t="s">
        <v>4294</v>
      </c>
      <c r="U1145" t="s">
        <v>4295</v>
      </c>
      <c r="W1145">
        <v>0</v>
      </c>
      <c r="X1145">
        <v>0</v>
      </c>
      <c r="AE1145">
        <v>0</v>
      </c>
      <c r="AI1145" t="s">
        <v>52</v>
      </c>
      <c r="AJ1145" t="s">
        <v>1196</v>
      </c>
      <c r="AK1145" t="s">
        <v>52</v>
      </c>
      <c r="AL1145" t="str">
        <f>HYPERLINK("https://pbs.twimg.com/media/D9xgk2YXkAAd2ql.jpg")</f>
        <v>https://pbs.twimg.com/media/D9xgk2YXkAAd2ql.jpg</v>
      </c>
      <c r="AM1145" t="s">
        <v>52</v>
      </c>
      <c r="AN1145" t="s">
        <v>53</v>
      </c>
    </row>
    <row r="1146" spans="1:40">
      <c r="A1146" t="s">
        <v>2370</v>
      </c>
      <c r="B1146" t="s">
        <v>4287</v>
      </c>
      <c r="C1146" t="s">
        <v>4291</v>
      </c>
      <c r="D1146" t="s">
        <v>52</v>
      </c>
      <c r="E1146" t="s">
        <v>4296</v>
      </c>
      <c r="F1146" t="s">
        <v>131</v>
      </c>
      <c r="G1146" t="str">
        <f>HYPERLINK("https://twitter.com/2188996966/status/1143267584395108352")</f>
        <v>https://twitter.com/2188996966/status/1143267584395108352</v>
      </c>
      <c r="H1146" t="s">
        <v>46</v>
      </c>
      <c r="I1146" t="s">
        <v>4297</v>
      </c>
      <c r="J1146" t="str">
        <f>HYPERLINK("http://twitter.com/KhutsoSerakoana")</f>
        <v>http://twitter.com/KhutsoSerakoana</v>
      </c>
      <c r="K1146">
        <v>203</v>
      </c>
      <c r="N1146" t="s">
        <v>65</v>
      </c>
      <c r="R1146" t="s">
        <v>60</v>
      </c>
      <c r="S1146" t="s">
        <v>1071</v>
      </c>
      <c r="T1146" t="s">
        <v>1072</v>
      </c>
      <c r="U1146" t="s">
        <v>1295</v>
      </c>
      <c r="W1146">
        <v>0</v>
      </c>
      <c r="X1146">
        <v>0</v>
      </c>
      <c r="AE1146">
        <v>0</v>
      </c>
      <c r="AI1146" t="s">
        <v>108</v>
      </c>
      <c r="AJ1146" t="s">
        <v>52</v>
      </c>
      <c r="AK1146" t="s">
        <v>52</v>
      </c>
      <c r="AL1146" t="str">
        <f>HYPERLINK("https://pbs.twimg.com/media/D9sAXHUX4AA6vJs.jpg")</f>
        <v>https://pbs.twimg.com/media/D9sAXHUX4AA6vJs.jpg</v>
      </c>
      <c r="AM1146" t="s">
        <v>52</v>
      </c>
      <c r="AN1146" t="s">
        <v>53</v>
      </c>
    </row>
    <row r="1147" spans="1:40">
      <c r="A1147" t="s">
        <v>2370</v>
      </c>
      <c r="B1147" t="s">
        <v>4287</v>
      </c>
      <c r="C1147" t="s">
        <v>4298</v>
      </c>
      <c r="D1147" t="s">
        <v>52</v>
      </c>
      <c r="E1147" t="s">
        <v>4299</v>
      </c>
      <c r="F1147" t="s">
        <v>45</v>
      </c>
      <c r="G1147" t="str">
        <f>HYPERLINK("https://twitter.com/1091211966/status/1143267578258833415")</f>
        <v>https://twitter.com/1091211966/status/1143267578258833415</v>
      </c>
      <c r="H1147" t="s">
        <v>46</v>
      </c>
      <c r="I1147" t="s">
        <v>4300</v>
      </c>
      <c r="J1147" t="str">
        <f>HYPERLINK("http://twitter.com/Gabtheyoungdude")</f>
        <v>http://twitter.com/Gabtheyoungdude</v>
      </c>
      <c r="K1147">
        <v>57</v>
      </c>
      <c r="L1147" t="s">
        <v>48</v>
      </c>
      <c r="N1147" t="s">
        <v>65</v>
      </c>
      <c r="R1147" t="s">
        <v>60</v>
      </c>
      <c r="S1147" t="s">
        <v>444</v>
      </c>
      <c r="W1147">
        <v>0</v>
      </c>
      <c r="X1147">
        <v>0</v>
      </c>
      <c r="AE1147">
        <v>0</v>
      </c>
      <c r="AF1147">
        <v>0</v>
      </c>
      <c r="AM1147" t="s">
        <v>52</v>
      </c>
      <c r="AN1147" t="s">
        <v>53</v>
      </c>
    </row>
    <row r="1148" spans="1:40">
      <c r="A1148" t="s">
        <v>2370</v>
      </c>
      <c r="B1148" t="s">
        <v>4301</v>
      </c>
      <c r="C1148" t="s">
        <v>4285</v>
      </c>
      <c r="D1148" t="s">
        <v>52</v>
      </c>
      <c r="E1148" t="s">
        <v>4302</v>
      </c>
      <c r="F1148" t="s">
        <v>45</v>
      </c>
      <c r="G1148" t="str">
        <f>HYPERLINK("https://twitter.com/1074892417244037120/status/1143267544985493504")</f>
        <v>https://twitter.com/1074892417244037120/status/1143267544985493504</v>
      </c>
      <c r="H1148" t="s">
        <v>46</v>
      </c>
      <c r="I1148" t="s">
        <v>4303</v>
      </c>
      <c r="J1148" t="str">
        <f>HYPERLINK("http://twitter.com/trainingwhls")</f>
        <v>http://twitter.com/trainingwhls</v>
      </c>
      <c r="K1148">
        <v>364</v>
      </c>
      <c r="N1148" t="s">
        <v>65</v>
      </c>
      <c r="R1148" t="s">
        <v>60</v>
      </c>
      <c r="W1148">
        <v>0</v>
      </c>
      <c r="X1148">
        <v>0</v>
      </c>
      <c r="AE1148">
        <v>0</v>
      </c>
      <c r="AF1148">
        <v>0</v>
      </c>
      <c r="AM1148" t="s">
        <v>52</v>
      </c>
      <c r="AN1148" t="s">
        <v>53</v>
      </c>
    </row>
    <row r="1149" spans="1:40">
      <c r="A1149" t="s">
        <v>2370</v>
      </c>
      <c r="B1149" t="s">
        <v>4301</v>
      </c>
      <c r="C1149" t="s">
        <v>4304</v>
      </c>
      <c r="D1149" t="s">
        <v>52</v>
      </c>
      <c r="E1149" t="s">
        <v>4305</v>
      </c>
      <c r="F1149" t="s">
        <v>71</v>
      </c>
      <c r="G1149" t="str">
        <f>HYPERLINK("https://twitter.com/548254261/status/1143267489981353984")</f>
        <v>https://twitter.com/548254261/status/1143267489981353984</v>
      </c>
      <c r="H1149" t="s">
        <v>46</v>
      </c>
      <c r="I1149" t="s">
        <v>4306</v>
      </c>
      <c r="J1149" t="str">
        <f>HYPERLINK("http://twitter.com/Sthem056")</f>
        <v>http://twitter.com/Sthem056</v>
      </c>
      <c r="K1149">
        <v>5351</v>
      </c>
      <c r="N1149" t="s">
        <v>65</v>
      </c>
      <c r="R1149" t="s">
        <v>60</v>
      </c>
      <c r="S1149" t="s">
        <v>1071</v>
      </c>
      <c r="W1149">
        <v>0</v>
      </c>
      <c r="X1149">
        <v>0</v>
      </c>
      <c r="AE1149">
        <v>0</v>
      </c>
      <c r="AF1149">
        <v>0</v>
      </c>
      <c r="AI1149" t="s">
        <v>108</v>
      </c>
      <c r="AJ1149" t="s">
        <v>52</v>
      </c>
      <c r="AK1149" t="s">
        <v>52</v>
      </c>
      <c r="AL1149" t="str">
        <f>HYPERLINK("https://pbs.twimg.com/media/D9sAXHUX4AA6vJs.jpg")</f>
        <v>https://pbs.twimg.com/media/D9sAXHUX4AA6vJs.jpg</v>
      </c>
      <c r="AM1149" t="s">
        <v>52</v>
      </c>
      <c r="AN1149" t="s">
        <v>53</v>
      </c>
    </row>
    <row r="1150" spans="1:40">
      <c r="A1150" t="s">
        <v>2370</v>
      </c>
      <c r="B1150" t="s">
        <v>4307</v>
      </c>
      <c r="C1150" t="s">
        <v>4308</v>
      </c>
      <c r="D1150" t="s">
        <v>52</v>
      </c>
      <c r="E1150" t="s">
        <v>4309</v>
      </c>
      <c r="F1150" t="s">
        <v>45</v>
      </c>
      <c r="G1150" t="str">
        <f>HYPERLINK("https://www.instagram.com/p/BzG3bwQBtqh")</f>
        <v>https://www.instagram.com/p/BzG3bwQBtqh</v>
      </c>
      <c r="H1150" t="s">
        <v>215</v>
      </c>
      <c r="I1150" t="s">
        <v>4310</v>
      </c>
      <c r="J1150" t="str">
        <f>HYPERLINK("http://instagram.com/leidinhapiana")</f>
        <v>http://instagram.com/leidinhapiana</v>
      </c>
      <c r="K1150">
        <v>1087</v>
      </c>
      <c r="N1150" t="s">
        <v>59</v>
      </c>
      <c r="O1150" t="s">
        <v>4310</v>
      </c>
      <c r="P1150" t="str">
        <f>HYPERLINK("http://instagram.com/leidinhapiana")</f>
        <v>http://instagram.com/leidinhapiana</v>
      </c>
      <c r="Q1150">
        <v>1087</v>
      </c>
      <c r="R1150" t="s">
        <v>60</v>
      </c>
      <c r="S1150" t="s">
        <v>432</v>
      </c>
      <c r="T1150" t="s">
        <v>4311</v>
      </c>
      <c r="U1150" t="s">
        <v>4312</v>
      </c>
      <c r="W1150">
        <v>48</v>
      </c>
      <c r="X1150">
        <v>48</v>
      </c>
      <c r="AE1150">
        <v>2</v>
      </c>
      <c r="AI1150" t="s">
        <v>52</v>
      </c>
      <c r="AJ1150" t="s">
        <v>899</v>
      </c>
      <c r="AK1150" t="s">
        <v>4313</v>
      </c>
      <c r="AL1150" t="str">
        <f>HYPERLINK("https://www.instagram.com/p/BzG3bwQBtqh/media/?size=l")</f>
        <v>https://www.instagram.com/p/BzG3bwQBtqh/media/?size=l</v>
      </c>
      <c r="AM1150" t="s">
        <v>52</v>
      </c>
      <c r="AN1150" t="s">
        <v>53</v>
      </c>
    </row>
    <row r="1151" spans="1:40">
      <c r="A1151" t="s">
        <v>2370</v>
      </c>
      <c r="B1151" t="s">
        <v>4307</v>
      </c>
      <c r="C1151" t="s">
        <v>4314</v>
      </c>
      <c r="D1151" t="s">
        <v>52</v>
      </c>
      <c r="E1151" t="s">
        <v>4315</v>
      </c>
      <c r="F1151" t="s">
        <v>45</v>
      </c>
      <c r="G1151" t="str">
        <f>HYPERLINK("https://www.instagram.com/p/BzG3bd9FGuH")</f>
        <v>https://www.instagram.com/p/BzG3bd9FGuH</v>
      </c>
      <c r="H1151" t="s">
        <v>46</v>
      </c>
      <c r="I1151" t="s">
        <v>4316</v>
      </c>
      <c r="J1151" t="str">
        <f>HYPERLINK("http://instagram.com/speedweedwagon_meme")</f>
        <v>http://instagram.com/speedweedwagon_meme</v>
      </c>
      <c r="K1151">
        <v>3</v>
      </c>
      <c r="N1151" t="s">
        <v>59</v>
      </c>
      <c r="O1151" t="s">
        <v>4316</v>
      </c>
      <c r="P1151" t="str">
        <f>HYPERLINK("http://instagram.com/speedweedwagon_meme")</f>
        <v>http://instagram.com/speedweedwagon_meme</v>
      </c>
      <c r="Q1151">
        <v>3</v>
      </c>
      <c r="R1151" t="s">
        <v>60</v>
      </c>
      <c r="W1151">
        <v>6</v>
      </c>
      <c r="X1151">
        <v>6</v>
      </c>
      <c r="AE1151">
        <v>0</v>
      </c>
      <c r="AI1151" t="s">
        <v>108</v>
      </c>
      <c r="AJ1151" t="s">
        <v>3626</v>
      </c>
      <c r="AK1151" t="s">
        <v>52</v>
      </c>
      <c r="AL1151" t="str">
        <f>HYPERLINK("https://www.instagram.com/p/BzG3bd9FGuH/media/?size=l")</f>
        <v>https://www.instagram.com/p/BzG3bd9FGuH/media/?size=l</v>
      </c>
      <c r="AM1151" t="s">
        <v>52</v>
      </c>
      <c r="AN1151" t="s">
        <v>53</v>
      </c>
    </row>
    <row r="1152" spans="1:40">
      <c r="A1152" t="s">
        <v>2370</v>
      </c>
      <c r="B1152" t="s">
        <v>4307</v>
      </c>
      <c r="C1152" t="s">
        <v>1777</v>
      </c>
      <c r="D1152" t="s">
        <v>52</v>
      </c>
      <c r="E1152" t="s">
        <v>4317</v>
      </c>
      <c r="F1152" t="s">
        <v>45</v>
      </c>
      <c r="G1152" t="str">
        <f>HYPERLINK("https://www.instagram.com/p/BzG3bSRA9RT")</f>
        <v>https://www.instagram.com/p/BzG3bSRA9RT</v>
      </c>
      <c r="H1152" t="s">
        <v>46</v>
      </c>
      <c r="I1152" t="s">
        <v>4318</v>
      </c>
      <c r="J1152" t="str">
        <f>HYPERLINK("http://instagram.com/lgbtq._space")</f>
        <v>http://instagram.com/lgbtq._space</v>
      </c>
      <c r="K1152">
        <v>222</v>
      </c>
      <c r="N1152" t="s">
        <v>59</v>
      </c>
      <c r="O1152" t="s">
        <v>4318</v>
      </c>
      <c r="P1152" t="str">
        <f>HYPERLINK("http://instagram.com/lgbtq._space")</f>
        <v>http://instagram.com/lgbtq._space</v>
      </c>
      <c r="Q1152">
        <v>222</v>
      </c>
      <c r="R1152" t="s">
        <v>60</v>
      </c>
      <c r="W1152">
        <v>26</v>
      </c>
      <c r="X1152">
        <v>26</v>
      </c>
      <c r="AE1152">
        <v>0</v>
      </c>
      <c r="AI1152" t="s">
        <v>108</v>
      </c>
      <c r="AJ1152" t="s">
        <v>303</v>
      </c>
      <c r="AK1152" t="s">
        <v>52</v>
      </c>
      <c r="AL1152" t="str">
        <f>HYPERLINK("https://www.instagram.com/p/BzG3bSRA9RT/media/?size=l")</f>
        <v>https://www.instagram.com/p/BzG3bSRA9RT/media/?size=l</v>
      </c>
      <c r="AM1152" t="s">
        <v>52</v>
      </c>
      <c r="AN1152" t="s">
        <v>53</v>
      </c>
    </row>
    <row r="1153" spans="1:40">
      <c r="A1153" t="s">
        <v>2370</v>
      </c>
      <c r="B1153" t="s">
        <v>4319</v>
      </c>
      <c r="C1153" t="s">
        <v>4320</v>
      </c>
      <c r="D1153" t="s">
        <v>52</v>
      </c>
      <c r="E1153" t="s">
        <v>4321</v>
      </c>
      <c r="F1153" t="s">
        <v>95</v>
      </c>
      <c r="G1153" t="str">
        <f>HYPERLINK("https://twitter.com/1059545893567905792/status/1143266613455740928")</f>
        <v>https://twitter.com/1059545893567905792/status/1143266613455740928</v>
      </c>
      <c r="H1153" t="s">
        <v>46</v>
      </c>
      <c r="I1153" t="s">
        <v>4322</v>
      </c>
      <c r="J1153" t="str">
        <f>HYPERLINK("http://twitter.com/CuratorCulture")</f>
        <v>http://twitter.com/CuratorCulture</v>
      </c>
      <c r="K1153">
        <v>177</v>
      </c>
      <c r="N1153" t="s">
        <v>65</v>
      </c>
      <c r="R1153" t="s">
        <v>60</v>
      </c>
      <c r="W1153">
        <v>3</v>
      </c>
      <c r="X1153">
        <v>3</v>
      </c>
      <c r="AE1153">
        <v>1</v>
      </c>
      <c r="AF1153">
        <v>0</v>
      </c>
      <c r="AM1153" t="s">
        <v>52</v>
      </c>
      <c r="AN1153" t="s">
        <v>53</v>
      </c>
    </row>
    <row r="1154" spans="1:40">
      <c r="A1154" t="s">
        <v>2370</v>
      </c>
      <c r="B1154" t="s">
        <v>4323</v>
      </c>
      <c r="C1154" t="s">
        <v>4324</v>
      </c>
      <c r="D1154" t="s">
        <v>52</v>
      </c>
      <c r="E1154" t="s">
        <v>4325</v>
      </c>
      <c r="F1154" t="s">
        <v>45</v>
      </c>
      <c r="G1154" t="str">
        <f>HYPERLINK("https://twitter.com/286202762/status/1143266490159943680")</f>
        <v>https://twitter.com/286202762/status/1143266490159943680</v>
      </c>
      <c r="H1154" t="s">
        <v>46</v>
      </c>
      <c r="I1154" t="s">
        <v>4326</v>
      </c>
      <c r="J1154" t="str">
        <f>HYPERLINK("http://twitter.com/lilraeeeeee")</f>
        <v>http://twitter.com/lilraeeeeee</v>
      </c>
      <c r="K1154">
        <v>1979</v>
      </c>
      <c r="N1154" t="s">
        <v>65</v>
      </c>
      <c r="R1154" t="s">
        <v>60</v>
      </c>
      <c r="W1154">
        <v>0</v>
      </c>
      <c r="X1154">
        <v>0</v>
      </c>
      <c r="AE1154">
        <v>1</v>
      </c>
      <c r="AF1154">
        <v>0</v>
      </c>
      <c r="AM1154" t="s">
        <v>52</v>
      </c>
      <c r="AN1154" t="s">
        <v>53</v>
      </c>
    </row>
    <row r="1155" spans="1:40">
      <c r="A1155" t="s">
        <v>2370</v>
      </c>
      <c r="B1155" t="s">
        <v>4327</v>
      </c>
      <c r="C1155" t="s">
        <v>4328</v>
      </c>
      <c r="D1155" t="s">
        <v>52</v>
      </c>
      <c r="E1155" t="s">
        <v>4329</v>
      </c>
      <c r="F1155" t="s">
        <v>95</v>
      </c>
      <c r="G1155" t="str">
        <f>HYPERLINK("https://twitter.com/15039927/status/1143266208789086208")</f>
        <v>https://twitter.com/15039927/status/1143266208789086208</v>
      </c>
      <c r="H1155" t="s">
        <v>46</v>
      </c>
      <c r="I1155" t="s">
        <v>4330</v>
      </c>
      <c r="J1155" t="str">
        <f>HYPERLINK("http://twitter.com/hannahstwits")</f>
        <v>http://twitter.com/hannahstwits</v>
      </c>
      <c r="K1155">
        <v>477</v>
      </c>
      <c r="N1155" t="s">
        <v>65</v>
      </c>
      <c r="R1155" t="s">
        <v>60</v>
      </c>
      <c r="S1155" t="s">
        <v>444</v>
      </c>
      <c r="T1155" t="s">
        <v>3539</v>
      </c>
      <c r="U1155" t="s">
        <v>4331</v>
      </c>
      <c r="W1155">
        <v>1</v>
      </c>
      <c r="X1155">
        <v>1</v>
      </c>
      <c r="AE1155">
        <v>1</v>
      </c>
      <c r="AF1155">
        <v>0</v>
      </c>
      <c r="AM1155" t="s">
        <v>52</v>
      </c>
      <c r="AN1155" t="s">
        <v>53</v>
      </c>
    </row>
    <row r="1156" spans="1:40">
      <c r="A1156" t="s">
        <v>2370</v>
      </c>
      <c r="B1156" t="s">
        <v>4332</v>
      </c>
      <c r="C1156" t="s">
        <v>4333</v>
      </c>
      <c r="D1156" t="s">
        <v>52</v>
      </c>
      <c r="E1156" t="s">
        <v>4334</v>
      </c>
      <c r="F1156" t="s">
        <v>45</v>
      </c>
      <c r="G1156" t="str">
        <f>HYPERLINK("https://www.instagram.com/p/BzG26EPBoEk")</f>
        <v>https://www.instagram.com/p/BzG26EPBoEk</v>
      </c>
      <c r="H1156" t="s">
        <v>46</v>
      </c>
      <c r="I1156" t="s">
        <v>4335</v>
      </c>
      <c r="J1156" t="str">
        <f>HYPERLINK("http://instagram.com/thevibepill")</f>
        <v>http://instagram.com/thevibepill</v>
      </c>
      <c r="K1156">
        <v>95</v>
      </c>
      <c r="N1156" t="s">
        <v>59</v>
      </c>
      <c r="O1156" t="s">
        <v>4335</v>
      </c>
      <c r="P1156" t="str">
        <f>HYPERLINK("http://instagram.com/thevibepill")</f>
        <v>http://instagram.com/thevibepill</v>
      </c>
      <c r="Q1156">
        <v>95</v>
      </c>
      <c r="R1156" t="s">
        <v>60</v>
      </c>
      <c r="W1156">
        <v>7</v>
      </c>
      <c r="X1156">
        <v>7</v>
      </c>
      <c r="AE1156">
        <v>2</v>
      </c>
      <c r="AI1156" t="s">
        <v>52</v>
      </c>
      <c r="AJ1156" t="s">
        <v>52</v>
      </c>
      <c r="AK1156" t="s">
        <v>52</v>
      </c>
      <c r="AL1156" t="str">
        <f>HYPERLINK("https://www.instagram.com/p/BzG26EPBoEk/media/?size=l")</f>
        <v>https://www.instagram.com/p/BzG26EPBoEk/media/?size=l</v>
      </c>
      <c r="AM1156" t="s">
        <v>52</v>
      </c>
      <c r="AN1156" t="s">
        <v>53</v>
      </c>
    </row>
    <row r="1157" spans="1:40">
      <c r="A1157" t="s">
        <v>2370</v>
      </c>
      <c r="B1157" t="s">
        <v>4336</v>
      </c>
      <c r="C1157" t="s">
        <v>4337</v>
      </c>
      <c r="D1157" t="s">
        <v>52</v>
      </c>
      <c r="E1157" t="s">
        <v>4338</v>
      </c>
      <c r="F1157" t="s">
        <v>95</v>
      </c>
      <c r="G1157" t="str">
        <f>HYPERLINK("https://twitter.com/17543270/status/1143265371857870849")</f>
        <v>https://twitter.com/17543270/status/1143265371857870849</v>
      </c>
      <c r="H1157" t="s">
        <v>46</v>
      </c>
      <c r="I1157" t="s">
        <v>4339</v>
      </c>
      <c r="J1157" t="str">
        <f>HYPERLINK("http://twitter.com/paquichips")</f>
        <v>http://twitter.com/paquichips</v>
      </c>
      <c r="K1157">
        <v>3952</v>
      </c>
      <c r="N1157" t="s">
        <v>65</v>
      </c>
      <c r="R1157" t="s">
        <v>60</v>
      </c>
      <c r="S1157" t="s">
        <v>51</v>
      </c>
      <c r="T1157" t="s">
        <v>152</v>
      </c>
      <c r="U1157" t="s">
        <v>424</v>
      </c>
      <c r="W1157">
        <v>1</v>
      </c>
      <c r="X1157">
        <v>1</v>
      </c>
      <c r="AE1157">
        <v>1</v>
      </c>
      <c r="AF1157">
        <v>0</v>
      </c>
      <c r="AM1157" t="s">
        <v>52</v>
      </c>
      <c r="AN1157" t="s">
        <v>53</v>
      </c>
    </row>
    <row r="1158" spans="1:40">
      <c r="A1158" t="s">
        <v>2370</v>
      </c>
      <c r="B1158" t="s">
        <v>4340</v>
      </c>
      <c r="C1158" t="s">
        <v>4341</v>
      </c>
      <c r="D1158" t="s">
        <v>52</v>
      </c>
      <c r="E1158" t="s">
        <v>4342</v>
      </c>
      <c r="F1158" t="s">
        <v>95</v>
      </c>
      <c r="G1158" t="str">
        <f>HYPERLINK("https://twitter.com/1108914420330184706/status/1143265201103314945")</f>
        <v>https://twitter.com/1108914420330184706/status/1143265201103314945</v>
      </c>
      <c r="H1158" t="s">
        <v>46</v>
      </c>
      <c r="I1158" t="s">
        <v>4343</v>
      </c>
      <c r="J1158" t="str">
        <f>HYPERLINK("http://twitter.com/misterX2x")</f>
        <v>http://twitter.com/misterX2x</v>
      </c>
      <c r="K1158">
        <v>9</v>
      </c>
      <c r="N1158" t="s">
        <v>65</v>
      </c>
      <c r="R1158" t="s">
        <v>60</v>
      </c>
      <c r="W1158">
        <v>0</v>
      </c>
      <c r="X1158">
        <v>0</v>
      </c>
      <c r="AE1158">
        <v>0</v>
      </c>
      <c r="AF1158">
        <v>0</v>
      </c>
      <c r="AM1158" t="s">
        <v>52</v>
      </c>
      <c r="AN1158" t="s">
        <v>53</v>
      </c>
    </row>
    <row r="1159" spans="1:40">
      <c r="A1159" t="s">
        <v>2370</v>
      </c>
      <c r="B1159" t="s">
        <v>4340</v>
      </c>
      <c r="C1159" t="s">
        <v>4337</v>
      </c>
      <c r="D1159" t="s">
        <v>52</v>
      </c>
      <c r="E1159" t="s">
        <v>4344</v>
      </c>
      <c r="F1159" t="s">
        <v>71</v>
      </c>
      <c r="G1159" t="str">
        <f>HYPERLINK("https://twitter.com/2691851947/status/1143265161316315136")</f>
        <v>https://twitter.com/2691851947/status/1143265161316315136</v>
      </c>
      <c r="H1159" t="s">
        <v>46</v>
      </c>
      <c r="I1159" t="s">
        <v>4345</v>
      </c>
      <c r="J1159" t="str">
        <f>HYPERLINK("http://twitter.com/litzzzyy")</f>
        <v>http://twitter.com/litzzzyy</v>
      </c>
      <c r="K1159">
        <v>398</v>
      </c>
      <c r="N1159" t="s">
        <v>65</v>
      </c>
      <c r="R1159" t="s">
        <v>60</v>
      </c>
      <c r="S1159" t="s">
        <v>51</v>
      </c>
      <c r="T1159" t="s">
        <v>173</v>
      </c>
      <c r="U1159" t="s">
        <v>1214</v>
      </c>
      <c r="W1159">
        <v>0</v>
      </c>
      <c r="X1159">
        <v>0</v>
      </c>
      <c r="AE1159">
        <v>0</v>
      </c>
      <c r="AF1159">
        <v>0</v>
      </c>
      <c r="AI1159" t="s">
        <v>108</v>
      </c>
      <c r="AJ1159" t="s">
        <v>52</v>
      </c>
      <c r="AK1159" t="s">
        <v>52</v>
      </c>
      <c r="AL1159" t="str">
        <f>HYPERLINK("https://pbs.twimg.com/tweet_video_thumb/D9hvNNzXUAATAS3.jpg")</f>
        <v>https://pbs.twimg.com/tweet_video_thumb/D9hvNNzXUAATAS3.jpg</v>
      </c>
      <c r="AM1159" t="s">
        <v>52</v>
      </c>
      <c r="AN1159" t="s">
        <v>53</v>
      </c>
    </row>
    <row r="1160" spans="1:40">
      <c r="A1160" t="s">
        <v>2370</v>
      </c>
      <c r="B1160" t="s">
        <v>4340</v>
      </c>
      <c r="C1160" t="s">
        <v>4346</v>
      </c>
      <c r="D1160" t="s">
        <v>52</v>
      </c>
      <c r="E1160" t="s">
        <v>4347</v>
      </c>
      <c r="F1160" t="s">
        <v>131</v>
      </c>
      <c r="G1160" t="str">
        <f>HYPERLINK("https://twitter.com/1027320104646856704/status/1143265083818164224")</f>
        <v>https://twitter.com/1027320104646856704/status/1143265083818164224</v>
      </c>
      <c r="H1160" t="s">
        <v>46</v>
      </c>
      <c r="I1160" t="s">
        <v>4348</v>
      </c>
      <c r="J1160" t="str">
        <f>HYPERLINK("http://twitter.com/dragonblade719")</f>
        <v>http://twitter.com/dragonblade719</v>
      </c>
      <c r="K1160">
        <v>17</v>
      </c>
      <c r="N1160" t="s">
        <v>65</v>
      </c>
      <c r="R1160" t="s">
        <v>60</v>
      </c>
      <c r="S1160" t="s">
        <v>51</v>
      </c>
      <c r="T1160" t="s">
        <v>4349</v>
      </c>
      <c r="U1160" t="s">
        <v>4350</v>
      </c>
      <c r="W1160">
        <v>0</v>
      </c>
      <c r="X1160">
        <v>0</v>
      </c>
      <c r="AE1160">
        <v>0</v>
      </c>
      <c r="AM1160" t="s">
        <v>52</v>
      </c>
      <c r="AN1160" t="s">
        <v>53</v>
      </c>
    </row>
    <row r="1161" spans="1:40">
      <c r="A1161" t="s">
        <v>2370</v>
      </c>
      <c r="B1161" t="s">
        <v>4351</v>
      </c>
      <c r="C1161" t="s">
        <v>4352</v>
      </c>
      <c r="D1161" t="s">
        <v>52</v>
      </c>
      <c r="E1161" t="s">
        <v>4353</v>
      </c>
      <c r="F1161" t="s">
        <v>95</v>
      </c>
      <c r="G1161" t="str">
        <f>HYPERLINK("https://twitter.com/847156593808625666/status/1143264550021685249")</f>
        <v>https://twitter.com/847156593808625666/status/1143264550021685249</v>
      </c>
      <c r="H1161" t="s">
        <v>46</v>
      </c>
      <c r="I1161" t="s">
        <v>4354</v>
      </c>
      <c r="J1161" t="str">
        <f>HYPERLINK("http://twitter.com/EthanBurch3000")</f>
        <v>http://twitter.com/EthanBurch3000</v>
      </c>
      <c r="K1161">
        <v>14</v>
      </c>
      <c r="N1161" t="s">
        <v>65</v>
      </c>
      <c r="R1161" t="s">
        <v>60</v>
      </c>
      <c r="S1161" t="s">
        <v>97</v>
      </c>
      <c r="T1161" t="s">
        <v>177</v>
      </c>
      <c r="U1161" t="s">
        <v>4355</v>
      </c>
      <c r="W1161">
        <v>0</v>
      </c>
      <c r="X1161">
        <v>0</v>
      </c>
      <c r="AE1161">
        <v>1</v>
      </c>
      <c r="AF1161">
        <v>0</v>
      </c>
      <c r="AM1161" t="s">
        <v>52</v>
      </c>
      <c r="AN1161" t="s">
        <v>53</v>
      </c>
    </row>
    <row r="1162" spans="1:40">
      <c r="A1162" t="s">
        <v>2370</v>
      </c>
      <c r="B1162" t="s">
        <v>4356</v>
      </c>
      <c r="C1162" t="s">
        <v>4357</v>
      </c>
      <c r="D1162" t="s">
        <v>52</v>
      </c>
      <c r="E1162" t="s">
        <v>4358</v>
      </c>
      <c r="F1162" t="s">
        <v>95</v>
      </c>
      <c r="G1162" t="str">
        <f>HYPERLINK("https://twitter.com/17543270/status/1143263928589438980")</f>
        <v>https://twitter.com/17543270/status/1143263928589438980</v>
      </c>
      <c r="H1162" t="s">
        <v>46</v>
      </c>
      <c r="I1162" t="s">
        <v>4339</v>
      </c>
      <c r="J1162" t="str">
        <f>HYPERLINK("http://twitter.com/paquichips")</f>
        <v>http://twitter.com/paquichips</v>
      </c>
      <c r="K1162">
        <v>3952</v>
      </c>
      <c r="N1162" t="s">
        <v>65</v>
      </c>
      <c r="R1162" t="s">
        <v>60</v>
      </c>
      <c r="S1162" t="s">
        <v>51</v>
      </c>
      <c r="T1162" t="s">
        <v>152</v>
      </c>
      <c r="U1162" t="s">
        <v>424</v>
      </c>
      <c r="W1162">
        <v>1</v>
      </c>
      <c r="X1162">
        <v>1</v>
      </c>
      <c r="AE1162">
        <v>1</v>
      </c>
      <c r="AF1162">
        <v>0</v>
      </c>
      <c r="AM1162" t="s">
        <v>52</v>
      </c>
      <c r="AN1162" t="s">
        <v>53</v>
      </c>
    </row>
    <row r="1163" spans="1:40">
      <c r="A1163" t="s">
        <v>2370</v>
      </c>
      <c r="B1163" t="s">
        <v>4356</v>
      </c>
      <c r="C1163" t="s">
        <v>4352</v>
      </c>
      <c r="D1163" t="s">
        <v>52</v>
      </c>
      <c r="E1163" t="s">
        <v>4359</v>
      </c>
      <c r="F1163" t="s">
        <v>45</v>
      </c>
      <c r="G1163" t="str">
        <f>HYPERLINK("https://twitter.com/533764514/status/1143263786545164293")</f>
        <v>https://twitter.com/533764514/status/1143263786545164293</v>
      </c>
      <c r="H1163" t="s">
        <v>46</v>
      </c>
      <c r="I1163" t="s">
        <v>4360</v>
      </c>
      <c r="J1163" t="str">
        <f>HYPERLINK("http://twitter.com/UthmaanK")</f>
        <v>http://twitter.com/UthmaanK</v>
      </c>
      <c r="K1163">
        <v>426</v>
      </c>
      <c r="N1163" t="s">
        <v>65</v>
      </c>
      <c r="R1163" t="s">
        <v>60</v>
      </c>
      <c r="W1163">
        <v>0</v>
      </c>
      <c r="X1163">
        <v>0</v>
      </c>
      <c r="AE1163">
        <v>0</v>
      </c>
      <c r="AF1163">
        <v>0</v>
      </c>
      <c r="AM1163" t="s">
        <v>52</v>
      </c>
      <c r="AN1163" t="s">
        <v>53</v>
      </c>
    </row>
    <row r="1164" spans="1:40">
      <c r="A1164" t="s">
        <v>2370</v>
      </c>
      <c r="B1164" t="s">
        <v>4361</v>
      </c>
      <c r="C1164" t="s">
        <v>4362</v>
      </c>
      <c r="D1164" t="s">
        <v>52</v>
      </c>
      <c r="E1164" t="s">
        <v>4363</v>
      </c>
      <c r="F1164" t="s">
        <v>45</v>
      </c>
      <c r="G1164" t="str">
        <f>HYPERLINK("https://www.instagram.com/p/BzG2Av8A6V9")</f>
        <v>https://www.instagram.com/p/BzG2Av8A6V9</v>
      </c>
      <c r="H1164" t="s">
        <v>46</v>
      </c>
      <c r="I1164" t="s">
        <v>4364</v>
      </c>
      <c r="J1164" t="str">
        <f>HYPERLINK("http://instagram.com/jahphrog.exe")</f>
        <v>http://instagram.com/jahphrog.exe</v>
      </c>
      <c r="K1164">
        <v>81</v>
      </c>
      <c r="N1164" t="s">
        <v>59</v>
      </c>
      <c r="O1164" t="s">
        <v>4364</v>
      </c>
      <c r="P1164" t="str">
        <f>HYPERLINK("http://instagram.com/jahphrog.exe")</f>
        <v>http://instagram.com/jahphrog.exe</v>
      </c>
      <c r="Q1164">
        <v>81</v>
      </c>
      <c r="R1164" t="s">
        <v>60</v>
      </c>
      <c r="S1164" t="s">
        <v>774</v>
      </c>
      <c r="T1164" t="s">
        <v>4365</v>
      </c>
      <c r="U1164" t="s">
        <v>4366</v>
      </c>
      <c r="W1164">
        <v>26</v>
      </c>
      <c r="X1164">
        <v>26</v>
      </c>
      <c r="AE1164">
        <v>0</v>
      </c>
      <c r="AI1164" t="s">
        <v>52</v>
      </c>
      <c r="AJ1164" t="s">
        <v>52</v>
      </c>
      <c r="AK1164" t="s">
        <v>110</v>
      </c>
      <c r="AL1164" t="str">
        <f>HYPERLINK("https://www.instagram.com/p/BzG2Av8A6V9/media/?size=l")</f>
        <v>https://www.instagram.com/p/BzG2Av8A6V9/media/?size=l</v>
      </c>
      <c r="AM1164" t="s">
        <v>52</v>
      </c>
      <c r="AN1164" t="s">
        <v>53</v>
      </c>
    </row>
    <row r="1165" spans="1:40">
      <c r="A1165" t="s">
        <v>2370</v>
      </c>
      <c r="B1165" t="s">
        <v>4361</v>
      </c>
      <c r="C1165" t="s">
        <v>4357</v>
      </c>
      <c r="D1165" t="s">
        <v>52</v>
      </c>
      <c r="E1165" t="s">
        <v>1194</v>
      </c>
      <c r="F1165" t="s">
        <v>131</v>
      </c>
      <c r="G1165" t="str">
        <f>HYPERLINK("https://twitter.com/746010358163316736/status/1143263664553758721")</f>
        <v>https://twitter.com/746010358163316736/status/1143263664553758721</v>
      </c>
      <c r="H1165" t="s">
        <v>46</v>
      </c>
      <c r="I1165" t="s">
        <v>4367</v>
      </c>
      <c r="J1165" t="str">
        <f>HYPERLINK("http://twitter.com/martactp")</f>
        <v>http://twitter.com/martactp</v>
      </c>
      <c r="K1165">
        <v>195</v>
      </c>
      <c r="N1165" t="s">
        <v>65</v>
      </c>
      <c r="R1165" t="s">
        <v>60</v>
      </c>
      <c r="S1165" t="s">
        <v>2290</v>
      </c>
      <c r="T1165" t="s">
        <v>4368</v>
      </c>
      <c r="U1165" t="s">
        <v>4369</v>
      </c>
      <c r="W1165">
        <v>0</v>
      </c>
      <c r="X1165">
        <v>0</v>
      </c>
      <c r="AE1165">
        <v>0</v>
      </c>
      <c r="AI1165" t="s">
        <v>52</v>
      </c>
      <c r="AJ1165" t="s">
        <v>1196</v>
      </c>
      <c r="AK1165" t="s">
        <v>52</v>
      </c>
      <c r="AL1165" t="str">
        <f>HYPERLINK("https://pbs.twimg.com/media/D9xgk2YXkAAd2ql.jpg")</f>
        <v>https://pbs.twimg.com/media/D9xgk2YXkAAd2ql.jpg</v>
      </c>
      <c r="AM1165" t="s">
        <v>52</v>
      </c>
      <c r="AN1165" t="s">
        <v>53</v>
      </c>
    </row>
    <row r="1166" spans="1:40">
      <c r="A1166" t="s">
        <v>2370</v>
      </c>
      <c r="B1166" t="s">
        <v>4361</v>
      </c>
      <c r="C1166" t="s">
        <v>4357</v>
      </c>
      <c r="D1166" t="s">
        <v>52</v>
      </c>
      <c r="E1166" t="s">
        <v>4370</v>
      </c>
      <c r="F1166" t="s">
        <v>45</v>
      </c>
      <c r="G1166" t="str">
        <f>HYPERLINK("https://twitter.com/4242665105/status/1143263667401756675")</f>
        <v>https://twitter.com/4242665105/status/1143263667401756675</v>
      </c>
      <c r="H1166" t="s">
        <v>46</v>
      </c>
      <c r="I1166" t="s">
        <v>4371</v>
      </c>
      <c r="J1166" t="str">
        <f>HYPERLINK("http://twitter.com/LuizaPeeh")</f>
        <v>http://twitter.com/LuizaPeeh</v>
      </c>
      <c r="K1166">
        <v>452</v>
      </c>
      <c r="L1166" t="s">
        <v>58</v>
      </c>
      <c r="N1166" t="s">
        <v>65</v>
      </c>
      <c r="R1166" t="s">
        <v>60</v>
      </c>
      <c r="W1166">
        <v>3</v>
      </c>
      <c r="X1166">
        <v>3</v>
      </c>
      <c r="AE1166">
        <v>1</v>
      </c>
      <c r="AF1166">
        <v>0</v>
      </c>
      <c r="AM1166" t="s">
        <v>52</v>
      </c>
      <c r="AN1166" t="s">
        <v>53</v>
      </c>
    </row>
    <row r="1167" spans="1:40">
      <c r="A1167" t="s">
        <v>2370</v>
      </c>
      <c r="B1167" t="s">
        <v>4361</v>
      </c>
      <c r="C1167" t="s">
        <v>4372</v>
      </c>
      <c r="D1167" t="s">
        <v>52</v>
      </c>
      <c r="E1167" t="s">
        <v>4373</v>
      </c>
      <c r="F1167" t="s">
        <v>95</v>
      </c>
      <c r="G1167" t="str">
        <f>HYPERLINK("https://twitter.com/39572309/status/1143263642240073731")</f>
        <v>https://twitter.com/39572309/status/1143263642240073731</v>
      </c>
      <c r="H1167" t="s">
        <v>91</v>
      </c>
      <c r="I1167" t="s">
        <v>4374</v>
      </c>
      <c r="J1167" t="str">
        <f>HYPERLINK("http://twitter.com/holliebissex")</f>
        <v>http://twitter.com/holliebissex</v>
      </c>
      <c r="K1167">
        <v>589</v>
      </c>
      <c r="N1167" t="s">
        <v>65</v>
      </c>
      <c r="R1167" t="s">
        <v>60</v>
      </c>
      <c r="S1167" t="s">
        <v>97</v>
      </c>
      <c r="T1167" t="s">
        <v>1332</v>
      </c>
      <c r="W1167">
        <v>2</v>
      </c>
      <c r="X1167">
        <v>2</v>
      </c>
      <c r="AE1167">
        <v>1</v>
      </c>
      <c r="AF1167">
        <v>0</v>
      </c>
      <c r="AM1167" t="s">
        <v>52</v>
      </c>
      <c r="AN1167" t="s">
        <v>53</v>
      </c>
    </row>
    <row r="1168" spans="1:40">
      <c r="A1168" t="s">
        <v>2370</v>
      </c>
      <c r="B1168" t="s">
        <v>4361</v>
      </c>
      <c r="C1168" t="s">
        <v>4375</v>
      </c>
      <c r="D1168" t="s">
        <v>52</v>
      </c>
      <c r="E1168" t="s">
        <v>4376</v>
      </c>
      <c r="F1168" t="s">
        <v>95</v>
      </c>
      <c r="G1168" t="str">
        <f>HYPERLINK("https://twitter.com/3312648754/status/1143263577341489152")</f>
        <v>https://twitter.com/3312648754/status/1143263577341489152</v>
      </c>
      <c r="H1168" t="s">
        <v>46</v>
      </c>
      <c r="I1168" t="s">
        <v>4377</v>
      </c>
      <c r="J1168" t="str">
        <f>HYPERLINK("http://twitter.com/BarbaraJean2017")</f>
        <v>http://twitter.com/BarbaraJean2017</v>
      </c>
      <c r="K1168">
        <v>1220</v>
      </c>
      <c r="L1168" t="s">
        <v>58</v>
      </c>
      <c r="N1168" t="s">
        <v>65</v>
      </c>
      <c r="R1168" t="s">
        <v>60</v>
      </c>
      <c r="W1168">
        <v>1</v>
      </c>
      <c r="X1168">
        <v>1</v>
      </c>
      <c r="AE1168">
        <v>1</v>
      </c>
      <c r="AF1168">
        <v>0</v>
      </c>
      <c r="AM1168" t="s">
        <v>52</v>
      </c>
      <c r="AN1168" t="s">
        <v>53</v>
      </c>
    </row>
    <row r="1169" spans="1:40">
      <c r="A1169" t="s">
        <v>2370</v>
      </c>
      <c r="B1169" t="s">
        <v>4361</v>
      </c>
      <c r="C1169" t="s">
        <v>4375</v>
      </c>
      <c r="D1169" t="s">
        <v>52</v>
      </c>
      <c r="E1169" t="s">
        <v>4378</v>
      </c>
      <c r="F1169" t="s">
        <v>95</v>
      </c>
      <c r="G1169" t="str">
        <f>HYPERLINK("https://twitter.com/1138540368935473152/status/1143263577899507712")</f>
        <v>https://twitter.com/1138540368935473152/status/1143263577899507712</v>
      </c>
      <c r="H1169" t="s">
        <v>46</v>
      </c>
      <c r="I1169" t="s">
        <v>52</v>
      </c>
      <c r="J1169" t="str">
        <f>HYPERLINK("http://twitter.com/coreyxsmiles")</f>
        <v>http://twitter.com/coreyxsmiles</v>
      </c>
      <c r="K1169">
        <v>18</v>
      </c>
      <c r="N1169" t="s">
        <v>65</v>
      </c>
      <c r="R1169" t="s">
        <v>60</v>
      </c>
      <c r="W1169">
        <v>1</v>
      </c>
      <c r="X1169">
        <v>1</v>
      </c>
      <c r="AE1169">
        <v>1</v>
      </c>
      <c r="AF1169">
        <v>0</v>
      </c>
      <c r="AM1169" t="s">
        <v>52</v>
      </c>
      <c r="AN1169" t="s">
        <v>53</v>
      </c>
    </row>
    <row r="1170" spans="1:40">
      <c r="A1170" t="s">
        <v>2370</v>
      </c>
      <c r="B1170" t="s">
        <v>4379</v>
      </c>
      <c r="C1170" t="s">
        <v>1919</v>
      </c>
      <c r="D1170" t="s">
        <v>52</v>
      </c>
      <c r="E1170" t="s">
        <v>4380</v>
      </c>
      <c r="F1170" t="s">
        <v>45</v>
      </c>
      <c r="G1170" t="str">
        <f>HYPERLINK("https://www.instagram.com/p/BzG16PMBJoJ")</f>
        <v>https://www.instagram.com/p/BzG16PMBJoJ</v>
      </c>
      <c r="H1170" t="s">
        <v>46</v>
      </c>
      <c r="I1170" t="s">
        <v>4381</v>
      </c>
      <c r="J1170" t="str">
        <f>HYPERLINK("http://instagram.com/24hourgrind_")</f>
        <v>http://instagram.com/24hourgrind_</v>
      </c>
      <c r="K1170">
        <v>461</v>
      </c>
      <c r="N1170" t="s">
        <v>59</v>
      </c>
      <c r="O1170" t="s">
        <v>4381</v>
      </c>
      <c r="P1170" t="str">
        <f>HYPERLINK("http://instagram.com/24hourgrind_")</f>
        <v>http://instagram.com/24hourgrind_</v>
      </c>
      <c r="Q1170">
        <v>461</v>
      </c>
      <c r="R1170" t="s">
        <v>60</v>
      </c>
      <c r="W1170">
        <v>17</v>
      </c>
      <c r="X1170">
        <v>17</v>
      </c>
      <c r="AE1170">
        <v>0</v>
      </c>
      <c r="AI1170" t="s">
        <v>108</v>
      </c>
      <c r="AJ1170" t="s">
        <v>3639</v>
      </c>
      <c r="AK1170" t="s">
        <v>52</v>
      </c>
      <c r="AL1170" t="str">
        <f>HYPERLINK("https://www.instagram.com/p/BzG16PMBJoJ/media/?size=l")</f>
        <v>https://www.instagram.com/p/BzG16PMBJoJ/media/?size=l</v>
      </c>
      <c r="AM1170" t="s">
        <v>52</v>
      </c>
      <c r="AN1170" t="s">
        <v>53</v>
      </c>
    </row>
    <row r="1171" spans="1:40">
      <c r="A1171" t="s">
        <v>2370</v>
      </c>
      <c r="B1171" t="s">
        <v>4379</v>
      </c>
      <c r="C1171" t="s">
        <v>4382</v>
      </c>
      <c r="D1171" t="s">
        <v>52</v>
      </c>
      <c r="E1171" t="s">
        <v>4383</v>
      </c>
      <c r="F1171" t="s">
        <v>45</v>
      </c>
      <c r="G1171" t="str">
        <f>HYPERLINK("https://twitter.com/1398746928/status/1143263306322305024")</f>
        <v>https://twitter.com/1398746928/status/1143263306322305024</v>
      </c>
      <c r="H1171" t="s">
        <v>46</v>
      </c>
      <c r="I1171" t="s">
        <v>4384</v>
      </c>
      <c r="J1171" t="str">
        <f>HYPERLINK("http://twitter.com/2gucci2thick4u")</f>
        <v>http://twitter.com/2gucci2thick4u</v>
      </c>
      <c r="K1171">
        <v>462</v>
      </c>
      <c r="N1171" t="s">
        <v>65</v>
      </c>
      <c r="R1171" t="s">
        <v>60</v>
      </c>
      <c r="W1171">
        <v>11</v>
      </c>
      <c r="X1171">
        <v>11</v>
      </c>
      <c r="AE1171">
        <v>2</v>
      </c>
      <c r="AF1171">
        <v>0</v>
      </c>
      <c r="AM1171" t="s">
        <v>52</v>
      </c>
      <c r="AN1171" t="s">
        <v>53</v>
      </c>
    </row>
    <row r="1172" spans="1:40">
      <c r="A1172" t="s">
        <v>2370</v>
      </c>
      <c r="B1172" t="s">
        <v>4385</v>
      </c>
      <c r="C1172" t="s">
        <v>4382</v>
      </c>
      <c r="D1172" t="s">
        <v>4386</v>
      </c>
      <c r="E1172" t="s">
        <v>4387</v>
      </c>
      <c r="F1172" t="s">
        <v>45</v>
      </c>
      <c r="G1172" t="str">
        <f>HYPERLINK("https://www.youtube.com/watch?v=1s0AIDUtPYQ")</f>
        <v>https://www.youtube.com/watch?v=1s0AIDUtPYQ</v>
      </c>
      <c r="H1172" t="s">
        <v>46</v>
      </c>
      <c r="I1172" t="s">
        <v>4388</v>
      </c>
      <c r="J1172" t="str">
        <f>HYPERLINK("https://www.youtube.com/channel/UC0dY73koh1T9PC4cggCToLA")</f>
        <v>https://www.youtube.com/channel/UC0dY73koh1T9PC4cggCToLA</v>
      </c>
      <c r="K1172">
        <v>6</v>
      </c>
      <c r="N1172" t="s">
        <v>116</v>
      </c>
      <c r="O1172" t="s">
        <v>4388</v>
      </c>
      <c r="P1172" t="str">
        <f>HYPERLINK("https://www.youtube.com/channel/UC0dY73koh1T9PC4cggCToLA")</f>
        <v>https://www.youtube.com/channel/UC0dY73koh1T9PC4cggCToLA</v>
      </c>
      <c r="Q1172">
        <v>6</v>
      </c>
      <c r="R1172" t="s">
        <v>60</v>
      </c>
      <c r="W1172">
        <v>0</v>
      </c>
      <c r="X1172">
        <v>0</v>
      </c>
      <c r="AD1172">
        <v>0</v>
      </c>
      <c r="AE1172">
        <v>0</v>
      </c>
      <c r="AG1172">
        <v>4</v>
      </c>
      <c r="AI1172" t="s">
        <v>52</v>
      </c>
      <c r="AJ1172" t="s">
        <v>458</v>
      </c>
      <c r="AK1172" t="s">
        <v>52</v>
      </c>
      <c r="AL1172" t="str">
        <f>HYPERLINK("https://i.ytimg.com/vi/1s0AIDUtPYQ/hqdefault.jpg")</f>
        <v>https://i.ytimg.com/vi/1s0AIDUtPYQ/hqdefault.jpg</v>
      </c>
      <c r="AM1172" t="s">
        <v>52</v>
      </c>
      <c r="AN1172" t="s">
        <v>53</v>
      </c>
    </row>
    <row r="1173" spans="1:40">
      <c r="A1173" t="s">
        <v>2370</v>
      </c>
      <c r="B1173" t="s">
        <v>4385</v>
      </c>
      <c r="C1173" t="s">
        <v>4389</v>
      </c>
      <c r="D1173" t="s">
        <v>52</v>
      </c>
      <c r="E1173" t="s">
        <v>4390</v>
      </c>
      <c r="F1173" t="s">
        <v>71</v>
      </c>
      <c r="G1173" t="str">
        <f>HYPERLINK("https://twitter.com/1107630967441842176/status/1143263167964950532")</f>
        <v>https://twitter.com/1107630967441842176/status/1143263167964950532</v>
      </c>
      <c r="H1173" t="s">
        <v>91</v>
      </c>
      <c r="I1173" t="s">
        <v>4391</v>
      </c>
      <c r="J1173" t="str">
        <f>HYPERLINK("http://twitter.com/FerielKrasevec")</f>
        <v>http://twitter.com/FerielKrasevec</v>
      </c>
      <c r="K1173">
        <v>34</v>
      </c>
      <c r="N1173" t="s">
        <v>65</v>
      </c>
      <c r="R1173" t="s">
        <v>60</v>
      </c>
      <c r="S1173" t="s">
        <v>1034</v>
      </c>
      <c r="W1173">
        <v>1</v>
      </c>
      <c r="X1173">
        <v>1</v>
      </c>
      <c r="AE1173">
        <v>0</v>
      </c>
      <c r="AF1173">
        <v>0</v>
      </c>
      <c r="AM1173" t="s">
        <v>52</v>
      </c>
      <c r="AN1173" t="s">
        <v>53</v>
      </c>
    </row>
    <row r="1174" spans="1:40">
      <c r="A1174" t="s">
        <v>2370</v>
      </c>
      <c r="B1174" t="s">
        <v>4392</v>
      </c>
      <c r="C1174" t="s">
        <v>4372</v>
      </c>
      <c r="D1174" t="s">
        <v>52</v>
      </c>
      <c r="E1174" t="s">
        <v>4393</v>
      </c>
      <c r="F1174" t="s">
        <v>45</v>
      </c>
      <c r="G1174" t="str">
        <f>HYPERLINK("https://www.instagram.com/p/BzG1rm3g4gt")</f>
        <v>https://www.instagram.com/p/BzG1rm3g4gt</v>
      </c>
      <c r="H1174" t="s">
        <v>46</v>
      </c>
      <c r="I1174" t="s">
        <v>4394</v>
      </c>
      <c r="J1174" t="str">
        <f>HYPERLINK("http://instagram.com/my_chemixal_romance")</f>
        <v>http://instagram.com/my_chemixal_romance</v>
      </c>
      <c r="K1174">
        <v>987</v>
      </c>
      <c r="L1174" t="s">
        <v>48</v>
      </c>
      <c r="N1174" t="s">
        <v>59</v>
      </c>
      <c r="O1174" t="s">
        <v>4394</v>
      </c>
      <c r="P1174" t="str">
        <f>HYPERLINK("http://instagram.com/my_chemixal_romance")</f>
        <v>http://instagram.com/my_chemixal_romance</v>
      </c>
      <c r="Q1174">
        <v>987</v>
      </c>
      <c r="R1174" t="s">
        <v>60</v>
      </c>
      <c r="W1174">
        <v>31</v>
      </c>
      <c r="X1174">
        <v>31</v>
      </c>
      <c r="AE1174">
        <v>0</v>
      </c>
      <c r="AI1174" t="s">
        <v>52</v>
      </c>
      <c r="AJ1174" t="s">
        <v>4395</v>
      </c>
      <c r="AK1174" t="s">
        <v>4396</v>
      </c>
      <c r="AL1174" t="str">
        <f>HYPERLINK("https://www.instagram.com/p/BzG1rm3g4gt/media/?size=l")</f>
        <v>https://www.instagram.com/p/BzG1rm3g4gt/media/?size=l</v>
      </c>
      <c r="AM1174" t="s">
        <v>52</v>
      </c>
      <c r="AN1174" t="s">
        <v>53</v>
      </c>
    </row>
    <row r="1175" spans="1:40">
      <c r="A1175" t="s">
        <v>2370</v>
      </c>
      <c r="B1175" t="s">
        <v>4392</v>
      </c>
      <c r="C1175" t="s">
        <v>4341</v>
      </c>
      <c r="D1175" t="s">
        <v>52</v>
      </c>
      <c r="E1175" t="s">
        <v>2515</v>
      </c>
      <c r="F1175" t="s">
        <v>131</v>
      </c>
      <c r="G1175" t="str">
        <f>HYPERLINK("https://twitter.com/322249945/status/1143262980794011648")</f>
        <v>https://twitter.com/322249945/status/1143262980794011648</v>
      </c>
      <c r="H1175" t="s">
        <v>46</v>
      </c>
      <c r="I1175" t="s">
        <v>4397</v>
      </c>
      <c r="J1175" t="str">
        <f>HYPERLINK("http://twitter.com/Lup_21")</f>
        <v>http://twitter.com/Lup_21</v>
      </c>
      <c r="K1175">
        <v>1617</v>
      </c>
      <c r="N1175" t="s">
        <v>65</v>
      </c>
      <c r="R1175" t="s">
        <v>60</v>
      </c>
      <c r="S1175" t="s">
        <v>51</v>
      </c>
      <c r="T1175" t="s">
        <v>380</v>
      </c>
      <c r="U1175" t="s">
        <v>380</v>
      </c>
      <c r="W1175">
        <v>0</v>
      </c>
      <c r="X1175">
        <v>0</v>
      </c>
      <c r="AE1175">
        <v>0</v>
      </c>
      <c r="AM1175" t="s">
        <v>52</v>
      </c>
      <c r="AN1175" t="s">
        <v>53</v>
      </c>
    </row>
    <row r="1176" spans="1:40">
      <c r="A1176" t="s">
        <v>2370</v>
      </c>
      <c r="B1176" t="s">
        <v>4392</v>
      </c>
      <c r="C1176" t="s">
        <v>1288</v>
      </c>
      <c r="D1176" t="s">
        <v>4398</v>
      </c>
      <c r="E1176" t="s">
        <v>4399</v>
      </c>
      <c r="F1176" t="s">
        <v>45</v>
      </c>
      <c r="G1176" t="str">
        <f>HYPERLINK("https://www.reddit.com/r/Hiphopcirclejerk/comments/c4hl2f/unfortunatly_those_are_all_blck_mumble_crappers/?sort=new#thing_t1_erxrwno")</f>
        <v>https://www.reddit.com/r/Hiphopcirclejerk/comments/c4hl2f/unfortunatly_those_are_all_blck_mumble_crappers/?sort=new#thing_t1_erxrwno</v>
      </c>
      <c r="H1176" t="s">
        <v>46</v>
      </c>
      <c r="I1176" t="s">
        <v>4400</v>
      </c>
      <c r="J1176" t="str">
        <f>HYPERLINK("https://www.reddit.com/r/Hiphopcirclejerk/comments/c4hl2f/unfortunatly_those_are_all_blck_mumble_crappers/?sort=new#thing_t1_erxrwno")</f>
        <v>https://www.reddit.com/r/Hiphopcirclejerk/comments/c4hl2f/unfortunatly_those_are_all_blck_mumble_crappers/?sort=new#thing_t1_erxrwno</v>
      </c>
      <c r="N1176" t="s">
        <v>545</v>
      </c>
      <c r="O1176" t="s">
        <v>4401</v>
      </c>
      <c r="P1176" t="str">
        <f>HYPERLINK("https://www.reddit.com/r/Hiphopcirclejerk/")</f>
        <v>https://www.reddit.com/r/Hiphopcirclejerk/</v>
      </c>
      <c r="R1176" t="s">
        <v>516</v>
      </c>
      <c r="S1176" t="s">
        <v>51</v>
      </c>
      <c r="AM1176" t="s">
        <v>52</v>
      </c>
      <c r="AN1176" t="s">
        <v>53</v>
      </c>
    </row>
    <row r="1177" spans="1:40">
      <c r="A1177" t="s">
        <v>2370</v>
      </c>
      <c r="B1177" t="s">
        <v>4402</v>
      </c>
      <c r="C1177" t="s">
        <v>4328</v>
      </c>
      <c r="D1177" t="s">
        <v>52</v>
      </c>
      <c r="E1177" t="s">
        <v>4403</v>
      </c>
      <c r="F1177" t="s">
        <v>45</v>
      </c>
      <c r="G1177" t="str">
        <f>HYPERLINK("https://www.instagram.com/p/BzG1ebNhUrT")</f>
        <v>https://www.instagram.com/p/BzG1ebNhUrT</v>
      </c>
      <c r="H1177" t="s">
        <v>46</v>
      </c>
      <c r="I1177" t="s">
        <v>4404</v>
      </c>
      <c r="J1177" t="str">
        <f>HYPERLINK("http://instagram.com/lyanneshoots")</f>
        <v>http://instagram.com/lyanneshoots</v>
      </c>
      <c r="K1177">
        <v>23</v>
      </c>
      <c r="N1177" t="s">
        <v>59</v>
      </c>
      <c r="O1177" t="s">
        <v>4404</v>
      </c>
      <c r="P1177" t="str">
        <f>HYPERLINK("http://instagram.com/lyanneshoots")</f>
        <v>http://instagram.com/lyanneshoots</v>
      </c>
      <c r="Q1177">
        <v>23</v>
      </c>
      <c r="R1177" t="s">
        <v>60</v>
      </c>
      <c r="S1177" t="s">
        <v>51</v>
      </c>
      <c r="T1177" t="s">
        <v>4405</v>
      </c>
      <c r="U1177" t="s">
        <v>4406</v>
      </c>
      <c r="W1177">
        <v>22</v>
      </c>
      <c r="X1177">
        <v>22</v>
      </c>
      <c r="AE1177">
        <v>3</v>
      </c>
      <c r="AI1177" t="s">
        <v>52</v>
      </c>
      <c r="AJ1177" t="s">
        <v>4407</v>
      </c>
      <c r="AK1177" t="s">
        <v>4408</v>
      </c>
      <c r="AL1177" t="str">
        <f>HYPERLINK("https://www.instagram.com/p/BzG1ebNhUrT/media/?size=l")</f>
        <v>https://www.instagram.com/p/BzG1ebNhUrT/media/?size=l</v>
      </c>
      <c r="AM1177" t="s">
        <v>52</v>
      </c>
      <c r="AN1177" t="s">
        <v>53</v>
      </c>
    </row>
    <row r="1178" spans="1:40">
      <c r="A1178" t="s">
        <v>2370</v>
      </c>
      <c r="B1178" t="s">
        <v>4402</v>
      </c>
      <c r="C1178" t="s">
        <v>4409</v>
      </c>
      <c r="D1178" t="s">
        <v>52</v>
      </c>
      <c r="E1178" t="s">
        <v>4410</v>
      </c>
      <c r="F1178" t="s">
        <v>45</v>
      </c>
      <c r="G1178" t="str">
        <f>HYPERLINK("https://www.facebook.com/1557001554593594/posts/2074240839536327")</f>
        <v>https://www.facebook.com/1557001554593594/posts/2074240839536327</v>
      </c>
      <c r="H1178" t="s">
        <v>46</v>
      </c>
      <c r="I1178" t="s">
        <v>4411</v>
      </c>
      <c r="J1178" t="str">
        <f>HYPERLINK("https://www.facebook.com/1557001554593594")</f>
        <v>https://www.facebook.com/1557001554593594</v>
      </c>
      <c r="K1178">
        <v>340580</v>
      </c>
      <c r="L1178" t="s">
        <v>651</v>
      </c>
      <c r="N1178" t="s">
        <v>1792</v>
      </c>
      <c r="O1178" t="s">
        <v>4411</v>
      </c>
      <c r="P1178" t="str">
        <f>HYPERLINK("https://www.facebook.com/1557001554593594")</f>
        <v>https://www.facebook.com/1557001554593594</v>
      </c>
      <c r="Q1178">
        <v>340580</v>
      </c>
      <c r="R1178" t="s">
        <v>60</v>
      </c>
      <c r="W1178">
        <v>9</v>
      </c>
      <c r="X1178">
        <v>5</v>
      </c>
      <c r="Y1178">
        <v>2</v>
      </c>
      <c r="Z1178">
        <v>0</v>
      </c>
      <c r="AA1178">
        <v>2</v>
      </c>
      <c r="AB1178">
        <v>0</v>
      </c>
      <c r="AC1178">
        <v>0</v>
      </c>
      <c r="AE1178">
        <v>2</v>
      </c>
      <c r="AF1178">
        <v>5</v>
      </c>
      <c r="AI1178" t="s">
        <v>52</v>
      </c>
      <c r="AJ1178" t="s">
        <v>4412</v>
      </c>
      <c r="AK1178" t="s">
        <v>52</v>
      </c>
      <c r="AL1178" t="str">
        <f>HYPERLINK("https://scontent.xx.fbcdn.net/v/t1.0-9/s720x720/64880520_2074240782869666_1757384485902483456_n.jpg?_nc_cat=109&amp;_nc_oc=AQkWqfahp0h2FeaS8S3ah07jFAQ7WWT0Ts5DvDq_vuw5n9foeARp2UrY1Y1-R8EuXhY&amp;_nc_ht=scontent.xx&amp;oh=877437f84a1b23a666d5c8bc01ab1b80&amp;oe=5DB89316")</f>
        <v>https://scontent.xx.fbcdn.net/v/t1.0-9/s720x720/64880520_2074240782869666_1757384485902483456_n.jpg?_nc_cat=109&amp;_nc_oc=AQkWqfahp0h2FeaS8S3ah07jFAQ7WWT0Ts5DvDq_vuw5n9foeARp2UrY1Y1-R8EuXhY&amp;_nc_ht=scontent.xx&amp;oh=877437f84a1b23a666d5c8bc01ab1b80&amp;oe=5DB89316</v>
      </c>
      <c r="AM1178" t="s">
        <v>52</v>
      </c>
      <c r="AN1178" t="s">
        <v>53</v>
      </c>
    </row>
    <row r="1179" spans="1:40">
      <c r="A1179" t="s">
        <v>2370</v>
      </c>
      <c r="B1179" t="s">
        <v>4413</v>
      </c>
      <c r="C1179" t="s">
        <v>4346</v>
      </c>
      <c r="D1179" t="s">
        <v>52</v>
      </c>
      <c r="E1179" t="s">
        <v>4414</v>
      </c>
      <c r="F1179" t="s">
        <v>71</v>
      </c>
      <c r="G1179" t="str">
        <f>HYPERLINK("https://twitter.com/119945725/status/1143262215136534528")</f>
        <v>https://twitter.com/119945725/status/1143262215136534528</v>
      </c>
      <c r="H1179" t="s">
        <v>46</v>
      </c>
      <c r="I1179" t="s">
        <v>4415</v>
      </c>
      <c r="J1179" t="str">
        <f>HYPERLINK("http://twitter.com/jOrgescriimO")</f>
        <v>http://twitter.com/jOrgescriimO</v>
      </c>
      <c r="K1179">
        <v>712</v>
      </c>
      <c r="L1179" t="s">
        <v>48</v>
      </c>
      <c r="N1179" t="s">
        <v>65</v>
      </c>
      <c r="R1179" t="s">
        <v>60</v>
      </c>
      <c r="S1179" t="s">
        <v>437</v>
      </c>
      <c r="T1179" t="s">
        <v>4416</v>
      </c>
      <c r="U1179" t="s">
        <v>4416</v>
      </c>
      <c r="W1179">
        <v>0</v>
      </c>
      <c r="X1179">
        <v>0</v>
      </c>
      <c r="AE1179">
        <v>0</v>
      </c>
      <c r="AF1179">
        <v>0</v>
      </c>
      <c r="AI1179" t="s">
        <v>108</v>
      </c>
      <c r="AJ1179" t="s">
        <v>52</v>
      </c>
      <c r="AK1179" t="s">
        <v>52</v>
      </c>
      <c r="AL1179" t="str">
        <f>HYPERLINK("https://pbs.twimg.com/ext_tw_video_thumb/1141360066962100224/pu/img/5_tGc4hLFQwcD07b.jpg")</f>
        <v>https://pbs.twimg.com/ext_tw_video_thumb/1141360066962100224/pu/img/5_tGc4hLFQwcD07b.jpg</v>
      </c>
      <c r="AM1179" t="s">
        <v>52</v>
      </c>
      <c r="AN1179" t="s">
        <v>53</v>
      </c>
    </row>
    <row r="1180" spans="1:40">
      <c r="A1180" t="s">
        <v>2370</v>
      </c>
      <c r="B1180" t="s">
        <v>4413</v>
      </c>
      <c r="C1180" t="s">
        <v>4417</v>
      </c>
      <c r="D1180" t="s">
        <v>52</v>
      </c>
      <c r="E1180" t="s">
        <v>130</v>
      </c>
      <c r="F1180" t="s">
        <v>131</v>
      </c>
      <c r="G1180" t="str">
        <f>HYPERLINK("https://twitter.com/2677473771/status/1143262102980894720")</f>
        <v>https://twitter.com/2677473771/status/1143262102980894720</v>
      </c>
      <c r="H1180" t="s">
        <v>46</v>
      </c>
      <c r="I1180" t="s">
        <v>4418</v>
      </c>
      <c r="J1180" t="str">
        <f>HYPERLINK("http://twitter.com/twentytwoSmith")</f>
        <v>http://twitter.com/twentytwoSmith</v>
      </c>
      <c r="K1180">
        <v>131</v>
      </c>
      <c r="N1180" t="s">
        <v>65</v>
      </c>
      <c r="R1180" t="s">
        <v>60</v>
      </c>
      <c r="S1180" t="s">
        <v>97</v>
      </c>
      <c r="T1180" t="s">
        <v>177</v>
      </c>
      <c r="U1180" t="s">
        <v>4419</v>
      </c>
      <c r="W1180">
        <v>0</v>
      </c>
      <c r="X1180">
        <v>0</v>
      </c>
      <c r="AE1180">
        <v>0</v>
      </c>
      <c r="AI1180" t="s">
        <v>108</v>
      </c>
      <c r="AJ1180" t="s">
        <v>52</v>
      </c>
      <c r="AK1180" t="s">
        <v>52</v>
      </c>
      <c r="AL1180" t="str">
        <f>HYPERLINK("https://pbs.twimg.com/media/D9XTkLWW4AAOYnJ.jpg")</f>
        <v>https://pbs.twimg.com/media/D9XTkLWW4AAOYnJ.jpg</v>
      </c>
      <c r="AM1180" t="s">
        <v>52</v>
      </c>
      <c r="AN1180" t="s">
        <v>53</v>
      </c>
    </row>
    <row r="1181" spans="1:40">
      <c r="A1181" t="s">
        <v>2370</v>
      </c>
      <c r="B1181" t="s">
        <v>4420</v>
      </c>
      <c r="C1181" t="s">
        <v>4421</v>
      </c>
      <c r="D1181" t="s">
        <v>52</v>
      </c>
      <c r="E1181" t="s">
        <v>4422</v>
      </c>
      <c r="F1181" t="s">
        <v>95</v>
      </c>
      <c r="G1181" t="str">
        <f>HYPERLINK("https://twitter.com/1011846404/status/1143261603191615488")</f>
        <v>https://twitter.com/1011846404/status/1143261603191615488</v>
      </c>
      <c r="H1181" t="s">
        <v>215</v>
      </c>
      <c r="I1181" t="s">
        <v>4423</v>
      </c>
      <c r="J1181" t="str">
        <f>HYPERLINK("http://twitter.com/Xhojin")</f>
        <v>http://twitter.com/Xhojin</v>
      </c>
      <c r="K1181">
        <v>65</v>
      </c>
      <c r="N1181" t="s">
        <v>65</v>
      </c>
      <c r="R1181" t="s">
        <v>60</v>
      </c>
      <c r="W1181">
        <v>0</v>
      </c>
      <c r="X1181">
        <v>0</v>
      </c>
      <c r="AE1181">
        <v>0</v>
      </c>
      <c r="AF1181">
        <v>0</v>
      </c>
      <c r="AM1181" t="s">
        <v>52</v>
      </c>
      <c r="AN1181" t="s">
        <v>53</v>
      </c>
    </row>
    <row r="1182" spans="1:40">
      <c r="A1182" t="s">
        <v>2370</v>
      </c>
      <c r="B1182" t="s">
        <v>4424</v>
      </c>
      <c r="C1182" t="s">
        <v>4425</v>
      </c>
      <c r="D1182" t="s">
        <v>52</v>
      </c>
      <c r="E1182" t="s">
        <v>4426</v>
      </c>
      <c r="F1182" t="s">
        <v>95</v>
      </c>
      <c r="G1182" t="str">
        <f>HYPERLINK("https://twitter.com/1122219113462620160/status/1143261291479539713")</f>
        <v>https://twitter.com/1122219113462620160/status/1143261291479539713</v>
      </c>
      <c r="H1182" t="s">
        <v>46</v>
      </c>
      <c r="I1182" t="s">
        <v>4427</v>
      </c>
      <c r="J1182" t="str">
        <f>HYPERLINK("http://twitter.com/fragilethot")</f>
        <v>http://twitter.com/fragilethot</v>
      </c>
      <c r="K1182">
        <v>872</v>
      </c>
      <c r="N1182" t="s">
        <v>65</v>
      </c>
      <c r="R1182" t="s">
        <v>60</v>
      </c>
      <c r="W1182">
        <v>0</v>
      </c>
      <c r="X1182">
        <v>0</v>
      </c>
      <c r="AE1182">
        <v>1</v>
      </c>
      <c r="AF1182">
        <v>0</v>
      </c>
      <c r="AM1182" t="s">
        <v>52</v>
      </c>
      <c r="AN1182" t="s">
        <v>53</v>
      </c>
    </row>
    <row r="1183" spans="1:40">
      <c r="A1183" t="s">
        <v>2370</v>
      </c>
      <c r="B1183" t="s">
        <v>4428</v>
      </c>
      <c r="C1183" t="s">
        <v>4429</v>
      </c>
      <c r="D1183" t="s">
        <v>52</v>
      </c>
      <c r="E1183" t="s">
        <v>4430</v>
      </c>
      <c r="F1183" t="s">
        <v>45</v>
      </c>
      <c r="G1183" t="str">
        <f>HYPERLINK("https://www.instagram.com/p/BzG0zNWJKGU")</f>
        <v>https://www.instagram.com/p/BzG0zNWJKGU</v>
      </c>
      <c r="H1183" t="s">
        <v>46</v>
      </c>
      <c r="I1183" t="s">
        <v>4431</v>
      </c>
      <c r="J1183" t="str">
        <f>HYPERLINK("http://instagram.com/good.life.vegan")</f>
        <v>http://instagram.com/good.life.vegan</v>
      </c>
      <c r="K1183">
        <v>46</v>
      </c>
      <c r="L1183" t="s">
        <v>651</v>
      </c>
      <c r="N1183" t="s">
        <v>59</v>
      </c>
      <c r="O1183" t="s">
        <v>4431</v>
      </c>
      <c r="P1183" t="str">
        <f>HYPERLINK("http://instagram.com/good.life.vegan")</f>
        <v>http://instagram.com/good.life.vegan</v>
      </c>
      <c r="Q1183">
        <v>46</v>
      </c>
      <c r="R1183" t="s">
        <v>60</v>
      </c>
      <c r="W1183">
        <v>14</v>
      </c>
      <c r="X1183">
        <v>14</v>
      </c>
      <c r="AE1183">
        <v>0</v>
      </c>
      <c r="AI1183" t="s">
        <v>52</v>
      </c>
      <c r="AJ1183" t="s">
        <v>4432</v>
      </c>
      <c r="AK1183" t="s">
        <v>52</v>
      </c>
      <c r="AL1183" t="str">
        <f>HYPERLINK("https://www.instagram.com/p/BzG0zNWJKGU/media/?size=l")</f>
        <v>https://www.instagram.com/p/BzG0zNWJKGU/media/?size=l</v>
      </c>
      <c r="AM1183" t="s">
        <v>52</v>
      </c>
      <c r="AN1183" t="s">
        <v>53</v>
      </c>
    </row>
    <row r="1184" spans="1:40">
      <c r="A1184" t="s">
        <v>2370</v>
      </c>
      <c r="B1184" t="s">
        <v>4433</v>
      </c>
      <c r="C1184" t="s">
        <v>4417</v>
      </c>
      <c r="D1184" t="s">
        <v>52</v>
      </c>
      <c r="E1184" t="s">
        <v>1194</v>
      </c>
      <c r="F1184" t="s">
        <v>131</v>
      </c>
      <c r="G1184" t="str">
        <f>HYPERLINK("https://twitter.com/2543656005/status/1143260981491052548")</f>
        <v>https://twitter.com/2543656005/status/1143260981491052548</v>
      </c>
      <c r="H1184" t="s">
        <v>46</v>
      </c>
      <c r="I1184" t="s">
        <v>4434</v>
      </c>
      <c r="J1184" t="str">
        <f>HYPERLINK("http://twitter.com/TaylorLangford_")</f>
        <v>http://twitter.com/TaylorLangford_</v>
      </c>
      <c r="K1184">
        <v>339</v>
      </c>
      <c r="N1184" t="s">
        <v>65</v>
      </c>
      <c r="R1184" t="s">
        <v>60</v>
      </c>
      <c r="S1184" t="s">
        <v>51</v>
      </c>
      <c r="T1184" t="s">
        <v>497</v>
      </c>
      <c r="U1184" t="s">
        <v>498</v>
      </c>
      <c r="W1184">
        <v>0</v>
      </c>
      <c r="X1184">
        <v>0</v>
      </c>
      <c r="AE1184">
        <v>0</v>
      </c>
      <c r="AI1184" t="s">
        <v>52</v>
      </c>
      <c r="AJ1184" t="s">
        <v>1196</v>
      </c>
      <c r="AK1184" t="s">
        <v>52</v>
      </c>
      <c r="AL1184" t="str">
        <f>HYPERLINK("https://pbs.twimg.com/media/D9xgk2YXkAAd2ql.jpg")</f>
        <v>https://pbs.twimg.com/media/D9xgk2YXkAAd2ql.jpg</v>
      </c>
      <c r="AM1184" t="s">
        <v>52</v>
      </c>
      <c r="AN1184" t="s">
        <v>53</v>
      </c>
    </row>
    <row r="1185" spans="1:40">
      <c r="A1185" t="s">
        <v>2370</v>
      </c>
      <c r="B1185" t="s">
        <v>4433</v>
      </c>
      <c r="C1185" t="s">
        <v>4417</v>
      </c>
      <c r="D1185" t="s">
        <v>52</v>
      </c>
      <c r="E1185" t="s">
        <v>4435</v>
      </c>
      <c r="F1185" t="s">
        <v>45</v>
      </c>
      <c r="G1185" t="str">
        <f>HYPERLINK("https://twitter.com/981917007858847744/status/1143260948813275137")</f>
        <v>https://twitter.com/981917007858847744/status/1143260948813275137</v>
      </c>
      <c r="H1185" t="s">
        <v>46</v>
      </c>
      <c r="I1185" t="s">
        <v>4436</v>
      </c>
      <c r="J1185" t="str">
        <f>HYPERLINK("http://twitter.com/SharaaDanee")</f>
        <v>http://twitter.com/SharaaDanee</v>
      </c>
      <c r="K1185">
        <v>85</v>
      </c>
      <c r="N1185" t="s">
        <v>65</v>
      </c>
      <c r="R1185" t="s">
        <v>60</v>
      </c>
      <c r="S1185" t="s">
        <v>51</v>
      </c>
      <c r="T1185" t="s">
        <v>84</v>
      </c>
      <c r="U1185" t="s">
        <v>85</v>
      </c>
      <c r="W1185">
        <v>0</v>
      </c>
      <c r="X1185">
        <v>0</v>
      </c>
      <c r="AE1185">
        <v>0</v>
      </c>
      <c r="AF1185">
        <v>0</v>
      </c>
      <c r="AM1185" t="s">
        <v>52</v>
      </c>
      <c r="AN1185" t="s">
        <v>53</v>
      </c>
    </row>
    <row r="1186" spans="1:40">
      <c r="A1186" t="s">
        <v>2370</v>
      </c>
      <c r="B1186" t="s">
        <v>4433</v>
      </c>
      <c r="C1186" t="s">
        <v>4437</v>
      </c>
      <c r="D1186" t="s">
        <v>52</v>
      </c>
      <c r="E1186" t="s">
        <v>4438</v>
      </c>
      <c r="F1186" t="s">
        <v>45</v>
      </c>
      <c r="G1186" t="str">
        <f>HYPERLINK("https://twitter.com/100899971/status/1143260894543020032")</f>
        <v>https://twitter.com/100899971/status/1143260894543020032</v>
      </c>
      <c r="H1186" t="s">
        <v>46</v>
      </c>
      <c r="I1186" t="s">
        <v>4439</v>
      </c>
      <c r="J1186" t="str">
        <f>HYPERLINK("http://twitter.com/_lilgmelly")</f>
        <v>http://twitter.com/_lilgmelly</v>
      </c>
      <c r="K1186">
        <v>1552</v>
      </c>
      <c r="N1186" t="s">
        <v>65</v>
      </c>
      <c r="R1186" t="s">
        <v>60</v>
      </c>
      <c r="S1186" t="s">
        <v>4440</v>
      </c>
      <c r="W1186">
        <v>0</v>
      </c>
      <c r="X1186">
        <v>0</v>
      </c>
      <c r="AE1186">
        <v>0</v>
      </c>
      <c r="AF1186">
        <v>0</v>
      </c>
      <c r="AM1186" t="s">
        <v>52</v>
      </c>
      <c r="AN1186" t="s">
        <v>53</v>
      </c>
    </row>
    <row r="1187" spans="1:40">
      <c r="A1187" t="s">
        <v>2370</v>
      </c>
      <c r="B1187" t="s">
        <v>4433</v>
      </c>
      <c r="C1187" t="s">
        <v>4437</v>
      </c>
      <c r="D1187" t="s">
        <v>52</v>
      </c>
      <c r="E1187" t="s">
        <v>4441</v>
      </c>
      <c r="F1187" t="s">
        <v>95</v>
      </c>
      <c r="G1187" t="str">
        <f>HYPERLINK("https://twitter.com/945738296902041600/status/1143260890575171584")</f>
        <v>https://twitter.com/945738296902041600/status/1143260890575171584</v>
      </c>
      <c r="H1187" t="s">
        <v>46</v>
      </c>
      <c r="I1187" t="s">
        <v>4442</v>
      </c>
      <c r="J1187" t="str">
        <f>HYPERLINK("http://twitter.com/RedKnight2005")</f>
        <v>http://twitter.com/RedKnight2005</v>
      </c>
      <c r="K1187">
        <v>12</v>
      </c>
      <c r="N1187" t="s">
        <v>65</v>
      </c>
      <c r="R1187" t="s">
        <v>60</v>
      </c>
      <c r="W1187">
        <v>0</v>
      </c>
      <c r="X1187">
        <v>0</v>
      </c>
      <c r="AE1187">
        <v>0</v>
      </c>
      <c r="AF1187">
        <v>0</v>
      </c>
      <c r="AM1187" t="s">
        <v>52</v>
      </c>
      <c r="AN1187" t="s">
        <v>53</v>
      </c>
    </row>
    <row r="1188" spans="1:40">
      <c r="A1188" t="s">
        <v>2370</v>
      </c>
      <c r="B1188" t="s">
        <v>4433</v>
      </c>
      <c r="C1188" t="s">
        <v>4443</v>
      </c>
      <c r="D1188" t="s">
        <v>52</v>
      </c>
      <c r="E1188" t="s">
        <v>1194</v>
      </c>
      <c r="F1188" t="s">
        <v>131</v>
      </c>
      <c r="G1188" t="str">
        <f>HYPERLINK("https://twitter.com/512449062/status/1143260850767245313")</f>
        <v>https://twitter.com/512449062/status/1143260850767245313</v>
      </c>
      <c r="H1188" t="s">
        <v>46</v>
      </c>
      <c r="I1188" t="s">
        <v>4444</v>
      </c>
      <c r="J1188" t="str">
        <f>HYPERLINK("http://twitter.com/chels_carterrr")</f>
        <v>http://twitter.com/chels_carterrr</v>
      </c>
      <c r="K1188">
        <v>281</v>
      </c>
      <c r="N1188" t="s">
        <v>65</v>
      </c>
      <c r="R1188" t="s">
        <v>60</v>
      </c>
      <c r="W1188">
        <v>0</v>
      </c>
      <c r="X1188">
        <v>0</v>
      </c>
      <c r="AE1188">
        <v>0</v>
      </c>
      <c r="AI1188" t="s">
        <v>52</v>
      </c>
      <c r="AJ1188" t="s">
        <v>1196</v>
      </c>
      <c r="AK1188" t="s">
        <v>52</v>
      </c>
      <c r="AL1188" t="str">
        <f>HYPERLINK("https://pbs.twimg.com/media/D9xgk2YXkAAd2ql.jpg")</f>
        <v>https://pbs.twimg.com/media/D9xgk2YXkAAd2ql.jpg</v>
      </c>
      <c r="AM1188" t="s">
        <v>52</v>
      </c>
      <c r="AN1188" t="s">
        <v>53</v>
      </c>
    </row>
    <row r="1189" spans="1:40">
      <c r="A1189" t="s">
        <v>2370</v>
      </c>
      <c r="B1189" t="s">
        <v>4433</v>
      </c>
      <c r="C1189" t="s">
        <v>4425</v>
      </c>
      <c r="D1189" t="s">
        <v>4445</v>
      </c>
      <c r="E1189" t="s">
        <v>4446</v>
      </c>
      <c r="F1189" t="s">
        <v>45</v>
      </c>
      <c r="G1189" t="str">
        <f>HYPERLINK("https://www.youtube.com/watch?v=Wc41YsJgzOQ")</f>
        <v>https://www.youtube.com/watch?v=Wc41YsJgzOQ</v>
      </c>
      <c r="H1189" t="s">
        <v>46</v>
      </c>
      <c r="I1189" t="s">
        <v>4447</v>
      </c>
      <c r="J1189" t="str">
        <f>HYPERLINK("https://www.youtube.com/channel/UCWfR97IKU1WVVs0RqlRtsHg")</f>
        <v>https://www.youtube.com/channel/UCWfR97IKU1WVVs0RqlRtsHg</v>
      </c>
      <c r="K1189">
        <v>9</v>
      </c>
      <c r="L1189" t="s">
        <v>48</v>
      </c>
      <c r="N1189" t="s">
        <v>116</v>
      </c>
      <c r="O1189" t="s">
        <v>4447</v>
      </c>
      <c r="P1189" t="str">
        <f>HYPERLINK("https://www.youtube.com/channel/UCWfR97IKU1WVVs0RqlRtsHg")</f>
        <v>https://www.youtube.com/channel/UCWfR97IKU1WVVs0RqlRtsHg</v>
      </c>
      <c r="Q1189">
        <v>9</v>
      </c>
      <c r="R1189" t="s">
        <v>60</v>
      </c>
      <c r="W1189">
        <v>0</v>
      </c>
      <c r="X1189">
        <v>0</v>
      </c>
      <c r="AD1189">
        <v>0</v>
      </c>
      <c r="AE1189">
        <v>1</v>
      </c>
      <c r="AG1189">
        <v>2</v>
      </c>
      <c r="AI1189" t="s">
        <v>52</v>
      </c>
      <c r="AJ1189" t="s">
        <v>52</v>
      </c>
      <c r="AK1189" t="s">
        <v>341</v>
      </c>
      <c r="AL1189" t="str">
        <f>HYPERLINK("https://i.ytimg.com/vi/Wc41YsJgzOQ/hqdefault.jpg")</f>
        <v>https://i.ytimg.com/vi/Wc41YsJgzOQ/hqdefault.jpg</v>
      </c>
      <c r="AM1189" t="s">
        <v>52</v>
      </c>
      <c r="AN1189" t="s">
        <v>53</v>
      </c>
    </row>
    <row r="1190" spans="1:40">
      <c r="A1190" t="s">
        <v>2370</v>
      </c>
      <c r="B1190" t="s">
        <v>4433</v>
      </c>
      <c r="C1190" t="s">
        <v>4448</v>
      </c>
      <c r="D1190" t="s">
        <v>52</v>
      </c>
      <c r="E1190" t="s">
        <v>4449</v>
      </c>
      <c r="F1190" t="s">
        <v>95</v>
      </c>
      <c r="G1190" t="str">
        <f>HYPERLINK("https://twitter.com/1022909073703006208/status/1143260790184697856")</f>
        <v>https://twitter.com/1022909073703006208/status/1143260790184697856</v>
      </c>
      <c r="H1190" t="s">
        <v>46</v>
      </c>
      <c r="I1190" t="s">
        <v>4450</v>
      </c>
      <c r="J1190" t="str">
        <f>HYPERLINK("http://twitter.com/mareejuanaaa")</f>
        <v>http://twitter.com/mareejuanaaa</v>
      </c>
      <c r="K1190">
        <v>1022</v>
      </c>
      <c r="N1190" t="s">
        <v>65</v>
      </c>
      <c r="R1190" t="s">
        <v>60</v>
      </c>
      <c r="S1190" t="s">
        <v>432</v>
      </c>
      <c r="T1190" t="s">
        <v>4451</v>
      </c>
      <c r="U1190" t="s">
        <v>4452</v>
      </c>
      <c r="W1190">
        <v>0</v>
      </c>
      <c r="X1190">
        <v>0</v>
      </c>
      <c r="AE1190">
        <v>1</v>
      </c>
      <c r="AF1190">
        <v>0</v>
      </c>
      <c r="AM1190" t="s">
        <v>52</v>
      </c>
      <c r="AN1190" t="s">
        <v>53</v>
      </c>
    </row>
    <row r="1191" spans="1:40">
      <c r="A1191" t="s">
        <v>2370</v>
      </c>
      <c r="B1191" t="s">
        <v>4433</v>
      </c>
      <c r="C1191" t="s">
        <v>4453</v>
      </c>
      <c r="D1191" t="s">
        <v>52</v>
      </c>
      <c r="E1191" t="s">
        <v>4454</v>
      </c>
      <c r="F1191" t="s">
        <v>45</v>
      </c>
      <c r="G1191" t="str">
        <f>HYPERLINK("https://twitter.com/109719830/status/1143260760539303941")</f>
        <v>https://twitter.com/109719830/status/1143260760539303941</v>
      </c>
      <c r="H1191" t="s">
        <v>91</v>
      </c>
      <c r="I1191" t="s">
        <v>52</v>
      </c>
      <c r="J1191" t="str">
        <f>HYPERLINK("http://twitter.com/kaaaaaydee")</f>
        <v>http://twitter.com/kaaaaaydee</v>
      </c>
      <c r="K1191">
        <v>899</v>
      </c>
      <c r="N1191" t="s">
        <v>65</v>
      </c>
      <c r="R1191" t="s">
        <v>60</v>
      </c>
      <c r="W1191">
        <v>1</v>
      </c>
      <c r="X1191">
        <v>1</v>
      </c>
      <c r="AE1191">
        <v>0</v>
      </c>
      <c r="AF1191">
        <v>0</v>
      </c>
      <c r="AM1191" t="s">
        <v>52</v>
      </c>
      <c r="AN1191" t="s">
        <v>53</v>
      </c>
    </row>
    <row r="1192" spans="1:40">
      <c r="A1192" t="s">
        <v>2370</v>
      </c>
      <c r="B1192" t="s">
        <v>4455</v>
      </c>
      <c r="C1192" t="s">
        <v>4362</v>
      </c>
      <c r="D1192" t="s">
        <v>52</v>
      </c>
      <c r="E1192" t="s">
        <v>4456</v>
      </c>
      <c r="F1192" t="s">
        <v>45</v>
      </c>
      <c r="G1192" t="str">
        <f>HYPERLINK("https://www.instagram.com/p/BzG0nxahQH6")</f>
        <v>https://www.instagram.com/p/BzG0nxahQH6</v>
      </c>
      <c r="H1192" t="s">
        <v>46</v>
      </c>
      <c r="I1192" t="s">
        <v>4457</v>
      </c>
      <c r="J1192" t="str">
        <f>HYPERLINK("http://instagram.com/vacationsf4sale")</f>
        <v>http://instagram.com/vacationsf4sale</v>
      </c>
      <c r="K1192">
        <v>8411</v>
      </c>
      <c r="N1192" t="s">
        <v>59</v>
      </c>
      <c r="O1192" t="s">
        <v>4457</v>
      </c>
      <c r="P1192" t="str">
        <f>HYPERLINK("http://instagram.com/vacationsf4sale")</f>
        <v>http://instagram.com/vacationsf4sale</v>
      </c>
      <c r="Q1192">
        <v>8411</v>
      </c>
      <c r="R1192" t="s">
        <v>60</v>
      </c>
      <c r="S1192" t="s">
        <v>51</v>
      </c>
      <c r="T1192" t="s">
        <v>173</v>
      </c>
      <c r="U1192" t="s">
        <v>1625</v>
      </c>
      <c r="W1192">
        <v>94</v>
      </c>
      <c r="X1192">
        <v>94</v>
      </c>
      <c r="AE1192">
        <v>6</v>
      </c>
      <c r="AI1192" t="s">
        <v>52</v>
      </c>
      <c r="AJ1192" t="s">
        <v>3626</v>
      </c>
      <c r="AK1192" t="s">
        <v>2565</v>
      </c>
      <c r="AL1192" t="str">
        <f>HYPERLINK("https://www.instagram.com/p/BzG0nxahQH6/media/?size=l")</f>
        <v>https://www.instagram.com/p/BzG0nxahQH6/media/?size=l</v>
      </c>
      <c r="AM1192" t="s">
        <v>52</v>
      </c>
      <c r="AN1192" t="s">
        <v>53</v>
      </c>
    </row>
    <row r="1193" spans="1:40">
      <c r="A1193" t="s">
        <v>2370</v>
      </c>
      <c r="B1193" t="s">
        <v>4455</v>
      </c>
      <c r="C1193" t="s">
        <v>4458</v>
      </c>
      <c r="D1193" t="s">
        <v>52</v>
      </c>
      <c r="E1193" t="s">
        <v>4459</v>
      </c>
      <c r="F1193" t="s">
        <v>95</v>
      </c>
      <c r="G1193" t="str">
        <f>HYPERLINK("https://twitter.com/288197487/status/1143260533296160768")</f>
        <v>https://twitter.com/288197487/status/1143260533296160768</v>
      </c>
      <c r="H1193" t="s">
        <v>46</v>
      </c>
      <c r="I1193" t="s">
        <v>4460</v>
      </c>
      <c r="J1193" t="str">
        <f>HYPERLINK("http://twitter.com/MadPharmacist1")</f>
        <v>http://twitter.com/MadPharmacist1</v>
      </c>
      <c r="K1193">
        <v>480</v>
      </c>
      <c r="N1193" t="s">
        <v>65</v>
      </c>
      <c r="R1193" t="s">
        <v>60</v>
      </c>
      <c r="W1193">
        <v>6</v>
      </c>
      <c r="X1193">
        <v>6</v>
      </c>
      <c r="AE1193">
        <v>0</v>
      </c>
      <c r="AF1193">
        <v>0</v>
      </c>
      <c r="AM1193" t="s">
        <v>52</v>
      </c>
      <c r="AN1193" t="s">
        <v>53</v>
      </c>
    </row>
    <row r="1194" spans="1:40">
      <c r="A1194" t="s">
        <v>2370</v>
      </c>
      <c r="B1194" t="s">
        <v>4461</v>
      </c>
      <c r="C1194" t="s">
        <v>4437</v>
      </c>
      <c r="D1194" t="s">
        <v>52</v>
      </c>
      <c r="E1194" t="s">
        <v>4462</v>
      </c>
      <c r="F1194" t="s">
        <v>45</v>
      </c>
      <c r="G1194" t="str">
        <f>HYPERLINK("https://www.instagram.com/p/BzG0f-XDPhP")</f>
        <v>https://www.instagram.com/p/BzG0f-XDPhP</v>
      </c>
      <c r="H1194" t="s">
        <v>46</v>
      </c>
      <c r="I1194" t="s">
        <v>4463</v>
      </c>
      <c r="J1194" t="str">
        <f>HYPERLINK("http://instagram.com/cabreraj95")</f>
        <v>http://instagram.com/cabreraj95</v>
      </c>
      <c r="K1194">
        <v>361</v>
      </c>
      <c r="N1194" t="s">
        <v>59</v>
      </c>
      <c r="O1194" t="s">
        <v>4463</v>
      </c>
      <c r="P1194" t="str">
        <f>HYPERLINK("http://instagram.com/cabreraj95")</f>
        <v>http://instagram.com/cabreraj95</v>
      </c>
      <c r="Q1194">
        <v>361</v>
      </c>
      <c r="R1194" t="s">
        <v>60</v>
      </c>
      <c r="W1194">
        <v>4</v>
      </c>
      <c r="X1194">
        <v>4</v>
      </c>
      <c r="AE1194">
        <v>0</v>
      </c>
      <c r="AI1194" t="s">
        <v>108</v>
      </c>
      <c r="AJ1194" t="s">
        <v>52</v>
      </c>
      <c r="AK1194" t="s">
        <v>52</v>
      </c>
      <c r="AL1194" t="str">
        <f>HYPERLINK("https://www.instagram.com/p/BzG0f-XDPhP/media/?size=l")</f>
        <v>https://www.instagram.com/p/BzG0f-XDPhP/media/?size=l</v>
      </c>
      <c r="AM1194" t="s">
        <v>52</v>
      </c>
      <c r="AN1194" t="s">
        <v>53</v>
      </c>
    </row>
    <row r="1195" spans="1:40">
      <c r="A1195" t="s">
        <v>2370</v>
      </c>
      <c r="B1195" t="s">
        <v>4461</v>
      </c>
      <c r="C1195" t="s">
        <v>4453</v>
      </c>
      <c r="D1195" t="s">
        <v>4464</v>
      </c>
      <c r="E1195" t="s">
        <v>4465</v>
      </c>
      <c r="F1195" t="s">
        <v>45</v>
      </c>
      <c r="G1195" t="str">
        <f>HYPERLINK("https://www.youtube.com/watch?v=6tZqaKZHzYY")</f>
        <v>https://www.youtube.com/watch?v=6tZqaKZHzYY</v>
      </c>
      <c r="H1195" t="s">
        <v>46</v>
      </c>
      <c r="I1195" t="s">
        <v>4466</v>
      </c>
      <c r="J1195" t="str">
        <f>HYPERLINK("https://www.youtube.com/channel/UCHdW4XKbe0CjueE-wAudlNQ")</f>
        <v>https://www.youtube.com/channel/UCHdW4XKbe0CjueE-wAudlNQ</v>
      </c>
      <c r="K1195">
        <v>34</v>
      </c>
      <c r="N1195" t="s">
        <v>116</v>
      </c>
      <c r="O1195" t="s">
        <v>4466</v>
      </c>
      <c r="P1195" t="str">
        <f>HYPERLINK("https://www.youtube.com/channel/UCHdW4XKbe0CjueE-wAudlNQ")</f>
        <v>https://www.youtube.com/channel/UCHdW4XKbe0CjueE-wAudlNQ</v>
      </c>
      <c r="Q1195">
        <v>34</v>
      </c>
      <c r="R1195" t="s">
        <v>60</v>
      </c>
      <c r="W1195">
        <v>6</v>
      </c>
      <c r="X1195">
        <v>6</v>
      </c>
      <c r="AD1195">
        <v>0</v>
      </c>
      <c r="AE1195">
        <v>2</v>
      </c>
      <c r="AG1195">
        <v>38</v>
      </c>
      <c r="AI1195" t="s">
        <v>52</v>
      </c>
      <c r="AJ1195" t="s">
        <v>458</v>
      </c>
      <c r="AK1195" t="s">
        <v>52</v>
      </c>
      <c r="AL1195" t="str">
        <f>HYPERLINK("https://i.ytimg.com/vi/6tZqaKZHzYY/maxresdefault.jpg")</f>
        <v>https://i.ytimg.com/vi/6tZqaKZHzYY/maxresdefault.jpg</v>
      </c>
      <c r="AM1195" t="s">
        <v>52</v>
      </c>
      <c r="AN1195" t="s">
        <v>53</v>
      </c>
    </row>
    <row r="1196" spans="1:40">
      <c r="A1196" t="s">
        <v>2370</v>
      </c>
      <c r="B1196" t="s">
        <v>4467</v>
      </c>
      <c r="C1196" t="s">
        <v>4468</v>
      </c>
      <c r="D1196" t="s">
        <v>52</v>
      </c>
      <c r="E1196" t="s">
        <v>4469</v>
      </c>
      <c r="F1196" t="s">
        <v>45</v>
      </c>
      <c r="G1196" t="str">
        <f>HYPERLINK("https://www.instagram.com/p/BzG0alohDxQ")</f>
        <v>https://www.instagram.com/p/BzG0alohDxQ</v>
      </c>
      <c r="H1196" t="s">
        <v>91</v>
      </c>
      <c r="I1196" t="s">
        <v>4470</v>
      </c>
      <c r="J1196" t="str">
        <f>HYPERLINK("http://instagram.com/supreme._exclusive._twins._")</f>
        <v>http://instagram.com/supreme._exclusive._twins._</v>
      </c>
      <c r="K1196">
        <v>98</v>
      </c>
      <c r="L1196" t="s">
        <v>651</v>
      </c>
      <c r="N1196" t="s">
        <v>59</v>
      </c>
      <c r="O1196" t="s">
        <v>4470</v>
      </c>
      <c r="P1196" t="str">
        <f>HYPERLINK("http://instagram.com/supreme._exclusive._twins._")</f>
        <v>http://instagram.com/supreme._exclusive._twins._</v>
      </c>
      <c r="Q1196">
        <v>98</v>
      </c>
      <c r="R1196" t="s">
        <v>60</v>
      </c>
      <c r="W1196">
        <v>15</v>
      </c>
      <c r="X1196">
        <v>15</v>
      </c>
      <c r="AE1196">
        <v>3</v>
      </c>
      <c r="AI1196" t="s">
        <v>108</v>
      </c>
      <c r="AJ1196" t="s">
        <v>4471</v>
      </c>
      <c r="AK1196" t="s">
        <v>52</v>
      </c>
      <c r="AL1196" t="str">
        <f>HYPERLINK("https://www.instagram.com/p/BzG0alohDxQ/media/?size=l")</f>
        <v>https://www.instagram.com/p/BzG0alohDxQ/media/?size=l</v>
      </c>
      <c r="AM1196" t="s">
        <v>52</v>
      </c>
      <c r="AN1196" t="s">
        <v>53</v>
      </c>
    </row>
    <row r="1197" spans="1:40">
      <c r="A1197" t="s">
        <v>2370</v>
      </c>
      <c r="B1197" t="s">
        <v>4472</v>
      </c>
      <c r="C1197" t="s">
        <v>4473</v>
      </c>
      <c r="D1197" t="s">
        <v>52</v>
      </c>
      <c r="E1197" t="s">
        <v>4474</v>
      </c>
      <c r="F1197" t="s">
        <v>45</v>
      </c>
      <c r="G1197" t="str">
        <f>HYPERLINK("https://www.instagram.com/p/BzGznGzDK02")</f>
        <v>https://www.instagram.com/p/BzGznGzDK02</v>
      </c>
      <c r="H1197" t="s">
        <v>46</v>
      </c>
      <c r="I1197" t="s">
        <v>4475</v>
      </c>
      <c r="J1197" t="str">
        <f>HYPERLINK("http://instagram.com/ultimatespideyy")</f>
        <v>http://instagram.com/ultimatespideyy</v>
      </c>
      <c r="K1197">
        <v>18665</v>
      </c>
      <c r="N1197" t="s">
        <v>59</v>
      </c>
      <c r="O1197" t="s">
        <v>4475</v>
      </c>
      <c r="P1197" t="str">
        <f>HYPERLINK("http://instagram.com/ultimatespideyy")</f>
        <v>http://instagram.com/ultimatespideyy</v>
      </c>
      <c r="Q1197">
        <v>18665</v>
      </c>
      <c r="R1197" t="s">
        <v>60</v>
      </c>
      <c r="W1197">
        <v>424</v>
      </c>
      <c r="X1197">
        <v>424</v>
      </c>
      <c r="AE1197">
        <v>26</v>
      </c>
      <c r="AI1197" t="s">
        <v>52</v>
      </c>
      <c r="AJ1197" t="s">
        <v>52</v>
      </c>
      <c r="AK1197" t="s">
        <v>52</v>
      </c>
      <c r="AL1197" t="str">
        <f>HYPERLINK("https://www.instagram.com/p/BzGznGzDK02/media/?size=l")</f>
        <v>https://www.instagram.com/p/BzGznGzDK02/media/?size=l</v>
      </c>
      <c r="AM1197" t="s">
        <v>52</v>
      </c>
      <c r="AN1197" t="s">
        <v>53</v>
      </c>
    </row>
    <row r="1198" spans="1:40">
      <c r="A1198" t="s">
        <v>2370</v>
      </c>
      <c r="B1198" t="s">
        <v>4472</v>
      </c>
      <c r="C1198" t="s">
        <v>4473</v>
      </c>
      <c r="D1198" t="s">
        <v>52</v>
      </c>
      <c r="E1198" t="s">
        <v>4476</v>
      </c>
      <c r="F1198" t="s">
        <v>45</v>
      </c>
      <c r="G1198" t="str">
        <f>HYPERLINK("https://www.instagram.com/p/BzGzXwggwP8")</f>
        <v>https://www.instagram.com/p/BzGzXwggwP8</v>
      </c>
      <c r="H1198" t="s">
        <v>46</v>
      </c>
      <c r="I1198" t="s">
        <v>4477</v>
      </c>
      <c r="J1198" t="str">
        <f>HYPERLINK("http://instagram.com/rktkz")</f>
        <v>http://instagram.com/rktkz</v>
      </c>
      <c r="K1198">
        <v>6108</v>
      </c>
      <c r="N1198" t="s">
        <v>59</v>
      </c>
      <c r="O1198" t="s">
        <v>4477</v>
      </c>
      <c r="P1198" t="str">
        <f>HYPERLINK("http://instagram.com/rktkz")</f>
        <v>http://instagram.com/rktkz</v>
      </c>
      <c r="Q1198">
        <v>6108</v>
      </c>
      <c r="R1198" t="s">
        <v>60</v>
      </c>
      <c r="W1198">
        <v>172</v>
      </c>
      <c r="X1198">
        <v>172</v>
      </c>
      <c r="AE1198">
        <v>3</v>
      </c>
      <c r="AG1198">
        <v>420</v>
      </c>
      <c r="AI1198" t="s">
        <v>52</v>
      </c>
      <c r="AJ1198" t="s">
        <v>985</v>
      </c>
      <c r="AK1198" t="s">
        <v>52</v>
      </c>
      <c r="AL1198" t="str">
        <f>HYPERLINK("https://www.instagram.com/p/BzGzXwggwP8/media/?size=l")</f>
        <v>https://www.instagram.com/p/BzGzXwggwP8/media/?size=l</v>
      </c>
      <c r="AM1198" t="s">
        <v>52</v>
      </c>
      <c r="AN1198" t="s">
        <v>53</v>
      </c>
    </row>
    <row r="1199" spans="1:40">
      <c r="A1199" t="s">
        <v>2370</v>
      </c>
      <c r="B1199" t="s">
        <v>4472</v>
      </c>
      <c r="C1199" t="s">
        <v>4478</v>
      </c>
      <c r="D1199" t="s">
        <v>52</v>
      </c>
      <c r="E1199" t="s">
        <v>4479</v>
      </c>
      <c r="F1199" t="s">
        <v>45</v>
      </c>
      <c r="G1199" t="str">
        <f>HYPERLINK("https://www.instagram.com/p/BzGzkp-gLns")</f>
        <v>https://www.instagram.com/p/BzGzkp-gLns</v>
      </c>
      <c r="H1199" t="s">
        <v>46</v>
      </c>
      <c r="I1199" t="s">
        <v>4480</v>
      </c>
      <c r="J1199" t="str">
        <f>HYPERLINK("http://instagram.com/daniel_jsilva")</f>
        <v>http://instagram.com/daniel_jsilva</v>
      </c>
      <c r="K1199">
        <v>654</v>
      </c>
      <c r="N1199" t="s">
        <v>59</v>
      </c>
      <c r="O1199" t="s">
        <v>4480</v>
      </c>
      <c r="P1199" t="str">
        <f>HYPERLINK("http://instagram.com/daniel_jsilva")</f>
        <v>http://instagram.com/daniel_jsilva</v>
      </c>
      <c r="Q1199">
        <v>654</v>
      </c>
      <c r="R1199" t="s">
        <v>60</v>
      </c>
      <c r="S1199" t="s">
        <v>432</v>
      </c>
      <c r="T1199" t="s">
        <v>433</v>
      </c>
      <c r="W1199">
        <v>39</v>
      </c>
      <c r="X1199">
        <v>39</v>
      </c>
      <c r="AE1199">
        <v>0</v>
      </c>
      <c r="AI1199" t="s">
        <v>108</v>
      </c>
      <c r="AJ1199" t="s">
        <v>2277</v>
      </c>
      <c r="AK1199" t="s">
        <v>4481</v>
      </c>
      <c r="AL1199" t="str">
        <f>HYPERLINK("https://www.instagram.com/p/BzGzkp-gLns/media/?size=l")</f>
        <v>https://www.instagram.com/p/BzGzkp-gLns/media/?size=l</v>
      </c>
      <c r="AM1199" t="s">
        <v>52</v>
      </c>
      <c r="AN1199" t="s">
        <v>53</v>
      </c>
    </row>
    <row r="1200" spans="1:40">
      <c r="A1200" t="s">
        <v>2370</v>
      </c>
      <c r="B1200" t="s">
        <v>4472</v>
      </c>
      <c r="C1200" t="s">
        <v>4482</v>
      </c>
      <c r="D1200" t="s">
        <v>52</v>
      </c>
      <c r="E1200" t="s">
        <v>130</v>
      </c>
      <c r="F1200" t="s">
        <v>131</v>
      </c>
      <c r="G1200" t="str">
        <f>HYPERLINK("https://twitter.com/763838874/status/1143258256476954624")</f>
        <v>https://twitter.com/763838874/status/1143258256476954624</v>
      </c>
      <c r="H1200" t="s">
        <v>46</v>
      </c>
      <c r="I1200" t="s">
        <v>4483</v>
      </c>
      <c r="J1200" t="str">
        <f>HYPERLINK("http://twitter.com/NikiMarieWardle")</f>
        <v>http://twitter.com/NikiMarieWardle</v>
      </c>
      <c r="K1200">
        <v>1116</v>
      </c>
      <c r="N1200" t="s">
        <v>65</v>
      </c>
      <c r="R1200" t="s">
        <v>60</v>
      </c>
      <c r="S1200" t="s">
        <v>97</v>
      </c>
      <c r="T1200" t="s">
        <v>177</v>
      </c>
      <c r="U1200" t="s">
        <v>4484</v>
      </c>
      <c r="W1200">
        <v>0</v>
      </c>
      <c r="X1200">
        <v>0</v>
      </c>
      <c r="AE1200">
        <v>0</v>
      </c>
      <c r="AI1200" t="s">
        <v>108</v>
      </c>
      <c r="AJ1200" t="s">
        <v>52</v>
      </c>
      <c r="AK1200" t="s">
        <v>52</v>
      </c>
      <c r="AL1200" t="str">
        <f>HYPERLINK("https://pbs.twimg.com/media/D9XTkLWW4AAOYnJ.jpg")</f>
        <v>https://pbs.twimg.com/media/D9XTkLWW4AAOYnJ.jpg</v>
      </c>
      <c r="AM1200" t="s">
        <v>52</v>
      </c>
      <c r="AN1200" t="s">
        <v>53</v>
      </c>
    </row>
    <row r="1201" spans="1:40">
      <c r="A1201" t="s">
        <v>2370</v>
      </c>
      <c r="B1201" t="s">
        <v>4485</v>
      </c>
      <c r="C1201" t="s">
        <v>4486</v>
      </c>
      <c r="D1201" t="s">
        <v>52</v>
      </c>
      <c r="E1201" t="s">
        <v>1893</v>
      </c>
      <c r="F1201" t="s">
        <v>131</v>
      </c>
      <c r="G1201" t="str">
        <f>HYPERLINK("https://twitter.com/147044854/status/1143258018701692928")</f>
        <v>https://twitter.com/147044854/status/1143258018701692928</v>
      </c>
      <c r="H1201" t="s">
        <v>46</v>
      </c>
      <c r="I1201" t="s">
        <v>4487</v>
      </c>
      <c r="J1201" t="str">
        <f>HYPERLINK("http://twitter.com/Mystery_Zyre")</f>
        <v>http://twitter.com/Mystery_Zyre</v>
      </c>
      <c r="K1201">
        <v>62</v>
      </c>
      <c r="N1201" t="s">
        <v>65</v>
      </c>
      <c r="R1201" t="s">
        <v>60</v>
      </c>
      <c r="S1201" t="s">
        <v>4488</v>
      </c>
      <c r="W1201">
        <v>0</v>
      </c>
      <c r="X1201">
        <v>0</v>
      </c>
      <c r="AE1201">
        <v>0</v>
      </c>
      <c r="AI1201" t="s">
        <v>108</v>
      </c>
      <c r="AJ1201" t="s">
        <v>1894</v>
      </c>
      <c r="AK1201" t="s">
        <v>52</v>
      </c>
      <c r="AL1201" t="str">
        <f>HYPERLINK("https://pbs.twimg.com/media/D9ze6kEU4AEjuDQ.jpg")</f>
        <v>https://pbs.twimg.com/media/D9ze6kEU4AEjuDQ.jpg</v>
      </c>
      <c r="AM1201" t="s">
        <v>52</v>
      </c>
      <c r="AN1201" t="s">
        <v>53</v>
      </c>
    </row>
    <row r="1202" spans="1:40">
      <c r="A1202" t="s">
        <v>2370</v>
      </c>
      <c r="B1202" t="s">
        <v>4485</v>
      </c>
      <c r="C1202" t="s">
        <v>1179</v>
      </c>
      <c r="D1202" t="s">
        <v>4489</v>
      </c>
      <c r="E1202" t="s">
        <v>4490</v>
      </c>
      <c r="F1202" t="s">
        <v>45</v>
      </c>
      <c r="G1202" t="str">
        <f>HYPERLINK("https://www.thedad.com/j-j-abrams-is-writing-a-brand-new-spider-man-comic-with-his-son")</f>
        <v>https://www.thedad.com/j-j-abrams-is-writing-a-brand-new-spider-man-comic-with-his-son</v>
      </c>
      <c r="H1202" t="s">
        <v>46</v>
      </c>
      <c r="I1202" t="s">
        <v>4491</v>
      </c>
      <c r="J1202" t="str">
        <f>HYPERLINK("https://www.thedad.com/j-j-abrams-is-writing-a-brand-new-spider-man-comic-with-his-son/")</f>
        <v>https://www.thedad.com/j-j-abrams-is-writing-a-brand-new-spider-man-comic-with-his-son/</v>
      </c>
      <c r="N1202" t="s">
        <v>4492</v>
      </c>
      <c r="R1202" t="s">
        <v>357</v>
      </c>
      <c r="S1202" t="s">
        <v>51</v>
      </c>
      <c r="AM1202" t="s">
        <v>52</v>
      </c>
      <c r="AN1202" t="s">
        <v>53</v>
      </c>
    </row>
    <row r="1203" spans="1:40">
      <c r="A1203" t="s">
        <v>2370</v>
      </c>
      <c r="B1203" t="s">
        <v>4493</v>
      </c>
      <c r="C1203" t="s">
        <v>4494</v>
      </c>
      <c r="D1203" t="s">
        <v>52</v>
      </c>
      <c r="E1203" t="s">
        <v>4495</v>
      </c>
      <c r="F1203" t="s">
        <v>131</v>
      </c>
      <c r="G1203" t="str">
        <f>HYPERLINK("https://twitter.com/147044854/status/1143257934371024896")</f>
        <v>https://twitter.com/147044854/status/1143257934371024896</v>
      </c>
      <c r="H1203" t="s">
        <v>46</v>
      </c>
      <c r="I1203" t="s">
        <v>4487</v>
      </c>
      <c r="J1203" t="str">
        <f>HYPERLINK("http://twitter.com/Mystery_Zyre")</f>
        <v>http://twitter.com/Mystery_Zyre</v>
      </c>
      <c r="K1203">
        <v>62</v>
      </c>
      <c r="N1203" t="s">
        <v>65</v>
      </c>
      <c r="R1203" t="s">
        <v>60</v>
      </c>
      <c r="S1203" t="s">
        <v>4488</v>
      </c>
      <c r="W1203">
        <v>0</v>
      </c>
      <c r="X1203">
        <v>0</v>
      </c>
      <c r="AE1203">
        <v>0</v>
      </c>
      <c r="AI1203" t="s">
        <v>52</v>
      </c>
      <c r="AJ1203" t="s">
        <v>52</v>
      </c>
      <c r="AK1203" t="s">
        <v>52</v>
      </c>
      <c r="AL1203" t="str">
        <f>HYPERLINK("https://pbs.twimg.com/media/D9zcUU4UIAEdx0b.jpg")</f>
        <v>https://pbs.twimg.com/media/D9zcUU4UIAEdx0b.jpg</v>
      </c>
      <c r="AM1203" t="s">
        <v>52</v>
      </c>
      <c r="AN1203" t="s">
        <v>53</v>
      </c>
    </row>
    <row r="1204" spans="1:40">
      <c r="A1204" t="s">
        <v>2370</v>
      </c>
      <c r="B1204" t="s">
        <v>4493</v>
      </c>
      <c r="C1204" t="s">
        <v>4496</v>
      </c>
      <c r="D1204" t="s">
        <v>52</v>
      </c>
      <c r="E1204" t="s">
        <v>1900</v>
      </c>
      <c r="F1204" t="s">
        <v>131</v>
      </c>
      <c r="G1204" t="str">
        <f>HYPERLINK("https://twitter.com/147044854/status/1143257925575532544")</f>
        <v>https://twitter.com/147044854/status/1143257925575532544</v>
      </c>
      <c r="H1204" t="s">
        <v>46</v>
      </c>
      <c r="I1204" t="s">
        <v>4487</v>
      </c>
      <c r="J1204" t="str">
        <f>HYPERLINK("http://twitter.com/Mystery_Zyre")</f>
        <v>http://twitter.com/Mystery_Zyre</v>
      </c>
      <c r="K1204">
        <v>62</v>
      </c>
      <c r="N1204" t="s">
        <v>65</v>
      </c>
      <c r="R1204" t="s">
        <v>60</v>
      </c>
      <c r="S1204" t="s">
        <v>4488</v>
      </c>
      <c r="W1204">
        <v>0</v>
      </c>
      <c r="X1204">
        <v>0</v>
      </c>
      <c r="AE1204">
        <v>0</v>
      </c>
      <c r="AI1204" t="s">
        <v>52</v>
      </c>
      <c r="AJ1204" t="s">
        <v>1901</v>
      </c>
      <c r="AK1204" t="s">
        <v>52</v>
      </c>
      <c r="AL1204" t="str">
        <f>HYPERLINK("https://pbs.twimg.com/media/D9zbTcxVAAADaUG.jpg")</f>
        <v>https://pbs.twimg.com/media/D9zbTcxVAAADaUG.jpg</v>
      </c>
      <c r="AM1204" t="s">
        <v>52</v>
      </c>
      <c r="AN1204" t="s">
        <v>53</v>
      </c>
    </row>
    <row r="1205" spans="1:40">
      <c r="A1205" t="s">
        <v>2370</v>
      </c>
      <c r="B1205" t="s">
        <v>4493</v>
      </c>
      <c r="C1205" t="s">
        <v>4494</v>
      </c>
      <c r="D1205" t="s">
        <v>52</v>
      </c>
      <c r="E1205" t="s">
        <v>4497</v>
      </c>
      <c r="F1205" t="s">
        <v>45</v>
      </c>
      <c r="G1205" t="str">
        <f>HYPERLINK("https://twitter.com/422306480/status/1143257920173420544")</f>
        <v>https://twitter.com/422306480/status/1143257920173420544</v>
      </c>
      <c r="H1205" t="s">
        <v>46</v>
      </c>
      <c r="I1205" t="s">
        <v>4498</v>
      </c>
      <c r="J1205" t="str">
        <f>HYPERLINK("http://twitter.com/camryntjulia")</f>
        <v>http://twitter.com/camryntjulia</v>
      </c>
      <c r="K1205">
        <v>367</v>
      </c>
      <c r="N1205" t="s">
        <v>65</v>
      </c>
      <c r="R1205" t="s">
        <v>60</v>
      </c>
      <c r="W1205">
        <v>2</v>
      </c>
      <c r="X1205">
        <v>2</v>
      </c>
      <c r="AE1205">
        <v>1</v>
      </c>
      <c r="AF1205">
        <v>1</v>
      </c>
      <c r="AM1205" t="s">
        <v>52</v>
      </c>
      <c r="AN1205" t="s">
        <v>53</v>
      </c>
    </row>
    <row r="1206" spans="1:40">
      <c r="A1206" t="s">
        <v>2370</v>
      </c>
      <c r="B1206" t="s">
        <v>4493</v>
      </c>
      <c r="C1206" t="s">
        <v>4499</v>
      </c>
      <c r="D1206" t="s">
        <v>52</v>
      </c>
      <c r="E1206" t="s">
        <v>4500</v>
      </c>
      <c r="F1206" t="s">
        <v>131</v>
      </c>
      <c r="G1206" t="str">
        <f>HYPERLINK("https://twitter.com/147044854/status/1143257915043635200")</f>
        <v>https://twitter.com/147044854/status/1143257915043635200</v>
      </c>
      <c r="H1206" t="s">
        <v>46</v>
      </c>
      <c r="I1206" t="s">
        <v>4487</v>
      </c>
      <c r="J1206" t="str">
        <f>HYPERLINK("http://twitter.com/Mystery_Zyre")</f>
        <v>http://twitter.com/Mystery_Zyre</v>
      </c>
      <c r="K1206">
        <v>62</v>
      </c>
      <c r="N1206" t="s">
        <v>65</v>
      </c>
      <c r="R1206" t="s">
        <v>60</v>
      </c>
      <c r="S1206" t="s">
        <v>4488</v>
      </c>
      <c r="W1206">
        <v>0</v>
      </c>
      <c r="X1206">
        <v>0</v>
      </c>
      <c r="AE1206">
        <v>0</v>
      </c>
      <c r="AI1206" t="s">
        <v>108</v>
      </c>
      <c r="AJ1206" t="s">
        <v>303</v>
      </c>
      <c r="AK1206" t="s">
        <v>52</v>
      </c>
      <c r="AL1206" t="str">
        <f>HYPERLINK("https://pbs.twimg.com/media/D9zadh3VUAEaOsH.jpg")</f>
        <v>https://pbs.twimg.com/media/D9zadh3VUAEaOsH.jpg</v>
      </c>
      <c r="AM1206" t="s">
        <v>52</v>
      </c>
      <c r="AN1206" t="s">
        <v>53</v>
      </c>
    </row>
    <row r="1207" spans="1:40">
      <c r="A1207" t="s">
        <v>2370</v>
      </c>
      <c r="B1207" t="s">
        <v>4493</v>
      </c>
      <c r="C1207" t="s">
        <v>4494</v>
      </c>
      <c r="D1207" t="s">
        <v>52</v>
      </c>
      <c r="E1207" t="s">
        <v>4501</v>
      </c>
      <c r="F1207" t="s">
        <v>131</v>
      </c>
      <c r="G1207" t="str">
        <f>HYPERLINK("https://twitter.com/147044854/status/1143257901714141184")</f>
        <v>https://twitter.com/147044854/status/1143257901714141184</v>
      </c>
      <c r="H1207" t="s">
        <v>215</v>
      </c>
      <c r="I1207" t="s">
        <v>4487</v>
      </c>
      <c r="J1207" t="str">
        <f>HYPERLINK("http://twitter.com/Mystery_Zyre")</f>
        <v>http://twitter.com/Mystery_Zyre</v>
      </c>
      <c r="K1207">
        <v>62</v>
      </c>
      <c r="N1207" t="s">
        <v>65</v>
      </c>
      <c r="R1207" t="s">
        <v>60</v>
      </c>
      <c r="S1207" t="s">
        <v>4488</v>
      </c>
      <c r="W1207">
        <v>0</v>
      </c>
      <c r="X1207">
        <v>0</v>
      </c>
      <c r="AE1207">
        <v>0</v>
      </c>
      <c r="AI1207" t="s">
        <v>108</v>
      </c>
      <c r="AJ1207" t="s">
        <v>1894</v>
      </c>
      <c r="AK1207" t="s">
        <v>52</v>
      </c>
      <c r="AL1207" t="str">
        <f>HYPERLINK("https://pbs.twimg.com/media/D9zZzsQVUAEy4kR.jpg")</f>
        <v>https://pbs.twimg.com/media/D9zZzsQVUAEy4kR.jpg</v>
      </c>
      <c r="AM1207" t="s">
        <v>52</v>
      </c>
      <c r="AN1207" t="s">
        <v>53</v>
      </c>
    </row>
    <row r="1208" spans="1:40">
      <c r="A1208" t="s">
        <v>2370</v>
      </c>
      <c r="B1208" t="s">
        <v>4493</v>
      </c>
      <c r="C1208" t="s">
        <v>4502</v>
      </c>
      <c r="D1208" t="s">
        <v>52</v>
      </c>
      <c r="E1208" t="s">
        <v>4503</v>
      </c>
      <c r="F1208" t="s">
        <v>131</v>
      </c>
      <c r="G1208" t="str">
        <f>HYPERLINK("https://twitter.com/147044854/status/1143257891496796160")</f>
        <v>https://twitter.com/147044854/status/1143257891496796160</v>
      </c>
      <c r="H1208" t="s">
        <v>46</v>
      </c>
      <c r="I1208" t="s">
        <v>4487</v>
      </c>
      <c r="J1208" t="str">
        <f>HYPERLINK("http://twitter.com/Mystery_Zyre")</f>
        <v>http://twitter.com/Mystery_Zyre</v>
      </c>
      <c r="K1208">
        <v>62</v>
      </c>
      <c r="N1208" t="s">
        <v>65</v>
      </c>
      <c r="R1208" t="s">
        <v>60</v>
      </c>
      <c r="S1208" t="s">
        <v>4488</v>
      </c>
      <c r="W1208">
        <v>0</v>
      </c>
      <c r="X1208">
        <v>0</v>
      </c>
      <c r="AE1208">
        <v>0</v>
      </c>
      <c r="AI1208" t="s">
        <v>108</v>
      </c>
      <c r="AJ1208" t="s">
        <v>4504</v>
      </c>
      <c r="AK1208" t="s">
        <v>52</v>
      </c>
      <c r="AL1208" t="str">
        <f>HYPERLINK("https://pbs.twimg.com/media/D9zZgk2UcAATKSk.jpg")</f>
        <v>https://pbs.twimg.com/media/D9zZgk2UcAATKSk.jpg</v>
      </c>
      <c r="AM1208" t="s">
        <v>52</v>
      </c>
      <c r="AN1208" t="s">
        <v>53</v>
      </c>
    </row>
    <row r="1209" spans="1:40">
      <c r="A1209" t="s">
        <v>2370</v>
      </c>
      <c r="B1209" t="s">
        <v>4493</v>
      </c>
      <c r="C1209" t="s">
        <v>4494</v>
      </c>
      <c r="D1209" t="s">
        <v>52</v>
      </c>
      <c r="E1209" t="s">
        <v>4505</v>
      </c>
      <c r="F1209" t="s">
        <v>95</v>
      </c>
      <c r="G1209" t="str">
        <f>HYPERLINK("https://twitter.com/853486140187455488/status/1143257883838226432")</f>
        <v>https://twitter.com/853486140187455488/status/1143257883838226432</v>
      </c>
      <c r="H1209" t="s">
        <v>46</v>
      </c>
      <c r="I1209" t="s">
        <v>4506</v>
      </c>
      <c r="J1209" t="str">
        <f>HYPERLINK("http://twitter.com/pinkie2054")</f>
        <v>http://twitter.com/pinkie2054</v>
      </c>
      <c r="K1209">
        <v>3</v>
      </c>
      <c r="N1209" t="s">
        <v>65</v>
      </c>
      <c r="R1209" t="s">
        <v>60</v>
      </c>
      <c r="W1209">
        <v>1</v>
      </c>
      <c r="X1209">
        <v>1</v>
      </c>
      <c r="AE1209">
        <v>0</v>
      </c>
      <c r="AF1209">
        <v>0</v>
      </c>
      <c r="AM1209" t="s">
        <v>52</v>
      </c>
      <c r="AN1209" t="s">
        <v>53</v>
      </c>
    </row>
    <row r="1210" spans="1:40">
      <c r="A1210" t="s">
        <v>2370</v>
      </c>
      <c r="B1210" t="s">
        <v>4493</v>
      </c>
      <c r="C1210" t="s">
        <v>4502</v>
      </c>
      <c r="D1210" t="s">
        <v>52</v>
      </c>
      <c r="E1210" t="s">
        <v>4507</v>
      </c>
      <c r="F1210" t="s">
        <v>131</v>
      </c>
      <c r="G1210" t="str">
        <f>HYPERLINK("https://twitter.com/147044854/status/1143257881732456449")</f>
        <v>https://twitter.com/147044854/status/1143257881732456449</v>
      </c>
      <c r="H1210" t="s">
        <v>46</v>
      </c>
      <c r="I1210" t="s">
        <v>4487</v>
      </c>
      <c r="J1210" t="str">
        <f>HYPERLINK("http://twitter.com/Mystery_Zyre")</f>
        <v>http://twitter.com/Mystery_Zyre</v>
      </c>
      <c r="K1210">
        <v>62</v>
      </c>
      <c r="N1210" t="s">
        <v>65</v>
      </c>
      <c r="R1210" t="s">
        <v>60</v>
      </c>
      <c r="S1210" t="s">
        <v>4488</v>
      </c>
      <c r="W1210">
        <v>0</v>
      </c>
      <c r="X1210">
        <v>0</v>
      </c>
      <c r="AE1210">
        <v>0</v>
      </c>
      <c r="AM1210" t="s">
        <v>52</v>
      </c>
      <c r="AN1210" t="s">
        <v>53</v>
      </c>
    </row>
    <row r="1211" spans="1:40">
      <c r="A1211" t="s">
        <v>2370</v>
      </c>
      <c r="B1211" t="s">
        <v>4493</v>
      </c>
      <c r="C1211" t="s">
        <v>4502</v>
      </c>
      <c r="D1211" t="s">
        <v>52</v>
      </c>
      <c r="E1211" t="s">
        <v>4508</v>
      </c>
      <c r="F1211" t="s">
        <v>131</v>
      </c>
      <c r="G1211" t="str">
        <f>HYPERLINK("https://twitter.com/147044854/status/1143257874459574272")</f>
        <v>https://twitter.com/147044854/status/1143257874459574272</v>
      </c>
      <c r="H1211" t="s">
        <v>46</v>
      </c>
      <c r="I1211" t="s">
        <v>4487</v>
      </c>
      <c r="J1211" t="str">
        <f>HYPERLINK("http://twitter.com/Mystery_Zyre")</f>
        <v>http://twitter.com/Mystery_Zyre</v>
      </c>
      <c r="K1211">
        <v>62</v>
      </c>
      <c r="N1211" t="s">
        <v>65</v>
      </c>
      <c r="R1211" t="s">
        <v>60</v>
      </c>
      <c r="S1211" t="s">
        <v>4488</v>
      </c>
      <c r="W1211">
        <v>0</v>
      </c>
      <c r="X1211">
        <v>0</v>
      </c>
      <c r="AE1211">
        <v>0</v>
      </c>
      <c r="AI1211" t="s">
        <v>108</v>
      </c>
      <c r="AJ1211" t="s">
        <v>659</v>
      </c>
      <c r="AK1211" t="s">
        <v>52</v>
      </c>
      <c r="AL1211" t="str">
        <f>HYPERLINK("https://pbs.twimg.com/media/D9zY3olUEAAiOlC.jpg")</f>
        <v>https://pbs.twimg.com/media/D9zY3olUEAAiOlC.jpg</v>
      </c>
      <c r="AM1211" t="s">
        <v>52</v>
      </c>
      <c r="AN1211" t="s">
        <v>53</v>
      </c>
    </row>
    <row r="1212" spans="1:40">
      <c r="A1212" t="s">
        <v>2370</v>
      </c>
      <c r="B1212" t="s">
        <v>4493</v>
      </c>
      <c r="C1212" t="s">
        <v>4473</v>
      </c>
      <c r="D1212" t="s">
        <v>52</v>
      </c>
      <c r="E1212" t="s">
        <v>4509</v>
      </c>
      <c r="F1212" t="s">
        <v>95</v>
      </c>
      <c r="G1212" t="str">
        <f>HYPERLINK("https://twitter.com/1658441592/status/1143257798790115328")</f>
        <v>https://twitter.com/1658441592/status/1143257798790115328</v>
      </c>
      <c r="H1212" t="s">
        <v>46</v>
      </c>
      <c r="I1212" t="s">
        <v>4510</v>
      </c>
      <c r="J1212" t="str">
        <f>HYPERLINK("http://twitter.com/wubhoe")</f>
        <v>http://twitter.com/wubhoe</v>
      </c>
      <c r="K1212">
        <v>674</v>
      </c>
      <c r="N1212" t="s">
        <v>65</v>
      </c>
      <c r="R1212" t="s">
        <v>60</v>
      </c>
      <c r="W1212">
        <v>2</v>
      </c>
      <c r="X1212">
        <v>2</v>
      </c>
      <c r="AE1212">
        <v>0</v>
      </c>
      <c r="AF1212">
        <v>1</v>
      </c>
      <c r="AM1212" t="s">
        <v>52</v>
      </c>
      <c r="AN1212" t="s">
        <v>53</v>
      </c>
    </row>
    <row r="1213" spans="1:40">
      <c r="A1213" t="s">
        <v>2370</v>
      </c>
      <c r="B1213" t="s">
        <v>4493</v>
      </c>
      <c r="C1213" t="s">
        <v>4502</v>
      </c>
      <c r="D1213" t="s">
        <v>52</v>
      </c>
      <c r="E1213" t="s">
        <v>4511</v>
      </c>
      <c r="F1213" t="s">
        <v>45</v>
      </c>
      <c r="G1213" t="str">
        <f>HYPERLINK("https://www.instagram.com/p/BzGzTsQhOkb")</f>
        <v>https://www.instagram.com/p/BzGzTsQhOkb</v>
      </c>
      <c r="H1213" t="s">
        <v>46</v>
      </c>
      <c r="I1213" t="s">
        <v>4512</v>
      </c>
      <c r="J1213" t="str">
        <f>HYPERLINK("http://instagram.com/amberthemoco")</f>
        <v>http://instagram.com/amberthemoco</v>
      </c>
      <c r="K1213">
        <v>13428</v>
      </c>
      <c r="N1213" t="s">
        <v>59</v>
      </c>
      <c r="O1213" t="s">
        <v>4512</v>
      </c>
      <c r="P1213" t="str">
        <f>HYPERLINK("http://instagram.com/amberthemoco")</f>
        <v>http://instagram.com/amberthemoco</v>
      </c>
      <c r="Q1213">
        <v>13428</v>
      </c>
      <c r="R1213" t="s">
        <v>60</v>
      </c>
      <c r="W1213">
        <v>154</v>
      </c>
      <c r="X1213">
        <v>154</v>
      </c>
      <c r="AE1213">
        <v>8</v>
      </c>
      <c r="AI1213" t="s">
        <v>52</v>
      </c>
      <c r="AJ1213" t="s">
        <v>4513</v>
      </c>
      <c r="AK1213" t="s">
        <v>52</v>
      </c>
      <c r="AL1213" t="str">
        <f>HYPERLINK("https://www.instagram.com/p/BzGzTsQhOkb/media/?size=l")</f>
        <v>https://www.instagram.com/p/BzGzTsQhOkb/media/?size=l</v>
      </c>
      <c r="AM1213" t="s">
        <v>52</v>
      </c>
      <c r="AN1213" t="s">
        <v>53</v>
      </c>
    </row>
    <row r="1214" spans="1:40">
      <c r="A1214" t="s">
        <v>2370</v>
      </c>
      <c r="B1214" t="s">
        <v>4493</v>
      </c>
      <c r="C1214" t="s">
        <v>4499</v>
      </c>
      <c r="D1214" t="s">
        <v>52</v>
      </c>
      <c r="E1214" t="s">
        <v>4514</v>
      </c>
      <c r="F1214" t="s">
        <v>71</v>
      </c>
      <c r="G1214" t="str">
        <f>HYPERLINK("https://twitter.com/748415447603654656/status/1143257766057742336")</f>
        <v>https://twitter.com/748415447603654656/status/1143257766057742336</v>
      </c>
      <c r="H1214" t="s">
        <v>46</v>
      </c>
      <c r="I1214" t="s">
        <v>4515</v>
      </c>
      <c r="J1214" t="str">
        <f>HYPERLINK("http://twitter.com/_dannymorfin")</f>
        <v>http://twitter.com/_dannymorfin</v>
      </c>
      <c r="K1214">
        <v>185</v>
      </c>
      <c r="N1214" t="s">
        <v>65</v>
      </c>
      <c r="R1214" t="s">
        <v>60</v>
      </c>
      <c r="S1214" t="s">
        <v>51</v>
      </c>
      <c r="T1214" t="s">
        <v>173</v>
      </c>
      <c r="U1214" t="s">
        <v>4516</v>
      </c>
      <c r="W1214">
        <v>0</v>
      </c>
      <c r="X1214">
        <v>0</v>
      </c>
      <c r="AE1214">
        <v>0</v>
      </c>
      <c r="AF1214">
        <v>0</v>
      </c>
      <c r="AI1214" t="s">
        <v>108</v>
      </c>
      <c r="AJ1214" t="s">
        <v>52</v>
      </c>
      <c r="AK1214" t="s">
        <v>52</v>
      </c>
      <c r="AL1214" t="str">
        <f>HYPERLINK("https://pbs.twimg.com/tweet_video_thumb/D9hvNNzXUAATAS3.jpg")</f>
        <v>https://pbs.twimg.com/tweet_video_thumb/D9hvNNzXUAATAS3.jpg</v>
      </c>
      <c r="AM1214" t="s">
        <v>52</v>
      </c>
      <c r="AN1214" t="s">
        <v>53</v>
      </c>
    </row>
    <row r="1215" spans="1:40">
      <c r="A1215" t="s">
        <v>2370</v>
      </c>
      <c r="B1215" t="s">
        <v>4517</v>
      </c>
      <c r="C1215" t="s">
        <v>4518</v>
      </c>
      <c r="D1215" t="s">
        <v>52</v>
      </c>
      <c r="E1215" t="s">
        <v>4519</v>
      </c>
      <c r="F1215" t="s">
        <v>45</v>
      </c>
      <c r="G1215" t="str">
        <f>HYPERLINK("https://twitter.com/16127833/status/1143257718343577600")</f>
        <v>https://twitter.com/16127833/status/1143257718343577600</v>
      </c>
      <c r="H1215" t="s">
        <v>215</v>
      </c>
      <c r="I1215" t="s">
        <v>4520</v>
      </c>
      <c r="J1215" t="str">
        <f>HYPERLINK("http://twitter.com/hold_fast_hope")</f>
        <v>http://twitter.com/hold_fast_hope</v>
      </c>
      <c r="K1215">
        <v>274</v>
      </c>
      <c r="N1215" t="s">
        <v>65</v>
      </c>
      <c r="R1215" t="s">
        <v>60</v>
      </c>
      <c r="S1215" t="s">
        <v>51</v>
      </c>
      <c r="T1215" t="s">
        <v>73</v>
      </c>
      <c r="W1215">
        <v>0</v>
      </c>
      <c r="X1215">
        <v>0</v>
      </c>
      <c r="AE1215">
        <v>0</v>
      </c>
      <c r="AF1215">
        <v>0</v>
      </c>
      <c r="AM1215" t="s">
        <v>52</v>
      </c>
      <c r="AN1215" t="s">
        <v>53</v>
      </c>
    </row>
    <row r="1216" spans="1:40">
      <c r="A1216" t="s">
        <v>2370</v>
      </c>
      <c r="B1216" t="s">
        <v>4517</v>
      </c>
      <c r="C1216" t="s">
        <v>4482</v>
      </c>
      <c r="D1216" t="s">
        <v>52</v>
      </c>
      <c r="E1216" t="s">
        <v>130</v>
      </c>
      <c r="F1216" t="s">
        <v>131</v>
      </c>
      <c r="G1216" t="str">
        <f>HYPERLINK("https://twitter.com/184735635/status/1143257707929100289")</f>
        <v>https://twitter.com/184735635/status/1143257707929100289</v>
      </c>
      <c r="H1216" t="s">
        <v>46</v>
      </c>
      <c r="I1216" t="s">
        <v>4521</v>
      </c>
      <c r="J1216" t="str">
        <f>HYPERLINK("http://twitter.com/lambretta10")</f>
        <v>http://twitter.com/lambretta10</v>
      </c>
      <c r="K1216">
        <v>177</v>
      </c>
      <c r="L1216" t="s">
        <v>48</v>
      </c>
      <c r="N1216" t="s">
        <v>65</v>
      </c>
      <c r="R1216" t="s">
        <v>60</v>
      </c>
      <c r="S1216" t="s">
        <v>97</v>
      </c>
      <c r="T1216" t="s">
        <v>177</v>
      </c>
      <c r="U1216" t="s">
        <v>361</v>
      </c>
      <c r="W1216">
        <v>0</v>
      </c>
      <c r="X1216">
        <v>0</v>
      </c>
      <c r="AE1216">
        <v>0</v>
      </c>
      <c r="AI1216" t="s">
        <v>108</v>
      </c>
      <c r="AJ1216" t="s">
        <v>52</v>
      </c>
      <c r="AK1216" t="s">
        <v>52</v>
      </c>
      <c r="AL1216" t="str">
        <f>HYPERLINK("https://pbs.twimg.com/media/D9XTkLWW4AAOYnJ.jpg")</f>
        <v>https://pbs.twimg.com/media/D9XTkLWW4AAOYnJ.jpg</v>
      </c>
      <c r="AM1216" t="s">
        <v>52</v>
      </c>
      <c r="AN1216" t="s">
        <v>53</v>
      </c>
    </row>
    <row r="1217" spans="1:40">
      <c r="A1217" t="s">
        <v>2370</v>
      </c>
      <c r="B1217" t="s">
        <v>4517</v>
      </c>
      <c r="C1217" t="s">
        <v>4482</v>
      </c>
      <c r="D1217" t="s">
        <v>52</v>
      </c>
      <c r="E1217" t="s">
        <v>4522</v>
      </c>
      <c r="F1217" t="s">
        <v>95</v>
      </c>
      <c r="G1217" t="str">
        <f>HYPERLINK("https://twitter.com/17543270/status/1143257694809264128")</f>
        <v>https://twitter.com/17543270/status/1143257694809264128</v>
      </c>
      <c r="H1217" t="s">
        <v>46</v>
      </c>
      <c r="I1217" t="s">
        <v>4339</v>
      </c>
      <c r="J1217" t="str">
        <f>HYPERLINK("http://twitter.com/paquichips")</f>
        <v>http://twitter.com/paquichips</v>
      </c>
      <c r="K1217">
        <v>3952</v>
      </c>
      <c r="N1217" t="s">
        <v>65</v>
      </c>
      <c r="R1217" t="s">
        <v>60</v>
      </c>
      <c r="S1217" t="s">
        <v>51</v>
      </c>
      <c r="T1217" t="s">
        <v>152</v>
      </c>
      <c r="U1217" t="s">
        <v>424</v>
      </c>
      <c r="W1217">
        <v>1</v>
      </c>
      <c r="X1217">
        <v>1</v>
      </c>
      <c r="AE1217">
        <v>1</v>
      </c>
      <c r="AF1217">
        <v>0</v>
      </c>
      <c r="AM1217" t="s">
        <v>52</v>
      </c>
      <c r="AN1217" t="s">
        <v>53</v>
      </c>
    </row>
    <row r="1218" spans="1:40">
      <c r="A1218" t="s">
        <v>2370</v>
      </c>
      <c r="B1218" t="s">
        <v>4517</v>
      </c>
      <c r="C1218" t="s">
        <v>4482</v>
      </c>
      <c r="D1218" t="s">
        <v>52</v>
      </c>
      <c r="E1218" t="s">
        <v>4523</v>
      </c>
      <c r="F1218" t="s">
        <v>95</v>
      </c>
      <c r="G1218" t="str">
        <f>HYPERLINK("https://twitter.com/844987225892904960/status/1143257682041876482")</f>
        <v>https://twitter.com/844987225892904960/status/1143257682041876482</v>
      </c>
      <c r="H1218" t="s">
        <v>46</v>
      </c>
      <c r="I1218" t="s">
        <v>4524</v>
      </c>
      <c r="J1218" t="str">
        <f>HYPERLINK("http://twitter.com/Cross_SZN")</f>
        <v>http://twitter.com/Cross_SZN</v>
      </c>
      <c r="K1218">
        <v>796</v>
      </c>
      <c r="N1218" t="s">
        <v>65</v>
      </c>
      <c r="R1218" t="s">
        <v>60</v>
      </c>
      <c r="W1218">
        <v>0</v>
      </c>
      <c r="X1218">
        <v>0</v>
      </c>
      <c r="AE1218">
        <v>0</v>
      </c>
      <c r="AF1218">
        <v>0</v>
      </c>
      <c r="AM1218" t="s">
        <v>52</v>
      </c>
      <c r="AN1218" t="s">
        <v>53</v>
      </c>
    </row>
    <row r="1219" spans="1:40">
      <c r="A1219" t="s">
        <v>2370</v>
      </c>
      <c r="B1219" t="s">
        <v>4517</v>
      </c>
      <c r="C1219" t="s">
        <v>4478</v>
      </c>
      <c r="D1219" t="s">
        <v>52</v>
      </c>
      <c r="E1219" t="s">
        <v>4525</v>
      </c>
      <c r="F1219" t="s">
        <v>95</v>
      </c>
      <c r="G1219" t="str">
        <f>HYPERLINK("https://twitter.com/280278890/status/1143257660231491584")</f>
        <v>https://twitter.com/280278890/status/1143257660231491584</v>
      </c>
      <c r="H1219" t="s">
        <v>46</v>
      </c>
      <c r="I1219" t="s">
        <v>4526</v>
      </c>
      <c r="J1219" t="str">
        <f>HYPERLINK("http://twitter.com/TallyRoyalty")</f>
        <v>http://twitter.com/TallyRoyalty</v>
      </c>
      <c r="K1219">
        <v>679</v>
      </c>
      <c r="N1219" t="s">
        <v>65</v>
      </c>
      <c r="R1219" t="s">
        <v>60</v>
      </c>
      <c r="S1219" t="s">
        <v>51</v>
      </c>
      <c r="T1219" t="s">
        <v>73</v>
      </c>
      <c r="U1219" t="s">
        <v>4527</v>
      </c>
      <c r="W1219">
        <v>0</v>
      </c>
      <c r="X1219">
        <v>0</v>
      </c>
      <c r="AE1219">
        <v>1</v>
      </c>
      <c r="AF1219">
        <v>0</v>
      </c>
      <c r="AM1219" t="s">
        <v>52</v>
      </c>
      <c r="AN1219" t="s">
        <v>53</v>
      </c>
    </row>
    <row r="1220" spans="1:40">
      <c r="A1220" t="s">
        <v>2370</v>
      </c>
      <c r="B1220" t="s">
        <v>4517</v>
      </c>
      <c r="C1220" t="s">
        <v>4478</v>
      </c>
      <c r="D1220" t="s">
        <v>52</v>
      </c>
      <c r="E1220" t="s">
        <v>4155</v>
      </c>
      <c r="F1220" t="s">
        <v>131</v>
      </c>
      <c r="G1220" t="str">
        <f>HYPERLINK("https://twitter.com/1021872468775120896/status/1143257649213038592")</f>
        <v>https://twitter.com/1021872468775120896/status/1143257649213038592</v>
      </c>
      <c r="H1220" t="s">
        <v>46</v>
      </c>
      <c r="I1220" t="s">
        <v>4528</v>
      </c>
      <c r="J1220" t="str">
        <f>HYPERLINK("http://twitter.com/duardaczc")</f>
        <v>http://twitter.com/duardaczc</v>
      </c>
      <c r="K1220">
        <v>360</v>
      </c>
      <c r="L1220" t="s">
        <v>58</v>
      </c>
      <c r="N1220" t="s">
        <v>65</v>
      </c>
      <c r="R1220" t="s">
        <v>60</v>
      </c>
      <c r="S1220" t="s">
        <v>432</v>
      </c>
      <c r="T1220" t="s">
        <v>4451</v>
      </c>
      <c r="U1220" t="s">
        <v>4529</v>
      </c>
      <c r="W1220">
        <v>0</v>
      </c>
      <c r="X1220">
        <v>0</v>
      </c>
      <c r="AE1220">
        <v>0</v>
      </c>
      <c r="AI1220" t="s">
        <v>108</v>
      </c>
      <c r="AJ1220" t="s">
        <v>1853</v>
      </c>
      <c r="AK1220" t="s">
        <v>52</v>
      </c>
      <c r="AL1220" t="str">
        <f>HYPERLINK("https://pbs.twimg.com/media/D9mukIWWkAIu0PD.jpg")</f>
        <v>https://pbs.twimg.com/media/D9mukIWWkAIu0PD.jpg</v>
      </c>
      <c r="AM1220" t="s">
        <v>52</v>
      </c>
      <c r="AN1220" t="s">
        <v>53</v>
      </c>
    </row>
    <row r="1221" spans="1:40">
      <c r="A1221" t="s">
        <v>2370</v>
      </c>
      <c r="B1221" t="s">
        <v>4517</v>
      </c>
      <c r="C1221" t="s">
        <v>4478</v>
      </c>
      <c r="D1221" t="s">
        <v>52</v>
      </c>
      <c r="E1221" t="s">
        <v>4530</v>
      </c>
      <c r="F1221" t="s">
        <v>71</v>
      </c>
      <c r="G1221" t="str">
        <f>HYPERLINK("https://twitter.com/61002508/status/1143257641776537601")</f>
        <v>https://twitter.com/61002508/status/1143257641776537601</v>
      </c>
      <c r="H1221" t="s">
        <v>46</v>
      </c>
      <c r="I1221" t="s">
        <v>4531</v>
      </c>
      <c r="J1221" t="str">
        <f>HYPERLINK("http://twitter.com/karlav10")</f>
        <v>http://twitter.com/karlav10</v>
      </c>
      <c r="K1221">
        <v>277</v>
      </c>
      <c r="N1221" t="s">
        <v>65</v>
      </c>
      <c r="R1221" t="s">
        <v>60</v>
      </c>
      <c r="S1221" t="s">
        <v>97</v>
      </c>
      <c r="T1221" t="s">
        <v>177</v>
      </c>
      <c r="U1221" t="s">
        <v>395</v>
      </c>
      <c r="W1221">
        <v>0</v>
      </c>
      <c r="X1221">
        <v>0</v>
      </c>
      <c r="AE1221">
        <v>0</v>
      </c>
      <c r="AF1221">
        <v>0</v>
      </c>
      <c r="AI1221" t="s">
        <v>108</v>
      </c>
      <c r="AJ1221" t="s">
        <v>52</v>
      </c>
      <c r="AK1221" t="s">
        <v>52</v>
      </c>
      <c r="AL1221" t="str">
        <f>HYPERLINK("https://pbs.twimg.com/media/D9XTkLWW4AAOYnJ.jpg")</f>
        <v>https://pbs.twimg.com/media/D9XTkLWW4AAOYnJ.jpg</v>
      </c>
      <c r="AM1221" t="s">
        <v>52</v>
      </c>
      <c r="AN1221" t="s">
        <v>53</v>
      </c>
    </row>
    <row r="1222" spans="1:40">
      <c r="A1222" t="s">
        <v>2370</v>
      </c>
      <c r="B1222" t="s">
        <v>4532</v>
      </c>
      <c r="C1222" t="s">
        <v>4448</v>
      </c>
      <c r="D1222" t="s">
        <v>4533</v>
      </c>
      <c r="E1222" t="s">
        <v>4534</v>
      </c>
      <c r="F1222" t="s">
        <v>45</v>
      </c>
      <c r="G1222" t="str">
        <f>HYPERLINK("https://www.youtube.com/watch?v=IMFjcweJ6d0")</f>
        <v>https://www.youtube.com/watch?v=IMFjcweJ6d0</v>
      </c>
      <c r="H1222" t="s">
        <v>46</v>
      </c>
      <c r="I1222" t="s">
        <v>4535</v>
      </c>
      <c r="J1222" t="str">
        <f>HYPERLINK("https://www.youtube.com/channel/UCqm-Hrx2c6ZqsttN6SOyu7Q")</f>
        <v>https://www.youtube.com/channel/UCqm-Hrx2c6ZqsttN6SOyu7Q</v>
      </c>
      <c r="K1222">
        <v>35</v>
      </c>
      <c r="N1222" t="s">
        <v>116</v>
      </c>
      <c r="O1222" t="s">
        <v>4535</v>
      </c>
      <c r="P1222" t="str">
        <f>HYPERLINK("https://www.youtube.com/channel/UCqm-Hrx2c6ZqsttN6SOyu7Q")</f>
        <v>https://www.youtube.com/channel/UCqm-Hrx2c6ZqsttN6SOyu7Q</v>
      </c>
      <c r="Q1222">
        <v>35</v>
      </c>
      <c r="R1222" t="s">
        <v>60</v>
      </c>
      <c r="W1222">
        <v>3</v>
      </c>
      <c r="X1222">
        <v>3</v>
      </c>
      <c r="AD1222">
        <v>0</v>
      </c>
      <c r="AE1222">
        <v>0</v>
      </c>
      <c r="AG1222">
        <v>27</v>
      </c>
      <c r="AI1222" t="s">
        <v>52</v>
      </c>
      <c r="AJ1222" t="s">
        <v>52</v>
      </c>
      <c r="AK1222" t="s">
        <v>4536</v>
      </c>
      <c r="AL1222" t="str">
        <f>HYPERLINK("https://i.ytimg.com/vi/IMFjcweJ6d0/maxresdefault_live.jpg")</f>
        <v>https://i.ytimg.com/vi/IMFjcweJ6d0/maxresdefault_live.jpg</v>
      </c>
      <c r="AM1222" t="s">
        <v>52</v>
      </c>
      <c r="AN1222" t="s">
        <v>53</v>
      </c>
    </row>
    <row r="1223" spans="1:40">
      <c r="A1223" t="s">
        <v>2370</v>
      </c>
      <c r="B1223" t="s">
        <v>4532</v>
      </c>
      <c r="C1223" t="s">
        <v>4518</v>
      </c>
      <c r="D1223" t="s">
        <v>52</v>
      </c>
      <c r="E1223" t="s">
        <v>2515</v>
      </c>
      <c r="F1223" t="s">
        <v>131</v>
      </c>
      <c r="G1223" t="str">
        <f>HYPERLINK("https://twitter.com/27673910/status/1143257346317127680")</f>
        <v>https://twitter.com/27673910/status/1143257346317127680</v>
      </c>
      <c r="H1223" t="s">
        <v>46</v>
      </c>
      <c r="I1223" t="s">
        <v>4537</v>
      </c>
      <c r="J1223" t="str">
        <f>HYPERLINK("http://twitter.com/ido4me_period")</f>
        <v>http://twitter.com/ido4me_period</v>
      </c>
      <c r="K1223">
        <v>804</v>
      </c>
      <c r="N1223" t="s">
        <v>65</v>
      </c>
      <c r="R1223" t="s">
        <v>60</v>
      </c>
      <c r="S1223" t="s">
        <v>387</v>
      </c>
      <c r="T1223" t="s">
        <v>2251</v>
      </c>
      <c r="U1223" t="s">
        <v>4538</v>
      </c>
      <c r="W1223">
        <v>0</v>
      </c>
      <c r="X1223">
        <v>0</v>
      </c>
      <c r="AE1223">
        <v>0</v>
      </c>
      <c r="AM1223" t="s">
        <v>52</v>
      </c>
      <c r="AN1223" t="s">
        <v>53</v>
      </c>
    </row>
    <row r="1224" spans="1:40">
      <c r="A1224" t="s">
        <v>2370</v>
      </c>
      <c r="B1224" t="s">
        <v>4539</v>
      </c>
      <c r="C1224" t="s">
        <v>4486</v>
      </c>
      <c r="D1224" t="s">
        <v>52</v>
      </c>
      <c r="E1224" t="s">
        <v>4540</v>
      </c>
      <c r="F1224" t="s">
        <v>45</v>
      </c>
      <c r="G1224" t="str">
        <f>HYPERLINK("https://www.instagram.com/p/BzGyw41lDpu")</f>
        <v>https://www.instagram.com/p/BzGyw41lDpu</v>
      </c>
      <c r="H1224" t="s">
        <v>46</v>
      </c>
      <c r="I1224" t="s">
        <v>4541</v>
      </c>
      <c r="J1224" t="str">
        <f>HYPERLINK("http://instagram.com/misscancook")</f>
        <v>http://instagram.com/misscancook</v>
      </c>
      <c r="K1224">
        <v>914</v>
      </c>
      <c r="N1224" t="s">
        <v>59</v>
      </c>
      <c r="O1224" t="s">
        <v>4541</v>
      </c>
      <c r="P1224" t="str">
        <f>HYPERLINK("http://instagram.com/misscancook")</f>
        <v>http://instagram.com/misscancook</v>
      </c>
      <c r="Q1224">
        <v>914</v>
      </c>
      <c r="R1224" t="s">
        <v>60</v>
      </c>
      <c r="S1224" t="s">
        <v>774</v>
      </c>
      <c r="T1224" t="s">
        <v>1541</v>
      </c>
      <c r="U1224" t="s">
        <v>4542</v>
      </c>
      <c r="W1224">
        <v>48</v>
      </c>
      <c r="X1224">
        <v>48</v>
      </c>
      <c r="AE1224">
        <v>1</v>
      </c>
      <c r="AG1224">
        <v>141</v>
      </c>
      <c r="AI1224" t="s">
        <v>52</v>
      </c>
      <c r="AJ1224" t="s">
        <v>740</v>
      </c>
      <c r="AK1224" t="s">
        <v>52</v>
      </c>
      <c r="AL1224" t="str">
        <f>HYPERLINK("https://www.instagram.com/p/BzGyw41lDpu/media/?size=l")</f>
        <v>https://www.instagram.com/p/BzGyw41lDpu/media/?size=l</v>
      </c>
      <c r="AM1224" t="s">
        <v>52</v>
      </c>
      <c r="AN1224" t="s">
        <v>53</v>
      </c>
    </row>
    <row r="1225" spans="1:40">
      <c r="A1225" t="s">
        <v>2370</v>
      </c>
      <c r="B1225" t="s">
        <v>4539</v>
      </c>
      <c r="C1225" t="s">
        <v>4496</v>
      </c>
      <c r="D1225" t="s">
        <v>52</v>
      </c>
      <c r="E1225" t="s">
        <v>4543</v>
      </c>
      <c r="F1225" t="s">
        <v>131</v>
      </c>
      <c r="G1225" t="str">
        <f>HYPERLINK("https://twitter.com/2352691422/status/1143256565308448772")</f>
        <v>https://twitter.com/2352691422/status/1143256565308448772</v>
      </c>
      <c r="H1225" t="s">
        <v>46</v>
      </c>
      <c r="I1225" t="s">
        <v>4544</v>
      </c>
      <c r="J1225" t="str">
        <f>HYPERLINK("http://twitter.com/ruraljuror__")</f>
        <v>http://twitter.com/ruraljuror__</v>
      </c>
      <c r="K1225">
        <v>1387</v>
      </c>
      <c r="L1225" t="s">
        <v>58</v>
      </c>
      <c r="N1225" t="s">
        <v>65</v>
      </c>
      <c r="R1225" t="s">
        <v>60</v>
      </c>
      <c r="S1225" t="s">
        <v>51</v>
      </c>
      <c r="T1225" t="s">
        <v>380</v>
      </c>
      <c r="U1225" t="s">
        <v>380</v>
      </c>
      <c r="W1225">
        <v>0</v>
      </c>
      <c r="X1225">
        <v>0</v>
      </c>
      <c r="AE1225">
        <v>0</v>
      </c>
      <c r="AM1225" t="s">
        <v>52</v>
      </c>
      <c r="AN1225" t="s">
        <v>53</v>
      </c>
    </row>
    <row r="1226" spans="1:40">
      <c r="A1226" t="s">
        <v>2370</v>
      </c>
      <c r="B1226" t="s">
        <v>4545</v>
      </c>
      <c r="C1226" t="s">
        <v>4546</v>
      </c>
      <c r="D1226" t="s">
        <v>52</v>
      </c>
      <c r="E1226" t="s">
        <v>4547</v>
      </c>
      <c r="F1226" t="s">
        <v>45</v>
      </c>
      <c r="G1226" t="str">
        <f>HYPERLINK("https://www.instagram.com/p/BzGyhvwCsnz")</f>
        <v>https://www.instagram.com/p/BzGyhvwCsnz</v>
      </c>
      <c r="H1226" t="s">
        <v>46</v>
      </c>
      <c r="I1226" t="s">
        <v>4548</v>
      </c>
      <c r="J1226" t="str">
        <f>HYPERLINK("http://instagram.com/bert.eats")</f>
        <v>http://instagram.com/bert.eats</v>
      </c>
      <c r="K1226">
        <v>0</v>
      </c>
      <c r="N1226" t="s">
        <v>59</v>
      </c>
      <c r="O1226" t="s">
        <v>4548</v>
      </c>
      <c r="P1226" t="str">
        <f>HYPERLINK("http://instagram.com/bert.eats")</f>
        <v>http://instagram.com/bert.eats</v>
      </c>
      <c r="Q1226">
        <v>0</v>
      </c>
      <c r="R1226" t="s">
        <v>60</v>
      </c>
      <c r="W1226">
        <v>13</v>
      </c>
      <c r="X1226">
        <v>13</v>
      </c>
      <c r="AE1226">
        <v>1</v>
      </c>
      <c r="AI1226" t="s">
        <v>52</v>
      </c>
      <c r="AJ1226" t="s">
        <v>4549</v>
      </c>
      <c r="AK1226" t="s">
        <v>4550</v>
      </c>
      <c r="AL1226" t="str">
        <f>HYPERLINK("https://www.instagram.com/p/BzGyhvwCsnz/media/?size=l")</f>
        <v>https://www.instagram.com/p/BzGyhvwCsnz/media/?size=l</v>
      </c>
      <c r="AM1226" t="s">
        <v>52</v>
      </c>
      <c r="AN1226" t="s">
        <v>53</v>
      </c>
    </row>
    <row r="1227" spans="1:40">
      <c r="A1227" t="s">
        <v>2370</v>
      </c>
      <c r="B1227" t="s">
        <v>4551</v>
      </c>
      <c r="C1227" t="s">
        <v>4546</v>
      </c>
      <c r="D1227" t="s">
        <v>52</v>
      </c>
      <c r="E1227" t="s">
        <v>130</v>
      </c>
      <c r="F1227" t="s">
        <v>131</v>
      </c>
      <c r="G1227" t="str">
        <f>HYPERLINK("https://twitter.com/223671735/status/1143255965992660993")</f>
        <v>https://twitter.com/223671735/status/1143255965992660993</v>
      </c>
      <c r="H1227" t="s">
        <v>46</v>
      </c>
      <c r="I1227" t="s">
        <v>4552</v>
      </c>
      <c r="J1227" t="str">
        <f>HYPERLINK("http://twitter.com/hurricaneherder")</f>
        <v>http://twitter.com/hurricaneherder</v>
      </c>
      <c r="K1227">
        <v>417</v>
      </c>
      <c r="N1227" t="s">
        <v>65</v>
      </c>
      <c r="R1227" t="s">
        <v>60</v>
      </c>
      <c r="S1227" t="s">
        <v>97</v>
      </c>
      <c r="T1227" t="s">
        <v>177</v>
      </c>
      <c r="U1227" t="s">
        <v>4553</v>
      </c>
      <c r="W1227">
        <v>0</v>
      </c>
      <c r="X1227">
        <v>0</v>
      </c>
      <c r="AE1227">
        <v>0</v>
      </c>
      <c r="AI1227" t="s">
        <v>108</v>
      </c>
      <c r="AJ1227" t="s">
        <v>52</v>
      </c>
      <c r="AK1227" t="s">
        <v>52</v>
      </c>
      <c r="AL1227" t="str">
        <f>HYPERLINK("https://pbs.twimg.com/media/D9XTkLWW4AAOYnJ.jpg")</f>
        <v>https://pbs.twimg.com/media/D9XTkLWW4AAOYnJ.jpg</v>
      </c>
      <c r="AM1227" t="s">
        <v>52</v>
      </c>
      <c r="AN1227" t="s">
        <v>53</v>
      </c>
    </row>
    <row r="1228" spans="1:40">
      <c r="A1228" t="s">
        <v>2370</v>
      </c>
      <c r="B1228" t="s">
        <v>4551</v>
      </c>
      <c r="C1228" t="s">
        <v>4554</v>
      </c>
      <c r="D1228" t="s">
        <v>52</v>
      </c>
      <c r="E1228" t="s">
        <v>4555</v>
      </c>
      <c r="F1228" t="s">
        <v>45</v>
      </c>
      <c r="G1228" t="str">
        <f>HYPERLINK("https://twitter.com/216006729/status/1143255904151883777")</f>
        <v>https://twitter.com/216006729/status/1143255904151883777</v>
      </c>
      <c r="H1228" t="s">
        <v>91</v>
      </c>
      <c r="I1228" t="s">
        <v>4556</v>
      </c>
      <c r="J1228" t="str">
        <f>HYPERLINK("http://twitter.com/phebsabeebs")</f>
        <v>http://twitter.com/phebsabeebs</v>
      </c>
      <c r="K1228">
        <v>139</v>
      </c>
      <c r="N1228" t="s">
        <v>65</v>
      </c>
      <c r="R1228" t="s">
        <v>60</v>
      </c>
      <c r="S1228" t="s">
        <v>97</v>
      </c>
      <c r="T1228" t="s">
        <v>177</v>
      </c>
      <c r="U1228" t="s">
        <v>4557</v>
      </c>
      <c r="W1228">
        <v>0</v>
      </c>
      <c r="X1228">
        <v>0</v>
      </c>
      <c r="AE1228">
        <v>0</v>
      </c>
      <c r="AF1228">
        <v>0</v>
      </c>
      <c r="AM1228" t="s">
        <v>52</v>
      </c>
      <c r="AN1228" t="s">
        <v>53</v>
      </c>
    </row>
    <row r="1229" spans="1:40">
      <c r="A1229" t="s">
        <v>2370</v>
      </c>
      <c r="B1229" t="s">
        <v>4551</v>
      </c>
      <c r="C1229" t="s">
        <v>4558</v>
      </c>
      <c r="D1229" t="s">
        <v>52</v>
      </c>
      <c r="E1229" t="s">
        <v>599</v>
      </c>
      <c r="F1229" t="s">
        <v>131</v>
      </c>
      <c r="G1229" t="str">
        <f>HYPERLINK("https://twitter.com/750801652148568064/status/1143255855963541504")</f>
        <v>https://twitter.com/750801652148568064/status/1143255855963541504</v>
      </c>
      <c r="H1229" t="s">
        <v>46</v>
      </c>
      <c r="I1229" t="s">
        <v>4559</v>
      </c>
      <c r="J1229" t="str">
        <f>HYPERLINK("http://twitter.com/AgentKristina22")</f>
        <v>http://twitter.com/AgentKristina22</v>
      </c>
      <c r="K1229">
        <v>2297</v>
      </c>
      <c r="N1229" t="s">
        <v>65</v>
      </c>
      <c r="R1229" t="s">
        <v>60</v>
      </c>
      <c r="S1229" t="s">
        <v>4560</v>
      </c>
      <c r="W1229">
        <v>0</v>
      </c>
      <c r="X1229">
        <v>0</v>
      </c>
      <c r="AE1229">
        <v>0</v>
      </c>
      <c r="AI1229" t="s">
        <v>108</v>
      </c>
      <c r="AJ1229" t="s">
        <v>52</v>
      </c>
      <c r="AK1229" t="s">
        <v>601</v>
      </c>
      <c r="AL1229" t="str">
        <f>HYPERLINK("https://pbs.twimg.com/ext_tw_video_thumb/1143202185154584581/pu/img/K72qfBH8zIdbiUf-.jpg")</f>
        <v>https://pbs.twimg.com/ext_tw_video_thumb/1143202185154584581/pu/img/K72qfBH8zIdbiUf-.jpg</v>
      </c>
      <c r="AM1229" t="s">
        <v>52</v>
      </c>
      <c r="AN1229" t="s">
        <v>53</v>
      </c>
    </row>
    <row r="1230" spans="1:40">
      <c r="A1230" t="s">
        <v>2370</v>
      </c>
      <c r="B1230" t="s">
        <v>4561</v>
      </c>
      <c r="C1230" t="s">
        <v>4562</v>
      </c>
      <c r="D1230" t="s">
        <v>52</v>
      </c>
      <c r="E1230" t="s">
        <v>4563</v>
      </c>
      <c r="F1230" t="s">
        <v>45</v>
      </c>
      <c r="G1230" t="str">
        <f>HYPERLINK("https://www.instagram.com/p/BzGyP9GgeOW")</f>
        <v>https://www.instagram.com/p/BzGyP9GgeOW</v>
      </c>
      <c r="H1230" t="s">
        <v>46</v>
      </c>
      <c r="I1230" t="s">
        <v>4564</v>
      </c>
      <c r="J1230" t="str">
        <f>HYPERLINK("http://instagram.com/eatthisspamm")</f>
        <v>http://instagram.com/eatthisspamm</v>
      </c>
      <c r="K1230">
        <v>1</v>
      </c>
      <c r="N1230" t="s">
        <v>59</v>
      </c>
      <c r="O1230" t="s">
        <v>4564</v>
      </c>
      <c r="P1230" t="str">
        <f>HYPERLINK("http://instagram.com/eatthisspamm")</f>
        <v>http://instagram.com/eatthisspamm</v>
      </c>
      <c r="Q1230">
        <v>1</v>
      </c>
      <c r="R1230" t="s">
        <v>60</v>
      </c>
      <c r="S1230" t="s">
        <v>4565</v>
      </c>
      <c r="T1230" t="s">
        <v>4566</v>
      </c>
      <c r="U1230" t="s">
        <v>4567</v>
      </c>
      <c r="W1230">
        <v>4</v>
      </c>
      <c r="X1230">
        <v>4</v>
      </c>
      <c r="AE1230">
        <v>0</v>
      </c>
      <c r="AI1230" t="s">
        <v>108</v>
      </c>
      <c r="AJ1230" t="s">
        <v>52</v>
      </c>
      <c r="AK1230" t="s">
        <v>52</v>
      </c>
      <c r="AL1230" t="str">
        <f>HYPERLINK("https://www.instagram.com/p/BzGyP9GgeOW/media/?size=l")</f>
        <v>https://www.instagram.com/p/BzGyP9GgeOW/media/?size=l</v>
      </c>
      <c r="AM1230" t="s">
        <v>52</v>
      </c>
      <c r="AN1230" t="s">
        <v>53</v>
      </c>
    </row>
    <row r="1231" spans="1:40">
      <c r="A1231" t="s">
        <v>2370</v>
      </c>
      <c r="B1231" t="s">
        <v>4568</v>
      </c>
      <c r="C1231" t="s">
        <v>4569</v>
      </c>
      <c r="D1231" t="s">
        <v>52</v>
      </c>
      <c r="E1231" t="s">
        <v>4570</v>
      </c>
      <c r="F1231" t="s">
        <v>45</v>
      </c>
      <c r="G1231" t="str">
        <f>HYPERLINK("https://www.instagram.com/p/BzGyHFKhfyw")</f>
        <v>https://www.instagram.com/p/BzGyHFKhfyw</v>
      </c>
      <c r="H1231" t="s">
        <v>46</v>
      </c>
      <c r="I1231" t="s">
        <v>4571</v>
      </c>
      <c r="J1231" t="str">
        <f>HYPERLINK("http://instagram.com/goofy_the_labradude")</f>
        <v>http://instagram.com/goofy_the_labradude</v>
      </c>
      <c r="K1231">
        <v>128</v>
      </c>
      <c r="N1231" t="s">
        <v>59</v>
      </c>
      <c r="O1231" t="s">
        <v>4571</v>
      </c>
      <c r="P1231" t="str">
        <f>HYPERLINK("http://instagram.com/goofy_the_labradude")</f>
        <v>http://instagram.com/goofy_the_labradude</v>
      </c>
      <c r="Q1231">
        <v>128</v>
      </c>
      <c r="R1231" t="s">
        <v>60</v>
      </c>
      <c r="W1231">
        <v>13</v>
      </c>
      <c r="X1231">
        <v>13</v>
      </c>
      <c r="AE1231">
        <v>0</v>
      </c>
      <c r="AI1231" t="s">
        <v>52</v>
      </c>
      <c r="AJ1231" t="s">
        <v>985</v>
      </c>
      <c r="AK1231" t="s">
        <v>52</v>
      </c>
      <c r="AL1231" t="str">
        <f>HYPERLINK("https://www.instagram.com/p/BzGyHFKhfyw/media/?size=l")</f>
        <v>https://www.instagram.com/p/BzGyHFKhfyw/media/?size=l</v>
      </c>
      <c r="AM1231" t="s">
        <v>52</v>
      </c>
      <c r="AN1231" t="s">
        <v>53</v>
      </c>
    </row>
    <row r="1232" spans="1:40">
      <c r="A1232" t="s">
        <v>2370</v>
      </c>
      <c r="B1232" t="s">
        <v>4568</v>
      </c>
      <c r="C1232" t="s">
        <v>4572</v>
      </c>
      <c r="D1232" t="s">
        <v>52</v>
      </c>
      <c r="E1232" t="s">
        <v>4573</v>
      </c>
      <c r="F1232" t="s">
        <v>45</v>
      </c>
      <c r="G1232" t="str">
        <f>HYPERLINK("https://twitter.com/894669747949780992/status/1143255127660232705")</f>
        <v>https://twitter.com/894669747949780992/status/1143255127660232705</v>
      </c>
      <c r="H1232" t="s">
        <v>46</v>
      </c>
      <c r="I1232" t="s">
        <v>4574</v>
      </c>
      <c r="J1232" t="str">
        <f>HYPERLINK("http://twitter.com/PurrrpHazex3")</f>
        <v>http://twitter.com/PurrrpHazex3</v>
      </c>
      <c r="K1232">
        <v>57</v>
      </c>
      <c r="N1232" t="s">
        <v>65</v>
      </c>
      <c r="R1232" t="s">
        <v>60</v>
      </c>
      <c r="S1232" t="s">
        <v>4575</v>
      </c>
      <c r="T1232" t="s">
        <v>4576</v>
      </c>
      <c r="U1232" t="s">
        <v>4577</v>
      </c>
      <c r="W1232">
        <v>2</v>
      </c>
      <c r="X1232">
        <v>2</v>
      </c>
      <c r="AE1232">
        <v>0</v>
      </c>
      <c r="AF1232">
        <v>0</v>
      </c>
      <c r="AM1232" t="s">
        <v>52</v>
      </c>
      <c r="AN1232" t="s">
        <v>53</v>
      </c>
    </row>
    <row r="1233" spans="1:40">
      <c r="A1233" t="s">
        <v>2370</v>
      </c>
      <c r="B1233" t="s">
        <v>4578</v>
      </c>
      <c r="C1233" t="s">
        <v>4579</v>
      </c>
      <c r="D1233" t="s">
        <v>4580</v>
      </c>
      <c r="E1233" t="s">
        <v>4581</v>
      </c>
      <c r="F1233" t="s">
        <v>45</v>
      </c>
      <c r="G1233" t="str">
        <f>HYPERLINK("https://cryptocoinstribune.com/xoma-xoma-reaches-15-66-after-8-00-down-move-pepsico-pep-sentiment-is-0-94")</f>
        <v>https://cryptocoinstribune.com/xoma-xoma-reaches-15-66-after-8-00-down-move-pepsico-pep-sentiment-is-0-94</v>
      </c>
      <c r="H1233" t="s">
        <v>46</v>
      </c>
      <c r="I1233" t="s">
        <v>4582</v>
      </c>
      <c r="J1233" t="str">
        <f>HYPERLINK("https://cryptocoinstribune.com/xoma-xoma-reaches-15-66-after-8-00-down-move-pepsico-pep-sentiment-is-0-94/")</f>
        <v>https://cryptocoinstribune.com/xoma-xoma-reaches-15-66-after-8-00-down-move-pepsico-pep-sentiment-is-0-94/</v>
      </c>
      <c r="N1233" t="s">
        <v>960</v>
      </c>
      <c r="R1233" t="s">
        <v>357</v>
      </c>
      <c r="S1233" t="s">
        <v>51</v>
      </c>
      <c r="AI1233" t="s">
        <v>52</v>
      </c>
      <c r="AJ1233" t="s">
        <v>52</v>
      </c>
      <c r="AK1233" t="s">
        <v>52</v>
      </c>
      <c r="AL1233" t="str">
        <f>HYPERLINK("http://www.cryptocoinstribune.com/wp-content/uploads/logos/Logos/PEP.png")</f>
        <v>http://www.cryptocoinstribune.com/wp-content/uploads/logos/Logos/PEP.png</v>
      </c>
      <c r="AM1233" t="s">
        <v>52</v>
      </c>
      <c r="AN1233" t="s">
        <v>53</v>
      </c>
    </row>
    <row r="1234" spans="1:40">
      <c r="A1234" t="s">
        <v>2370</v>
      </c>
      <c r="B1234" t="s">
        <v>4583</v>
      </c>
      <c r="C1234" t="s">
        <v>4584</v>
      </c>
      <c r="D1234" t="s">
        <v>52</v>
      </c>
      <c r="E1234" t="s">
        <v>4585</v>
      </c>
      <c r="F1234" t="s">
        <v>45</v>
      </c>
      <c r="G1234" t="str">
        <f>HYPERLINK("https://www.instagram.com/p/BzGx1RWBdyL")</f>
        <v>https://www.instagram.com/p/BzGx1RWBdyL</v>
      </c>
      <c r="H1234" t="s">
        <v>46</v>
      </c>
      <c r="I1234" t="s">
        <v>4586</v>
      </c>
      <c r="J1234" t="str">
        <f>HYPERLINK("http://instagram.com/christina_force")</f>
        <v>http://instagram.com/christina_force</v>
      </c>
      <c r="K1234">
        <v>655</v>
      </c>
      <c r="L1234" t="s">
        <v>58</v>
      </c>
      <c r="N1234" t="s">
        <v>59</v>
      </c>
      <c r="O1234" t="s">
        <v>4586</v>
      </c>
      <c r="P1234" t="str">
        <f>HYPERLINK("http://instagram.com/christina_force")</f>
        <v>http://instagram.com/christina_force</v>
      </c>
      <c r="Q1234">
        <v>655</v>
      </c>
      <c r="R1234" t="s">
        <v>60</v>
      </c>
      <c r="W1234">
        <v>47</v>
      </c>
      <c r="X1234">
        <v>47</v>
      </c>
      <c r="AE1234">
        <v>0</v>
      </c>
      <c r="AI1234" t="s">
        <v>52</v>
      </c>
      <c r="AJ1234" t="s">
        <v>4587</v>
      </c>
      <c r="AK1234" t="s">
        <v>52</v>
      </c>
      <c r="AL1234" t="str">
        <f>HYPERLINK("https://www.instagram.com/p/BzGx1RWBdyL/media/?size=l")</f>
        <v>https://www.instagram.com/p/BzGx1RWBdyL/media/?size=l</v>
      </c>
      <c r="AM1234" t="s">
        <v>52</v>
      </c>
      <c r="AN1234" t="s">
        <v>53</v>
      </c>
    </row>
    <row r="1235" spans="1:40">
      <c r="A1235" t="s">
        <v>2370</v>
      </c>
      <c r="B1235" t="s">
        <v>4588</v>
      </c>
      <c r="C1235" t="s">
        <v>4579</v>
      </c>
      <c r="D1235" t="s">
        <v>52</v>
      </c>
      <c r="E1235" t="s">
        <v>4589</v>
      </c>
      <c r="F1235" t="s">
        <v>45</v>
      </c>
      <c r="G1235" t="str">
        <f>HYPERLINK("https://www.instagram.com/p/BzGxy0mgmLW")</f>
        <v>https://www.instagram.com/p/BzGxy0mgmLW</v>
      </c>
      <c r="H1235" t="s">
        <v>46</v>
      </c>
      <c r="I1235" t="s">
        <v>52</v>
      </c>
      <c r="J1235" t="str">
        <f>HYPERLINK("http://instagram.com/diamond.creationz15")</f>
        <v>http://instagram.com/diamond.creationz15</v>
      </c>
      <c r="K1235">
        <v>1323</v>
      </c>
      <c r="N1235" t="s">
        <v>59</v>
      </c>
      <c r="O1235" t="s">
        <v>52</v>
      </c>
      <c r="P1235" t="str">
        <f>HYPERLINK("http://instagram.com/diamond.creationz15")</f>
        <v>http://instagram.com/diamond.creationz15</v>
      </c>
      <c r="Q1235">
        <v>1323</v>
      </c>
      <c r="R1235" t="s">
        <v>60</v>
      </c>
      <c r="W1235">
        <v>24</v>
      </c>
      <c r="X1235">
        <v>24</v>
      </c>
      <c r="AE1235">
        <v>0</v>
      </c>
      <c r="AI1235" t="s">
        <v>52</v>
      </c>
      <c r="AJ1235" t="s">
        <v>1763</v>
      </c>
      <c r="AK1235" t="s">
        <v>52</v>
      </c>
      <c r="AL1235" t="str">
        <f>HYPERLINK("https://www.instagram.com/p/BzGxy0mgmLW/media/?size=l")</f>
        <v>https://www.instagram.com/p/BzGxy0mgmLW/media/?size=l</v>
      </c>
      <c r="AM1235" t="s">
        <v>52</v>
      </c>
      <c r="AN1235" t="s">
        <v>53</v>
      </c>
    </row>
    <row r="1236" spans="1:40">
      <c r="A1236" t="s">
        <v>2370</v>
      </c>
      <c r="B1236" t="s">
        <v>4590</v>
      </c>
      <c r="C1236" t="s">
        <v>4591</v>
      </c>
      <c r="D1236" t="s">
        <v>52</v>
      </c>
      <c r="E1236" t="s">
        <v>4592</v>
      </c>
      <c r="F1236" t="s">
        <v>45</v>
      </c>
      <c r="G1236" t="str">
        <f>HYPERLINK("https://www.instagram.com/p/BzGxiSnAHm-")</f>
        <v>https://www.instagram.com/p/BzGxiSnAHm-</v>
      </c>
      <c r="H1236" t="s">
        <v>46</v>
      </c>
      <c r="I1236" t="s">
        <v>4593</v>
      </c>
      <c r="J1236" t="str">
        <f>HYPERLINK("http://instagram.com/jinal_shah")</f>
        <v>http://instagram.com/jinal_shah</v>
      </c>
      <c r="K1236">
        <v>766</v>
      </c>
      <c r="N1236" t="s">
        <v>59</v>
      </c>
      <c r="O1236" t="s">
        <v>4593</v>
      </c>
      <c r="P1236" t="str">
        <f>HYPERLINK("http://instagram.com/jinal_shah")</f>
        <v>http://instagram.com/jinal_shah</v>
      </c>
      <c r="Q1236">
        <v>766</v>
      </c>
      <c r="R1236" t="s">
        <v>60</v>
      </c>
      <c r="S1236" t="s">
        <v>4594</v>
      </c>
      <c r="T1236" t="s">
        <v>4595</v>
      </c>
      <c r="U1236" t="s">
        <v>4596</v>
      </c>
      <c r="W1236">
        <v>82</v>
      </c>
      <c r="X1236">
        <v>82</v>
      </c>
      <c r="AE1236">
        <v>9</v>
      </c>
      <c r="AI1236" t="s">
        <v>52</v>
      </c>
      <c r="AJ1236" t="s">
        <v>4597</v>
      </c>
      <c r="AK1236" t="s">
        <v>4598</v>
      </c>
      <c r="AL1236" t="str">
        <f>HYPERLINK("https://www.instagram.com/p/BzGxiSnAHm-/media/?size=l")</f>
        <v>https://www.instagram.com/p/BzGxiSnAHm-/media/?size=l</v>
      </c>
      <c r="AM1236" t="s">
        <v>52</v>
      </c>
      <c r="AN1236" t="s">
        <v>53</v>
      </c>
    </row>
    <row r="1237" spans="1:40">
      <c r="A1237" t="s">
        <v>2370</v>
      </c>
      <c r="B1237" t="s">
        <v>4590</v>
      </c>
      <c r="C1237" t="s">
        <v>4572</v>
      </c>
      <c r="D1237" t="s">
        <v>52</v>
      </c>
      <c r="E1237" t="s">
        <v>4599</v>
      </c>
      <c r="F1237" t="s">
        <v>131</v>
      </c>
      <c r="G1237" t="str">
        <f>HYPERLINK("https://twitter.com/1665685951/status/1143253794081431552")</f>
        <v>https://twitter.com/1665685951/status/1143253794081431552</v>
      </c>
      <c r="H1237" t="s">
        <v>215</v>
      </c>
      <c r="I1237" t="s">
        <v>4600</v>
      </c>
      <c r="J1237" t="str">
        <f>HYPERLINK("http://twitter.com/KimaniRabsatt")</f>
        <v>http://twitter.com/KimaniRabsatt</v>
      </c>
      <c r="K1237">
        <v>22</v>
      </c>
      <c r="N1237" t="s">
        <v>65</v>
      </c>
      <c r="R1237" t="s">
        <v>60</v>
      </c>
      <c r="W1237">
        <v>0</v>
      </c>
      <c r="X1237">
        <v>0</v>
      </c>
      <c r="AE1237">
        <v>0</v>
      </c>
      <c r="AM1237" t="s">
        <v>52</v>
      </c>
      <c r="AN1237" t="s">
        <v>53</v>
      </c>
    </row>
    <row r="1238" spans="1:40">
      <c r="A1238" t="s">
        <v>2370</v>
      </c>
      <c r="B1238" t="s">
        <v>4590</v>
      </c>
      <c r="C1238" t="s">
        <v>4601</v>
      </c>
      <c r="D1238" t="s">
        <v>52</v>
      </c>
      <c r="E1238" t="s">
        <v>4602</v>
      </c>
      <c r="F1238" t="s">
        <v>95</v>
      </c>
      <c r="G1238" t="str">
        <f>HYPERLINK("https://twitter.com/957319204931284992/status/1143253768164782082")</f>
        <v>https://twitter.com/957319204931284992/status/1143253768164782082</v>
      </c>
      <c r="H1238" t="s">
        <v>46</v>
      </c>
      <c r="I1238" t="s">
        <v>4603</v>
      </c>
      <c r="J1238" t="str">
        <f>HYPERLINK("http://twitter.com/john_b257")</f>
        <v>http://twitter.com/john_b257</v>
      </c>
      <c r="K1238">
        <v>57</v>
      </c>
      <c r="L1238" t="s">
        <v>48</v>
      </c>
      <c r="N1238" t="s">
        <v>65</v>
      </c>
      <c r="R1238" t="s">
        <v>60</v>
      </c>
      <c r="S1238" t="s">
        <v>51</v>
      </c>
      <c r="T1238" t="s">
        <v>380</v>
      </c>
      <c r="U1238" t="s">
        <v>4604</v>
      </c>
      <c r="W1238">
        <v>3</v>
      </c>
      <c r="X1238">
        <v>3</v>
      </c>
      <c r="AE1238">
        <v>1</v>
      </c>
      <c r="AF1238">
        <v>0</v>
      </c>
      <c r="AM1238" t="s">
        <v>52</v>
      </c>
      <c r="AN1238" t="s">
        <v>53</v>
      </c>
    </row>
    <row r="1239" spans="1:40">
      <c r="A1239" t="s">
        <v>2370</v>
      </c>
      <c r="B1239" t="s">
        <v>4590</v>
      </c>
      <c r="C1239" t="s">
        <v>4601</v>
      </c>
      <c r="D1239" t="s">
        <v>52</v>
      </c>
      <c r="E1239" t="s">
        <v>4605</v>
      </c>
      <c r="F1239" t="s">
        <v>95</v>
      </c>
      <c r="G1239" t="str">
        <f>HYPERLINK("https://twitter.com/1119284824215310338/status/1143253735101087744")</f>
        <v>https://twitter.com/1119284824215310338/status/1143253735101087744</v>
      </c>
      <c r="H1239" t="s">
        <v>46</v>
      </c>
      <c r="I1239" t="s">
        <v>4606</v>
      </c>
      <c r="J1239" t="str">
        <f>HYPERLINK("http://twitter.com/AishazzAl")</f>
        <v>http://twitter.com/AishazzAl</v>
      </c>
      <c r="K1239">
        <v>57</v>
      </c>
      <c r="N1239" t="s">
        <v>65</v>
      </c>
      <c r="R1239" t="s">
        <v>60</v>
      </c>
      <c r="S1239" t="s">
        <v>432</v>
      </c>
      <c r="W1239">
        <v>0</v>
      </c>
      <c r="X1239">
        <v>0</v>
      </c>
      <c r="AE1239">
        <v>0</v>
      </c>
      <c r="AF1239">
        <v>0</v>
      </c>
      <c r="AM1239" t="s">
        <v>52</v>
      </c>
      <c r="AN1239" t="s">
        <v>53</v>
      </c>
    </row>
    <row r="1240" spans="1:40">
      <c r="A1240" t="s">
        <v>2370</v>
      </c>
      <c r="B1240" t="s">
        <v>4607</v>
      </c>
      <c r="C1240" t="s">
        <v>4608</v>
      </c>
      <c r="D1240" t="s">
        <v>52</v>
      </c>
      <c r="E1240" t="s">
        <v>4609</v>
      </c>
      <c r="F1240" t="s">
        <v>95</v>
      </c>
      <c r="G1240" t="str">
        <f>HYPERLINK("https://twitter.com/1051228051609137152/status/1143253590355644416")</f>
        <v>https://twitter.com/1051228051609137152/status/1143253590355644416</v>
      </c>
      <c r="H1240" t="s">
        <v>46</v>
      </c>
      <c r="I1240" t="s">
        <v>4610</v>
      </c>
      <c r="J1240" t="str">
        <f>HYPERLINK("http://twitter.com/clara_belle333")</f>
        <v>http://twitter.com/clara_belle333</v>
      </c>
      <c r="K1240">
        <v>234</v>
      </c>
      <c r="L1240" t="s">
        <v>58</v>
      </c>
      <c r="N1240" t="s">
        <v>65</v>
      </c>
      <c r="R1240" t="s">
        <v>60</v>
      </c>
      <c r="W1240">
        <v>0</v>
      </c>
      <c r="X1240">
        <v>0</v>
      </c>
      <c r="AE1240">
        <v>0</v>
      </c>
      <c r="AF1240">
        <v>0</v>
      </c>
      <c r="AM1240" t="s">
        <v>52</v>
      </c>
      <c r="AN1240" t="s">
        <v>53</v>
      </c>
    </row>
    <row r="1241" spans="1:40">
      <c r="A1241" t="s">
        <v>2370</v>
      </c>
      <c r="B1241" t="s">
        <v>4607</v>
      </c>
      <c r="C1241" t="s">
        <v>4608</v>
      </c>
      <c r="D1241" t="s">
        <v>52</v>
      </c>
      <c r="E1241" t="s">
        <v>4611</v>
      </c>
      <c r="F1241" t="s">
        <v>45</v>
      </c>
      <c r="G1241" t="str">
        <f>HYPERLINK("https://twitter.com/788452705/status/1143253571733000197")</f>
        <v>https://twitter.com/788452705/status/1143253571733000197</v>
      </c>
      <c r="H1241" t="s">
        <v>46</v>
      </c>
      <c r="I1241" t="s">
        <v>4612</v>
      </c>
      <c r="J1241" t="str">
        <f>HYPERLINK("http://twitter.com/NatureBoundKing")</f>
        <v>http://twitter.com/NatureBoundKing</v>
      </c>
      <c r="K1241">
        <v>503</v>
      </c>
      <c r="N1241" t="s">
        <v>65</v>
      </c>
      <c r="R1241" t="s">
        <v>60</v>
      </c>
      <c r="S1241" t="s">
        <v>1947</v>
      </c>
      <c r="T1241" t="s">
        <v>2484</v>
      </c>
      <c r="U1241" t="s">
        <v>2485</v>
      </c>
      <c r="W1241">
        <v>1</v>
      </c>
      <c r="X1241">
        <v>1</v>
      </c>
      <c r="AE1241">
        <v>2</v>
      </c>
      <c r="AF1241">
        <v>0</v>
      </c>
      <c r="AM1241" t="s">
        <v>52</v>
      </c>
      <c r="AN1241" t="s">
        <v>53</v>
      </c>
    </row>
    <row r="1242" spans="1:40">
      <c r="A1242" t="s">
        <v>2370</v>
      </c>
      <c r="B1242" t="s">
        <v>4607</v>
      </c>
      <c r="C1242" t="s">
        <v>4613</v>
      </c>
      <c r="D1242" t="s">
        <v>52</v>
      </c>
      <c r="E1242" t="s">
        <v>4614</v>
      </c>
      <c r="F1242" t="s">
        <v>45</v>
      </c>
      <c r="G1242" t="str">
        <f>HYPERLINK("https://twitter.com/104831655/status/1143253563763822592")</f>
        <v>https://twitter.com/104831655/status/1143253563763822592</v>
      </c>
      <c r="H1242" t="s">
        <v>46</v>
      </c>
      <c r="I1242" t="s">
        <v>4615</v>
      </c>
      <c r="J1242" t="str">
        <f>HYPERLINK("http://twitter.com/JesusStark11")</f>
        <v>http://twitter.com/JesusStark11</v>
      </c>
      <c r="K1242">
        <v>10932</v>
      </c>
      <c r="L1242" t="s">
        <v>48</v>
      </c>
      <c r="N1242" t="s">
        <v>65</v>
      </c>
      <c r="R1242" t="s">
        <v>60</v>
      </c>
      <c r="S1242" t="s">
        <v>1350</v>
      </c>
      <c r="T1242" t="s">
        <v>4616</v>
      </c>
      <c r="U1242" t="s">
        <v>4617</v>
      </c>
      <c r="W1242">
        <v>4</v>
      </c>
      <c r="X1242">
        <v>4</v>
      </c>
      <c r="AE1242">
        <v>0</v>
      </c>
      <c r="AF1242">
        <v>0</v>
      </c>
      <c r="AM1242" t="s">
        <v>52</v>
      </c>
      <c r="AN1242" t="s">
        <v>53</v>
      </c>
    </row>
    <row r="1243" spans="1:40">
      <c r="A1243" t="s">
        <v>2370</v>
      </c>
      <c r="B1243" t="s">
        <v>4607</v>
      </c>
      <c r="C1243" t="s">
        <v>969</v>
      </c>
      <c r="D1243" t="s">
        <v>4618</v>
      </c>
      <c r="E1243" t="s">
        <v>4619</v>
      </c>
      <c r="F1243" t="s">
        <v>45</v>
      </c>
      <c r="G1243" t="str">
        <f>HYPERLINK("https://www.reddit.com/r/delusionalartists/comments/c4kqte/people_on_this_sub_who_keep_posting_pictures_of/?sort=new#thing_t1_erxok1v")</f>
        <v>https://www.reddit.com/r/delusionalartists/comments/c4kqte/people_on_this_sub_who_keep_posting_pictures_of/?sort=new#thing_t1_erxok1v</v>
      </c>
      <c r="H1243" t="s">
        <v>46</v>
      </c>
      <c r="I1243" t="s">
        <v>4620</v>
      </c>
      <c r="J1243" t="str">
        <f>HYPERLINK("https://www.reddit.com/r/delusionalartists/comments/c4kqte/people_on_this_sub_who_keep_posting_pictures_of/?sort=new#thing_t1_erxok1v")</f>
        <v>https://www.reddit.com/r/delusionalartists/comments/c4kqte/people_on_this_sub_who_keep_posting_pictures_of/?sort=new#thing_t1_erxok1v</v>
      </c>
      <c r="N1243" t="s">
        <v>545</v>
      </c>
      <c r="O1243" t="s">
        <v>4621</v>
      </c>
      <c r="P1243" t="str">
        <f>HYPERLINK("https://www.reddit.com/r/delusionalartists/")</f>
        <v>https://www.reddit.com/r/delusionalartists/</v>
      </c>
      <c r="R1243" t="s">
        <v>516</v>
      </c>
      <c r="S1243" t="s">
        <v>51</v>
      </c>
      <c r="AM1243" t="s">
        <v>52</v>
      </c>
      <c r="AN1243" t="s">
        <v>53</v>
      </c>
    </row>
    <row r="1244" spans="1:40">
      <c r="A1244" t="s">
        <v>2370</v>
      </c>
      <c r="B1244" t="s">
        <v>4622</v>
      </c>
      <c r="C1244" t="s">
        <v>4546</v>
      </c>
      <c r="D1244" t="s">
        <v>52</v>
      </c>
      <c r="E1244" t="s">
        <v>4623</v>
      </c>
      <c r="F1244" t="s">
        <v>45</v>
      </c>
      <c r="G1244" t="str">
        <f>HYPERLINK("https://www.instagram.com/p/BzGxTwmJ-Bn")</f>
        <v>https://www.instagram.com/p/BzGxTwmJ-Bn</v>
      </c>
      <c r="H1244" t="s">
        <v>46</v>
      </c>
      <c r="I1244" t="s">
        <v>4624</v>
      </c>
      <c r="J1244" t="str">
        <f>HYPERLINK("http://instagram.com/fleetstreetwriteup")</f>
        <v>http://instagram.com/fleetstreetwriteup</v>
      </c>
      <c r="K1244">
        <v>4131</v>
      </c>
      <c r="N1244" t="s">
        <v>59</v>
      </c>
      <c r="O1244" t="s">
        <v>4624</v>
      </c>
      <c r="P1244" t="str">
        <f>HYPERLINK("http://instagram.com/fleetstreetwriteup")</f>
        <v>http://instagram.com/fleetstreetwriteup</v>
      </c>
      <c r="Q1244">
        <v>4131</v>
      </c>
      <c r="R1244" t="s">
        <v>60</v>
      </c>
      <c r="S1244" t="s">
        <v>51</v>
      </c>
      <c r="T1244" t="s">
        <v>1669</v>
      </c>
      <c r="U1244" t="s">
        <v>2664</v>
      </c>
      <c r="W1244">
        <v>112</v>
      </c>
      <c r="X1244">
        <v>112</v>
      </c>
      <c r="AE1244">
        <v>10</v>
      </c>
      <c r="AI1244" t="s">
        <v>52</v>
      </c>
      <c r="AJ1244" t="s">
        <v>4625</v>
      </c>
      <c r="AK1244" t="s">
        <v>52</v>
      </c>
      <c r="AL1244" t="str">
        <f>HYPERLINK("https://www.instagram.com/p/BzGxTwmJ-Bn/media/?size=l")</f>
        <v>https://www.instagram.com/p/BzGxTwmJ-Bn/media/?size=l</v>
      </c>
      <c r="AM1244" t="s">
        <v>52</v>
      </c>
      <c r="AN1244" t="s">
        <v>53</v>
      </c>
    </row>
    <row r="1245" spans="1:40">
      <c r="A1245" t="s">
        <v>2370</v>
      </c>
      <c r="B1245" t="s">
        <v>4626</v>
      </c>
      <c r="C1245" t="s">
        <v>4627</v>
      </c>
      <c r="D1245" t="s">
        <v>4628</v>
      </c>
      <c r="E1245" t="s">
        <v>4629</v>
      </c>
      <c r="F1245" t="s">
        <v>45</v>
      </c>
      <c r="G1245" t="str">
        <f>HYPERLINK("https://www.youtube.com/watch?v=moTIZDu_40k")</f>
        <v>https://www.youtube.com/watch?v=moTIZDu_40k</v>
      </c>
      <c r="H1245" t="s">
        <v>46</v>
      </c>
      <c r="I1245" t="s">
        <v>4630</v>
      </c>
      <c r="J1245" t="str">
        <f>HYPERLINK("https://www.youtube.com/channel/UCGAFCewENqBZVA3bG--Sb-w")</f>
        <v>https://www.youtube.com/channel/UCGAFCewENqBZVA3bG--Sb-w</v>
      </c>
      <c r="K1245">
        <v>273</v>
      </c>
      <c r="N1245" t="s">
        <v>116</v>
      </c>
      <c r="O1245" t="s">
        <v>4630</v>
      </c>
      <c r="P1245" t="str">
        <f>HYPERLINK("https://www.youtube.com/channel/UCGAFCewENqBZVA3bG--Sb-w")</f>
        <v>https://www.youtube.com/channel/UCGAFCewENqBZVA3bG--Sb-w</v>
      </c>
      <c r="Q1245">
        <v>273</v>
      </c>
      <c r="R1245" t="s">
        <v>60</v>
      </c>
      <c r="W1245">
        <v>1</v>
      </c>
      <c r="X1245">
        <v>1</v>
      </c>
      <c r="AD1245">
        <v>0</v>
      </c>
      <c r="AE1245">
        <v>0</v>
      </c>
      <c r="AG1245">
        <v>147</v>
      </c>
      <c r="AI1245" t="s">
        <v>52</v>
      </c>
      <c r="AJ1245" t="s">
        <v>52</v>
      </c>
      <c r="AK1245" t="s">
        <v>680</v>
      </c>
      <c r="AL1245" t="str">
        <f>HYPERLINK("https://i.ytimg.com/vi/moTIZDu_40k/sddefault.jpg")</f>
        <v>https://i.ytimg.com/vi/moTIZDu_40k/sddefault.jpg</v>
      </c>
      <c r="AM1245" t="s">
        <v>52</v>
      </c>
      <c r="AN1245" t="s">
        <v>53</v>
      </c>
    </row>
    <row r="1246" spans="1:40">
      <c r="A1246" t="s">
        <v>2370</v>
      </c>
      <c r="B1246" t="s">
        <v>4626</v>
      </c>
      <c r="C1246" t="s">
        <v>3186</v>
      </c>
      <c r="D1246" t="s">
        <v>3234</v>
      </c>
      <c r="E1246" t="s">
        <v>4631</v>
      </c>
      <c r="F1246" t="s">
        <v>45</v>
      </c>
      <c r="G1246" t="str">
        <f>HYPERLINK("https://forums.battlefield.com/en-us/discussion/188457/bfv-is-a-campy-try-hard-insta-death-bore/p17#Comment_1562651")</f>
        <v>https://forums.battlefield.com/en-us/discussion/188457/bfv-is-a-campy-try-hard-insta-death-bore/p17#Comment_1562651</v>
      </c>
      <c r="H1246" t="s">
        <v>46</v>
      </c>
      <c r="I1246" t="s">
        <v>4632</v>
      </c>
      <c r="J1246" t="str">
        <f>HYPERLINK("https://forums.battlefield.com/en-us/discussion/188457/bfv-is-a-campy-try-hard-insta-death-bore/p17#Comment_1562651")</f>
        <v>https://forums.battlefield.com/en-us/discussion/188457/bfv-is-a-campy-try-hard-insta-death-bore/p17#Comment_1562651</v>
      </c>
      <c r="N1246" t="s">
        <v>3237</v>
      </c>
      <c r="O1246" t="s">
        <v>3238</v>
      </c>
      <c r="P1246" t="str">
        <f>HYPERLINK("https://forums.battlefield.com/en-us/categories/battlefield-v-general-discussion")</f>
        <v>https://forums.battlefield.com/en-us/categories/battlefield-v-general-discussion</v>
      </c>
      <c r="R1246" t="s">
        <v>516</v>
      </c>
      <c r="S1246" t="s">
        <v>51</v>
      </c>
      <c r="AM1246" t="s">
        <v>52</v>
      </c>
      <c r="AN1246" t="s">
        <v>53</v>
      </c>
    </row>
    <row r="1247" spans="1:40">
      <c r="A1247" t="s">
        <v>2370</v>
      </c>
      <c r="B1247" t="s">
        <v>4633</v>
      </c>
      <c r="C1247" t="s">
        <v>4634</v>
      </c>
      <c r="D1247" t="s">
        <v>52</v>
      </c>
      <c r="E1247" t="s">
        <v>130</v>
      </c>
      <c r="F1247" t="s">
        <v>131</v>
      </c>
      <c r="G1247" t="str">
        <f>HYPERLINK("https://twitter.com/1031453188132618240/status/1143251827040948228")</f>
        <v>https://twitter.com/1031453188132618240/status/1143251827040948228</v>
      </c>
      <c r="H1247" t="s">
        <v>46</v>
      </c>
      <c r="I1247" t="s">
        <v>4635</v>
      </c>
      <c r="J1247" t="str">
        <f>HYPERLINK("http://twitter.com/Poppybish")</f>
        <v>http://twitter.com/Poppybish</v>
      </c>
      <c r="K1247">
        <v>638</v>
      </c>
      <c r="N1247" t="s">
        <v>65</v>
      </c>
      <c r="R1247" t="s">
        <v>60</v>
      </c>
      <c r="W1247">
        <v>0</v>
      </c>
      <c r="X1247">
        <v>0</v>
      </c>
      <c r="AE1247">
        <v>0</v>
      </c>
      <c r="AI1247" t="s">
        <v>108</v>
      </c>
      <c r="AJ1247" t="s">
        <v>52</v>
      </c>
      <c r="AK1247" t="s">
        <v>52</v>
      </c>
      <c r="AL1247" t="str">
        <f>HYPERLINK("https://pbs.twimg.com/media/D9XTkLWW4AAOYnJ.jpg")</f>
        <v>https://pbs.twimg.com/media/D9XTkLWW4AAOYnJ.jpg</v>
      </c>
      <c r="AM1247" t="s">
        <v>52</v>
      </c>
      <c r="AN1247" t="s">
        <v>53</v>
      </c>
    </row>
    <row r="1248" spans="1:40">
      <c r="A1248" t="s">
        <v>2370</v>
      </c>
      <c r="B1248" t="s">
        <v>4636</v>
      </c>
      <c r="C1248" t="s">
        <v>4627</v>
      </c>
      <c r="D1248" t="s">
        <v>52</v>
      </c>
      <c r="E1248" t="s">
        <v>1194</v>
      </c>
      <c r="F1248" t="s">
        <v>131</v>
      </c>
      <c r="G1248" t="str">
        <f>HYPERLINK("https://twitter.com/383898839/status/1143251685231476736")</f>
        <v>https://twitter.com/383898839/status/1143251685231476736</v>
      </c>
      <c r="H1248" t="s">
        <v>46</v>
      </c>
      <c r="I1248" t="s">
        <v>4637</v>
      </c>
      <c r="J1248" t="str">
        <f>HYPERLINK("http://twitter.com/hendoh_")</f>
        <v>http://twitter.com/hendoh_</v>
      </c>
      <c r="K1248">
        <v>756</v>
      </c>
      <c r="N1248" t="s">
        <v>65</v>
      </c>
      <c r="R1248" t="s">
        <v>60</v>
      </c>
      <c r="W1248">
        <v>0</v>
      </c>
      <c r="X1248">
        <v>0</v>
      </c>
      <c r="AE1248">
        <v>0</v>
      </c>
      <c r="AI1248" t="s">
        <v>52</v>
      </c>
      <c r="AJ1248" t="s">
        <v>1196</v>
      </c>
      <c r="AK1248" t="s">
        <v>52</v>
      </c>
      <c r="AL1248" t="str">
        <f>HYPERLINK("https://pbs.twimg.com/media/D9xgk2YXkAAd2ql.jpg")</f>
        <v>https://pbs.twimg.com/media/D9xgk2YXkAAd2ql.jpg</v>
      </c>
      <c r="AM1248" t="s">
        <v>52</v>
      </c>
      <c r="AN1248" t="s">
        <v>53</v>
      </c>
    </row>
    <row r="1249" spans="1:40">
      <c r="A1249" t="s">
        <v>2370</v>
      </c>
      <c r="B1249" t="s">
        <v>4636</v>
      </c>
      <c r="C1249" t="s">
        <v>4634</v>
      </c>
      <c r="D1249" t="s">
        <v>52</v>
      </c>
      <c r="E1249" t="s">
        <v>4638</v>
      </c>
      <c r="F1249" t="s">
        <v>45</v>
      </c>
      <c r="G1249" t="str">
        <f>HYPERLINK("https://twitter.com/626751152/status/1143251651777708032")</f>
        <v>https://twitter.com/626751152/status/1143251651777708032</v>
      </c>
      <c r="H1249" t="s">
        <v>46</v>
      </c>
      <c r="I1249" t="s">
        <v>4639</v>
      </c>
      <c r="J1249" t="str">
        <f>HYPERLINK("http://twitter.com/Wonderwoop")</f>
        <v>http://twitter.com/Wonderwoop</v>
      </c>
      <c r="K1249">
        <v>136</v>
      </c>
      <c r="L1249" t="s">
        <v>48</v>
      </c>
      <c r="N1249" t="s">
        <v>65</v>
      </c>
      <c r="R1249" t="s">
        <v>60</v>
      </c>
      <c r="S1249" t="s">
        <v>1524</v>
      </c>
      <c r="T1249" t="s">
        <v>1525</v>
      </c>
      <c r="U1249" t="s">
        <v>4640</v>
      </c>
      <c r="W1249">
        <v>0</v>
      </c>
      <c r="X1249">
        <v>0</v>
      </c>
      <c r="AE1249">
        <v>0</v>
      </c>
      <c r="AF1249">
        <v>0</v>
      </c>
      <c r="AM1249" t="s">
        <v>52</v>
      </c>
      <c r="AN1249" t="s">
        <v>53</v>
      </c>
    </row>
    <row r="1250" spans="1:40">
      <c r="A1250" t="s">
        <v>2370</v>
      </c>
      <c r="B1250" t="s">
        <v>4636</v>
      </c>
      <c r="C1250" t="s">
        <v>4634</v>
      </c>
      <c r="D1250" t="s">
        <v>52</v>
      </c>
      <c r="E1250" t="s">
        <v>4641</v>
      </c>
      <c r="F1250" t="s">
        <v>95</v>
      </c>
      <c r="G1250" t="str">
        <f>HYPERLINK("https://twitter.com/3081971468/status/1143251642180984833")</f>
        <v>https://twitter.com/3081971468/status/1143251642180984833</v>
      </c>
      <c r="H1250" t="s">
        <v>46</v>
      </c>
      <c r="I1250" t="s">
        <v>4642</v>
      </c>
      <c r="J1250" t="str">
        <f>HYPERLINK("http://twitter.com/cloneboys")</f>
        <v>http://twitter.com/cloneboys</v>
      </c>
      <c r="K1250">
        <v>445</v>
      </c>
      <c r="N1250" t="s">
        <v>65</v>
      </c>
      <c r="R1250" t="s">
        <v>60</v>
      </c>
      <c r="S1250" t="s">
        <v>1947</v>
      </c>
      <c r="T1250" t="s">
        <v>2484</v>
      </c>
      <c r="U1250" t="s">
        <v>2485</v>
      </c>
      <c r="W1250">
        <v>0</v>
      </c>
      <c r="X1250">
        <v>0</v>
      </c>
      <c r="AE1250">
        <v>1</v>
      </c>
      <c r="AF1250">
        <v>0</v>
      </c>
      <c r="AM1250" t="s">
        <v>52</v>
      </c>
      <c r="AN1250" t="s">
        <v>53</v>
      </c>
    </row>
    <row r="1251" spans="1:40">
      <c r="A1251" t="s">
        <v>2370</v>
      </c>
      <c r="B1251" t="s">
        <v>4636</v>
      </c>
      <c r="C1251" t="s">
        <v>4643</v>
      </c>
      <c r="D1251" t="s">
        <v>52</v>
      </c>
      <c r="E1251" t="s">
        <v>4644</v>
      </c>
      <c r="F1251" t="s">
        <v>131</v>
      </c>
      <c r="G1251" t="str">
        <f>HYPERLINK("https://twitter.com/93776196/status/1143251608525893632")</f>
        <v>https://twitter.com/93776196/status/1143251608525893632</v>
      </c>
      <c r="H1251" t="s">
        <v>46</v>
      </c>
      <c r="I1251" t="s">
        <v>4645</v>
      </c>
      <c r="J1251" t="str">
        <f>HYPERLINK("http://twitter.com/H4ppyM3t4l")</f>
        <v>http://twitter.com/H4ppyM3t4l</v>
      </c>
      <c r="K1251">
        <v>12</v>
      </c>
      <c r="N1251" t="s">
        <v>65</v>
      </c>
      <c r="R1251" t="s">
        <v>60</v>
      </c>
      <c r="W1251">
        <v>0</v>
      </c>
      <c r="X1251">
        <v>0</v>
      </c>
      <c r="AE1251">
        <v>0</v>
      </c>
      <c r="AI1251" t="s">
        <v>52</v>
      </c>
      <c r="AJ1251" t="s">
        <v>52</v>
      </c>
      <c r="AK1251" t="s">
        <v>4646</v>
      </c>
      <c r="AL1251" t="str">
        <f>HYPERLINK("https://pbs.twimg.com/ext_tw_video_thumb/1142074791911931904/pu/img/kF_YijuGYe1nM7Of.jpg")</f>
        <v>https://pbs.twimg.com/ext_tw_video_thumb/1142074791911931904/pu/img/kF_YijuGYe1nM7Of.jpg</v>
      </c>
      <c r="AM1251" t="s">
        <v>52</v>
      </c>
      <c r="AN1251" t="s">
        <v>53</v>
      </c>
    </row>
    <row r="1252" spans="1:40">
      <c r="A1252" t="s">
        <v>2370</v>
      </c>
      <c r="B1252" t="s">
        <v>4636</v>
      </c>
      <c r="C1252" t="s">
        <v>4643</v>
      </c>
      <c r="D1252" t="s">
        <v>52</v>
      </c>
      <c r="E1252" t="s">
        <v>130</v>
      </c>
      <c r="F1252" t="s">
        <v>131</v>
      </c>
      <c r="G1252" t="str">
        <f>HYPERLINK("https://twitter.com/219592257/status/1143251589576253442")</f>
        <v>https://twitter.com/219592257/status/1143251589576253442</v>
      </c>
      <c r="H1252" t="s">
        <v>46</v>
      </c>
      <c r="I1252" t="s">
        <v>4647</v>
      </c>
      <c r="J1252" t="str">
        <f>HYPERLINK("http://twitter.com/zippedup75")</f>
        <v>http://twitter.com/zippedup75</v>
      </c>
      <c r="K1252">
        <v>247</v>
      </c>
      <c r="L1252" t="s">
        <v>58</v>
      </c>
      <c r="N1252" t="s">
        <v>65</v>
      </c>
      <c r="R1252" t="s">
        <v>60</v>
      </c>
      <c r="S1252" t="s">
        <v>97</v>
      </c>
      <c r="T1252" t="s">
        <v>177</v>
      </c>
      <c r="W1252">
        <v>0</v>
      </c>
      <c r="X1252">
        <v>0</v>
      </c>
      <c r="AE1252">
        <v>0</v>
      </c>
      <c r="AI1252" t="s">
        <v>108</v>
      </c>
      <c r="AJ1252" t="s">
        <v>52</v>
      </c>
      <c r="AK1252" t="s">
        <v>52</v>
      </c>
      <c r="AL1252" t="str">
        <f>HYPERLINK("https://pbs.twimg.com/media/D9XTkLWW4AAOYnJ.jpg")</f>
        <v>https://pbs.twimg.com/media/D9XTkLWW4AAOYnJ.jpg</v>
      </c>
      <c r="AM1252" t="s">
        <v>52</v>
      </c>
      <c r="AN1252" t="s">
        <v>53</v>
      </c>
    </row>
    <row r="1253" spans="1:40">
      <c r="A1253" t="s">
        <v>2370</v>
      </c>
      <c r="B1253" t="s">
        <v>4636</v>
      </c>
      <c r="C1253" t="s">
        <v>4648</v>
      </c>
      <c r="D1253" t="s">
        <v>52</v>
      </c>
      <c r="E1253" t="s">
        <v>4649</v>
      </c>
      <c r="F1253" t="s">
        <v>45</v>
      </c>
      <c r="G1253" t="str">
        <f>HYPERLINK("https://www.instagram.com/p/BzGwfZTlog8")</f>
        <v>https://www.instagram.com/p/BzGwfZTlog8</v>
      </c>
      <c r="H1253" t="s">
        <v>46</v>
      </c>
      <c r="I1253" t="s">
        <v>4650</v>
      </c>
      <c r="J1253" t="str">
        <f>HYPERLINK("http://instagram.com/urfavnichee")</f>
        <v>http://instagram.com/urfavnichee</v>
      </c>
      <c r="K1253">
        <v>0</v>
      </c>
      <c r="N1253" t="s">
        <v>59</v>
      </c>
      <c r="O1253" t="s">
        <v>4650</v>
      </c>
      <c r="P1253" t="str">
        <f>HYPERLINK("http://instagram.com/urfavnichee")</f>
        <v>http://instagram.com/urfavnichee</v>
      </c>
      <c r="Q1253">
        <v>0</v>
      </c>
      <c r="R1253" t="s">
        <v>60</v>
      </c>
      <c r="W1253">
        <v>20</v>
      </c>
      <c r="X1253">
        <v>20</v>
      </c>
      <c r="AE1253">
        <v>1</v>
      </c>
      <c r="AI1253" t="s">
        <v>108</v>
      </c>
      <c r="AJ1253" t="s">
        <v>3626</v>
      </c>
      <c r="AK1253" t="s">
        <v>52</v>
      </c>
      <c r="AL1253" t="str">
        <f>HYPERLINK("https://www.instagram.com/p/BzGwfZTlog8/media/?size=l")</f>
        <v>https://www.instagram.com/p/BzGwfZTlog8/media/?size=l</v>
      </c>
      <c r="AM1253" t="s">
        <v>52</v>
      </c>
      <c r="AN1253" t="s">
        <v>53</v>
      </c>
    </row>
    <row r="1254" spans="1:40">
      <c r="A1254" t="s">
        <v>2370</v>
      </c>
      <c r="B1254" t="s">
        <v>4636</v>
      </c>
      <c r="C1254" t="s">
        <v>4651</v>
      </c>
      <c r="D1254" t="s">
        <v>52</v>
      </c>
      <c r="E1254" t="s">
        <v>4652</v>
      </c>
      <c r="F1254" t="s">
        <v>45</v>
      </c>
      <c r="G1254" t="str">
        <f>HYPERLINK("https://twitter.com/973237135225556993/status/1143251517560053763")</f>
        <v>https://twitter.com/973237135225556993/status/1143251517560053763</v>
      </c>
      <c r="H1254" t="s">
        <v>46</v>
      </c>
      <c r="I1254" t="s">
        <v>4653</v>
      </c>
      <c r="J1254" t="str">
        <f>HYPERLINK("http://twitter.com/delasoul2018")</f>
        <v>http://twitter.com/delasoul2018</v>
      </c>
      <c r="K1254">
        <v>1094</v>
      </c>
      <c r="N1254" t="s">
        <v>65</v>
      </c>
      <c r="R1254" t="s">
        <v>60</v>
      </c>
      <c r="S1254" t="s">
        <v>51</v>
      </c>
      <c r="T1254" t="s">
        <v>497</v>
      </c>
      <c r="U1254" t="s">
        <v>2845</v>
      </c>
      <c r="W1254">
        <v>0</v>
      </c>
      <c r="X1254">
        <v>0</v>
      </c>
      <c r="AE1254">
        <v>0</v>
      </c>
      <c r="AF1254">
        <v>0</v>
      </c>
      <c r="AM1254" t="s">
        <v>52</v>
      </c>
      <c r="AN1254" t="s">
        <v>53</v>
      </c>
    </row>
    <row r="1255" spans="1:40">
      <c r="A1255" t="s">
        <v>2370</v>
      </c>
      <c r="B1255" t="s">
        <v>4636</v>
      </c>
      <c r="C1255" t="s">
        <v>4651</v>
      </c>
      <c r="D1255" t="s">
        <v>52</v>
      </c>
      <c r="E1255" t="s">
        <v>4654</v>
      </c>
      <c r="F1255" t="s">
        <v>95</v>
      </c>
      <c r="G1255" t="str">
        <f>HYPERLINK("https://twitter.com/748598073060917249/status/1143251515433467904")</f>
        <v>https://twitter.com/748598073060917249/status/1143251515433467904</v>
      </c>
      <c r="H1255" t="s">
        <v>215</v>
      </c>
      <c r="I1255" t="s">
        <v>4655</v>
      </c>
      <c r="J1255" t="str">
        <f>HYPERLINK("http://twitter.com/MayersErika")</f>
        <v>http://twitter.com/MayersErika</v>
      </c>
      <c r="K1255">
        <v>22</v>
      </c>
      <c r="L1255" t="s">
        <v>58</v>
      </c>
      <c r="N1255" t="s">
        <v>65</v>
      </c>
      <c r="R1255" t="s">
        <v>60</v>
      </c>
      <c r="W1255">
        <v>0</v>
      </c>
      <c r="X1255">
        <v>0</v>
      </c>
      <c r="AE1255">
        <v>0</v>
      </c>
      <c r="AF1255">
        <v>0</v>
      </c>
      <c r="AM1255" t="s">
        <v>52</v>
      </c>
      <c r="AN1255" t="s">
        <v>53</v>
      </c>
    </row>
    <row r="1256" spans="1:40">
      <c r="A1256" t="s">
        <v>2370</v>
      </c>
      <c r="B1256" t="s">
        <v>4656</v>
      </c>
      <c r="C1256" t="s">
        <v>4657</v>
      </c>
      <c r="D1256" t="s">
        <v>52</v>
      </c>
      <c r="E1256" t="s">
        <v>4658</v>
      </c>
      <c r="F1256" t="s">
        <v>45</v>
      </c>
      <c r="G1256" t="str">
        <f>HYPERLINK("https://www.instagram.com/p/BzGwJonBqm2")</f>
        <v>https://www.instagram.com/p/BzGwJonBqm2</v>
      </c>
      <c r="H1256" t="s">
        <v>46</v>
      </c>
      <c r="I1256" t="s">
        <v>3125</v>
      </c>
      <c r="J1256" t="str">
        <f>HYPERLINK("http://instagram.com/spicysweetchillidoritos_")</f>
        <v>http://instagram.com/spicysweetchillidoritos_</v>
      </c>
      <c r="K1256">
        <v>52</v>
      </c>
      <c r="N1256" t="s">
        <v>59</v>
      </c>
      <c r="O1256" t="s">
        <v>3125</v>
      </c>
      <c r="P1256" t="str">
        <f>HYPERLINK("http://instagram.com/spicysweetchillidoritos_")</f>
        <v>http://instagram.com/spicysweetchillidoritos_</v>
      </c>
      <c r="Q1256">
        <v>52</v>
      </c>
      <c r="R1256" t="s">
        <v>60</v>
      </c>
      <c r="W1256">
        <v>11</v>
      </c>
      <c r="X1256">
        <v>11</v>
      </c>
      <c r="AE1256">
        <v>1</v>
      </c>
      <c r="AI1256" t="s">
        <v>52</v>
      </c>
      <c r="AJ1256" t="s">
        <v>52</v>
      </c>
      <c r="AK1256" t="s">
        <v>52</v>
      </c>
      <c r="AL1256" t="str">
        <f>HYPERLINK("https://www.instagram.com/p/BzGwJonBqm2/media/?size=l")</f>
        <v>https://www.instagram.com/p/BzGwJonBqm2/media/?size=l</v>
      </c>
      <c r="AM1256" t="s">
        <v>52</v>
      </c>
      <c r="AN1256" t="s">
        <v>53</v>
      </c>
    </row>
    <row r="1257" spans="1:40">
      <c r="A1257" t="s">
        <v>2370</v>
      </c>
      <c r="B1257" t="s">
        <v>4656</v>
      </c>
      <c r="C1257" t="s">
        <v>4634</v>
      </c>
      <c r="D1257" t="s">
        <v>52</v>
      </c>
      <c r="E1257" t="s">
        <v>4659</v>
      </c>
      <c r="F1257" t="s">
        <v>45</v>
      </c>
      <c r="G1257" t="str">
        <f>HYPERLINK("https://www.instagram.com/p/BzGwGkfguBX")</f>
        <v>https://www.instagram.com/p/BzGwGkfguBX</v>
      </c>
      <c r="H1257" t="s">
        <v>46</v>
      </c>
      <c r="I1257" t="s">
        <v>4660</v>
      </c>
      <c r="J1257" t="str">
        <f>HYPERLINK("http://instagram.com/mrsbrunning")</f>
        <v>http://instagram.com/mrsbrunning</v>
      </c>
      <c r="K1257">
        <v>73</v>
      </c>
      <c r="N1257" t="s">
        <v>59</v>
      </c>
      <c r="O1257" t="s">
        <v>4660</v>
      </c>
      <c r="P1257" t="str">
        <f>HYPERLINK("http://instagram.com/mrsbrunning")</f>
        <v>http://instagram.com/mrsbrunning</v>
      </c>
      <c r="Q1257">
        <v>73</v>
      </c>
      <c r="R1257" t="s">
        <v>60</v>
      </c>
      <c r="W1257">
        <v>43</v>
      </c>
      <c r="X1257">
        <v>43</v>
      </c>
      <c r="AE1257">
        <v>3</v>
      </c>
      <c r="AI1257" t="s">
        <v>52</v>
      </c>
      <c r="AJ1257" t="s">
        <v>4661</v>
      </c>
      <c r="AK1257" t="s">
        <v>4662</v>
      </c>
      <c r="AL1257" t="str">
        <f>HYPERLINK("https://www.instagram.com/p/BzGwGkfguBX/media/?size=l")</f>
        <v>https://www.instagram.com/p/BzGwGkfguBX/media/?size=l</v>
      </c>
      <c r="AM1257" t="s">
        <v>52</v>
      </c>
      <c r="AN1257" t="s">
        <v>53</v>
      </c>
    </row>
    <row r="1258" spans="1:40">
      <c r="A1258" t="s">
        <v>2370</v>
      </c>
      <c r="B1258" t="s">
        <v>4663</v>
      </c>
      <c r="C1258" t="s">
        <v>3256</v>
      </c>
      <c r="D1258" t="s">
        <v>4664</v>
      </c>
      <c r="E1258" t="s">
        <v>4665</v>
      </c>
      <c r="F1258" t="s">
        <v>45</v>
      </c>
      <c r="G1258" t="str">
        <f>HYPERLINK("https://www.mumsnet.com/Talk/am_i_being_unreasonable/3617374-To-eat-nothing-but-crisps-for-a-week-Would-I-die?pg=12#88063727")</f>
        <v>https://www.mumsnet.com/Talk/am_i_being_unreasonable/3617374-To-eat-nothing-but-crisps-for-a-week-Would-I-die?pg=12#88063727</v>
      </c>
      <c r="H1258" t="s">
        <v>46</v>
      </c>
      <c r="I1258" t="s">
        <v>4666</v>
      </c>
      <c r="J1258" t="str">
        <f>HYPERLINK("https://www.mumsnet.com/Talk/am_i_being_unreasonable/3617374-To-eat-nothing-but-crisps-for-a-week-Would-I-die?pg=12#88063727")</f>
        <v>https://www.mumsnet.com/Talk/am_i_being_unreasonable/3617374-To-eat-nothing-but-crisps-for-a-week-Would-I-die?pg=12#88063727</v>
      </c>
      <c r="N1258" t="s">
        <v>4667</v>
      </c>
      <c r="O1258" t="s">
        <v>4668</v>
      </c>
      <c r="P1258" t="str">
        <f>HYPERLINK("https://www.mumsnet.com/Talk/am_i_being_unreasonable")</f>
        <v>https://www.mumsnet.com/Talk/am_i_being_unreasonable</v>
      </c>
      <c r="R1258" t="s">
        <v>516</v>
      </c>
      <c r="S1258" t="s">
        <v>97</v>
      </c>
      <c r="AM1258" t="s">
        <v>52</v>
      </c>
      <c r="AN1258" t="s">
        <v>53</v>
      </c>
    </row>
    <row r="1259" spans="1:40">
      <c r="A1259" t="s">
        <v>2370</v>
      </c>
      <c r="B1259" t="s">
        <v>4669</v>
      </c>
      <c r="C1259" t="s">
        <v>4608</v>
      </c>
      <c r="D1259" t="s">
        <v>52</v>
      </c>
      <c r="E1259" t="s">
        <v>4670</v>
      </c>
      <c r="F1259" t="s">
        <v>45</v>
      </c>
      <c r="G1259" t="str">
        <f>HYPERLINK("https://www.instagram.com/p/BzGvykqjujc")</f>
        <v>https://www.instagram.com/p/BzGvykqjujc</v>
      </c>
      <c r="H1259" t="s">
        <v>46</v>
      </c>
      <c r="I1259" t="s">
        <v>4671</v>
      </c>
      <c r="J1259" t="str">
        <f>HYPERLINK("http://instagram.com/viveremkm")</f>
        <v>http://instagram.com/viveremkm</v>
      </c>
      <c r="K1259">
        <v>1632</v>
      </c>
      <c r="N1259" t="s">
        <v>59</v>
      </c>
      <c r="O1259" t="s">
        <v>4671</v>
      </c>
      <c r="P1259" t="str">
        <f>HYPERLINK("http://instagram.com/viveremkm")</f>
        <v>http://instagram.com/viveremkm</v>
      </c>
      <c r="Q1259">
        <v>1632</v>
      </c>
      <c r="R1259" t="s">
        <v>60</v>
      </c>
      <c r="S1259" t="s">
        <v>710</v>
      </c>
      <c r="T1259" t="s">
        <v>4672</v>
      </c>
      <c r="U1259" t="s">
        <v>4673</v>
      </c>
      <c r="W1259">
        <v>56</v>
      </c>
      <c r="X1259">
        <v>56</v>
      </c>
      <c r="AE1259">
        <v>0</v>
      </c>
      <c r="AI1259" t="s">
        <v>108</v>
      </c>
      <c r="AJ1259" t="s">
        <v>52</v>
      </c>
      <c r="AK1259" t="s">
        <v>273</v>
      </c>
      <c r="AL1259" t="str">
        <f>HYPERLINK("https://www.instagram.com/p/BzGvykqjujc/media/?size=l")</f>
        <v>https://www.instagram.com/p/BzGvykqjujc/media/?size=l</v>
      </c>
      <c r="AM1259" t="s">
        <v>52</v>
      </c>
      <c r="AN1259" t="s">
        <v>53</v>
      </c>
    </row>
    <row r="1260" spans="1:40">
      <c r="A1260" t="s">
        <v>2370</v>
      </c>
      <c r="B1260" t="s">
        <v>4674</v>
      </c>
      <c r="C1260" t="s">
        <v>4675</v>
      </c>
      <c r="D1260" t="s">
        <v>52</v>
      </c>
      <c r="E1260" t="s">
        <v>4676</v>
      </c>
      <c r="F1260" t="s">
        <v>45</v>
      </c>
      <c r="G1260" t="str">
        <f>HYPERLINK("https://twitter.com/1113630879497297920/status/1143249880128921600")</f>
        <v>https://twitter.com/1113630879497297920/status/1143249880128921600</v>
      </c>
      <c r="H1260" t="s">
        <v>46</v>
      </c>
      <c r="I1260" t="s">
        <v>52</v>
      </c>
      <c r="J1260" t="str">
        <f>HYPERLINK("http://twitter.com/saddgirlstacyy")</f>
        <v>http://twitter.com/saddgirlstacyy</v>
      </c>
      <c r="K1260">
        <v>25</v>
      </c>
      <c r="N1260" t="s">
        <v>65</v>
      </c>
      <c r="R1260" t="s">
        <v>60</v>
      </c>
      <c r="W1260">
        <v>1</v>
      </c>
      <c r="X1260">
        <v>1</v>
      </c>
      <c r="AE1260">
        <v>0</v>
      </c>
      <c r="AF1260">
        <v>0</v>
      </c>
      <c r="AM1260" t="s">
        <v>52</v>
      </c>
      <c r="AN1260" t="s">
        <v>53</v>
      </c>
    </row>
    <row r="1261" spans="1:40">
      <c r="A1261" t="s">
        <v>2370</v>
      </c>
      <c r="B1261" t="s">
        <v>4677</v>
      </c>
      <c r="C1261" t="s">
        <v>4678</v>
      </c>
      <c r="D1261" t="s">
        <v>52</v>
      </c>
      <c r="E1261" t="s">
        <v>4679</v>
      </c>
      <c r="F1261" t="s">
        <v>45</v>
      </c>
      <c r="G1261" t="str">
        <f>HYPERLINK("https://www.instagram.com/p/BzGvlysgB9R")</f>
        <v>https://www.instagram.com/p/BzGvlysgB9R</v>
      </c>
      <c r="H1261" t="s">
        <v>46</v>
      </c>
      <c r="I1261" t="s">
        <v>4680</v>
      </c>
      <c r="J1261" t="str">
        <f>HYPERLINK("http://instagram.com/_.niche_.xo")</f>
        <v>http://instagram.com/_.niche_.xo</v>
      </c>
      <c r="K1261">
        <v>69</v>
      </c>
      <c r="N1261" t="s">
        <v>59</v>
      </c>
      <c r="O1261" t="s">
        <v>4680</v>
      </c>
      <c r="P1261" t="str">
        <f>HYPERLINK("http://instagram.com/_.niche_.xo")</f>
        <v>http://instagram.com/_.niche_.xo</v>
      </c>
      <c r="Q1261">
        <v>69</v>
      </c>
      <c r="R1261" t="s">
        <v>60</v>
      </c>
      <c r="W1261">
        <v>15</v>
      </c>
      <c r="X1261">
        <v>15</v>
      </c>
      <c r="AE1261">
        <v>9</v>
      </c>
      <c r="AI1261" t="s">
        <v>4681</v>
      </c>
      <c r="AJ1261" t="s">
        <v>52</v>
      </c>
      <c r="AK1261" t="s">
        <v>52</v>
      </c>
      <c r="AL1261" t="str">
        <f>HYPERLINK("https://www.instagram.com/p/BzGvlysgB9R/media/?size=l")</f>
        <v>https://www.instagram.com/p/BzGvlysgB9R/media/?size=l</v>
      </c>
      <c r="AM1261" t="s">
        <v>52</v>
      </c>
      <c r="AN1261" t="s">
        <v>53</v>
      </c>
    </row>
    <row r="1262" spans="1:40">
      <c r="A1262" t="s">
        <v>2370</v>
      </c>
      <c r="B1262" t="s">
        <v>4682</v>
      </c>
      <c r="C1262" t="s">
        <v>4478</v>
      </c>
      <c r="D1262" t="s">
        <v>52</v>
      </c>
      <c r="E1262" t="s">
        <v>4683</v>
      </c>
      <c r="F1262" t="s">
        <v>45</v>
      </c>
      <c r="G1262" t="str">
        <f>HYPERLINK("https://www.instagram.com/p/BzGvgs6BRAU")</f>
        <v>https://www.instagram.com/p/BzGvgs6BRAU</v>
      </c>
      <c r="H1262" t="s">
        <v>46</v>
      </c>
      <c r="I1262" t="s">
        <v>4684</v>
      </c>
      <c r="J1262" t="str">
        <f>HYPERLINK("http://instagram.com/jo_talbot44_sw")</f>
        <v>http://instagram.com/jo_talbot44_sw</v>
      </c>
      <c r="K1262">
        <v>827</v>
      </c>
      <c r="L1262" t="s">
        <v>58</v>
      </c>
      <c r="N1262" t="s">
        <v>59</v>
      </c>
      <c r="O1262" t="s">
        <v>4684</v>
      </c>
      <c r="P1262" t="str">
        <f>HYPERLINK("http://instagram.com/jo_talbot44_sw")</f>
        <v>http://instagram.com/jo_talbot44_sw</v>
      </c>
      <c r="Q1262">
        <v>827</v>
      </c>
      <c r="R1262" t="s">
        <v>60</v>
      </c>
      <c r="W1262">
        <v>11</v>
      </c>
      <c r="X1262">
        <v>11</v>
      </c>
      <c r="AE1262">
        <v>0</v>
      </c>
      <c r="AI1262" t="s">
        <v>52</v>
      </c>
      <c r="AJ1262" t="s">
        <v>4685</v>
      </c>
      <c r="AK1262" t="s">
        <v>52</v>
      </c>
      <c r="AL1262" t="str">
        <f>HYPERLINK("https://www.instagram.com/p/BzGvgs6BRAU/media/?size=l")</f>
        <v>https://www.instagram.com/p/BzGvgs6BRAU/media/?size=l</v>
      </c>
      <c r="AM1262" t="s">
        <v>52</v>
      </c>
      <c r="AN1262" t="s">
        <v>53</v>
      </c>
    </row>
    <row r="1263" spans="1:40">
      <c r="A1263" t="s">
        <v>2370</v>
      </c>
      <c r="B1263" t="s">
        <v>4686</v>
      </c>
      <c r="C1263" t="s">
        <v>4687</v>
      </c>
      <c r="D1263" t="s">
        <v>4688</v>
      </c>
      <c r="E1263" t="s">
        <v>4689</v>
      </c>
      <c r="F1263" t="s">
        <v>45</v>
      </c>
      <c r="G1263" t="str">
        <f>HYPERLINK("https://www.youtube.com/watch?v=zNz0EBXlA_g")</f>
        <v>https://www.youtube.com/watch?v=zNz0EBXlA_g</v>
      </c>
      <c r="H1263" t="s">
        <v>46</v>
      </c>
      <c r="I1263" t="s">
        <v>4690</v>
      </c>
      <c r="J1263" t="str">
        <f>HYPERLINK("https://www.youtube.com/channel/UCvqYkmPT39KJg175Af82TDQ")</f>
        <v>https://www.youtube.com/channel/UCvqYkmPT39KJg175Af82TDQ</v>
      </c>
      <c r="K1263">
        <v>27</v>
      </c>
      <c r="N1263" t="s">
        <v>116</v>
      </c>
      <c r="O1263" t="s">
        <v>4690</v>
      </c>
      <c r="P1263" t="str">
        <f>HYPERLINK("https://www.youtube.com/channel/UCvqYkmPT39KJg175Af82TDQ")</f>
        <v>https://www.youtube.com/channel/UCvqYkmPT39KJg175Af82TDQ</v>
      </c>
      <c r="Q1263">
        <v>27</v>
      </c>
      <c r="R1263" t="s">
        <v>60</v>
      </c>
      <c r="W1263">
        <v>2</v>
      </c>
      <c r="X1263">
        <v>2</v>
      </c>
      <c r="AD1263">
        <v>0</v>
      </c>
      <c r="AE1263">
        <v>0</v>
      </c>
      <c r="AG1263">
        <v>4</v>
      </c>
      <c r="AI1263" t="s">
        <v>52</v>
      </c>
      <c r="AJ1263" t="s">
        <v>52</v>
      </c>
      <c r="AK1263" t="s">
        <v>52</v>
      </c>
      <c r="AL1263" t="str">
        <f>HYPERLINK("https://i.ytimg.com/vi/zNz0EBXlA_g/sddefault.jpg")</f>
        <v>https://i.ytimg.com/vi/zNz0EBXlA_g/sddefault.jpg</v>
      </c>
      <c r="AM1263" t="s">
        <v>52</v>
      </c>
      <c r="AN1263" t="s">
        <v>53</v>
      </c>
    </row>
    <row r="1264" spans="1:40">
      <c r="A1264" t="s">
        <v>2370</v>
      </c>
      <c r="B1264" t="s">
        <v>4691</v>
      </c>
      <c r="C1264" t="s">
        <v>4692</v>
      </c>
      <c r="D1264" t="s">
        <v>52</v>
      </c>
      <c r="E1264" t="s">
        <v>4693</v>
      </c>
      <c r="F1264" t="s">
        <v>45</v>
      </c>
      <c r="G1264" t="str">
        <f>HYPERLINK("https://twitter.com/750556069206818816/status/1143248071154896896")</f>
        <v>https://twitter.com/750556069206818816/status/1143248071154896896</v>
      </c>
      <c r="H1264" t="s">
        <v>46</v>
      </c>
      <c r="I1264" t="s">
        <v>4694</v>
      </c>
      <c r="J1264" t="str">
        <f>HYPERLINK("http://twitter.com/WiltedRoots")</f>
        <v>http://twitter.com/WiltedRoots</v>
      </c>
      <c r="K1264">
        <v>151</v>
      </c>
      <c r="N1264" t="s">
        <v>65</v>
      </c>
      <c r="R1264" t="s">
        <v>60</v>
      </c>
      <c r="S1264" t="s">
        <v>4150</v>
      </c>
      <c r="T1264" t="s">
        <v>4695</v>
      </c>
      <c r="U1264" t="s">
        <v>4696</v>
      </c>
      <c r="W1264">
        <v>0</v>
      </c>
      <c r="X1264">
        <v>0</v>
      </c>
      <c r="AE1264">
        <v>0</v>
      </c>
      <c r="AF1264">
        <v>0</v>
      </c>
      <c r="AM1264" t="s">
        <v>52</v>
      </c>
      <c r="AN1264" t="s">
        <v>53</v>
      </c>
    </row>
    <row r="1265" spans="1:40">
      <c r="A1265" t="s">
        <v>2370</v>
      </c>
      <c r="B1265" t="s">
        <v>4691</v>
      </c>
      <c r="C1265" t="s">
        <v>4692</v>
      </c>
      <c r="D1265" t="s">
        <v>52</v>
      </c>
      <c r="E1265" t="s">
        <v>4697</v>
      </c>
      <c r="F1265" t="s">
        <v>71</v>
      </c>
      <c r="G1265" t="str">
        <f>HYPERLINK("https://twitter.com/989553636970811393/status/1143248033284546560")</f>
        <v>https://twitter.com/989553636970811393/status/1143248033284546560</v>
      </c>
      <c r="H1265" t="s">
        <v>46</v>
      </c>
      <c r="I1265" t="s">
        <v>4698</v>
      </c>
      <c r="J1265" t="str">
        <f>HYPERLINK("http://twitter.com/lovedshot")</f>
        <v>http://twitter.com/lovedshot</v>
      </c>
      <c r="K1265">
        <v>217</v>
      </c>
      <c r="N1265" t="s">
        <v>65</v>
      </c>
      <c r="R1265" t="s">
        <v>60</v>
      </c>
      <c r="S1265" t="s">
        <v>51</v>
      </c>
      <c r="T1265" t="s">
        <v>2822</v>
      </c>
      <c r="U1265" t="s">
        <v>2522</v>
      </c>
      <c r="W1265">
        <v>1</v>
      </c>
      <c r="X1265">
        <v>1</v>
      </c>
      <c r="AE1265">
        <v>3</v>
      </c>
      <c r="AF1265">
        <v>0</v>
      </c>
      <c r="AI1265" t="s">
        <v>52</v>
      </c>
      <c r="AJ1265" t="s">
        <v>1196</v>
      </c>
      <c r="AK1265" t="s">
        <v>52</v>
      </c>
      <c r="AL1265" t="str">
        <f>HYPERLINK("https://pbs.twimg.com/media/D9xgk2YXkAAd2ql.jpg")</f>
        <v>https://pbs.twimg.com/media/D9xgk2YXkAAd2ql.jpg</v>
      </c>
      <c r="AM1265" t="s">
        <v>52</v>
      </c>
      <c r="AN1265" t="s">
        <v>53</v>
      </c>
    </row>
    <row r="1266" spans="1:40">
      <c r="A1266" t="s">
        <v>2370</v>
      </c>
      <c r="B1266" t="s">
        <v>4691</v>
      </c>
      <c r="C1266" t="s">
        <v>4699</v>
      </c>
      <c r="D1266" t="s">
        <v>52</v>
      </c>
      <c r="E1266" t="s">
        <v>4700</v>
      </c>
      <c r="F1266" t="s">
        <v>71</v>
      </c>
      <c r="G1266" t="str">
        <f>HYPERLINK("https://twitter.com/924676299712552963/status/1143248019057516544")</f>
        <v>https://twitter.com/924676299712552963/status/1143248019057516544</v>
      </c>
      <c r="H1266" t="s">
        <v>46</v>
      </c>
      <c r="I1266" t="s">
        <v>4701</v>
      </c>
      <c r="J1266" t="str">
        <f>HYPERLINK("http://twitter.com/kelvin_thabiso")</f>
        <v>http://twitter.com/kelvin_thabiso</v>
      </c>
      <c r="K1266">
        <v>133</v>
      </c>
      <c r="L1266" t="s">
        <v>48</v>
      </c>
      <c r="N1266" t="s">
        <v>65</v>
      </c>
      <c r="R1266" t="s">
        <v>60</v>
      </c>
      <c r="S1266" t="s">
        <v>1071</v>
      </c>
      <c r="T1266" t="s">
        <v>1072</v>
      </c>
      <c r="U1266" t="s">
        <v>1073</v>
      </c>
      <c r="W1266">
        <v>0</v>
      </c>
      <c r="X1266">
        <v>0</v>
      </c>
      <c r="AE1266">
        <v>0</v>
      </c>
      <c r="AF1266">
        <v>0</v>
      </c>
      <c r="AI1266" t="s">
        <v>52</v>
      </c>
      <c r="AJ1266" t="s">
        <v>52</v>
      </c>
      <c r="AK1266" t="s">
        <v>52</v>
      </c>
      <c r="AL1266" t="str">
        <f>HYPERLINK("https://pbs.twimg.com/ext_tw_video_thumb/1141045568933941249/pu/img/A-nJbtj78KbHbUH0.jpg")</f>
        <v>https://pbs.twimg.com/ext_tw_video_thumb/1141045568933941249/pu/img/A-nJbtj78KbHbUH0.jpg</v>
      </c>
      <c r="AM1266" t="s">
        <v>52</v>
      </c>
      <c r="AN1266" t="s">
        <v>53</v>
      </c>
    </row>
    <row r="1267" spans="1:40">
      <c r="A1267" t="s">
        <v>2370</v>
      </c>
      <c r="B1267" t="s">
        <v>4691</v>
      </c>
      <c r="C1267" t="s">
        <v>4675</v>
      </c>
      <c r="D1267" t="s">
        <v>52</v>
      </c>
      <c r="E1267" t="s">
        <v>4702</v>
      </c>
      <c r="F1267" t="s">
        <v>45</v>
      </c>
      <c r="G1267" t="str">
        <f>HYPERLINK("https://twitter.com/911823366369173504/status/1143247956981665793")</f>
        <v>https://twitter.com/911823366369173504/status/1143247956981665793</v>
      </c>
      <c r="H1267" t="s">
        <v>46</v>
      </c>
      <c r="I1267" t="s">
        <v>4703</v>
      </c>
      <c r="J1267" t="str">
        <f>HYPERLINK("http://twitter.com/sheenvmarie")</f>
        <v>http://twitter.com/sheenvmarie</v>
      </c>
      <c r="K1267">
        <v>54</v>
      </c>
      <c r="N1267" t="s">
        <v>65</v>
      </c>
      <c r="R1267" t="s">
        <v>60</v>
      </c>
      <c r="S1267" t="s">
        <v>51</v>
      </c>
      <c r="T1267" t="s">
        <v>173</v>
      </c>
      <c r="U1267" t="s">
        <v>4051</v>
      </c>
      <c r="W1267">
        <v>0</v>
      </c>
      <c r="X1267">
        <v>0</v>
      </c>
      <c r="AE1267">
        <v>0</v>
      </c>
      <c r="AF1267">
        <v>0</v>
      </c>
      <c r="AM1267" t="s">
        <v>52</v>
      </c>
      <c r="AN1267" t="s">
        <v>53</v>
      </c>
    </row>
    <row r="1268" spans="1:40">
      <c r="A1268" t="s">
        <v>2370</v>
      </c>
      <c r="B1268" t="s">
        <v>4691</v>
      </c>
      <c r="C1268" t="s">
        <v>3454</v>
      </c>
      <c r="D1268" t="s">
        <v>4704</v>
      </c>
      <c r="E1268" t="s">
        <v>4705</v>
      </c>
      <c r="F1268" t="s">
        <v>45</v>
      </c>
      <c r="G1268" t="str">
        <f>HYPERLINK("https://mayfieldrecorder.com/2019/06/24/metlife-investment-advisors-llc-has-48-94-million-stake-in-pepsico-inc-nasdaqpep.html")</f>
        <v>https://mayfieldrecorder.com/2019/06/24/metlife-investment-advisors-llc-has-48-94-million-stake-in-pepsico-inc-nasdaqpep.html</v>
      </c>
      <c r="H1268" t="s">
        <v>91</v>
      </c>
      <c r="I1268" t="s">
        <v>4706</v>
      </c>
      <c r="J1268" t="str">
        <f>HYPERLINK("https://mayfieldrecorder.com/2019/06/24/metlife-investment-advisors-llc-has-48-94-million-stake-in-pepsico-inc-nasdaqpep.html")</f>
        <v>https://mayfieldrecorder.com/2019/06/24/metlife-investment-advisors-llc-has-48-94-million-stake-in-pepsico-inc-nasdaqpep.html</v>
      </c>
      <c r="N1268" t="s">
        <v>356</v>
      </c>
      <c r="R1268" t="s">
        <v>357</v>
      </c>
      <c r="S1268" t="s">
        <v>51</v>
      </c>
      <c r="AM1268" t="s">
        <v>52</v>
      </c>
      <c r="AN1268" t="s">
        <v>53</v>
      </c>
    </row>
    <row r="1269" spans="1:40">
      <c r="A1269" t="s">
        <v>2370</v>
      </c>
      <c r="B1269" t="s">
        <v>4707</v>
      </c>
      <c r="C1269" t="s">
        <v>4708</v>
      </c>
      <c r="D1269" t="s">
        <v>52</v>
      </c>
      <c r="E1269" t="s">
        <v>4709</v>
      </c>
      <c r="F1269" t="s">
        <v>45</v>
      </c>
      <c r="G1269" t="str">
        <f>HYPERLINK("https://www.instagram.com/p/BzGuyaRhu9Q")</f>
        <v>https://www.instagram.com/p/BzGuyaRhu9Q</v>
      </c>
      <c r="H1269" t="s">
        <v>46</v>
      </c>
      <c r="I1269" t="s">
        <v>4710</v>
      </c>
      <c r="J1269" t="str">
        <f>HYPERLINK("http://instagram.com/barriekoa")</f>
        <v>http://instagram.com/barriekoa</v>
      </c>
      <c r="K1269">
        <v>1214</v>
      </c>
      <c r="N1269" t="s">
        <v>59</v>
      </c>
      <c r="O1269" t="s">
        <v>4710</v>
      </c>
      <c r="P1269" t="str">
        <f>HYPERLINK("http://instagram.com/barriekoa")</f>
        <v>http://instagram.com/barriekoa</v>
      </c>
      <c r="Q1269">
        <v>1214</v>
      </c>
      <c r="R1269" t="s">
        <v>60</v>
      </c>
      <c r="S1269" t="s">
        <v>444</v>
      </c>
      <c r="T1269" t="s">
        <v>1062</v>
      </c>
      <c r="U1269" t="s">
        <v>4711</v>
      </c>
      <c r="W1269">
        <v>27</v>
      </c>
      <c r="X1269">
        <v>27</v>
      </c>
      <c r="AE1269">
        <v>3</v>
      </c>
      <c r="AI1269" t="s">
        <v>52</v>
      </c>
      <c r="AJ1269" t="s">
        <v>2793</v>
      </c>
      <c r="AK1269" t="s">
        <v>52</v>
      </c>
      <c r="AL1269" t="str">
        <f>HYPERLINK("https://www.instagram.com/p/BzGuyaRhu9Q/media/?size=l")</f>
        <v>https://www.instagram.com/p/BzGuyaRhu9Q/media/?size=l</v>
      </c>
      <c r="AM1269" t="s">
        <v>52</v>
      </c>
      <c r="AN1269" t="s">
        <v>53</v>
      </c>
    </row>
    <row r="1270" spans="1:40">
      <c r="A1270" t="s">
        <v>2370</v>
      </c>
      <c r="B1270" t="s">
        <v>4707</v>
      </c>
      <c r="C1270" t="s">
        <v>4712</v>
      </c>
      <c r="D1270" t="s">
        <v>52</v>
      </c>
      <c r="E1270" t="s">
        <v>1194</v>
      </c>
      <c r="F1270" t="s">
        <v>131</v>
      </c>
      <c r="G1270" t="str">
        <f>HYPERLINK("https://twitter.com/1474430779/status/1143247737405804544")</f>
        <v>https://twitter.com/1474430779/status/1143247737405804544</v>
      </c>
      <c r="H1270" t="s">
        <v>46</v>
      </c>
      <c r="I1270" t="s">
        <v>4713</v>
      </c>
      <c r="J1270" t="str">
        <f>HYPERLINK("http://twitter.com/SeMpReFrEsCaa")</f>
        <v>http://twitter.com/SeMpReFrEsCaa</v>
      </c>
      <c r="K1270">
        <v>1482</v>
      </c>
      <c r="N1270" t="s">
        <v>65</v>
      </c>
      <c r="R1270" t="s">
        <v>60</v>
      </c>
      <c r="W1270">
        <v>0</v>
      </c>
      <c r="X1270">
        <v>0</v>
      </c>
      <c r="AE1270">
        <v>0</v>
      </c>
      <c r="AI1270" t="s">
        <v>52</v>
      </c>
      <c r="AJ1270" t="s">
        <v>1196</v>
      </c>
      <c r="AK1270" t="s">
        <v>52</v>
      </c>
      <c r="AL1270" t="str">
        <f>HYPERLINK("https://pbs.twimg.com/media/D9xgk2YXkAAd2ql.jpg")</f>
        <v>https://pbs.twimg.com/media/D9xgk2YXkAAd2ql.jpg</v>
      </c>
      <c r="AM1270" t="s">
        <v>52</v>
      </c>
      <c r="AN1270" t="s">
        <v>53</v>
      </c>
    </row>
    <row r="1271" spans="1:40">
      <c r="A1271" t="s">
        <v>2370</v>
      </c>
      <c r="B1271" t="s">
        <v>4707</v>
      </c>
      <c r="C1271" t="s">
        <v>105</v>
      </c>
      <c r="D1271" t="s">
        <v>4714</v>
      </c>
      <c r="E1271" t="s">
        <v>4715</v>
      </c>
      <c r="F1271" t="s">
        <v>45</v>
      </c>
      <c r="G1271" t="str">
        <f>HYPERLINK("https://www.reddit.com/r/Futurology/comments/c4deyd/new_research_has_found_that_cannnabidiol_is/?sort=new#thing_t1_erxmkoz")</f>
        <v>https://www.reddit.com/r/Futurology/comments/c4deyd/new_research_has_found_that_cannnabidiol_is/?sort=new#thing_t1_erxmkoz</v>
      </c>
      <c r="H1271" t="s">
        <v>46</v>
      </c>
      <c r="I1271" t="s">
        <v>4716</v>
      </c>
      <c r="J1271" t="str">
        <f>HYPERLINK("https://www.reddit.com/r/Futurology/comments/c4deyd/new_research_has_found_that_cannnabidiol_is/?sort=new#thing_t1_erxmkoz")</f>
        <v>https://www.reddit.com/r/Futurology/comments/c4deyd/new_research_has_found_that_cannnabidiol_is/?sort=new#thing_t1_erxmkoz</v>
      </c>
      <c r="N1271" t="s">
        <v>545</v>
      </c>
      <c r="O1271" t="s">
        <v>4717</v>
      </c>
      <c r="P1271" t="str">
        <f>HYPERLINK("https://www.reddit.com/r/Futurology/")</f>
        <v>https://www.reddit.com/r/Futurology/</v>
      </c>
      <c r="R1271" t="s">
        <v>516</v>
      </c>
      <c r="S1271" t="s">
        <v>51</v>
      </c>
      <c r="AM1271" t="s">
        <v>52</v>
      </c>
      <c r="AN1271" t="s">
        <v>53</v>
      </c>
    </row>
    <row r="1272" spans="1:40">
      <c r="A1272" t="s">
        <v>2370</v>
      </c>
      <c r="B1272" t="s">
        <v>4718</v>
      </c>
      <c r="C1272" t="s">
        <v>2932</v>
      </c>
      <c r="D1272" t="s">
        <v>52</v>
      </c>
      <c r="E1272" t="s">
        <v>4719</v>
      </c>
      <c r="F1272" t="s">
        <v>45</v>
      </c>
      <c r="G1272" t="str">
        <f>HYPERLINK("https://www.facebook.com/496865527318667/posts/908298689508680")</f>
        <v>https://www.facebook.com/496865527318667/posts/908298689508680</v>
      </c>
      <c r="H1272" t="s">
        <v>215</v>
      </c>
      <c r="I1272" t="s">
        <v>4720</v>
      </c>
      <c r="J1272" t="str">
        <f>HYPERLINK("https://www.facebook.com/496865527318667")</f>
        <v>https://www.facebook.com/496865527318667</v>
      </c>
      <c r="K1272">
        <v>74127</v>
      </c>
      <c r="L1272" t="s">
        <v>651</v>
      </c>
      <c r="N1272" t="s">
        <v>1792</v>
      </c>
      <c r="O1272" t="s">
        <v>4720</v>
      </c>
      <c r="P1272" t="str">
        <f>HYPERLINK("https://www.facebook.com/496865527318667")</f>
        <v>https://www.facebook.com/496865527318667</v>
      </c>
      <c r="Q1272">
        <v>74127</v>
      </c>
      <c r="R1272" t="s">
        <v>60</v>
      </c>
      <c r="W1272">
        <v>22</v>
      </c>
      <c r="X1272">
        <v>22</v>
      </c>
      <c r="Y1272">
        <v>0</v>
      </c>
      <c r="Z1272">
        <v>0</v>
      </c>
      <c r="AA1272">
        <v>0</v>
      </c>
      <c r="AB1272">
        <v>0</v>
      </c>
      <c r="AC1272">
        <v>0</v>
      </c>
      <c r="AE1272">
        <v>3</v>
      </c>
      <c r="AF1272">
        <v>39</v>
      </c>
      <c r="AI1272" t="s">
        <v>52</v>
      </c>
      <c r="AJ1272" t="s">
        <v>2235</v>
      </c>
      <c r="AK1272" t="s">
        <v>52</v>
      </c>
      <c r="AL1272" t="str">
        <f>HYPERLINK("https://scontent.xx.fbcdn.net/v/t15.5256-10/50027813_1949223921866862_8266872031077728256_n.jpg?_nc_cat=109&amp;_nc_oc=AQlz1CLQiMhkwYPApWIG5s5b1jooMecYHeDPLJxFNCrkaGqYBnV4O15JvMjugTuMb0c&amp;_nc_ht=scontent.xx&amp;oh=99256aa40d896cc6ae0b4fe2aab7706b&amp;oe=5D8F34EE")</f>
        <v>https://scontent.xx.fbcdn.net/v/t15.5256-10/50027813_1949223921866862_8266872031077728256_n.jpg?_nc_cat=109&amp;_nc_oc=AQlz1CLQiMhkwYPApWIG5s5b1jooMecYHeDPLJxFNCrkaGqYBnV4O15JvMjugTuMb0c&amp;_nc_ht=scontent.xx&amp;oh=99256aa40d896cc6ae0b4fe2aab7706b&amp;oe=5D8F34EE</v>
      </c>
      <c r="AM1272" t="s">
        <v>52</v>
      </c>
      <c r="AN1272" t="s">
        <v>53</v>
      </c>
    </row>
    <row r="1273" spans="1:40">
      <c r="A1273" t="s">
        <v>2370</v>
      </c>
      <c r="B1273" t="s">
        <v>4721</v>
      </c>
      <c r="C1273" t="s">
        <v>4712</v>
      </c>
      <c r="D1273" t="s">
        <v>52</v>
      </c>
      <c r="E1273" t="s">
        <v>4722</v>
      </c>
      <c r="F1273" t="s">
        <v>45</v>
      </c>
      <c r="G1273" t="str">
        <f>HYPERLINK("https://www.instagram.com/p/BzGuXHqhR76")</f>
        <v>https://www.instagram.com/p/BzGuXHqhR76</v>
      </c>
      <c r="H1273" t="s">
        <v>46</v>
      </c>
      <c r="I1273" t="s">
        <v>4723</v>
      </c>
      <c r="J1273" t="str">
        <f>HYPERLINK("http://instagram.com/21zuza21")</f>
        <v>http://instagram.com/21zuza21</v>
      </c>
      <c r="K1273">
        <v>151</v>
      </c>
      <c r="L1273" t="s">
        <v>58</v>
      </c>
      <c r="N1273" t="s">
        <v>59</v>
      </c>
      <c r="O1273" t="s">
        <v>4723</v>
      </c>
      <c r="P1273" t="str">
        <f>HYPERLINK("http://instagram.com/21zuza21")</f>
        <v>http://instagram.com/21zuza21</v>
      </c>
      <c r="Q1273">
        <v>151</v>
      </c>
      <c r="R1273" t="s">
        <v>60</v>
      </c>
      <c r="W1273">
        <v>30</v>
      </c>
      <c r="X1273">
        <v>30</v>
      </c>
      <c r="AE1273">
        <v>12</v>
      </c>
      <c r="AI1273" t="s">
        <v>52</v>
      </c>
      <c r="AJ1273" t="s">
        <v>52</v>
      </c>
      <c r="AK1273" t="s">
        <v>680</v>
      </c>
      <c r="AL1273" t="str">
        <f>HYPERLINK("https://www.instagram.com/p/BzGuXHqhR76/media/?size=l")</f>
        <v>https://www.instagram.com/p/BzGuXHqhR76/media/?size=l</v>
      </c>
      <c r="AM1273" t="s">
        <v>52</v>
      </c>
      <c r="AN1273" t="s">
        <v>53</v>
      </c>
    </row>
    <row r="1274" spans="1:40">
      <c r="A1274" t="s">
        <v>2370</v>
      </c>
      <c r="B1274" t="s">
        <v>4721</v>
      </c>
      <c r="C1274" t="s">
        <v>4724</v>
      </c>
      <c r="D1274" t="s">
        <v>4725</v>
      </c>
      <c r="E1274" t="s">
        <v>4726</v>
      </c>
      <c r="F1274" t="s">
        <v>45</v>
      </c>
      <c r="G1274" t="str">
        <f>HYPERLINK("https://www.reddit.com/r/TrollXChromosomes/comments/c4o3p4/fragile_little_snowflakes/?sort=new#thing_t1_erydqnd")</f>
        <v>https://www.reddit.com/r/TrollXChromosomes/comments/c4o3p4/fragile_little_snowflakes/?sort=new#thing_t1_erydqnd</v>
      </c>
      <c r="H1274" t="s">
        <v>46</v>
      </c>
      <c r="I1274" t="s">
        <v>4727</v>
      </c>
      <c r="J1274" t="str">
        <f>HYPERLINK("https://www.reddit.com/r/TrollXChromosomes/comments/c4o3p4/fragile_little_snowflakes/?sort=new#thing_t1_erydqnd")</f>
        <v>https://www.reddit.com/r/TrollXChromosomes/comments/c4o3p4/fragile_little_snowflakes/?sort=new#thing_t1_erydqnd</v>
      </c>
      <c r="N1274" t="s">
        <v>545</v>
      </c>
      <c r="O1274" t="s">
        <v>4728</v>
      </c>
      <c r="P1274" t="str">
        <f>HYPERLINK("https://www.reddit.com/r/TrollXChromosomes/")</f>
        <v>https://www.reddit.com/r/TrollXChromosomes/</v>
      </c>
      <c r="R1274" t="s">
        <v>516</v>
      </c>
      <c r="S1274" t="s">
        <v>51</v>
      </c>
      <c r="AM1274" t="s">
        <v>52</v>
      </c>
      <c r="AN1274" t="s">
        <v>53</v>
      </c>
    </row>
    <row r="1275" spans="1:40">
      <c r="A1275" t="s">
        <v>2370</v>
      </c>
      <c r="B1275" t="s">
        <v>4729</v>
      </c>
      <c r="C1275" t="s">
        <v>4730</v>
      </c>
      <c r="D1275" t="s">
        <v>52</v>
      </c>
      <c r="E1275" t="s">
        <v>4731</v>
      </c>
      <c r="F1275" t="s">
        <v>45</v>
      </c>
      <c r="G1275" t="str">
        <f>HYPERLINK("https://twitter.com/358228013/status/1143246438903607296")</f>
        <v>https://twitter.com/358228013/status/1143246438903607296</v>
      </c>
      <c r="H1275" t="s">
        <v>46</v>
      </c>
      <c r="I1275" t="s">
        <v>4732</v>
      </c>
      <c r="J1275" t="str">
        <f>HYPERLINK("http://twitter.com/FreakinKram88")</f>
        <v>http://twitter.com/FreakinKram88</v>
      </c>
      <c r="K1275">
        <v>180</v>
      </c>
      <c r="N1275" t="s">
        <v>65</v>
      </c>
      <c r="R1275" t="s">
        <v>60</v>
      </c>
      <c r="W1275">
        <v>0</v>
      </c>
      <c r="X1275">
        <v>0</v>
      </c>
      <c r="AE1275">
        <v>0</v>
      </c>
      <c r="AF1275">
        <v>0</v>
      </c>
      <c r="AM1275" t="s">
        <v>52</v>
      </c>
      <c r="AN1275" t="s">
        <v>53</v>
      </c>
    </row>
    <row r="1276" spans="1:40">
      <c r="A1276" t="s">
        <v>2370</v>
      </c>
      <c r="B1276" t="s">
        <v>4733</v>
      </c>
      <c r="C1276" t="s">
        <v>2201</v>
      </c>
      <c r="D1276" t="s">
        <v>4734</v>
      </c>
      <c r="E1276" t="s">
        <v>4735</v>
      </c>
      <c r="F1276" t="s">
        <v>45</v>
      </c>
      <c r="G1276" t="str">
        <f>HYPERLINK("https://www.youtube.com/watch?v=jBJqEpSaHZI")</f>
        <v>https://www.youtube.com/watch?v=jBJqEpSaHZI</v>
      </c>
      <c r="H1276" t="s">
        <v>46</v>
      </c>
      <c r="I1276" t="s">
        <v>4736</v>
      </c>
      <c r="J1276" t="str">
        <f>HYPERLINK("https://www.youtube.com/channel/UCb9SJ98ma6qXhtBY6XGkRHA")</f>
        <v>https://www.youtube.com/channel/UCb9SJ98ma6qXhtBY6XGkRHA</v>
      </c>
      <c r="K1276">
        <v>36</v>
      </c>
      <c r="N1276" t="s">
        <v>116</v>
      </c>
      <c r="O1276" t="s">
        <v>4736</v>
      </c>
      <c r="P1276" t="str">
        <f>HYPERLINK("https://www.youtube.com/channel/UCb9SJ98ma6qXhtBY6XGkRHA")</f>
        <v>https://www.youtube.com/channel/UCb9SJ98ma6qXhtBY6XGkRHA</v>
      </c>
      <c r="Q1276">
        <v>36</v>
      </c>
      <c r="R1276" t="s">
        <v>60</v>
      </c>
      <c r="S1276" t="s">
        <v>97</v>
      </c>
      <c r="W1276">
        <v>1</v>
      </c>
      <c r="X1276">
        <v>1</v>
      </c>
      <c r="AD1276">
        <v>0</v>
      </c>
      <c r="AE1276">
        <v>1</v>
      </c>
      <c r="AG1276">
        <v>4</v>
      </c>
      <c r="AI1276" t="s">
        <v>108</v>
      </c>
      <c r="AJ1276" t="s">
        <v>52</v>
      </c>
      <c r="AK1276" t="s">
        <v>52</v>
      </c>
      <c r="AL1276" t="str">
        <f>HYPERLINK("https://i.ytimg.com/vi/jBJqEpSaHZI/sddefault.jpg")</f>
        <v>https://i.ytimg.com/vi/jBJqEpSaHZI/sddefault.jpg</v>
      </c>
      <c r="AM1276" t="s">
        <v>52</v>
      </c>
      <c r="AN1276" t="s">
        <v>53</v>
      </c>
    </row>
    <row r="1277" spans="1:40">
      <c r="A1277" t="s">
        <v>2370</v>
      </c>
      <c r="B1277" t="s">
        <v>4733</v>
      </c>
      <c r="C1277" t="s">
        <v>4730</v>
      </c>
      <c r="D1277" t="s">
        <v>52</v>
      </c>
      <c r="E1277" t="s">
        <v>4737</v>
      </c>
      <c r="F1277" t="s">
        <v>131</v>
      </c>
      <c r="G1277" t="str">
        <f>HYPERLINK("https://twitter.com/839331671774269440/status/1143245588923920384")</f>
        <v>https://twitter.com/839331671774269440/status/1143245588923920384</v>
      </c>
      <c r="H1277" t="s">
        <v>46</v>
      </c>
      <c r="I1277" t="s">
        <v>4738</v>
      </c>
      <c r="J1277" t="str">
        <f>HYPERLINK("http://twitter.com/aaronmilton50")</f>
        <v>http://twitter.com/aaronmilton50</v>
      </c>
      <c r="K1277">
        <v>67</v>
      </c>
      <c r="N1277" t="s">
        <v>65</v>
      </c>
      <c r="R1277" t="s">
        <v>60</v>
      </c>
      <c r="W1277">
        <v>0</v>
      </c>
      <c r="X1277">
        <v>0</v>
      </c>
      <c r="AE1277">
        <v>0</v>
      </c>
      <c r="AM1277" t="s">
        <v>52</v>
      </c>
      <c r="AN1277" t="s">
        <v>53</v>
      </c>
    </row>
    <row r="1278" spans="1:40">
      <c r="A1278" t="s">
        <v>2370</v>
      </c>
      <c r="B1278" t="s">
        <v>4733</v>
      </c>
      <c r="C1278" t="s">
        <v>4739</v>
      </c>
      <c r="D1278" t="s">
        <v>52</v>
      </c>
      <c r="E1278" t="s">
        <v>1194</v>
      </c>
      <c r="F1278" t="s">
        <v>131</v>
      </c>
      <c r="G1278" t="str">
        <f>HYPERLINK("https://twitter.com/1314744794/status/1143245423680712704")</f>
        <v>https://twitter.com/1314744794/status/1143245423680712704</v>
      </c>
      <c r="H1278" t="s">
        <v>46</v>
      </c>
      <c r="I1278" t="s">
        <v>4740</v>
      </c>
      <c r="J1278" t="str">
        <f>HYPERLINK("http://twitter.com/ahmadnasrinn")</f>
        <v>http://twitter.com/ahmadnasrinn</v>
      </c>
      <c r="K1278">
        <v>402</v>
      </c>
      <c r="N1278" t="s">
        <v>65</v>
      </c>
      <c r="R1278" t="s">
        <v>60</v>
      </c>
      <c r="W1278">
        <v>0</v>
      </c>
      <c r="X1278">
        <v>0</v>
      </c>
      <c r="AE1278">
        <v>0</v>
      </c>
      <c r="AI1278" t="s">
        <v>52</v>
      </c>
      <c r="AJ1278" t="s">
        <v>1196</v>
      </c>
      <c r="AK1278" t="s">
        <v>52</v>
      </c>
      <c r="AL1278" t="str">
        <f>HYPERLINK("https://pbs.twimg.com/media/D9xgk2YXkAAd2ql.jpg")</f>
        <v>https://pbs.twimg.com/media/D9xgk2YXkAAd2ql.jpg</v>
      </c>
      <c r="AM1278" t="s">
        <v>52</v>
      </c>
      <c r="AN1278" t="s">
        <v>53</v>
      </c>
    </row>
    <row r="1279" spans="1:40">
      <c r="A1279" t="s">
        <v>2370</v>
      </c>
      <c r="B1279" t="s">
        <v>4741</v>
      </c>
      <c r="C1279" t="s">
        <v>4742</v>
      </c>
      <c r="D1279" t="s">
        <v>52</v>
      </c>
      <c r="E1279" t="s">
        <v>1194</v>
      </c>
      <c r="F1279" t="s">
        <v>131</v>
      </c>
      <c r="G1279" t="str">
        <f>HYPERLINK("https://twitter.com/716880450/status/1143245348162473985")</f>
        <v>https://twitter.com/716880450/status/1143245348162473985</v>
      </c>
      <c r="H1279" t="s">
        <v>46</v>
      </c>
      <c r="I1279" t="s">
        <v>4743</v>
      </c>
      <c r="J1279" t="str">
        <f>HYPERLINK("http://twitter.com/oddfelia")</f>
        <v>http://twitter.com/oddfelia</v>
      </c>
      <c r="K1279">
        <v>1744</v>
      </c>
      <c r="N1279" t="s">
        <v>65</v>
      </c>
      <c r="R1279" t="s">
        <v>60</v>
      </c>
      <c r="S1279" t="s">
        <v>51</v>
      </c>
      <c r="T1279" t="s">
        <v>66</v>
      </c>
      <c r="U1279" t="s">
        <v>4744</v>
      </c>
      <c r="W1279">
        <v>0</v>
      </c>
      <c r="X1279">
        <v>0</v>
      </c>
      <c r="AE1279">
        <v>0</v>
      </c>
      <c r="AI1279" t="s">
        <v>52</v>
      </c>
      <c r="AJ1279" t="s">
        <v>1196</v>
      </c>
      <c r="AK1279" t="s">
        <v>52</v>
      </c>
      <c r="AL1279" t="str">
        <f>HYPERLINK("https://pbs.twimg.com/media/D9xgk2YXkAAd2ql.jpg")</f>
        <v>https://pbs.twimg.com/media/D9xgk2YXkAAd2ql.jpg</v>
      </c>
      <c r="AM1279" t="s">
        <v>52</v>
      </c>
      <c r="AN1279" t="s">
        <v>53</v>
      </c>
    </row>
    <row r="1280" spans="1:40">
      <c r="A1280" t="s">
        <v>2370</v>
      </c>
      <c r="B1280" t="s">
        <v>4741</v>
      </c>
      <c r="C1280" t="s">
        <v>4745</v>
      </c>
      <c r="D1280" t="s">
        <v>52</v>
      </c>
      <c r="E1280" t="s">
        <v>130</v>
      </c>
      <c r="F1280" t="s">
        <v>131</v>
      </c>
      <c r="G1280" t="str">
        <f>HYPERLINK("https://twitter.com/1067780710608572417/status/1143245300313837569")</f>
        <v>https://twitter.com/1067780710608572417/status/1143245300313837569</v>
      </c>
      <c r="H1280" t="s">
        <v>46</v>
      </c>
      <c r="I1280" t="s">
        <v>4746</v>
      </c>
      <c r="J1280" t="str">
        <f>HYPERLINK("http://twitter.com/yorkshirerbred")</f>
        <v>http://twitter.com/yorkshirerbred</v>
      </c>
      <c r="K1280">
        <v>107</v>
      </c>
      <c r="N1280" t="s">
        <v>65</v>
      </c>
      <c r="R1280" t="s">
        <v>60</v>
      </c>
      <c r="S1280" t="s">
        <v>97</v>
      </c>
      <c r="T1280" t="s">
        <v>177</v>
      </c>
      <c r="U1280" t="s">
        <v>4747</v>
      </c>
      <c r="W1280">
        <v>0</v>
      </c>
      <c r="X1280">
        <v>0</v>
      </c>
      <c r="AE1280">
        <v>0</v>
      </c>
      <c r="AI1280" t="s">
        <v>108</v>
      </c>
      <c r="AJ1280" t="s">
        <v>52</v>
      </c>
      <c r="AK1280" t="s">
        <v>52</v>
      </c>
      <c r="AL1280" t="str">
        <f>HYPERLINK("https://pbs.twimg.com/media/D9XTkLWW4AAOYnJ.jpg")</f>
        <v>https://pbs.twimg.com/media/D9XTkLWW4AAOYnJ.jpg</v>
      </c>
      <c r="AM1280" t="s">
        <v>52</v>
      </c>
      <c r="AN1280" t="s">
        <v>53</v>
      </c>
    </row>
    <row r="1281" spans="1:40">
      <c r="A1281" t="s">
        <v>2370</v>
      </c>
      <c r="B1281" t="s">
        <v>4748</v>
      </c>
      <c r="C1281" t="s">
        <v>4749</v>
      </c>
      <c r="D1281" t="s">
        <v>52</v>
      </c>
      <c r="E1281" t="s">
        <v>4750</v>
      </c>
      <c r="F1281" t="s">
        <v>45</v>
      </c>
      <c r="G1281" t="str">
        <f>HYPERLINK("https://www.instagram.com/p/BzGtVWJl_aE")</f>
        <v>https://www.instagram.com/p/BzGtVWJl_aE</v>
      </c>
      <c r="H1281" t="s">
        <v>46</v>
      </c>
      <c r="I1281" t="s">
        <v>4751</v>
      </c>
      <c r="J1281" t="str">
        <f>HYPERLINK("http://instagram.com/dylan__taylor03")</f>
        <v>http://instagram.com/dylan__taylor03</v>
      </c>
      <c r="K1281">
        <v>1909</v>
      </c>
      <c r="N1281" t="s">
        <v>59</v>
      </c>
      <c r="O1281" t="s">
        <v>4751</v>
      </c>
      <c r="P1281" t="str">
        <f>HYPERLINK("http://instagram.com/dylan__taylor03")</f>
        <v>http://instagram.com/dylan__taylor03</v>
      </c>
      <c r="Q1281">
        <v>1909</v>
      </c>
      <c r="R1281" t="s">
        <v>60</v>
      </c>
      <c r="S1281" t="s">
        <v>97</v>
      </c>
      <c r="T1281" t="s">
        <v>177</v>
      </c>
      <c r="U1281" t="s">
        <v>4752</v>
      </c>
      <c r="W1281">
        <v>56</v>
      </c>
      <c r="X1281">
        <v>56</v>
      </c>
      <c r="AE1281">
        <v>0</v>
      </c>
      <c r="AG1281">
        <v>156</v>
      </c>
      <c r="AI1281" t="s">
        <v>52</v>
      </c>
      <c r="AJ1281" t="s">
        <v>899</v>
      </c>
      <c r="AK1281" t="s">
        <v>52</v>
      </c>
      <c r="AL1281" t="str">
        <f>HYPERLINK("https://www.instagram.com/p/BzGtVWJl_aE/media/?size=l")</f>
        <v>https://www.instagram.com/p/BzGtVWJl_aE/media/?size=l</v>
      </c>
      <c r="AM1281" t="s">
        <v>52</v>
      </c>
      <c r="AN1281" t="s">
        <v>53</v>
      </c>
    </row>
    <row r="1282" spans="1:40">
      <c r="A1282" t="s">
        <v>2370</v>
      </c>
      <c r="B1282" t="s">
        <v>4748</v>
      </c>
      <c r="C1282" t="s">
        <v>4742</v>
      </c>
      <c r="D1282" t="s">
        <v>52</v>
      </c>
      <c r="E1282" t="s">
        <v>4753</v>
      </c>
      <c r="F1282" t="s">
        <v>45</v>
      </c>
      <c r="G1282" t="str">
        <f>HYPERLINK("https://www.instagram.com/p/BzGtb1EJbC9")</f>
        <v>https://www.instagram.com/p/BzGtb1EJbC9</v>
      </c>
      <c r="H1282" t="s">
        <v>46</v>
      </c>
      <c r="I1282" t="s">
        <v>4754</v>
      </c>
      <c r="J1282" t="str">
        <f>HYPERLINK("http://instagram.com/elmasakgul958")</f>
        <v>http://instagram.com/elmasakgul958</v>
      </c>
      <c r="K1282">
        <v>13</v>
      </c>
      <c r="N1282" t="s">
        <v>59</v>
      </c>
      <c r="O1282" t="s">
        <v>4754</v>
      </c>
      <c r="P1282" t="str">
        <f>HYPERLINK("http://instagram.com/elmasakgul958")</f>
        <v>http://instagram.com/elmasakgul958</v>
      </c>
      <c r="Q1282">
        <v>13</v>
      </c>
      <c r="R1282" t="s">
        <v>60</v>
      </c>
      <c r="W1282">
        <v>4</v>
      </c>
      <c r="X1282">
        <v>4</v>
      </c>
      <c r="AE1282">
        <v>0</v>
      </c>
      <c r="AI1282" t="s">
        <v>108</v>
      </c>
      <c r="AJ1282" t="s">
        <v>52</v>
      </c>
      <c r="AK1282" t="s">
        <v>52</v>
      </c>
      <c r="AL1282" t="str">
        <f>HYPERLINK("https://www.instagram.com/p/BzGtb1EJbC9/media/?size=l")</f>
        <v>https://www.instagram.com/p/BzGtb1EJbC9/media/?size=l</v>
      </c>
      <c r="AM1282" t="s">
        <v>52</v>
      </c>
      <c r="AN1282" t="s">
        <v>53</v>
      </c>
    </row>
    <row r="1283" spans="1:40">
      <c r="A1283" t="s">
        <v>2370</v>
      </c>
      <c r="B1283" t="s">
        <v>4748</v>
      </c>
      <c r="C1283" t="s">
        <v>4755</v>
      </c>
      <c r="D1283" t="s">
        <v>52</v>
      </c>
      <c r="E1283" t="s">
        <v>4756</v>
      </c>
      <c r="F1283" t="s">
        <v>131</v>
      </c>
      <c r="G1283" t="str">
        <f>HYPERLINK("https://twitter.com/1117907067228966912/status/1143244844413935617")</f>
        <v>https://twitter.com/1117907067228966912/status/1143244844413935617</v>
      </c>
      <c r="H1283" t="s">
        <v>46</v>
      </c>
      <c r="I1283" t="s">
        <v>4757</v>
      </c>
      <c r="J1283" t="str">
        <f>HYPERLINK("http://twitter.com/FloridaFrazier5")</f>
        <v>http://twitter.com/FloridaFrazier5</v>
      </c>
      <c r="K1283">
        <v>921</v>
      </c>
      <c r="N1283" t="s">
        <v>65</v>
      </c>
      <c r="R1283" t="s">
        <v>60</v>
      </c>
      <c r="W1283">
        <v>0</v>
      </c>
      <c r="X1283">
        <v>0</v>
      </c>
      <c r="AE1283">
        <v>0</v>
      </c>
      <c r="AM1283" t="s">
        <v>52</v>
      </c>
      <c r="AN1283" t="s">
        <v>53</v>
      </c>
    </row>
    <row r="1284" spans="1:40">
      <c r="A1284" t="s">
        <v>2370</v>
      </c>
      <c r="B1284" t="s">
        <v>4748</v>
      </c>
      <c r="C1284" t="s">
        <v>4749</v>
      </c>
      <c r="D1284" t="s">
        <v>52</v>
      </c>
      <c r="E1284" t="s">
        <v>4758</v>
      </c>
      <c r="F1284" t="s">
        <v>45</v>
      </c>
      <c r="G1284" t="str">
        <f>HYPERLINK("https://www.instagram.com/p/BzGtbDfIDJV")</f>
        <v>https://www.instagram.com/p/BzGtbDfIDJV</v>
      </c>
      <c r="H1284" t="s">
        <v>46</v>
      </c>
      <c r="I1284" t="s">
        <v>4759</v>
      </c>
      <c r="J1284" t="str">
        <f>HYPERLINK("http://instagram.com/pure__punk__grunge")</f>
        <v>http://instagram.com/pure__punk__grunge</v>
      </c>
      <c r="K1284">
        <v>155</v>
      </c>
      <c r="N1284" t="s">
        <v>59</v>
      </c>
      <c r="O1284" t="s">
        <v>4759</v>
      </c>
      <c r="P1284" t="str">
        <f>HYPERLINK("http://instagram.com/pure__punk__grunge")</f>
        <v>http://instagram.com/pure__punk__grunge</v>
      </c>
      <c r="Q1284">
        <v>155</v>
      </c>
      <c r="R1284" t="s">
        <v>60</v>
      </c>
      <c r="W1284">
        <v>49</v>
      </c>
      <c r="X1284">
        <v>49</v>
      </c>
      <c r="AE1284">
        <v>0</v>
      </c>
      <c r="AI1284" t="s">
        <v>52</v>
      </c>
      <c r="AJ1284" t="s">
        <v>52</v>
      </c>
      <c r="AK1284" t="s">
        <v>4481</v>
      </c>
      <c r="AL1284" t="str">
        <f>HYPERLINK("https://www.instagram.com/p/BzGtbDfIDJV/media/?size=l")</f>
        <v>https://www.instagram.com/p/BzGtbDfIDJV/media/?size=l</v>
      </c>
      <c r="AM1284" t="s">
        <v>52</v>
      </c>
      <c r="AN1284" t="s">
        <v>53</v>
      </c>
    </row>
    <row r="1285" spans="1:40">
      <c r="A1285" t="s">
        <v>2370</v>
      </c>
      <c r="B1285" t="s">
        <v>4748</v>
      </c>
      <c r="C1285" t="s">
        <v>4742</v>
      </c>
      <c r="D1285" t="s">
        <v>4760</v>
      </c>
      <c r="E1285" t="s">
        <v>4761</v>
      </c>
      <c r="F1285" t="s">
        <v>95</v>
      </c>
      <c r="G1285" t="str">
        <f>HYPERLINK("https://www.youtube.com/watch?v=FzBaEOp53Rg&amp;lc=Ugyv48jLPFyKWLlMwSp4AaABAg.8w_ColGyt_L8w_DDrxfvDK")</f>
        <v>https://www.youtube.com/watch?v=FzBaEOp53Rg&amp;lc=Ugyv48jLPFyKWLlMwSp4AaABAg.8w_ColGyt_L8w_DDrxfvDK</v>
      </c>
      <c r="H1285" t="s">
        <v>91</v>
      </c>
      <c r="I1285" t="s">
        <v>4762</v>
      </c>
      <c r="J1285" t="str">
        <f>HYPERLINK("https://www.youtube.com/channel/UCfNgXZ2mhl9yWlROqShRIFQ")</f>
        <v>https://www.youtube.com/channel/UCfNgXZ2mhl9yWlROqShRIFQ</v>
      </c>
      <c r="K1285">
        <v>35</v>
      </c>
      <c r="N1285" t="s">
        <v>116</v>
      </c>
      <c r="O1285" t="s">
        <v>4762</v>
      </c>
      <c r="P1285" t="str">
        <f>HYPERLINK("https://www.youtube.com/channel/UCfNgXZ2mhl9yWlROqShRIFQ")</f>
        <v>https://www.youtube.com/channel/UCfNgXZ2mhl9yWlROqShRIFQ</v>
      </c>
      <c r="Q1285">
        <v>35</v>
      </c>
      <c r="R1285" t="s">
        <v>60</v>
      </c>
      <c r="W1285">
        <v>1</v>
      </c>
      <c r="X1285">
        <v>1</v>
      </c>
      <c r="AM1285" t="s">
        <v>52</v>
      </c>
      <c r="AN1285" t="s">
        <v>53</v>
      </c>
    </row>
    <row r="1286" spans="1:40">
      <c r="A1286" t="s">
        <v>2370</v>
      </c>
      <c r="B1286" t="s">
        <v>4763</v>
      </c>
      <c r="C1286" t="s">
        <v>4764</v>
      </c>
      <c r="D1286" t="s">
        <v>52</v>
      </c>
      <c r="E1286" t="s">
        <v>4765</v>
      </c>
      <c r="F1286" t="s">
        <v>95</v>
      </c>
      <c r="G1286" t="str">
        <f>HYPERLINK("https://twitter.com/1713441042/status/1143244589865807872")</f>
        <v>https://twitter.com/1713441042/status/1143244589865807872</v>
      </c>
      <c r="H1286" t="s">
        <v>46</v>
      </c>
      <c r="I1286" t="s">
        <v>4766</v>
      </c>
      <c r="J1286" t="str">
        <f>HYPERLINK("http://twitter.com/sanjac0bit0")</f>
        <v>http://twitter.com/sanjac0bit0</v>
      </c>
      <c r="K1286">
        <v>147</v>
      </c>
      <c r="N1286" t="s">
        <v>65</v>
      </c>
      <c r="R1286" t="s">
        <v>60</v>
      </c>
      <c r="W1286">
        <v>1</v>
      </c>
      <c r="X1286">
        <v>1</v>
      </c>
      <c r="AE1286">
        <v>1</v>
      </c>
      <c r="AF1286">
        <v>0</v>
      </c>
      <c r="AI1286" t="s">
        <v>52</v>
      </c>
      <c r="AJ1286" t="s">
        <v>4767</v>
      </c>
      <c r="AK1286" t="s">
        <v>4768</v>
      </c>
      <c r="AL1286" t="str">
        <f>HYPERLINK("https://pbs.twimg.com/tweet_video_thumb/D92e4-TW4AAixYU.jpg")</f>
        <v>https://pbs.twimg.com/tweet_video_thumb/D92e4-TW4AAixYU.jpg</v>
      </c>
      <c r="AM1286" t="s">
        <v>52</v>
      </c>
      <c r="AN1286" t="s">
        <v>53</v>
      </c>
    </row>
    <row r="1287" spans="1:40">
      <c r="A1287" t="s">
        <v>2370</v>
      </c>
      <c r="B1287" t="s">
        <v>4763</v>
      </c>
      <c r="C1287" t="s">
        <v>4749</v>
      </c>
      <c r="D1287" t="s">
        <v>52</v>
      </c>
      <c r="E1287" t="s">
        <v>130</v>
      </c>
      <c r="F1287" t="s">
        <v>131</v>
      </c>
      <c r="G1287" t="str">
        <f>HYPERLINK("https://twitter.com/29432847/status/1143244564859379712")</f>
        <v>https://twitter.com/29432847/status/1143244564859379712</v>
      </c>
      <c r="H1287" t="s">
        <v>46</v>
      </c>
      <c r="I1287" t="s">
        <v>4769</v>
      </c>
      <c r="J1287" t="str">
        <f>HYPERLINK("http://twitter.com/loeby")</f>
        <v>http://twitter.com/loeby</v>
      </c>
      <c r="K1287">
        <v>702</v>
      </c>
      <c r="L1287" t="s">
        <v>58</v>
      </c>
      <c r="N1287" t="s">
        <v>65</v>
      </c>
      <c r="R1287" t="s">
        <v>60</v>
      </c>
      <c r="S1287" t="s">
        <v>97</v>
      </c>
      <c r="T1287" t="s">
        <v>177</v>
      </c>
      <c r="U1287" t="s">
        <v>195</v>
      </c>
      <c r="W1287">
        <v>0</v>
      </c>
      <c r="X1287">
        <v>0</v>
      </c>
      <c r="AE1287">
        <v>0</v>
      </c>
      <c r="AI1287" t="s">
        <v>108</v>
      </c>
      <c r="AJ1287" t="s">
        <v>52</v>
      </c>
      <c r="AK1287" t="s">
        <v>52</v>
      </c>
      <c r="AL1287" t="str">
        <f>HYPERLINK("https://pbs.twimg.com/media/D9XTkLWW4AAOYnJ.jpg")</f>
        <v>https://pbs.twimg.com/media/D9XTkLWW4AAOYnJ.jpg</v>
      </c>
      <c r="AM1287" t="s">
        <v>52</v>
      </c>
      <c r="AN1287" t="s">
        <v>53</v>
      </c>
    </row>
    <row r="1288" spans="1:40">
      <c r="A1288" t="s">
        <v>2370</v>
      </c>
      <c r="B1288" t="s">
        <v>4770</v>
      </c>
      <c r="C1288" t="s">
        <v>4771</v>
      </c>
      <c r="D1288" t="s">
        <v>52</v>
      </c>
      <c r="E1288" t="s">
        <v>4772</v>
      </c>
      <c r="F1288" t="s">
        <v>71</v>
      </c>
      <c r="G1288" t="str">
        <f>HYPERLINK("https://twitter.com/3243872231/status/1143244020912664582")</f>
        <v>https://twitter.com/3243872231/status/1143244020912664582</v>
      </c>
      <c r="H1288" t="s">
        <v>46</v>
      </c>
      <c r="I1288" t="s">
        <v>4773</v>
      </c>
      <c r="J1288" t="str">
        <f>HYPERLINK("http://twitter.com/bryvnt00")</f>
        <v>http://twitter.com/bryvnt00</v>
      </c>
      <c r="K1288">
        <v>791</v>
      </c>
      <c r="N1288" t="s">
        <v>65</v>
      </c>
      <c r="R1288" t="s">
        <v>60</v>
      </c>
      <c r="S1288" t="s">
        <v>51</v>
      </c>
      <c r="T1288" t="s">
        <v>1785</v>
      </c>
      <c r="U1288" t="s">
        <v>1786</v>
      </c>
      <c r="W1288">
        <v>1</v>
      </c>
      <c r="X1288">
        <v>1</v>
      </c>
      <c r="AE1288">
        <v>1</v>
      </c>
      <c r="AF1288">
        <v>0</v>
      </c>
      <c r="AI1288" t="s">
        <v>108</v>
      </c>
      <c r="AJ1288" t="s">
        <v>52</v>
      </c>
      <c r="AK1288" t="s">
        <v>52</v>
      </c>
      <c r="AL1288" t="str">
        <f>HYPERLINK("https://pbs.twimg.com/tweet_video_thumb/D9hvNNzXUAATAS3.jpg")</f>
        <v>https://pbs.twimg.com/tweet_video_thumb/D9hvNNzXUAATAS3.jpg</v>
      </c>
      <c r="AM1288" t="s">
        <v>52</v>
      </c>
      <c r="AN1288" t="s">
        <v>53</v>
      </c>
    </row>
    <row r="1289" spans="1:40">
      <c r="A1289" t="s">
        <v>2370</v>
      </c>
      <c r="B1289" t="s">
        <v>4770</v>
      </c>
      <c r="C1289" t="s">
        <v>4774</v>
      </c>
      <c r="D1289" t="s">
        <v>52</v>
      </c>
      <c r="E1289" t="s">
        <v>4775</v>
      </c>
      <c r="F1289" t="s">
        <v>71</v>
      </c>
      <c r="G1289" t="str">
        <f>HYPERLINK("https://twitter.com/1414431792/status/1143243993016426496")</f>
        <v>https://twitter.com/1414431792/status/1143243993016426496</v>
      </c>
      <c r="H1289" t="s">
        <v>46</v>
      </c>
      <c r="I1289" t="s">
        <v>4776</v>
      </c>
      <c r="J1289" t="str">
        <f>HYPERLINK("http://twitter.com/ChiefWarbutt")</f>
        <v>http://twitter.com/ChiefWarbutt</v>
      </c>
      <c r="K1289">
        <v>302</v>
      </c>
      <c r="N1289" t="s">
        <v>65</v>
      </c>
      <c r="R1289" t="s">
        <v>60</v>
      </c>
      <c r="S1289" t="s">
        <v>51</v>
      </c>
      <c r="T1289" t="s">
        <v>152</v>
      </c>
      <c r="W1289">
        <v>3</v>
      </c>
      <c r="X1289">
        <v>3</v>
      </c>
      <c r="AE1289">
        <v>1</v>
      </c>
      <c r="AF1289">
        <v>0</v>
      </c>
      <c r="AI1289" t="s">
        <v>108</v>
      </c>
      <c r="AJ1289" t="s">
        <v>52</v>
      </c>
      <c r="AK1289" t="s">
        <v>52</v>
      </c>
      <c r="AL1289" t="str">
        <f>HYPERLINK("https://pbs.twimg.com/tweet_video_thumb/D9hvNNzXUAATAS3.jpg")</f>
        <v>https://pbs.twimg.com/tweet_video_thumb/D9hvNNzXUAATAS3.jpg</v>
      </c>
      <c r="AM1289" t="s">
        <v>52</v>
      </c>
      <c r="AN1289" t="s">
        <v>53</v>
      </c>
    </row>
    <row r="1290" spans="1:40">
      <c r="A1290" t="s">
        <v>2370</v>
      </c>
      <c r="B1290" t="s">
        <v>4777</v>
      </c>
      <c r="C1290" t="s">
        <v>1225</v>
      </c>
      <c r="D1290" t="s">
        <v>52</v>
      </c>
      <c r="E1290" t="s">
        <v>4778</v>
      </c>
      <c r="F1290" t="s">
        <v>45</v>
      </c>
      <c r="G1290" t="str">
        <f>HYPERLINK("https://www.facebook.com/590541750956715/posts/2649870925023777")</f>
        <v>https://www.facebook.com/590541750956715/posts/2649870925023777</v>
      </c>
      <c r="H1290" t="s">
        <v>46</v>
      </c>
      <c r="I1290" t="s">
        <v>4779</v>
      </c>
      <c r="J1290" t="str">
        <f>HYPERLINK("https://www.facebook.com/590541750956715")</f>
        <v>https://www.facebook.com/590541750956715</v>
      </c>
      <c r="K1290">
        <v>33839</v>
      </c>
      <c r="L1290" t="s">
        <v>651</v>
      </c>
      <c r="N1290" t="s">
        <v>1792</v>
      </c>
      <c r="O1290" t="s">
        <v>4779</v>
      </c>
      <c r="P1290" t="str">
        <f>HYPERLINK("https://www.facebook.com/590541750956715")</f>
        <v>https://www.facebook.com/590541750956715</v>
      </c>
      <c r="Q1290">
        <v>33839</v>
      </c>
      <c r="R1290" t="s">
        <v>60</v>
      </c>
      <c r="W1290">
        <v>251</v>
      </c>
      <c r="X1290">
        <v>251</v>
      </c>
      <c r="AE1290">
        <v>6</v>
      </c>
      <c r="AF1290">
        <v>0</v>
      </c>
      <c r="AI1290" t="s">
        <v>52</v>
      </c>
      <c r="AJ1290" t="s">
        <v>3626</v>
      </c>
      <c r="AK1290" t="s">
        <v>680</v>
      </c>
      <c r="AL1290" t="str">
        <f>HYPERLINK("https://scontent.xx.fbcdn.net/v/t1.0-9/s720x720/65155014_2649870868357116_1118294752417021952_o.jpg?_nc_cat=100&amp;_nc_oc=AQl2sJg8OkF50o6JB668ZEVRXs4_F81a7jm1U5J7z7sj7Xjwqs8fktGdYmQIVrQiSKw&amp;_nc_ht=scontent.xx&amp;oh=a87a1287828a2eff16bb6738f5d901c9&amp;oe=5DBF876B")</f>
        <v>https://scontent.xx.fbcdn.net/v/t1.0-9/s720x720/65155014_2649870868357116_1118294752417021952_o.jpg?_nc_cat=100&amp;_nc_oc=AQl2sJg8OkF50o6JB668ZEVRXs4_F81a7jm1U5J7z7sj7Xjwqs8fktGdYmQIVrQiSKw&amp;_nc_ht=scontent.xx&amp;oh=a87a1287828a2eff16bb6738f5d901c9&amp;oe=5DBF876B</v>
      </c>
      <c r="AM1290" t="s">
        <v>52</v>
      </c>
      <c r="AN1290" t="s">
        <v>53</v>
      </c>
    </row>
    <row r="1291" spans="1:40">
      <c r="A1291" t="s">
        <v>2370</v>
      </c>
      <c r="B1291" t="s">
        <v>4777</v>
      </c>
      <c r="C1291" t="s">
        <v>4742</v>
      </c>
      <c r="D1291" t="s">
        <v>4760</v>
      </c>
      <c r="E1291" t="s">
        <v>4780</v>
      </c>
      <c r="F1291" t="s">
        <v>95</v>
      </c>
      <c r="G1291" t="str">
        <f>HYPERLINK("https://www.youtube.com/watch?v=FzBaEOp53Rg&amp;lc=Ugyv48jLPFyKWLlMwSp4AaABAg")</f>
        <v>https://www.youtube.com/watch?v=FzBaEOp53Rg&amp;lc=Ugyv48jLPFyKWLlMwSp4AaABAg</v>
      </c>
      <c r="H1291" t="s">
        <v>46</v>
      </c>
      <c r="I1291" t="s">
        <v>4781</v>
      </c>
      <c r="J1291" t="str">
        <f>HYPERLINK("https://www.youtube.com/channel/UCMjUQyrb1RbYi3OSbd5ckdw")</f>
        <v>https://www.youtube.com/channel/UCMjUQyrb1RbYi3OSbd5ckdw</v>
      </c>
      <c r="K1291">
        <v>150</v>
      </c>
      <c r="N1291" t="s">
        <v>116</v>
      </c>
      <c r="O1291" t="s">
        <v>4762</v>
      </c>
      <c r="P1291" t="str">
        <f>HYPERLINK("https://www.youtube.com/channel/UCfNgXZ2mhl9yWlROqShRIFQ")</f>
        <v>https://www.youtube.com/channel/UCfNgXZ2mhl9yWlROqShRIFQ</v>
      </c>
      <c r="Q1291">
        <v>35</v>
      </c>
      <c r="R1291" t="s">
        <v>60</v>
      </c>
      <c r="W1291">
        <v>1</v>
      </c>
      <c r="X1291">
        <v>1</v>
      </c>
      <c r="AE1291">
        <v>1</v>
      </c>
      <c r="AM1291" t="s">
        <v>52</v>
      </c>
      <c r="AN1291" t="s">
        <v>53</v>
      </c>
    </row>
    <row r="1292" spans="1:40">
      <c r="A1292" t="s">
        <v>2370</v>
      </c>
      <c r="B1292" t="s">
        <v>4782</v>
      </c>
      <c r="C1292" t="s">
        <v>4742</v>
      </c>
      <c r="D1292" t="s">
        <v>4760</v>
      </c>
      <c r="E1292" t="s">
        <v>4783</v>
      </c>
      <c r="F1292" t="s">
        <v>45</v>
      </c>
      <c r="G1292" t="str">
        <f>HYPERLINK("https://www.youtube.com/watch?v=FzBaEOp53Rg")</f>
        <v>https://www.youtube.com/watch?v=FzBaEOp53Rg</v>
      </c>
      <c r="H1292" t="s">
        <v>46</v>
      </c>
      <c r="I1292" t="s">
        <v>4762</v>
      </c>
      <c r="J1292" t="str">
        <f>HYPERLINK("https://www.youtube.com/channel/UCfNgXZ2mhl9yWlROqShRIFQ")</f>
        <v>https://www.youtube.com/channel/UCfNgXZ2mhl9yWlROqShRIFQ</v>
      </c>
      <c r="K1292">
        <v>35</v>
      </c>
      <c r="N1292" t="s">
        <v>116</v>
      </c>
      <c r="O1292" t="s">
        <v>4762</v>
      </c>
      <c r="P1292" t="str">
        <f>HYPERLINK("https://www.youtube.com/channel/UCfNgXZ2mhl9yWlROqShRIFQ")</f>
        <v>https://www.youtube.com/channel/UCfNgXZ2mhl9yWlROqShRIFQ</v>
      </c>
      <c r="Q1292">
        <v>35</v>
      </c>
      <c r="R1292" t="s">
        <v>60</v>
      </c>
      <c r="W1292">
        <v>1</v>
      </c>
      <c r="X1292">
        <v>1</v>
      </c>
      <c r="AD1292">
        <v>0</v>
      </c>
      <c r="AE1292">
        <v>2</v>
      </c>
      <c r="AG1292">
        <v>13</v>
      </c>
      <c r="AI1292" t="s">
        <v>52</v>
      </c>
      <c r="AJ1292" t="s">
        <v>458</v>
      </c>
      <c r="AK1292" t="s">
        <v>52</v>
      </c>
      <c r="AL1292" t="str">
        <f>HYPERLINK("https://i.ytimg.com/vi/FzBaEOp53Rg/maxresdefault.jpg")</f>
        <v>https://i.ytimg.com/vi/FzBaEOp53Rg/maxresdefault.jpg</v>
      </c>
      <c r="AM1292" t="s">
        <v>52</v>
      </c>
      <c r="AN1292" t="s">
        <v>53</v>
      </c>
    </row>
    <row r="1293" spans="1:40">
      <c r="A1293" t="s">
        <v>2370</v>
      </c>
      <c r="B1293" t="s">
        <v>4782</v>
      </c>
      <c r="C1293" t="s">
        <v>4784</v>
      </c>
      <c r="D1293" t="s">
        <v>52</v>
      </c>
      <c r="E1293" t="s">
        <v>4785</v>
      </c>
      <c r="F1293" t="s">
        <v>45</v>
      </c>
      <c r="G1293" t="str">
        <f>HYPERLINK("https://www.instagram.com/p/BzGszmwF3uo")</f>
        <v>https://www.instagram.com/p/BzGszmwF3uo</v>
      </c>
      <c r="H1293" t="s">
        <v>91</v>
      </c>
      <c r="I1293" t="s">
        <v>4786</v>
      </c>
      <c r="J1293" t="str">
        <f>HYPERLINK("http://instagram.com/juicingwithtradonna")</f>
        <v>http://instagram.com/juicingwithtradonna</v>
      </c>
      <c r="K1293">
        <v>5836</v>
      </c>
      <c r="N1293" t="s">
        <v>59</v>
      </c>
      <c r="O1293" t="s">
        <v>4786</v>
      </c>
      <c r="P1293" t="str">
        <f>HYPERLINK("http://instagram.com/juicingwithtradonna")</f>
        <v>http://instagram.com/juicingwithtradonna</v>
      </c>
      <c r="Q1293">
        <v>5836</v>
      </c>
      <c r="R1293" t="s">
        <v>60</v>
      </c>
      <c r="W1293">
        <v>6</v>
      </c>
      <c r="X1293">
        <v>6</v>
      </c>
      <c r="AE1293">
        <v>0</v>
      </c>
      <c r="AI1293" t="s">
        <v>108</v>
      </c>
      <c r="AJ1293" t="s">
        <v>3889</v>
      </c>
      <c r="AK1293" t="s">
        <v>52</v>
      </c>
      <c r="AL1293" t="str">
        <f>HYPERLINK("https://www.instagram.com/p/BzGszmwF3uo/media/?size=l")</f>
        <v>https://www.instagram.com/p/BzGszmwF3uo/media/?size=l</v>
      </c>
      <c r="AM1293" t="s">
        <v>52</v>
      </c>
      <c r="AN1293" t="s">
        <v>53</v>
      </c>
    </row>
    <row r="1294" spans="1:40">
      <c r="A1294" t="s">
        <v>2370</v>
      </c>
      <c r="B1294" t="s">
        <v>4782</v>
      </c>
      <c r="C1294" t="s">
        <v>4730</v>
      </c>
      <c r="D1294" t="s">
        <v>4787</v>
      </c>
      <c r="E1294" t="s">
        <v>4787</v>
      </c>
      <c r="F1294" t="s">
        <v>45</v>
      </c>
      <c r="G1294" t="str">
        <f>HYPERLINK("https://www.youtube.com/watch?v=TrIBG4Ic-Ko")</f>
        <v>https://www.youtube.com/watch?v=TrIBG4Ic-Ko</v>
      </c>
      <c r="H1294" t="s">
        <v>46</v>
      </c>
      <c r="I1294" t="s">
        <v>4788</v>
      </c>
      <c r="J1294" t="str">
        <f>HYPERLINK("https://www.youtube.com/channel/UC_TumHLsuiypPZzLyJuzA0A")</f>
        <v>https://www.youtube.com/channel/UC_TumHLsuiypPZzLyJuzA0A</v>
      </c>
      <c r="K1294">
        <v>5</v>
      </c>
      <c r="L1294" t="s">
        <v>58</v>
      </c>
      <c r="N1294" t="s">
        <v>116</v>
      </c>
      <c r="O1294" t="s">
        <v>4788</v>
      </c>
      <c r="P1294" t="str">
        <f>HYPERLINK("https://www.youtube.com/channel/UC_TumHLsuiypPZzLyJuzA0A")</f>
        <v>https://www.youtube.com/channel/UC_TumHLsuiypPZzLyJuzA0A</v>
      </c>
      <c r="Q1294">
        <v>5</v>
      </c>
      <c r="R1294" t="s">
        <v>60</v>
      </c>
      <c r="W1294">
        <v>0</v>
      </c>
      <c r="X1294">
        <v>0</v>
      </c>
      <c r="AD1294">
        <v>0</v>
      </c>
      <c r="AE1294">
        <v>0</v>
      </c>
      <c r="AG1294">
        <v>0</v>
      </c>
      <c r="AI1294" t="s">
        <v>52</v>
      </c>
      <c r="AJ1294" t="s">
        <v>52</v>
      </c>
      <c r="AK1294" t="s">
        <v>341</v>
      </c>
      <c r="AL1294" t="str">
        <f>HYPERLINK("https://i.ytimg.com/vi/TrIBG4Ic-Ko/maxresdefault.jpg")</f>
        <v>https://i.ytimg.com/vi/TrIBG4Ic-Ko/maxresdefault.jpg</v>
      </c>
      <c r="AM1294" t="s">
        <v>52</v>
      </c>
      <c r="AN1294" t="s">
        <v>53</v>
      </c>
    </row>
    <row r="1295" spans="1:40">
      <c r="A1295" t="s">
        <v>2370</v>
      </c>
      <c r="B1295" t="s">
        <v>4789</v>
      </c>
      <c r="C1295" t="s">
        <v>4764</v>
      </c>
      <c r="D1295" t="s">
        <v>52</v>
      </c>
      <c r="E1295" t="s">
        <v>1194</v>
      </c>
      <c r="F1295" t="s">
        <v>131</v>
      </c>
      <c r="G1295" t="str">
        <f>HYPERLINK("https://twitter.com/758956657/status/1143243336779591680")</f>
        <v>https://twitter.com/758956657/status/1143243336779591680</v>
      </c>
      <c r="H1295" t="s">
        <v>46</v>
      </c>
      <c r="I1295" t="s">
        <v>4790</v>
      </c>
      <c r="J1295" t="str">
        <f>HYPERLINK("http://twitter.com/manusialalalala")</f>
        <v>http://twitter.com/manusialalalala</v>
      </c>
      <c r="K1295">
        <v>1339</v>
      </c>
      <c r="N1295" t="s">
        <v>65</v>
      </c>
      <c r="R1295" t="s">
        <v>60</v>
      </c>
      <c r="W1295">
        <v>0</v>
      </c>
      <c r="X1295">
        <v>0</v>
      </c>
      <c r="AE1295">
        <v>0</v>
      </c>
      <c r="AI1295" t="s">
        <v>52</v>
      </c>
      <c r="AJ1295" t="s">
        <v>1196</v>
      </c>
      <c r="AK1295" t="s">
        <v>52</v>
      </c>
      <c r="AL1295" t="str">
        <f>HYPERLINK("https://pbs.twimg.com/media/D9xgk2YXkAAd2ql.jpg")</f>
        <v>https://pbs.twimg.com/media/D9xgk2YXkAAd2ql.jpg</v>
      </c>
      <c r="AM1295" t="s">
        <v>52</v>
      </c>
      <c r="AN1295" t="s">
        <v>53</v>
      </c>
    </row>
    <row r="1296" spans="1:40">
      <c r="A1296" t="s">
        <v>2370</v>
      </c>
      <c r="B1296" t="s">
        <v>4789</v>
      </c>
      <c r="C1296" t="s">
        <v>4791</v>
      </c>
      <c r="D1296" t="s">
        <v>52</v>
      </c>
      <c r="E1296" t="s">
        <v>1194</v>
      </c>
      <c r="F1296" t="s">
        <v>131</v>
      </c>
      <c r="G1296" t="str">
        <f>HYPERLINK("https://twitter.com/963036864604196864/status/1143243281851133952")</f>
        <v>https://twitter.com/963036864604196864/status/1143243281851133952</v>
      </c>
      <c r="H1296" t="s">
        <v>46</v>
      </c>
      <c r="I1296" t="s">
        <v>4792</v>
      </c>
      <c r="J1296" t="str">
        <f>HYPERLINK("http://twitter.com/pseoanel")</f>
        <v>http://twitter.com/pseoanel</v>
      </c>
      <c r="K1296">
        <v>51</v>
      </c>
      <c r="N1296" t="s">
        <v>65</v>
      </c>
      <c r="R1296" t="s">
        <v>60</v>
      </c>
      <c r="W1296">
        <v>0</v>
      </c>
      <c r="X1296">
        <v>0</v>
      </c>
      <c r="AE1296">
        <v>0</v>
      </c>
      <c r="AI1296" t="s">
        <v>52</v>
      </c>
      <c r="AJ1296" t="s">
        <v>1196</v>
      </c>
      <c r="AK1296" t="s">
        <v>52</v>
      </c>
      <c r="AL1296" t="str">
        <f>HYPERLINK("https://pbs.twimg.com/media/D9xgk2YXkAAd2ql.jpg")</f>
        <v>https://pbs.twimg.com/media/D9xgk2YXkAAd2ql.jpg</v>
      </c>
      <c r="AM1296" t="s">
        <v>52</v>
      </c>
      <c r="AN1296" t="s">
        <v>53</v>
      </c>
    </row>
    <row r="1297" spans="1:40">
      <c r="A1297" t="s">
        <v>2370</v>
      </c>
      <c r="B1297" t="s">
        <v>4789</v>
      </c>
      <c r="C1297" t="s">
        <v>4793</v>
      </c>
      <c r="D1297" t="s">
        <v>52</v>
      </c>
      <c r="E1297" t="s">
        <v>1194</v>
      </c>
      <c r="F1297" t="s">
        <v>131</v>
      </c>
      <c r="G1297" t="str">
        <f>HYPERLINK("https://twitter.com/3154332904/status/1143243265883480074")</f>
        <v>https://twitter.com/3154332904/status/1143243265883480074</v>
      </c>
      <c r="H1297" t="s">
        <v>46</v>
      </c>
      <c r="I1297" t="s">
        <v>4794</v>
      </c>
      <c r="J1297" t="str">
        <f>HYPERLINK("http://twitter.com/noctising")</f>
        <v>http://twitter.com/noctising</v>
      </c>
      <c r="K1297">
        <v>862</v>
      </c>
      <c r="N1297" t="s">
        <v>65</v>
      </c>
      <c r="R1297" t="s">
        <v>60</v>
      </c>
      <c r="S1297" t="s">
        <v>387</v>
      </c>
      <c r="T1297" t="s">
        <v>2981</v>
      </c>
      <c r="U1297" t="s">
        <v>4795</v>
      </c>
      <c r="W1297">
        <v>0</v>
      </c>
      <c r="X1297">
        <v>0</v>
      </c>
      <c r="AE1297">
        <v>0</v>
      </c>
      <c r="AI1297" t="s">
        <v>52</v>
      </c>
      <c r="AJ1297" t="s">
        <v>1196</v>
      </c>
      <c r="AK1297" t="s">
        <v>52</v>
      </c>
      <c r="AL1297" t="str">
        <f>HYPERLINK("https://pbs.twimg.com/media/D9xgk2YXkAAd2ql.jpg")</f>
        <v>https://pbs.twimg.com/media/D9xgk2YXkAAd2ql.jpg</v>
      </c>
      <c r="AM1297" t="s">
        <v>52</v>
      </c>
      <c r="AN1297" t="s">
        <v>53</v>
      </c>
    </row>
    <row r="1298" spans="1:40">
      <c r="A1298" t="s">
        <v>2370</v>
      </c>
      <c r="B1298" t="s">
        <v>4789</v>
      </c>
      <c r="C1298" t="s">
        <v>4608</v>
      </c>
      <c r="D1298" t="s">
        <v>52</v>
      </c>
      <c r="E1298" t="s">
        <v>4796</v>
      </c>
      <c r="F1298" t="s">
        <v>45</v>
      </c>
      <c r="G1298" t="str">
        <f>HYPERLINK("https://www.instagram.com/p/BzGstBMpCWI")</f>
        <v>https://www.instagram.com/p/BzGstBMpCWI</v>
      </c>
      <c r="H1298" t="s">
        <v>46</v>
      </c>
      <c r="I1298" t="s">
        <v>4797</v>
      </c>
      <c r="J1298" t="str">
        <f>HYPERLINK("http://instagram.com/ashley_lifestyle_overhaul")</f>
        <v>http://instagram.com/ashley_lifestyle_overhaul</v>
      </c>
      <c r="K1298">
        <v>293</v>
      </c>
      <c r="N1298" t="s">
        <v>59</v>
      </c>
      <c r="O1298" t="s">
        <v>4797</v>
      </c>
      <c r="P1298" t="str">
        <f>HYPERLINK("http://instagram.com/ashley_lifestyle_overhaul")</f>
        <v>http://instagram.com/ashley_lifestyle_overhaul</v>
      </c>
      <c r="Q1298">
        <v>293</v>
      </c>
      <c r="R1298" t="s">
        <v>60</v>
      </c>
      <c r="W1298">
        <v>24</v>
      </c>
      <c r="X1298">
        <v>24</v>
      </c>
      <c r="AE1298">
        <v>3</v>
      </c>
      <c r="AI1298" t="s">
        <v>52</v>
      </c>
      <c r="AJ1298" t="s">
        <v>4798</v>
      </c>
      <c r="AK1298" t="s">
        <v>52</v>
      </c>
      <c r="AL1298" t="str">
        <f>HYPERLINK("https://www.instagram.com/p/BzGstBMpCWI/media/?size=l")</f>
        <v>https://www.instagram.com/p/BzGstBMpCWI/media/?size=l</v>
      </c>
      <c r="AM1298" t="s">
        <v>52</v>
      </c>
      <c r="AN1298" t="s">
        <v>53</v>
      </c>
    </row>
    <row r="1299" spans="1:40">
      <c r="A1299" t="s">
        <v>2370</v>
      </c>
      <c r="B1299" t="s">
        <v>4789</v>
      </c>
      <c r="C1299" t="s">
        <v>4799</v>
      </c>
      <c r="D1299" t="s">
        <v>52</v>
      </c>
      <c r="E1299" t="s">
        <v>4800</v>
      </c>
      <c r="F1299" t="s">
        <v>45</v>
      </c>
      <c r="G1299" t="str">
        <f>HYPERLINK("https://twitter.com/536383687/status/1143243205066002432")</f>
        <v>https://twitter.com/536383687/status/1143243205066002432</v>
      </c>
      <c r="H1299" t="s">
        <v>46</v>
      </c>
      <c r="I1299" t="s">
        <v>4801</v>
      </c>
      <c r="J1299" t="str">
        <f>HYPERLINK("http://twitter.com/Mr_MickyMouse")</f>
        <v>http://twitter.com/Mr_MickyMouse</v>
      </c>
      <c r="K1299">
        <v>400</v>
      </c>
      <c r="N1299" t="s">
        <v>65</v>
      </c>
      <c r="R1299" t="s">
        <v>60</v>
      </c>
      <c r="S1299" t="s">
        <v>387</v>
      </c>
      <c r="T1299" t="s">
        <v>953</v>
      </c>
      <c r="U1299" t="s">
        <v>4802</v>
      </c>
      <c r="W1299">
        <v>1</v>
      </c>
      <c r="X1299">
        <v>1</v>
      </c>
      <c r="AE1299">
        <v>0</v>
      </c>
      <c r="AF1299">
        <v>0</v>
      </c>
      <c r="AM1299" t="s">
        <v>52</v>
      </c>
      <c r="AN1299" t="s">
        <v>53</v>
      </c>
    </row>
    <row r="1300" spans="1:40">
      <c r="A1300" t="s">
        <v>2370</v>
      </c>
      <c r="B1300" t="s">
        <v>4789</v>
      </c>
      <c r="C1300" t="s">
        <v>4799</v>
      </c>
      <c r="D1300" t="s">
        <v>52</v>
      </c>
      <c r="E1300" t="s">
        <v>4803</v>
      </c>
      <c r="F1300" t="s">
        <v>45</v>
      </c>
      <c r="G1300" t="str">
        <f>HYPERLINK("https://twitter.com/1665799466/status/1143243192088899584")</f>
        <v>https://twitter.com/1665799466/status/1143243192088899584</v>
      </c>
      <c r="H1300" t="s">
        <v>46</v>
      </c>
      <c r="I1300" t="s">
        <v>4804</v>
      </c>
      <c r="J1300" t="str">
        <f>HYPERLINK("http://twitter.com/andreacabrerav")</f>
        <v>http://twitter.com/andreacabrerav</v>
      </c>
      <c r="K1300">
        <v>261</v>
      </c>
      <c r="N1300" t="s">
        <v>65</v>
      </c>
      <c r="R1300" t="s">
        <v>60</v>
      </c>
      <c r="W1300">
        <v>2</v>
      </c>
      <c r="X1300">
        <v>2</v>
      </c>
      <c r="AE1300">
        <v>1</v>
      </c>
      <c r="AF1300">
        <v>0</v>
      </c>
      <c r="AM1300" t="s">
        <v>52</v>
      </c>
      <c r="AN1300" t="s">
        <v>53</v>
      </c>
    </row>
    <row r="1301" spans="1:40">
      <c r="A1301" t="s">
        <v>2370</v>
      </c>
      <c r="B1301" t="s">
        <v>4789</v>
      </c>
      <c r="C1301" t="s">
        <v>4805</v>
      </c>
      <c r="D1301" t="s">
        <v>52</v>
      </c>
      <c r="E1301" t="s">
        <v>1194</v>
      </c>
      <c r="F1301" t="s">
        <v>131</v>
      </c>
      <c r="G1301" t="str">
        <f>HYPERLINK("https://twitter.com/883894847114838016/status/1143243179589689344")</f>
        <v>https://twitter.com/883894847114838016/status/1143243179589689344</v>
      </c>
      <c r="H1301" t="s">
        <v>46</v>
      </c>
      <c r="I1301" t="s">
        <v>4806</v>
      </c>
      <c r="J1301" t="str">
        <f>HYPERLINK("http://twitter.com/MeGustaSatou")</f>
        <v>http://twitter.com/MeGustaSatou</v>
      </c>
      <c r="K1301">
        <v>488</v>
      </c>
      <c r="N1301" t="s">
        <v>65</v>
      </c>
      <c r="R1301" t="s">
        <v>60</v>
      </c>
      <c r="W1301">
        <v>0</v>
      </c>
      <c r="X1301">
        <v>0</v>
      </c>
      <c r="AE1301">
        <v>0</v>
      </c>
      <c r="AI1301" t="s">
        <v>52</v>
      </c>
      <c r="AJ1301" t="s">
        <v>1196</v>
      </c>
      <c r="AK1301" t="s">
        <v>52</v>
      </c>
      <c r="AL1301" t="str">
        <f>HYPERLINK("https://pbs.twimg.com/media/D9xgk2YXkAAd2ql.jpg")</f>
        <v>https://pbs.twimg.com/media/D9xgk2YXkAAd2ql.jpg</v>
      </c>
      <c r="AM1301" t="s">
        <v>52</v>
      </c>
      <c r="AN1301" t="s">
        <v>53</v>
      </c>
    </row>
    <row r="1302" spans="1:40">
      <c r="A1302" t="s">
        <v>2370</v>
      </c>
      <c r="B1302" t="s">
        <v>4789</v>
      </c>
      <c r="C1302" t="s">
        <v>4805</v>
      </c>
      <c r="D1302" t="s">
        <v>52</v>
      </c>
      <c r="E1302" t="s">
        <v>526</v>
      </c>
      <c r="F1302" t="s">
        <v>131</v>
      </c>
      <c r="G1302" t="str">
        <f>HYPERLINK("https://twitter.com/866887188/status/1143243159012556806")</f>
        <v>https://twitter.com/866887188/status/1143243159012556806</v>
      </c>
      <c r="H1302" t="s">
        <v>46</v>
      </c>
      <c r="I1302" t="s">
        <v>52</v>
      </c>
      <c r="J1302" t="str">
        <f>HYPERLINK("http://twitter.com/enriqearchi")</f>
        <v>http://twitter.com/enriqearchi</v>
      </c>
      <c r="K1302">
        <v>674</v>
      </c>
      <c r="N1302" t="s">
        <v>65</v>
      </c>
      <c r="R1302" t="s">
        <v>60</v>
      </c>
      <c r="W1302">
        <v>0</v>
      </c>
      <c r="X1302">
        <v>0</v>
      </c>
      <c r="AE1302">
        <v>0</v>
      </c>
      <c r="AI1302" t="s">
        <v>108</v>
      </c>
      <c r="AJ1302" t="s">
        <v>52</v>
      </c>
      <c r="AK1302" t="s">
        <v>52</v>
      </c>
      <c r="AL1302" t="str">
        <f>HYPERLINK("https://pbs.twimg.com/ext_tw_video_thumb/1141360066962100224/pu/img/5_tGc4hLFQwcD07b.jpg")</f>
        <v>https://pbs.twimg.com/ext_tw_video_thumb/1141360066962100224/pu/img/5_tGc4hLFQwcD07b.jpg</v>
      </c>
      <c r="AM1302" t="s">
        <v>52</v>
      </c>
      <c r="AN1302" t="s">
        <v>53</v>
      </c>
    </row>
    <row r="1303" spans="1:40">
      <c r="A1303" t="s">
        <v>2370</v>
      </c>
      <c r="B1303" t="s">
        <v>4789</v>
      </c>
      <c r="C1303" t="s">
        <v>4807</v>
      </c>
      <c r="D1303" t="s">
        <v>52</v>
      </c>
      <c r="E1303" t="s">
        <v>130</v>
      </c>
      <c r="F1303" t="s">
        <v>131</v>
      </c>
      <c r="G1303" t="str">
        <f>HYPERLINK("https://twitter.com/28140366/status/1143243149558583296")</f>
        <v>https://twitter.com/28140366/status/1143243149558583296</v>
      </c>
      <c r="H1303" t="s">
        <v>46</v>
      </c>
      <c r="I1303" t="s">
        <v>4808</v>
      </c>
      <c r="J1303" t="str">
        <f>HYPERLINK("http://twitter.com/joaniew09")</f>
        <v>http://twitter.com/joaniew09</v>
      </c>
      <c r="K1303">
        <v>299</v>
      </c>
      <c r="L1303" t="s">
        <v>58</v>
      </c>
      <c r="N1303" t="s">
        <v>65</v>
      </c>
      <c r="R1303" t="s">
        <v>60</v>
      </c>
      <c r="S1303" t="s">
        <v>97</v>
      </c>
      <c r="T1303" t="s">
        <v>98</v>
      </c>
      <c r="W1303">
        <v>0</v>
      </c>
      <c r="X1303">
        <v>0</v>
      </c>
      <c r="AE1303">
        <v>0</v>
      </c>
      <c r="AI1303" t="s">
        <v>108</v>
      </c>
      <c r="AJ1303" t="s">
        <v>52</v>
      </c>
      <c r="AK1303" t="s">
        <v>52</v>
      </c>
      <c r="AL1303" t="str">
        <f>HYPERLINK("https://pbs.twimg.com/media/D9XTkLWW4AAOYnJ.jpg")</f>
        <v>https://pbs.twimg.com/media/D9XTkLWW4AAOYnJ.jpg</v>
      </c>
      <c r="AM1303" t="s">
        <v>52</v>
      </c>
      <c r="AN1303" t="s">
        <v>53</v>
      </c>
    </row>
    <row r="1304" spans="1:40">
      <c r="A1304" t="s">
        <v>2370</v>
      </c>
      <c r="B1304" t="s">
        <v>4809</v>
      </c>
      <c r="C1304" t="s">
        <v>4791</v>
      </c>
      <c r="D1304" t="s">
        <v>52</v>
      </c>
      <c r="E1304" t="s">
        <v>4810</v>
      </c>
      <c r="F1304" t="s">
        <v>45</v>
      </c>
      <c r="G1304" t="str">
        <f>HYPERLINK("https://twitter.com/778151254472134658/status/1143243006906130432")</f>
        <v>https://twitter.com/778151254472134658/status/1143243006906130432</v>
      </c>
      <c r="H1304" t="s">
        <v>46</v>
      </c>
      <c r="I1304" t="s">
        <v>4811</v>
      </c>
      <c r="J1304" t="str">
        <f>HYPERLINK("http://twitter.com/maxvwilliams")</f>
        <v>http://twitter.com/maxvwilliams</v>
      </c>
      <c r="K1304">
        <v>35</v>
      </c>
      <c r="L1304" t="s">
        <v>48</v>
      </c>
      <c r="N1304" t="s">
        <v>65</v>
      </c>
      <c r="R1304" t="s">
        <v>60</v>
      </c>
      <c r="W1304">
        <v>1</v>
      </c>
      <c r="X1304">
        <v>1</v>
      </c>
      <c r="AE1304">
        <v>0</v>
      </c>
      <c r="AF1304">
        <v>0</v>
      </c>
      <c r="AM1304" t="s">
        <v>52</v>
      </c>
      <c r="AN1304" t="s">
        <v>53</v>
      </c>
    </row>
    <row r="1305" spans="1:40">
      <c r="A1305" t="s">
        <v>2370</v>
      </c>
      <c r="B1305" t="s">
        <v>4809</v>
      </c>
      <c r="C1305" t="s">
        <v>4793</v>
      </c>
      <c r="D1305" t="s">
        <v>52</v>
      </c>
      <c r="E1305" t="s">
        <v>4812</v>
      </c>
      <c r="F1305" t="s">
        <v>45</v>
      </c>
      <c r="G1305" t="str">
        <f>HYPERLINK("https://twitter.com/1117077313047486465/status/1143242993866031106")</f>
        <v>https://twitter.com/1117077313047486465/status/1143242993866031106</v>
      </c>
      <c r="H1305" t="s">
        <v>46</v>
      </c>
      <c r="I1305" t="s">
        <v>4813</v>
      </c>
      <c r="J1305" t="str">
        <f>HYPERLINK("http://twitter.com/emmalink526")</f>
        <v>http://twitter.com/emmalink526</v>
      </c>
      <c r="K1305">
        <v>66</v>
      </c>
      <c r="N1305" t="s">
        <v>65</v>
      </c>
      <c r="R1305" t="s">
        <v>60</v>
      </c>
      <c r="W1305">
        <v>6</v>
      </c>
      <c r="X1305">
        <v>6</v>
      </c>
      <c r="AE1305">
        <v>0</v>
      </c>
      <c r="AF1305">
        <v>0</v>
      </c>
      <c r="AI1305" t="s">
        <v>52</v>
      </c>
      <c r="AJ1305" t="s">
        <v>4814</v>
      </c>
      <c r="AK1305" t="s">
        <v>52</v>
      </c>
      <c r="AL1305" t="str">
        <f>HYPERLINK("https://pbs.twimg.com/tweet_video_thumb/D92dcLsXoAE4m_w.jpg")</f>
        <v>https://pbs.twimg.com/tweet_video_thumb/D92dcLsXoAE4m_w.jpg</v>
      </c>
      <c r="AM1305" t="s">
        <v>52</v>
      </c>
      <c r="AN1305" t="s">
        <v>53</v>
      </c>
    </row>
    <row r="1306" spans="1:40">
      <c r="A1306" t="s">
        <v>2370</v>
      </c>
      <c r="B1306" t="s">
        <v>4815</v>
      </c>
      <c r="C1306" t="s">
        <v>4816</v>
      </c>
      <c r="D1306" t="s">
        <v>52</v>
      </c>
      <c r="E1306" t="s">
        <v>4817</v>
      </c>
      <c r="F1306" t="s">
        <v>71</v>
      </c>
      <c r="G1306" t="str">
        <f>HYPERLINK("https://twitter.com/908986800634519552/status/1143242490285297664")</f>
        <v>https://twitter.com/908986800634519552/status/1143242490285297664</v>
      </c>
      <c r="H1306" t="s">
        <v>215</v>
      </c>
      <c r="I1306" t="s">
        <v>4818</v>
      </c>
      <c r="J1306" t="str">
        <f>HYPERLINK("http://twitter.com/lulu_yandie")</f>
        <v>http://twitter.com/lulu_yandie</v>
      </c>
      <c r="K1306">
        <v>1095</v>
      </c>
      <c r="N1306" t="s">
        <v>65</v>
      </c>
      <c r="R1306" t="s">
        <v>60</v>
      </c>
      <c r="S1306" t="s">
        <v>1071</v>
      </c>
      <c r="T1306" t="s">
        <v>1072</v>
      </c>
      <c r="U1306" t="s">
        <v>1073</v>
      </c>
      <c r="W1306">
        <v>4</v>
      </c>
      <c r="X1306">
        <v>4</v>
      </c>
      <c r="AE1306">
        <v>0</v>
      </c>
      <c r="AF1306">
        <v>2</v>
      </c>
      <c r="AI1306" t="s">
        <v>108</v>
      </c>
      <c r="AJ1306" t="s">
        <v>4819</v>
      </c>
      <c r="AK1306" t="s">
        <v>52</v>
      </c>
      <c r="AL1306" t="str">
        <f>HYPERLINK("https://pbs.twimg.com/media/D92YkcUWkAI1opl.jpg")</f>
        <v>https://pbs.twimg.com/media/D92YkcUWkAI1opl.jpg</v>
      </c>
      <c r="AM1306" t="s">
        <v>52</v>
      </c>
      <c r="AN1306" t="s">
        <v>53</v>
      </c>
    </row>
    <row r="1307" spans="1:40">
      <c r="A1307" t="s">
        <v>2370</v>
      </c>
      <c r="B1307" t="s">
        <v>4820</v>
      </c>
      <c r="C1307" t="s">
        <v>2998</v>
      </c>
      <c r="D1307" t="s">
        <v>52</v>
      </c>
      <c r="E1307" t="s">
        <v>4821</v>
      </c>
      <c r="F1307" t="s">
        <v>45</v>
      </c>
      <c r="G1307" t="str">
        <f>HYPERLINK("https://www.facebook.com/432592603614631/posts/1050079508532601")</f>
        <v>https://www.facebook.com/432592603614631/posts/1050079508532601</v>
      </c>
      <c r="H1307" t="s">
        <v>46</v>
      </c>
      <c r="I1307" t="s">
        <v>4822</v>
      </c>
      <c r="J1307" t="str">
        <f>HYPERLINK("https://www.facebook.com/432592603614631")</f>
        <v>https://www.facebook.com/432592603614631</v>
      </c>
      <c r="K1307">
        <v>3071</v>
      </c>
      <c r="L1307" t="s">
        <v>651</v>
      </c>
      <c r="N1307" t="s">
        <v>1792</v>
      </c>
      <c r="O1307" t="s">
        <v>4822</v>
      </c>
      <c r="P1307" t="str">
        <f>HYPERLINK("https://www.facebook.com/432592603614631")</f>
        <v>https://www.facebook.com/432592603614631</v>
      </c>
      <c r="Q1307">
        <v>3071</v>
      </c>
      <c r="R1307" t="s">
        <v>60</v>
      </c>
      <c r="W1307">
        <v>35</v>
      </c>
      <c r="X1307">
        <v>28</v>
      </c>
      <c r="Y1307">
        <v>6</v>
      </c>
      <c r="Z1307">
        <v>0</v>
      </c>
      <c r="AA1307">
        <v>1</v>
      </c>
      <c r="AB1307">
        <v>0</v>
      </c>
      <c r="AC1307">
        <v>0</v>
      </c>
      <c r="AE1307">
        <v>7</v>
      </c>
      <c r="AF1307">
        <v>1</v>
      </c>
      <c r="AI1307" t="s">
        <v>52</v>
      </c>
      <c r="AJ1307" t="s">
        <v>4823</v>
      </c>
      <c r="AK1307" t="s">
        <v>52</v>
      </c>
      <c r="AL1307" t="str">
        <f>HYPERLINK("https://scontent.xx.fbcdn.net/v/t1.0-9/p720x720/65292592_1050079391865946_872339335632912384_n.jpg?_nc_cat=107&amp;_nc_oc=AQlu7BABLVxuNdbK4iaCPhzVdAGa_2krmEKLCV-vxZSY2LaBjpGbFWSe1lBTCalPnJA&amp;_nc_ht=scontent.xx&amp;oh=3bfe7f9bc49215be99f5dbc17eec4500&amp;oe=5D822E3D")</f>
        <v>https://scontent.xx.fbcdn.net/v/t1.0-9/p720x720/65292592_1050079391865946_872339335632912384_n.jpg?_nc_cat=107&amp;_nc_oc=AQlu7BABLVxuNdbK4iaCPhzVdAGa_2krmEKLCV-vxZSY2LaBjpGbFWSe1lBTCalPnJA&amp;_nc_ht=scontent.xx&amp;oh=3bfe7f9bc49215be99f5dbc17eec4500&amp;oe=5D822E3D</v>
      </c>
      <c r="AM1307" t="s">
        <v>52</v>
      </c>
      <c r="AN1307" t="s">
        <v>53</v>
      </c>
    </row>
    <row r="1308" spans="1:40">
      <c r="A1308" t="s">
        <v>2370</v>
      </c>
      <c r="B1308" t="s">
        <v>4824</v>
      </c>
      <c r="C1308" t="s">
        <v>4825</v>
      </c>
      <c r="D1308" t="s">
        <v>52</v>
      </c>
      <c r="E1308" t="s">
        <v>4826</v>
      </c>
      <c r="F1308" t="s">
        <v>45</v>
      </c>
      <c r="G1308" t="str">
        <f>HYPERLINK("https://www.instagram.com/p/BzGr7vjgV6b")</f>
        <v>https://www.instagram.com/p/BzGr7vjgV6b</v>
      </c>
      <c r="H1308" t="s">
        <v>46</v>
      </c>
      <c r="I1308" t="s">
        <v>4827</v>
      </c>
      <c r="J1308" t="str">
        <f>HYPERLINK("http://instagram.com/magoshjosh")</f>
        <v>http://instagram.com/magoshjosh</v>
      </c>
      <c r="K1308">
        <v>286</v>
      </c>
      <c r="N1308" t="s">
        <v>59</v>
      </c>
      <c r="O1308" t="s">
        <v>4827</v>
      </c>
      <c r="P1308" t="str">
        <f>HYPERLINK("http://instagram.com/magoshjosh")</f>
        <v>http://instagram.com/magoshjosh</v>
      </c>
      <c r="Q1308">
        <v>286</v>
      </c>
      <c r="R1308" t="s">
        <v>60</v>
      </c>
      <c r="W1308">
        <v>2</v>
      </c>
      <c r="X1308">
        <v>2</v>
      </c>
      <c r="AE1308">
        <v>0</v>
      </c>
      <c r="AG1308">
        <v>15</v>
      </c>
      <c r="AI1308" t="s">
        <v>52</v>
      </c>
      <c r="AJ1308" t="s">
        <v>2277</v>
      </c>
      <c r="AK1308" t="s">
        <v>52</v>
      </c>
      <c r="AL1308" t="str">
        <f>HYPERLINK("https://www.instagram.com/p/BzGr7vjgV6b/media/?size=l")</f>
        <v>https://www.instagram.com/p/BzGr7vjgV6b/media/?size=l</v>
      </c>
      <c r="AM1308" t="s">
        <v>52</v>
      </c>
      <c r="AN1308" t="s">
        <v>53</v>
      </c>
    </row>
    <row r="1309" spans="1:40">
      <c r="A1309" t="s">
        <v>2370</v>
      </c>
      <c r="B1309" t="s">
        <v>4824</v>
      </c>
      <c r="C1309" t="s">
        <v>4828</v>
      </c>
      <c r="D1309" t="s">
        <v>52</v>
      </c>
      <c r="E1309" t="s">
        <v>4829</v>
      </c>
      <c r="F1309" t="s">
        <v>45</v>
      </c>
      <c r="G1309" t="str">
        <f>HYPERLINK("https://twitter.com/1964714252/status/1143241676128948230")</f>
        <v>https://twitter.com/1964714252/status/1143241676128948230</v>
      </c>
      <c r="H1309" t="s">
        <v>46</v>
      </c>
      <c r="I1309" t="s">
        <v>4830</v>
      </c>
      <c r="J1309" t="str">
        <f>HYPERLINK("http://twitter.com/MauriMrl")</f>
        <v>http://twitter.com/MauriMrl</v>
      </c>
      <c r="K1309">
        <v>721</v>
      </c>
      <c r="N1309" t="s">
        <v>65</v>
      </c>
      <c r="R1309" t="s">
        <v>60</v>
      </c>
      <c r="W1309">
        <v>0</v>
      </c>
      <c r="X1309">
        <v>0</v>
      </c>
      <c r="AE1309">
        <v>0</v>
      </c>
      <c r="AF1309">
        <v>0</v>
      </c>
      <c r="AM1309" t="s">
        <v>52</v>
      </c>
      <c r="AN1309" t="s">
        <v>53</v>
      </c>
    </row>
    <row r="1310" spans="1:40">
      <c r="A1310" t="s">
        <v>2370</v>
      </c>
      <c r="B1310" t="s">
        <v>4831</v>
      </c>
      <c r="C1310" t="s">
        <v>4832</v>
      </c>
      <c r="D1310" t="s">
        <v>52</v>
      </c>
      <c r="E1310" t="s">
        <v>4833</v>
      </c>
      <c r="F1310" t="s">
        <v>45</v>
      </c>
      <c r="G1310" t="str">
        <f>HYPERLINK("https://twitter.com/376765694/status/1143241375741370369")</f>
        <v>https://twitter.com/376765694/status/1143241375741370369</v>
      </c>
      <c r="H1310" t="s">
        <v>46</v>
      </c>
      <c r="I1310" t="s">
        <v>4834</v>
      </c>
      <c r="J1310" t="str">
        <f>HYPERLINK("http://twitter.com/_jademitchell")</f>
        <v>http://twitter.com/_jademitchell</v>
      </c>
      <c r="K1310">
        <v>740</v>
      </c>
      <c r="N1310" t="s">
        <v>65</v>
      </c>
      <c r="R1310" t="s">
        <v>60</v>
      </c>
      <c r="S1310" t="s">
        <v>97</v>
      </c>
      <c r="T1310" t="s">
        <v>177</v>
      </c>
      <c r="U1310" t="s">
        <v>4553</v>
      </c>
      <c r="W1310">
        <v>0</v>
      </c>
      <c r="X1310">
        <v>0</v>
      </c>
      <c r="AE1310">
        <v>0</v>
      </c>
      <c r="AF1310">
        <v>0</v>
      </c>
      <c r="AM1310" t="s">
        <v>52</v>
      </c>
      <c r="AN1310" t="s">
        <v>53</v>
      </c>
    </row>
    <row r="1311" spans="1:40">
      <c r="A1311" t="s">
        <v>2370</v>
      </c>
      <c r="B1311" t="s">
        <v>4831</v>
      </c>
      <c r="C1311" t="s">
        <v>4835</v>
      </c>
      <c r="D1311" t="s">
        <v>52</v>
      </c>
      <c r="E1311" t="s">
        <v>4836</v>
      </c>
      <c r="F1311" t="s">
        <v>71</v>
      </c>
      <c r="G1311" t="str">
        <f>HYPERLINK("https://twitter.com/999007796598276098/status/1143241207914618882")</f>
        <v>https://twitter.com/999007796598276098/status/1143241207914618882</v>
      </c>
      <c r="H1311" t="s">
        <v>46</v>
      </c>
      <c r="I1311" t="s">
        <v>4837</v>
      </c>
      <c r="J1311" t="str">
        <f>HYPERLINK("http://twitter.com/ecsoonie")</f>
        <v>http://twitter.com/ecsoonie</v>
      </c>
      <c r="K1311">
        <v>857</v>
      </c>
      <c r="N1311" t="s">
        <v>65</v>
      </c>
      <c r="R1311" t="s">
        <v>60</v>
      </c>
      <c r="S1311" t="s">
        <v>51</v>
      </c>
      <c r="T1311" t="s">
        <v>2527</v>
      </c>
      <c r="U1311" t="s">
        <v>4838</v>
      </c>
      <c r="W1311">
        <v>0</v>
      </c>
      <c r="X1311">
        <v>0</v>
      </c>
      <c r="AE1311">
        <v>0</v>
      </c>
      <c r="AF1311">
        <v>0</v>
      </c>
      <c r="AM1311" t="s">
        <v>52</v>
      </c>
      <c r="AN1311" t="s">
        <v>53</v>
      </c>
    </row>
    <row r="1312" spans="1:40">
      <c r="A1312" t="s">
        <v>2370</v>
      </c>
      <c r="B1312" t="s">
        <v>4831</v>
      </c>
      <c r="C1312" t="s">
        <v>4805</v>
      </c>
      <c r="D1312" t="s">
        <v>52</v>
      </c>
      <c r="E1312" t="s">
        <v>4839</v>
      </c>
      <c r="F1312" t="s">
        <v>45</v>
      </c>
      <c r="G1312" t="str">
        <f>HYPERLINK("https://www.instagram.com/p/BzGrwQVhrwM")</f>
        <v>https://www.instagram.com/p/BzGrwQVhrwM</v>
      </c>
      <c r="H1312" t="s">
        <v>46</v>
      </c>
      <c r="I1312" t="s">
        <v>4840</v>
      </c>
      <c r="J1312" t="str">
        <f>HYPERLINK("http://instagram.com/fredvdamme")</f>
        <v>http://instagram.com/fredvdamme</v>
      </c>
      <c r="K1312">
        <v>2097</v>
      </c>
      <c r="L1312" t="s">
        <v>48</v>
      </c>
      <c r="N1312" t="s">
        <v>59</v>
      </c>
      <c r="O1312" t="s">
        <v>4840</v>
      </c>
      <c r="P1312" t="str">
        <f>HYPERLINK("http://instagram.com/fredvdamme")</f>
        <v>http://instagram.com/fredvdamme</v>
      </c>
      <c r="Q1312">
        <v>2097</v>
      </c>
      <c r="R1312" t="s">
        <v>60</v>
      </c>
      <c r="S1312" t="s">
        <v>51</v>
      </c>
      <c r="T1312" t="s">
        <v>3402</v>
      </c>
      <c r="U1312" t="s">
        <v>4841</v>
      </c>
      <c r="W1312">
        <v>50</v>
      </c>
      <c r="X1312">
        <v>50</v>
      </c>
      <c r="AE1312">
        <v>2</v>
      </c>
      <c r="AI1312" t="s">
        <v>52</v>
      </c>
      <c r="AJ1312" t="s">
        <v>52</v>
      </c>
      <c r="AK1312" t="s">
        <v>4842</v>
      </c>
      <c r="AL1312" t="str">
        <f>HYPERLINK("https://www.instagram.com/p/BzGrwQVhrwM/media/?size=l")</f>
        <v>https://www.instagram.com/p/BzGrwQVhrwM/media/?size=l</v>
      </c>
      <c r="AM1312" t="s">
        <v>52</v>
      </c>
      <c r="AN1312" t="s">
        <v>53</v>
      </c>
    </row>
    <row r="1313" spans="1:40">
      <c r="A1313" t="s">
        <v>2370</v>
      </c>
      <c r="B1313" t="s">
        <v>4843</v>
      </c>
      <c r="C1313" t="s">
        <v>4844</v>
      </c>
      <c r="D1313" t="s">
        <v>52</v>
      </c>
      <c r="E1313" t="s">
        <v>4845</v>
      </c>
      <c r="F1313" t="s">
        <v>95</v>
      </c>
      <c r="G1313" t="str">
        <f>HYPERLINK("https://twitter.com/390257127/status/1143240927785435136")</f>
        <v>https://twitter.com/390257127/status/1143240927785435136</v>
      </c>
      <c r="H1313" t="s">
        <v>91</v>
      </c>
      <c r="I1313" t="s">
        <v>4846</v>
      </c>
      <c r="J1313" t="str">
        <f>HYPERLINK("http://twitter.com/FedMaster")</f>
        <v>http://twitter.com/FedMaster</v>
      </c>
      <c r="K1313">
        <v>39</v>
      </c>
      <c r="N1313" t="s">
        <v>65</v>
      </c>
      <c r="R1313" t="s">
        <v>60</v>
      </c>
      <c r="W1313">
        <v>1</v>
      </c>
      <c r="X1313">
        <v>1</v>
      </c>
      <c r="AE1313">
        <v>0</v>
      </c>
      <c r="AF1313">
        <v>0</v>
      </c>
      <c r="AM1313" t="s">
        <v>52</v>
      </c>
      <c r="AN1313" t="s">
        <v>53</v>
      </c>
    </row>
    <row r="1314" spans="1:40">
      <c r="A1314" t="s">
        <v>2370</v>
      </c>
      <c r="B1314" t="s">
        <v>4843</v>
      </c>
      <c r="C1314" t="s">
        <v>4844</v>
      </c>
      <c r="D1314" t="s">
        <v>52</v>
      </c>
      <c r="E1314" t="s">
        <v>4847</v>
      </c>
      <c r="F1314" t="s">
        <v>95</v>
      </c>
      <c r="G1314" t="str">
        <f>HYPERLINK("https://twitter.com/952959913990475776/status/1143240922165104642")</f>
        <v>https://twitter.com/952959913990475776/status/1143240922165104642</v>
      </c>
      <c r="H1314" t="s">
        <v>46</v>
      </c>
      <c r="I1314" t="s">
        <v>4848</v>
      </c>
      <c r="J1314" t="str">
        <f>HYPERLINK("http://twitter.com/BitsDud")</f>
        <v>http://twitter.com/BitsDud</v>
      </c>
      <c r="K1314">
        <v>42</v>
      </c>
      <c r="N1314" t="s">
        <v>65</v>
      </c>
      <c r="R1314" t="s">
        <v>60</v>
      </c>
      <c r="W1314">
        <v>1</v>
      </c>
      <c r="X1314">
        <v>1</v>
      </c>
      <c r="AE1314">
        <v>0</v>
      </c>
      <c r="AF1314">
        <v>0</v>
      </c>
      <c r="AM1314" t="s">
        <v>52</v>
      </c>
      <c r="AN1314" t="s">
        <v>53</v>
      </c>
    </row>
    <row r="1315" spans="1:40">
      <c r="A1315" t="s">
        <v>2370</v>
      </c>
      <c r="B1315" t="s">
        <v>4849</v>
      </c>
      <c r="C1315" t="s">
        <v>4825</v>
      </c>
      <c r="D1315" t="s">
        <v>52</v>
      </c>
      <c r="E1315" t="s">
        <v>4850</v>
      </c>
      <c r="F1315" t="s">
        <v>45</v>
      </c>
      <c r="G1315" t="str">
        <f>HYPERLINK("https://twitter.com/3976500017/status/1143240854255153152")</f>
        <v>https://twitter.com/3976500017/status/1143240854255153152</v>
      </c>
      <c r="H1315" t="s">
        <v>46</v>
      </c>
      <c r="I1315" t="s">
        <v>1697</v>
      </c>
      <c r="J1315" t="str">
        <f>HYPERLINK("http://twitter.com/memerbot404")</f>
        <v>http://twitter.com/memerbot404</v>
      </c>
      <c r="K1315">
        <v>12</v>
      </c>
      <c r="L1315" t="s">
        <v>48</v>
      </c>
      <c r="N1315" t="s">
        <v>65</v>
      </c>
      <c r="R1315" t="s">
        <v>60</v>
      </c>
      <c r="S1315" t="s">
        <v>774</v>
      </c>
      <c r="W1315">
        <v>0</v>
      </c>
      <c r="X1315">
        <v>0</v>
      </c>
      <c r="AE1315">
        <v>0</v>
      </c>
      <c r="AF1315">
        <v>0</v>
      </c>
      <c r="AM1315" t="s">
        <v>52</v>
      </c>
      <c r="AN1315" t="s">
        <v>53</v>
      </c>
    </row>
    <row r="1316" spans="1:40">
      <c r="A1316" t="s">
        <v>2370</v>
      </c>
      <c r="B1316" t="s">
        <v>4849</v>
      </c>
      <c r="C1316" t="s">
        <v>4832</v>
      </c>
      <c r="D1316" t="s">
        <v>52</v>
      </c>
      <c r="E1316" t="s">
        <v>1194</v>
      </c>
      <c r="F1316" t="s">
        <v>131</v>
      </c>
      <c r="G1316" t="str">
        <f>HYPERLINK("https://twitter.com/837531508986396673/status/1143240690706653185")</f>
        <v>https://twitter.com/837531508986396673/status/1143240690706653185</v>
      </c>
      <c r="H1316" t="s">
        <v>46</v>
      </c>
      <c r="I1316" t="s">
        <v>4851</v>
      </c>
      <c r="J1316" t="str">
        <f>HYPERLINK("http://twitter.com/Remato__")</f>
        <v>http://twitter.com/Remato__</v>
      </c>
      <c r="K1316">
        <v>998</v>
      </c>
      <c r="N1316" t="s">
        <v>65</v>
      </c>
      <c r="R1316" t="s">
        <v>60</v>
      </c>
      <c r="S1316" t="s">
        <v>432</v>
      </c>
      <c r="T1316" t="s">
        <v>4852</v>
      </c>
      <c r="U1316" t="s">
        <v>4853</v>
      </c>
      <c r="W1316">
        <v>0</v>
      </c>
      <c r="X1316">
        <v>0</v>
      </c>
      <c r="AE1316">
        <v>0</v>
      </c>
      <c r="AI1316" t="s">
        <v>52</v>
      </c>
      <c r="AJ1316" t="s">
        <v>1196</v>
      </c>
      <c r="AK1316" t="s">
        <v>52</v>
      </c>
      <c r="AL1316" t="str">
        <f>HYPERLINK("https://pbs.twimg.com/media/D9xgk2YXkAAd2ql.jpg")</f>
        <v>https://pbs.twimg.com/media/D9xgk2YXkAAd2ql.jpg</v>
      </c>
      <c r="AM1316" t="s">
        <v>52</v>
      </c>
      <c r="AN1316" t="s">
        <v>53</v>
      </c>
    </row>
    <row r="1317" spans="1:40">
      <c r="A1317" t="s">
        <v>2370</v>
      </c>
      <c r="B1317" t="s">
        <v>4849</v>
      </c>
      <c r="C1317" t="s">
        <v>4854</v>
      </c>
      <c r="D1317" t="s">
        <v>52</v>
      </c>
      <c r="E1317" t="s">
        <v>130</v>
      </c>
      <c r="F1317" t="s">
        <v>131</v>
      </c>
      <c r="G1317" t="str">
        <f>HYPERLINK("https://twitter.com/605288513/status/1143240672981504001")</f>
        <v>https://twitter.com/605288513/status/1143240672981504001</v>
      </c>
      <c r="H1317" t="s">
        <v>46</v>
      </c>
      <c r="I1317" t="s">
        <v>4855</v>
      </c>
      <c r="J1317" t="str">
        <f>HYPERLINK("http://twitter.com/AspergersYvo")</f>
        <v>http://twitter.com/AspergersYvo</v>
      </c>
      <c r="K1317">
        <v>118</v>
      </c>
      <c r="N1317" t="s">
        <v>65</v>
      </c>
      <c r="R1317" t="s">
        <v>60</v>
      </c>
      <c r="S1317" t="s">
        <v>97</v>
      </c>
      <c r="T1317" t="s">
        <v>177</v>
      </c>
      <c r="U1317" t="s">
        <v>395</v>
      </c>
      <c r="W1317">
        <v>0</v>
      </c>
      <c r="X1317">
        <v>0</v>
      </c>
      <c r="AE1317">
        <v>0</v>
      </c>
      <c r="AI1317" t="s">
        <v>108</v>
      </c>
      <c r="AJ1317" t="s">
        <v>52</v>
      </c>
      <c r="AK1317" t="s">
        <v>52</v>
      </c>
      <c r="AL1317" t="str">
        <f>HYPERLINK("https://pbs.twimg.com/media/D9XTkLWW4AAOYnJ.jpg")</f>
        <v>https://pbs.twimg.com/media/D9XTkLWW4AAOYnJ.jpg</v>
      </c>
      <c r="AM1317" t="s">
        <v>52</v>
      </c>
      <c r="AN1317" t="s">
        <v>53</v>
      </c>
    </row>
    <row r="1318" spans="1:40">
      <c r="A1318" t="s">
        <v>2370</v>
      </c>
      <c r="B1318" t="s">
        <v>4849</v>
      </c>
      <c r="C1318" t="s">
        <v>4854</v>
      </c>
      <c r="D1318" t="s">
        <v>52</v>
      </c>
      <c r="E1318" t="s">
        <v>4856</v>
      </c>
      <c r="F1318" t="s">
        <v>45</v>
      </c>
      <c r="G1318" t="str">
        <f>HYPERLINK("https://twitter.com/3365583477/status/1143240665696034818")</f>
        <v>https://twitter.com/3365583477/status/1143240665696034818</v>
      </c>
      <c r="H1318" t="s">
        <v>46</v>
      </c>
      <c r="I1318" t="s">
        <v>4857</v>
      </c>
      <c r="J1318" t="str">
        <f>HYPERLINK("http://twitter.com/kayteeb25")</f>
        <v>http://twitter.com/kayteeb25</v>
      </c>
      <c r="K1318">
        <v>67</v>
      </c>
      <c r="N1318" t="s">
        <v>65</v>
      </c>
      <c r="R1318" t="s">
        <v>60</v>
      </c>
      <c r="S1318" t="s">
        <v>1947</v>
      </c>
      <c r="T1318" t="s">
        <v>2484</v>
      </c>
      <c r="U1318" t="s">
        <v>2485</v>
      </c>
      <c r="W1318">
        <v>0</v>
      </c>
      <c r="X1318">
        <v>0</v>
      </c>
      <c r="AE1318">
        <v>0</v>
      </c>
      <c r="AF1318">
        <v>0</v>
      </c>
      <c r="AM1318" t="s">
        <v>52</v>
      </c>
      <c r="AN1318" t="s">
        <v>53</v>
      </c>
    </row>
    <row r="1319" spans="1:40">
      <c r="A1319" t="s">
        <v>2370</v>
      </c>
      <c r="B1319" t="s">
        <v>4858</v>
      </c>
      <c r="C1319" t="s">
        <v>4799</v>
      </c>
      <c r="D1319" t="s">
        <v>52</v>
      </c>
      <c r="E1319" t="s">
        <v>4859</v>
      </c>
      <c r="F1319" t="s">
        <v>131</v>
      </c>
      <c r="G1319" t="str">
        <f>HYPERLINK("https://twitter.com/94030444/status/1143240098412019712")</f>
        <v>https://twitter.com/94030444/status/1143240098412019712</v>
      </c>
      <c r="H1319" t="s">
        <v>215</v>
      </c>
      <c r="I1319" t="s">
        <v>4860</v>
      </c>
      <c r="J1319" t="str">
        <f>HYPERLINK("http://twitter.com/BrentlyCoupe")</f>
        <v>http://twitter.com/BrentlyCoupe</v>
      </c>
      <c r="K1319">
        <v>1353</v>
      </c>
      <c r="N1319" t="s">
        <v>65</v>
      </c>
      <c r="R1319" t="s">
        <v>60</v>
      </c>
      <c r="S1319" t="s">
        <v>51</v>
      </c>
      <c r="T1319" t="s">
        <v>2420</v>
      </c>
      <c r="U1319" t="s">
        <v>2421</v>
      </c>
      <c r="W1319">
        <v>0</v>
      </c>
      <c r="X1319">
        <v>0</v>
      </c>
      <c r="AE1319">
        <v>0</v>
      </c>
      <c r="AM1319" t="s">
        <v>52</v>
      </c>
      <c r="AN1319" t="s">
        <v>53</v>
      </c>
    </row>
    <row r="1320" spans="1:40">
      <c r="A1320" t="s">
        <v>2370</v>
      </c>
      <c r="B1320" t="s">
        <v>4858</v>
      </c>
      <c r="C1320" t="s">
        <v>4764</v>
      </c>
      <c r="D1320" t="s">
        <v>4861</v>
      </c>
      <c r="E1320" t="s">
        <v>4862</v>
      </c>
      <c r="F1320" t="s">
        <v>95</v>
      </c>
      <c r="G1320" t="str">
        <f>HYPERLINK("https://www.freebieshark.com/2019/05/doritos-spiderman-instant-win-game-1698-winners.html#comment-4514554869")</f>
        <v>https://www.freebieshark.com/2019/05/doritos-spiderman-instant-win-game-1698-winners.html#comment-4514554869</v>
      </c>
      <c r="H1320" t="s">
        <v>46</v>
      </c>
      <c r="I1320" t="s">
        <v>4863</v>
      </c>
      <c r="J1320" t="str">
        <f>HYPERLINK("https://disqus.com/by/disqus_Ntxf2BilgW/")</f>
        <v>https://disqus.com/by/disqus_Ntxf2BilgW/</v>
      </c>
      <c r="K1320">
        <v>0</v>
      </c>
      <c r="N1320" t="s">
        <v>4864</v>
      </c>
      <c r="O1320" t="s">
        <v>4865</v>
      </c>
      <c r="P1320" t="str">
        <f>HYPERLINK("https://disqus.com/home/forum/freebieshark/")</f>
        <v>https://disqus.com/home/forum/freebieshark/</v>
      </c>
      <c r="R1320" t="s">
        <v>50</v>
      </c>
      <c r="W1320">
        <v>0</v>
      </c>
      <c r="X1320">
        <v>0</v>
      </c>
      <c r="AM1320" t="s">
        <v>52</v>
      </c>
      <c r="AN1320" t="s">
        <v>53</v>
      </c>
    </row>
    <row r="1321" spans="1:40">
      <c r="A1321" t="s">
        <v>2370</v>
      </c>
      <c r="B1321" t="s">
        <v>4866</v>
      </c>
      <c r="C1321" t="s">
        <v>4867</v>
      </c>
      <c r="D1321" t="s">
        <v>52</v>
      </c>
      <c r="E1321" t="s">
        <v>4868</v>
      </c>
      <c r="F1321" t="s">
        <v>45</v>
      </c>
      <c r="G1321" t="str">
        <f>HYPERLINK("https://www.instagram.com/p/BzGqz4WjDx0")</f>
        <v>https://www.instagram.com/p/BzGqz4WjDx0</v>
      </c>
      <c r="H1321" t="s">
        <v>46</v>
      </c>
      <c r="I1321" t="s">
        <v>52</v>
      </c>
      <c r="J1321" t="str">
        <f>HYPERLINK("http://instagram.com/honey__edits_")</f>
        <v>http://instagram.com/honey__edits_</v>
      </c>
      <c r="K1321">
        <v>300</v>
      </c>
      <c r="N1321" t="s">
        <v>59</v>
      </c>
      <c r="O1321" t="s">
        <v>52</v>
      </c>
      <c r="P1321" t="str">
        <f>HYPERLINK("http://instagram.com/honey__edits_")</f>
        <v>http://instagram.com/honey__edits_</v>
      </c>
      <c r="Q1321">
        <v>300</v>
      </c>
      <c r="R1321" t="s">
        <v>60</v>
      </c>
      <c r="W1321">
        <v>34</v>
      </c>
      <c r="X1321">
        <v>34</v>
      </c>
      <c r="AE1321">
        <v>2</v>
      </c>
      <c r="AG1321">
        <v>111</v>
      </c>
      <c r="AI1321" t="s">
        <v>108</v>
      </c>
      <c r="AJ1321" t="s">
        <v>4006</v>
      </c>
      <c r="AK1321" t="s">
        <v>52</v>
      </c>
      <c r="AL1321" t="str">
        <f>HYPERLINK("https://www.instagram.com/p/BzGqz4WjDx0/media/?size=l")</f>
        <v>https://www.instagram.com/p/BzGqz4WjDx0/media/?size=l</v>
      </c>
      <c r="AM1321" t="s">
        <v>52</v>
      </c>
      <c r="AN1321" t="s">
        <v>53</v>
      </c>
    </row>
    <row r="1322" spans="1:40">
      <c r="A1322" t="s">
        <v>2370</v>
      </c>
      <c r="B1322" t="s">
        <v>4869</v>
      </c>
      <c r="C1322" t="s">
        <v>4854</v>
      </c>
      <c r="D1322" t="s">
        <v>52</v>
      </c>
      <c r="E1322" t="s">
        <v>4870</v>
      </c>
      <c r="F1322" t="s">
        <v>45</v>
      </c>
      <c r="G1322" t="str">
        <f>HYPERLINK("https://www.instagram.com/p/BzGrBe3hlM8")</f>
        <v>https://www.instagram.com/p/BzGrBe3hlM8</v>
      </c>
      <c r="H1322" t="s">
        <v>46</v>
      </c>
      <c r="I1322" t="s">
        <v>4871</v>
      </c>
      <c r="J1322" t="str">
        <f>HYPERLINK("http://instagram.com/backonit2019")</f>
        <v>http://instagram.com/backonit2019</v>
      </c>
      <c r="K1322">
        <v>89</v>
      </c>
      <c r="N1322" t="s">
        <v>59</v>
      </c>
      <c r="O1322" t="s">
        <v>4871</v>
      </c>
      <c r="P1322" t="str">
        <f>HYPERLINK("http://instagram.com/backonit2019")</f>
        <v>http://instagram.com/backonit2019</v>
      </c>
      <c r="Q1322">
        <v>89</v>
      </c>
      <c r="R1322" t="s">
        <v>60</v>
      </c>
      <c r="W1322">
        <v>8</v>
      </c>
      <c r="X1322">
        <v>8</v>
      </c>
      <c r="AE1322">
        <v>0</v>
      </c>
      <c r="AL1322" t="str">
        <f>HYPERLINK("https://www.instagram.com/p/BzGrBe3hlM8/media/?size=l")</f>
        <v>https://www.instagram.com/p/BzGrBe3hlM8/media/?size=l</v>
      </c>
      <c r="AM1322" t="s">
        <v>52</v>
      </c>
      <c r="AN1322" t="s">
        <v>53</v>
      </c>
    </row>
    <row r="1323" spans="1:40">
      <c r="A1323" t="s">
        <v>2370</v>
      </c>
      <c r="B1323" t="s">
        <v>4872</v>
      </c>
      <c r="C1323" t="s">
        <v>4873</v>
      </c>
      <c r="D1323" t="s">
        <v>52</v>
      </c>
      <c r="E1323" t="s">
        <v>4874</v>
      </c>
      <c r="F1323" t="s">
        <v>45</v>
      </c>
      <c r="G1323" t="str">
        <f>HYPERLINK("https://twitter.com/4904113818/status/1143239361783353346")</f>
        <v>https://twitter.com/4904113818/status/1143239361783353346</v>
      </c>
      <c r="H1323" t="s">
        <v>46</v>
      </c>
      <c r="I1323" t="s">
        <v>4875</v>
      </c>
      <c r="J1323" t="str">
        <f>HYPERLINK("http://twitter.com/rubensukke")</f>
        <v>http://twitter.com/rubensukke</v>
      </c>
      <c r="K1323">
        <v>111</v>
      </c>
      <c r="N1323" t="s">
        <v>65</v>
      </c>
      <c r="R1323" t="s">
        <v>60</v>
      </c>
      <c r="W1323">
        <v>1</v>
      </c>
      <c r="X1323">
        <v>1</v>
      </c>
      <c r="AE1323">
        <v>0</v>
      </c>
      <c r="AF1323">
        <v>0</v>
      </c>
      <c r="AM1323" t="s">
        <v>52</v>
      </c>
      <c r="AN1323" t="s">
        <v>53</v>
      </c>
    </row>
    <row r="1324" spans="1:40">
      <c r="A1324" t="s">
        <v>2370</v>
      </c>
      <c r="B1324" t="s">
        <v>4872</v>
      </c>
      <c r="C1324" t="s">
        <v>4873</v>
      </c>
      <c r="D1324" t="s">
        <v>52</v>
      </c>
      <c r="E1324" t="s">
        <v>1194</v>
      </c>
      <c r="F1324" t="s">
        <v>131</v>
      </c>
      <c r="G1324" t="str">
        <f>HYPERLINK("https://twitter.com/995630280/status/1143239359442968578")</f>
        <v>https://twitter.com/995630280/status/1143239359442968578</v>
      </c>
      <c r="H1324" t="s">
        <v>46</v>
      </c>
      <c r="I1324" t="s">
        <v>52</v>
      </c>
      <c r="J1324" t="str">
        <f>HYPERLINK("http://twitter.com/nicos__toppin")</f>
        <v>http://twitter.com/nicos__toppin</v>
      </c>
      <c r="K1324">
        <v>668</v>
      </c>
      <c r="N1324" t="s">
        <v>65</v>
      </c>
      <c r="R1324" t="s">
        <v>60</v>
      </c>
      <c r="S1324" t="s">
        <v>97</v>
      </c>
      <c r="T1324" t="s">
        <v>177</v>
      </c>
      <c r="U1324" t="s">
        <v>4876</v>
      </c>
      <c r="W1324">
        <v>0</v>
      </c>
      <c r="X1324">
        <v>0</v>
      </c>
      <c r="AE1324">
        <v>0</v>
      </c>
      <c r="AI1324" t="s">
        <v>52</v>
      </c>
      <c r="AJ1324" t="s">
        <v>1196</v>
      </c>
      <c r="AK1324" t="s">
        <v>52</v>
      </c>
      <c r="AL1324" t="str">
        <f>HYPERLINK("https://pbs.twimg.com/media/D9xgk2YXkAAd2ql.jpg")</f>
        <v>https://pbs.twimg.com/media/D9xgk2YXkAAd2ql.jpg</v>
      </c>
      <c r="AM1324" t="s">
        <v>52</v>
      </c>
      <c r="AN1324" t="s">
        <v>53</v>
      </c>
    </row>
    <row r="1325" spans="1:40">
      <c r="A1325" t="s">
        <v>2370</v>
      </c>
      <c r="B1325" t="s">
        <v>4872</v>
      </c>
      <c r="C1325" t="s">
        <v>4877</v>
      </c>
      <c r="D1325" t="s">
        <v>52</v>
      </c>
      <c r="E1325" t="s">
        <v>4878</v>
      </c>
      <c r="F1325" t="s">
        <v>95</v>
      </c>
      <c r="G1325" t="str">
        <f>HYPERLINK("https://twitter.com/73868797/status/1143239260419612673")</f>
        <v>https://twitter.com/73868797/status/1143239260419612673</v>
      </c>
      <c r="H1325" t="s">
        <v>46</v>
      </c>
      <c r="I1325" t="s">
        <v>4879</v>
      </c>
      <c r="J1325" t="str">
        <f>HYPERLINK("http://twitter.com/MissHopeM")</f>
        <v>http://twitter.com/MissHopeM</v>
      </c>
      <c r="K1325">
        <v>1956</v>
      </c>
      <c r="N1325" t="s">
        <v>65</v>
      </c>
      <c r="R1325" t="s">
        <v>60</v>
      </c>
      <c r="S1325" t="s">
        <v>1071</v>
      </c>
      <c r="T1325" t="s">
        <v>1072</v>
      </c>
      <c r="U1325" t="s">
        <v>1073</v>
      </c>
      <c r="W1325">
        <v>0</v>
      </c>
      <c r="X1325">
        <v>0</v>
      </c>
      <c r="AE1325">
        <v>0</v>
      </c>
      <c r="AF1325">
        <v>0</v>
      </c>
      <c r="AI1325" t="s">
        <v>52</v>
      </c>
      <c r="AJ1325" t="s">
        <v>452</v>
      </c>
      <c r="AK1325" t="s">
        <v>4880</v>
      </c>
      <c r="AL1325" t="str">
        <f>HYPERLINK("https://pbs.twimg.com/tweet_video_thumb/D92aCjHXoBAgGtA.jpg")</f>
        <v>https://pbs.twimg.com/tweet_video_thumb/D92aCjHXoBAgGtA.jpg</v>
      </c>
      <c r="AM1325" t="s">
        <v>52</v>
      </c>
      <c r="AN1325" t="s">
        <v>53</v>
      </c>
    </row>
    <row r="1326" spans="1:40">
      <c r="A1326" t="s">
        <v>2370</v>
      </c>
      <c r="B1326" t="s">
        <v>4881</v>
      </c>
      <c r="C1326" t="s">
        <v>4882</v>
      </c>
      <c r="D1326" t="s">
        <v>52</v>
      </c>
      <c r="E1326" t="s">
        <v>4883</v>
      </c>
      <c r="F1326" t="s">
        <v>45</v>
      </c>
      <c r="G1326" t="str">
        <f>HYPERLINK("https://twitter.com/3437468757/status/1143239012313948160")</f>
        <v>https://twitter.com/3437468757/status/1143239012313948160</v>
      </c>
      <c r="H1326" t="s">
        <v>46</v>
      </c>
      <c r="I1326" t="s">
        <v>4884</v>
      </c>
      <c r="J1326" t="str">
        <f>HYPERLINK("http://twitter.com/alsachi661")</f>
        <v>http://twitter.com/alsachi661</v>
      </c>
      <c r="K1326">
        <v>282</v>
      </c>
      <c r="N1326" t="s">
        <v>65</v>
      </c>
      <c r="R1326" t="s">
        <v>60</v>
      </c>
      <c r="W1326">
        <v>0</v>
      </c>
      <c r="X1326">
        <v>0</v>
      </c>
      <c r="AE1326">
        <v>0</v>
      </c>
      <c r="AF1326">
        <v>0</v>
      </c>
      <c r="AM1326" t="s">
        <v>52</v>
      </c>
      <c r="AN1326" t="s">
        <v>53</v>
      </c>
    </row>
    <row r="1327" spans="1:40">
      <c r="A1327" t="s">
        <v>2370</v>
      </c>
      <c r="B1327" t="s">
        <v>4885</v>
      </c>
      <c r="C1327" t="s">
        <v>4825</v>
      </c>
      <c r="D1327" t="s">
        <v>52</v>
      </c>
      <c r="E1327" t="s">
        <v>4886</v>
      </c>
      <c r="F1327" t="s">
        <v>45</v>
      </c>
      <c r="G1327" t="str">
        <f>HYPERLINK("https://www.instagram.com/p/BzGqRdoooRR")</f>
        <v>https://www.instagram.com/p/BzGqRdoooRR</v>
      </c>
      <c r="H1327" t="s">
        <v>46</v>
      </c>
      <c r="I1327" t="s">
        <v>4887</v>
      </c>
      <c r="J1327" t="str">
        <f>HYPERLINK("http://instagram.com/sylenth_star")</f>
        <v>http://instagram.com/sylenth_star</v>
      </c>
      <c r="K1327">
        <v>1010</v>
      </c>
      <c r="N1327" t="s">
        <v>59</v>
      </c>
      <c r="O1327" t="s">
        <v>4887</v>
      </c>
      <c r="P1327" t="str">
        <f>HYPERLINK("http://instagram.com/sylenth_star")</f>
        <v>http://instagram.com/sylenth_star</v>
      </c>
      <c r="Q1327">
        <v>1010</v>
      </c>
      <c r="R1327" t="s">
        <v>60</v>
      </c>
      <c r="W1327">
        <v>20</v>
      </c>
      <c r="X1327">
        <v>20</v>
      </c>
      <c r="AE1327">
        <v>4</v>
      </c>
      <c r="AG1327">
        <v>59</v>
      </c>
      <c r="AI1327" t="s">
        <v>52</v>
      </c>
      <c r="AJ1327" t="s">
        <v>52</v>
      </c>
      <c r="AK1327" t="s">
        <v>341</v>
      </c>
      <c r="AL1327" t="str">
        <f>HYPERLINK("https://www.instagram.com/p/BzGqRdoooRR/media/?size=l")</f>
        <v>https://www.instagram.com/p/BzGqRdoooRR/media/?size=l</v>
      </c>
      <c r="AM1327" t="s">
        <v>52</v>
      </c>
      <c r="AN1327" t="s">
        <v>53</v>
      </c>
    </row>
    <row r="1328" spans="1:40">
      <c r="A1328" t="s">
        <v>2370</v>
      </c>
      <c r="B1328" t="s">
        <v>4888</v>
      </c>
      <c r="C1328" t="s">
        <v>4873</v>
      </c>
      <c r="D1328" t="s">
        <v>4889</v>
      </c>
      <c r="E1328" t="s">
        <v>4889</v>
      </c>
      <c r="F1328" t="s">
        <v>45</v>
      </c>
      <c r="G1328" t="str">
        <f>HYPERLINK("https://www.youtube.com/watch?v=3a-freseEH8")</f>
        <v>https://www.youtube.com/watch?v=3a-freseEH8</v>
      </c>
      <c r="H1328" t="s">
        <v>46</v>
      </c>
      <c r="I1328" t="s">
        <v>4890</v>
      </c>
      <c r="J1328" t="str">
        <f>HYPERLINK("https://www.youtube.com/channel/UCDoHTKbp5iwDTDYRTFrTOug")</f>
        <v>https://www.youtube.com/channel/UCDoHTKbp5iwDTDYRTFrTOug</v>
      </c>
      <c r="K1328">
        <v>25</v>
      </c>
      <c r="N1328" t="s">
        <v>116</v>
      </c>
      <c r="O1328" t="s">
        <v>4890</v>
      </c>
      <c r="P1328" t="str">
        <f>HYPERLINK("https://www.youtube.com/channel/UCDoHTKbp5iwDTDYRTFrTOug")</f>
        <v>https://www.youtube.com/channel/UCDoHTKbp5iwDTDYRTFrTOug</v>
      </c>
      <c r="Q1328">
        <v>25</v>
      </c>
      <c r="R1328" t="s">
        <v>60</v>
      </c>
      <c r="W1328">
        <v>2</v>
      </c>
      <c r="X1328">
        <v>2</v>
      </c>
      <c r="AD1328">
        <v>0</v>
      </c>
      <c r="AE1328">
        <v>0</v>
      </c>
      <c r="AG1328">
        <v>6</v>
      </c>
      <c r="AI1328" t="s">
        <v>52</v>
      </c>
      <c r="AJ1328" t="s">
        <v>52</v>
      </c>
      <c r="AK1328" t="s">
        <v>341</v>
      </c>
      <c r="AL1328" t="str">
        <f>HYPERLINK("https://i.ytimg.com/vi/3a-freseEH8/hqdefault.jpg")</f>
        <v>https://i.ytimg.com/vi/3a-freseEH8/hqdefault.jpg</v>
      </c>
      <c r="AM1328" t="s">
        <v>52</v>
      </c>
      <c r="AN1328" t="s">
        <v>53</v>
      </c>
    </row>
    <row r="1329" spans="1:40">
      <c r="A1329" t="s">
        <v>2370</v>
      </c>
      <c r="B1329" t="s">
        <v>4888</v>
      </c>
      <c r="C1329" t="s">
        <v>4771</v>
      </c>
      <c r="D1329" t="s">
        <v>52</v>
      </c>
      <c r="E1329" t="s">
        <v>4891</v>
      </c>
      <c r="F1329" t="s">
        <v>45</v>
      </c>
      <c r="G1329" t="str">
        <f>HYPERLINK("https://www.instagram.com/p/BzGqe8WhsLh")</f>
        <v>https://www.instagram.com/p/BzGqe8WhsLh</v>
      </c>
      <c r="H1329" t="s">
        <v>46</v>
      </c>
      <c r="I1329" t="s">
        <v>4892</v>
      </c>
      <c r="J1329" t="str">
        <f>HYPERLINK("http://instagram.com/_grandpa__mac")</f>
        <v>http://instagram.com/_grandpa__mac</v>
      </c>
      <c r="K1329">
        <v>3349</v>
      </c>
      <c r="N1329" t="s">
        <v>59</v>
      </c>
      <c r="O1329" t="s">
        <v>4892</v>
      </c>
      <c r="P1329" t="str">
        <f>HYPERLINK("http://instagram.com/_grandpa__mac")</f>
        <v>http://instagram.com/_grandpa__mac</v>
      </c>
      <c r="Q1329">
        <v>3349</v>
      </c>
      <c r="R1329" t="s">
        <v>60</v>
      </c>
      <c r="S1329" t="s">
        <v>51</v>
      </c>
      <c r="T1329" t="s">
        <v>4893</v>
      </c>
      <c r="U1329" t="s">
        <v>4894</v>
      </c>
      <c r="W1329">
        <v>68</v>
      </c>
      <c r="X1329">
        <v>68</v>
      </c>
      <c r="AE1329">
        <v>2</v>
      </c>
      <c r="AI1329" t="s">
        <v>52</v>
      </c>
      <c r="AJ1329" t="s">
        <v>4895</v>
      </c>
      <c r="AK1329" t="s">
        <v>52</v>
      </c>
      <c r="AL1329" t="str">
        <f>HYPERLINK("https://www.instagram.com/p/BzGqe8WhsLh/media/?size=l")</f>
        <v>https://www.instagram.com/p/BzGqe8WhsLh/media/?size=l</v>
      </c>
      <c r="AM1329" t="s">
        <v>52</v>
      </c>
      <c r="AN1329" t="s">
        <v>53</v>
      </c>
    </row>
    <row r="1330" spans="1:40">
      <c r="A1330" t="s">
        <v>2370</v>
      </c>
      <c r="B1330" t="s">
        <v>4888</v>
      </c>
      <c r="C1330" t="s">
        <v>4877</v>
      </c>
      <c r="D1330" t="s">
        <v>52</v>
      </c>
      <c r="E1330" t="s">
        <v>4896</v>
      </c>
      <c r="F1330" t="s">
        <v>45</v>
      </c>
      <c r="G1330" t="str">
        <f>HYPERLINK("https://www.instagram.com/p/BzGqaH8lhSB")</f>
        <v>https://www.instagram.com/p/BzGqaH8lhSB</v>
      </c>
      <c r="H1330" t="s">
        <v>46</v>
      </c>
      <c r="I1330" t="s">
        <v>4897</v>
      </c>
      <c r="J1330" t="str">
        <f>HYPERLINK("http://instagram.com/dickmusturd")</f>
        <v>http://instagram.com/dickmusturd</v>
      </c>
      <c r="K1330">
        <v>197</v>
      </c>
      <c r="N1330" t="s">
        <v>59</v>
      </c>
      <c r="O1330" t="s">
        <v>4897</v>
      </c>
      <c r="P1330" t="str">
        <f>HYPERLINK("http://instagram.com/dickmusturd")</f>
        <v>http://instagram.com/dickmusturd</v>
      </c>
      <c r="Q1330">
        <v>197</v>
      </c>
      <c r="R1330" t="s">
        <v>60</v>
      </c>
      <c r="W1330">
        <v>19</v>
      </c>
      <c r="X1330">
        <v>19</v>
      </c>
      <c r="AE1330">
        <v>0</v>
      </c>
      <c r="AG1330">
        <v>102</v>
      </c>
      <c r="AI1330" t="s">
        <v>52</v>
      </c>
      <c r="AJ1330" t="s">
        <v>4898</v>
      </c>
      <c r="AK1330" t="s">
        <v>52</v>
      </c>
      <c r="AL1330" t="str">
        <f>HYPERLINK("https://www.instagram.com/p/BzGqaH8lhSB/media/?size=l")</f>
        <v>https://www.instagram.com/p/BzGqaH8lhSB/media/?size=l</v>
      </c>
      <c r="AM1330" t="s">
        <v>52</v>
      </c>
      <c r="AN1330" t="s">
        <v>53</v>
      </c>
    </row>
    <row r="1331" spans="1:40">
      <c r="A1331" t="s">
        <v>2370</v>
      </c>
      <c r="B1331" t="s">
        <v>4899</v>
      </c>
      <c r="C1331" t="s">
        <v>4900</v>
      </c>
      <c r="D1331" t="s">
        <v>52</v>
      </c>
      <c r="E1331" t="s">
        <v>4901</v>
      </c>
      <c r="F1331" t="s">
        <v>45</v>
      </c>
      <c r="G1331" t="str">
        <f>HYPERLINK("https://www.instagram.com/p/BzGqQmOBqfF")</f>
        <v>https://www.instagram.com/p/BzGqQmOBqfF</v>
      </c>
      <c r="H1331" t="s">
        <v>46</v>
      </c>
      <c r="I1331" t="s">
        <v>4902</v>
      </c>
      <c r="J1331" t="str">
        <f>HYPERLINK("http://instagram.com/spsobretrilhos")</f>
        <v>http://instagram.com/spsobretrilhos</v>
      </c>
      <c r="K1331">
        <v>3019</v>
      </c>
      <c r="N1331" t="s">
        <v>59</v>
      </c>
      <c r="O1331" t="s">
        <v>4902</v>
      </c>
      <c r="P1331" t="str">
        <f>HYPERLINK("http://instagram.com/spsobretrilhos")</f>
        <v>http://instagram.com/spsobretrilhos</v>
      </c>
      <c r="Q1331">
        <v>3019</v>
      </c>
      <c r="R1331" t="s">
        <v>60</v>
      </c>
      <c r="S1331" t="s">
        <v>432</v>
      </c>
      <c r="T1331" t="s">
        <v>433</v>
      </c>
      <c r="W1331">
        <v>30</v>
      </c>
      <c r="X1331">
        <v>30</v>
      </c>
      <c r="AE1331">
        <v>0</v>
      </c>
      <c r="AI1331" t="s">
        <v>108</v>
      </c>
      <c r="AJ1331" t="s">
        <v>52</v>
      </c>
      <c r="AK1331" t="s">
        <v>52</v>
      </c>
      <c r="AL1331" t="str">
        <f>HYPERLINK("https://www.instagram.com/p/BzGqQmOBqfF/media/?size=l")</f>
        <v>https://www.instagram.com/p/BzGqQmOBqfF/media/?size=l</v>
      </c>
      <c r="AM1331" t="s">
        <v>52</v>
      </c>
      <c r="AN1331" t="s">
        <v>53</v>
      </c>
    </row>
    <row r="1332" spans="1:40">
      <c r="A1332" t="s">
        <v>2370</v>
      </c>
      <c r="B1332" t="s">
        <v>4903</v>
      </c>
      <c r="C1332" t="s">
        <v>4904</v>
      </c>
      <c r="D1332" t="s">
        <v>52</v>
      </c>
      <c r="E1332" t="s">
        <v>4905</v>
      </c>
      <c r="F1332" t="s">
        <v>95</v>
      </c>
      <c r="G1332" t="str">
        <f>HYPERLINK("https://twitter.com/584550774/status/1143237677564780545")</f>
        <v>https://twitter.com/584550774/status/1143237677564780545</v>
      </c>
      <c r="H1332" t="s">
        <v>46</v>
      </c>
      <c r="I1332" t="s">
        <v>4906</v>
      </c>
      <c r="J1332" t="str">
        <f>HYPERLINK("http://twitter.com/saintgulik")</f>
        <v>http://twitter.com/saintgulik</v>
      </c>
      <c r="K1332">
        <v>42</v>
      </c>
      <c r="N1332" t="s">
        <v>65</v>
      </c>
      <c r="R1332" t="s">
        <v>60</v>
      </c>
      <c r="S1332" t="s">
        <v>97</v>
      </c>
      <c r="T1332" t="s">
        <v>177</v>
      </c>
      <c r="U1332" t="s">
        <v>4907</v>
      </c>
      <c r="W1332">
        <v>1</v>
      </c>
      <c r="X1332">
        <v>1</v>
      </c>
      <c r="AE1332">
        <v>1</v>
      </c>
      <c r="AF1332">
        <v>0</v>
      </c>
      <c r="AM1332" t="s">
        <v>52</v>
      </c>
      <c r="AN1332" t="s">
        <v>53</v>
      </c>
    </row>
    <row r="1333" spans="1:40">
      <c r="A1333" t="s">
        <v>2370</v>
      </c>
      <c r="B1333" t="s">
        <v>4908</v>
      </c>
      <c r="C1333" t="s">
        <v>4873</v>
      </c>
      <c r="D1333" t="s">
        <v>52</v>
      </c>
      <c r="E1333" t="s">
        <v>4909</v>
      </c>
      <c r="F1333" t="s">
        <v>45</v>
      </c>
      <c r="G1333" t="str">
        <f>HYPERLINK("https://www.instagram.com/p/BzGqElil3Dq")</f>
        <v>https://www.instagram.com/p/BzGqElil3Dq</v>
      </c>
      <c r="H1333" t="s">
        <v>46</v>
      </c>
      <c r="I1333" t="s">
        <v>4910</v>
      </c>
      <c r="J1333" t="str">
        <f>HYPERLINK("http://instagram.com/doritosoftheworld")</f>
        <v>http://instagram.com/doritosoftheworld</v>
      </c>
      <c r="K1333">
        <v>211</v>
      </c>
      <c r="N1333" t="s">
        <v>59</v>
      </c>
      <c r="O1333" t="s">
        <v>4910</v>
      </c>
      <c r="P1333" t="str">
        <f>HYPERLINK("http://instagram.com/doritosoftheworld")</f>
        <v>http://instagram.com/doritosoftheworld</v>
      </c>
      <c r="Q1333">
        <v>211</v>
      </c>
      <c r="R1333" t="s">
        <v>60</v>
      </c>
      <c r="W1333">
        <v>22</v>
      </c>
      <c r="X1333">
        <v>22</v>
      </c>
      <c r="AE1333">
        <v>0</v>
      </c>
      <c r="AI1333" t="s">
        <v>108</v>
      </c>
      <c r="AJ1333" t="s">
        <v>52</v>
      </c>
      <c r="AK1333" t="s">
        <v>52</v>
      </c>
      <c r="AL1333" t="str">
        <f>HYPERLINK("https://www.instagram.com/p/BzGqElil3Dq/media/?size=l")</f>
        <v>https://www.instagram.com/p/BzGqElil3Dq/media/?size=l</v>
      </c>
      <c r="AM1333" t="s">
        <v>52</v>
      </c>
      <c r="AN1333" t="s">
        <v>53</v>
      </c>
    </row>
    <row r="1334" spans="1:40">
      <c r="A1334" t="s">
        <v>2370</v>
      </c>
      <c r="B1334" t="s">
        <v>4911</v>
      </c>
      <c r="C1334" t="s">
        <v>4912</v>
      </c>
      <c r="D1334" t="s">
        <v>52</v>
      </c>
      <c r="E1334" t="s">
        <v>4913</v>
      </c>
      <c r="F1334" t="s">
        <v>95</v>
      </c>
      <c r="G1334" t="str">
        <f>HYPERLINK("https://twitter.com/2813057660/status/1143237282167709697")</f>
        <v>https://twitter.com/2813057660/status/1143237282167709697</v>
      </c>
      <c r="H1334" t="s">
        <v>46</v>
      </c>
      <c r="I1334" t="s">
        <v>4914</v>
      </c>
      <c r="J1334" t="str">
        <f>HYPERLINK("http://twitter.com/JHysell68")</f>
        <v>http://twitter.com/JHysell68</v>
      </c>
      <c r="K1334">
        <v>47</v>
      </c>
      <c r="L1334" t="s">
        <v>48</v>
      </c>
      <c r="N1334" t="s">
        <v>65</v>
      </c>
      <c r="R1334" t="s">
        <v>60</v>
      </c>
      <c r="W1334">
        <v>0</v>
      </c>
      <c r="X1334">
        <v>0</v>
      </c>
      <c r="AE1334">
        <v>0</v>
      </c>
      <c r="AF1334">
        <v>0</v>
      </c>
      <c r="AM1334" t="s">
        <v>52</v>
      </c>
      <c r="AN1334" t="s">
        <v>53</v>
      </c>
    </row>
    <row r="1335" spans="1:40">
      <c r="A1335" t="s">
        <v>2370</v>
      </c>
      <c r="B1335" t="s">
        <v>4911</v>
      </c>
      <c r="C1335" t="s">
        <v>4915</v>
      </c>
      <c r="D1335" t="s">
        <v>52</v>
      </c>
      <c r="E1335" t="s">
        <v>1194</v>
      </c>
      <c r="F1335" t="s">
        <v>131</v>
      </c>
      <c r="G1335" t="str">
        <f>HYPERLINK("https://twitter.com/796569426493587457/status/1143237249724755969")</f>
        <v>https://twitter.com/796569426493587457/status/1143237249724755969</v>
      </c>
      <c r="H1335" t="s">
        <v>46</v>
      </c>
      <c r="I1335" t="s">
        <v>4916</v>
      </c>
      <c r="J1335" t="str">
        <f>HYPERLINK("http://twitter.com/Momioc_08")</f>
        <v>http://twitter.com/Momioc_08</v>
      </c>
      <c r="K1335">
        <v>65</v>
      </c>
      <c r="N1335" t="s">
        <v>65</v>
      </c>
      <c r="R1335" t="s">
        <v>60</v>
      </c>
      <c r="S1335" t="s">
        <v>437</v>
      </c>
      <c r="T1335" t="s">
        <v>529</v>
      </c>
      <c r="U1335" t="s">
        <v>4917</v>
      </c>
      <c r="W1335">
        <v>0</v>
      </c>
      <c r="X1335">
        <v>0</v>
      </c>
      <c r="AE1335">
        <v>0</v>
      </c>
      <c r="AI1335" t="s">
        <v>52</v>
      </c>
      <c r="AJ1335" t="s">
        <v>1196</v>
      </c>
      <c r="AK1335" t="s">
        <v>52</v>
      </c>
      <c r="AL1335" t="str">
        <f>HYPERLINK("https://pbs.twimg.com/media/D9xgk2YXkAAd2ql.jpg")</f>
        <v>https://pbs.twimg.com/media/D9xgk2YXkAAd2ql.jpg</v>
      </c>
      <c r="AM1335" t="s">
        <v>52</v>
      </c>
      <c r="AN1335" t="s">
        <v>53</v>
      </c>
    </row>
    <row r="1336" spans="1:40">
      <c r="A1336" t="s">
        <v>2370</v>
      </c>
      <c r="B1336" t="s">
        <v>4911</v>
      </c>
      <c r="C1336" t="s">
        <v>4915</v>
      </c>
      <c r="D1336" t="s">
        <v>52</v>
      </c>
      <c r="E1336" t="s">
        <v>4918</v>
      </c>
      <c r="F1336" t="s">
        <v>71</v>
      </c>
      <c r="G1336" t="str">
        <f>HYPERLINK("https://twitter.com/3814998088/status/1143237249036902400")</f>
        <v>https://twitter.com/3814998088/status/1143237249036902400</v>
      </c>
      <c r="H1336" t="s">
        <v>46</v>
      </c>
      <c r="I1336" t="s">
        <v>4919</v>
      </c>
      <c r="J1336" t="str">
        <f>HYPERLINK("http://twitter.com/gollym5bmw")</f>
        <v>http://twitter.com/gollym5bmw</v>
      </c>
      <c r="K1336">
        <v>152</v>
      </c>
      <c r="L1336" t="s">
        <v>48</v>
      </c>
      <c r="N1336" t="s">
        <v>65</v>
      </c>
      <c r="R1336" t="s">
        <v>60</v>
      </c>
      <c r="W1336">
        <v>0</v>
      </c>
      <c r="X1336">
        <v>0</v>
      </c>
      <c r="AE1336">
        <v>0</v>
      </c>
      <c r="AF1336">
        <v>0</v>
      </c>
      <c r="AI1336" t="s">
        <v>108</v>
      </c>
      <c r="AJ1336" t="s">
        <v>52</v>
      </c>
      <c r="AK1336" t="s">
        <v>52</v>
      </c>
      <c r="AL1336" t="str">
        <f>HYPERLINK("https://pbs.twimg.com/media/D9XTkLWW4AAOYnJ.jpg")</f>
        <v>https://pbs.twimg.com/media/D9XTkLWW4AAOYnJ.jpg</v>
      </c>
      <c r="AM1336" t="s">
        <v>52</v>
      </c>
      <c r="AN1336" t="s">
        <v>53</v>
      </c>
    </row>
    <row r="1337" spans="1:40">
      <c r="A1337" t="s">
        <v>2370</v>
      </c>
      <c r="B1337" t="s">
        <v>4911</v>
      </c>
      <c r="C1337" t="s">
        <v>4915</v>
      </c>
      <c r="D1337" t="s">
        <v>52</v>
      </c>
      <c r="E1337" t="s">
        <v>4920</v>
      </c>
      <c r="F1337" t="s">
        <v>131</v>
      </c>
      <c r="G1337" t="str">
        <f>HYPERLINK("https://twitter.com/99404554/status/1143237228723916802")</f>
        <v>https://twitter.com/99404554/status/1143237228723916802</v>
      </c>
      <c r="H1337" t="s">
        <v>46</v>
      </c>
      <c r="I1337" t="s">
        <v>4921</v>
      </c>
      <c r="J1337" t="str">
        <f>HYPERLINK("http://twitter.com/priskuls4L")</f>
        <v>http://twitter.com/priskuls4L</v>
      </c>
      <c r="K1337">
        <v>795</v>
      </c>
      <c r="N1337" t="s">
        <v>65</v>
      </c>
      <c r="R1337" t="s">
        <v>60</v>
      </c>
      <c r="S1337" t="s">
        <v>51</v>
      </c>
      <c r="T1337" t="s">
        <v>66</v>
      </c>
      <c r="U1337" t="s">
        <v>4744</v>
      </c>
      <c r="W1337">
        <v>0</v>
      </c>
      <c r="X1337">
        <v>0</v>
      </c>
      <c r="AE1337">
        <v>0</v>
      </c>
      <c r="AM1337" t="s">
        <v>52</v>
      </c>
      <c r="AN1337" t="s">
        <v>53</v>
      </c>
    </row>
    <row r="1338" spans="1:40">
      <c r="A1338" t="s">
        <v>2370</v>
      </c>
      <c r="B1338" t="s">
        <v>4911</v>
      </c>
      <c r="C1338" t="s">
        <v>4882</v>
      </c>
      <c r="D1338" t="s">
        <v>4922</v>
      </c>
      <c r="E1338" t="s">
        <v>4923</v>
      </c>
      <c r="F1338" t="s">
        <v>45</v>
      </c>
      <c r="G1338" t="str">
        <f>HYPERLINK("https://www.blackpressusa.com/press-room-lgbtlol-a-night-of-comedy-at-the-charleston-music-hall")</f>
        <v>https://www.blackpressusa.com/press-room-lgbtlol-a-night-of-comedy-at-the-charleston-music-hall</v>
      </c>
      <c r="H1338" t="s">
        <v>46</v>
      </c>
      <c r="I1338" t="s">
        <v>4924</v>
      </c>
      <c r="J1338" t="str">
        <f>HYPERLINK("http://www.blackpressusa.com")</f>
        <v>http://www.blackpressusa.com</v>
      </c>
      <c r="N1338" t="s">
        <v>4925</v>
      </c>
      <c r="R1338" t="s">
        <v>357</v>
      </c>
      <c r="S1338" t="s">
        <v>51</v>
      </c>
      <c r="AI1338" t="s">
        <v>52</v>
      </c>
      <c r="AJ1338" t="s">
        <v>52</v>
      </c>
      <c r="AK1338" t="s">
        <v>52</v>
      </c>
      <c r="AL1338" t="str">
        <f>HYPERLINK("https://www.blackpressusa.com/wp-content/uploads/2019/06/LGBTLOL-2019.jpg")</f>
        <v>https://www.blackpressusa.com/wp-content/uploads/2019/06/LGBTLOL-2019.jpg</v>
      </c>
      <c r="AM1338" t="s">
        <v>52</v>
      </c>
      <c r="AN1338" t="s">
        <v>53</v>
      </c>
    </row>
    <row r="1339" spans="1:40">
      <c r="A1339" t="s">
        <v>2370</v>
      </c>
      <c r="B1339" t="s">
        <v>4926</v>
      </c>
      <c r="C1339" t="s">
        <v>4873</v>
      </c>
      <c r="D1339" t="s">
        <v>52</v>
      </c>
      <c r="E1339" t="s">
        <v>4927</v>
      </c>
      <c r="F1339" t="s">
        <v>131</v>
      </c>
      <c r="G1339" t="str">
        <f>HYPERLINK("https://twitter.com/391329975/status/1143236572852043776")</f>
        <v>https://twitter.com/391329975/status/1143236572852043776</v>
      </c>
      <c r="H1339" t="s">
        <v>46</v>
      </c>
      <c r="I1339" t="s">
        <v>4928</v>
      </c>
      <c r="J1339" t="str">
        <f>HYPERLINK("http://twitter.com/cindy_fay")</f>
        <v>http://twitter.com/cindy_fay</v>
      </c>
      <c r="K1339">
        <v>1533</v>
      </c>
      <c r="L1339" t="s">
        <v>58</v>
      </c>
      <c r="N1339" t="s">
        <v>65</v>
      </c>
      <c r="R1339" t="s">
        <v>60</v>
      </c>
      <c r="S1339" t="s">
        <v>432</v>
      </c>
      <c r="T1339" t="s">
        <v>4929</v>
      </c>
      <c r="U1339" t="s">
        <v>4930</v>
      </c>
      <c r="W1339">
        <v>0</v>
      </c>
      <c r="X1339">
        <v>0</v>
      </c>
      <c r="AE1339">
        <v>0</v>
      </c>
      <c r="AM1339" t="s">
        <v>52</v>
      </c>
      <c r="AN1339" t="s">
        <v>53</v>
      </c>
    </row>
    <row r="1340" spans="1:40">
      <c r="A1340" t="s">
        <v>2370</v>
      </c>
      <c r="B1340" t="s">
        <v>4926</v>
      </c>
      <c r="C1340" t="s">
        <v>4931</v>
      </c>
      <c r="D1340" t="s">
        <v>52</v>
      </c>
      <c r="E1340" t="s">
        <v>4932</v>
      </c>
      <c r="F1340" t="s">
        <v>45</v>
      </c>
      <c r="G1340" t="str">
        <f>HYPERLINK("https://twitter.com/741539807277391872/status/1143236467382075392")</f>
        <v>https://twitter.com/741539807277391872/status/1143236467382075392</v>
      </c>
      <c r="H1340" t="s">
        <v>46</v>
      </c>
      <c r="I1340" t="s">
        <v>4933</v>
      </c>
      <c r="J1340" t="str">
        <f>HYPERLINK("http://twitter.com/lvjdezz")</f>
        <v>http://twitter.com/lvjdezz</v>
      </c>
      <c r="K1340">
        <v>461</v>
      </c>
      <c r="N1340" t="s">
        <v>65</v>
      </c>
      <c r="R1340" t="s">
        <v>60</v>
      </c>
      <c r="W1340">
        <v>2</v>
      </c>
      <c r="X1340">
        <v>2</v>
      </c>
      <c r="AE1340">
        <v>1</v>
      </c>
      <c r="AF1340">
        <v>0</v>
      </c>
      <c r="AM1340" t="s">
        <v>52</v>
      </c>
      <c r="AN1340" t="s">
        <v>53</v>
      </c>
    </row>
    <row r="1341" spans="1:40">
      <c r="A1341" t="s">
        <v>2370</v>
      </c>
      <c r="B1341" t="s">
        <v>4934</v>
      </c>
      <c r="C1341" t="s">
        <v>4935</v>
      </c>
      <c r="D1341" t="s">
        <v>52</v>
      </c>
      <c r="E1341" t="s">
        <v>4936</v>
      </c>
      <c r="F1341" t="s">
        <v>131</v>
      </c>
      <c r="G1341" t="str">
        <f>HYPERLINK("https://twitter.com/856770644612190208/status/1143236050342559744")</f>
        <v>https://twitter.com/856770644612190208/status/1143236050342559744</v>
      </c>
      <c r="H1341" t="s">
        <v>46</v>
      </c>
      <c r="I1341" t="s">
        <v>4937</v>
      </c>
      <c r="J1341" t="str">
        <f>HYPERLINK("http://twitter.com/typafleks")</f>
        <v>http://twitter.com/typafleks</v>
      </c>
      <c r="K1341">
        <v>2</v>
      </c>
      <c r="N1341" t="s">
        <v>65</v>
      </c>
      <c r="R1341" t="s">
        <v>60</v>
      </c>
      <c r="W1341">
        <v>0</v>
      </c>
      <c r="X1341">
        <v>0</v>
      </c>
      <c r="AE1341">
        <v>0</v>
      </c>
      <c r="AI1341" t="s">
        <v>52</v>
      </c>
      <c r="AJ1341" t="s">
        <v>4938</v>
      </c>
      <c r="AK1341" t="s">
        <v>1037</v>
      </c>
      <c r="AL1341" t="str">
        <f>HYPERLINK("https://pbs.twimg.com/media/D9Ij6xWWwAINXT5.jpg")</f>
        <v>https://pbs.twimg.com/media/D9Ij6xWWwAINXT5.jpg</v>
      </c>
      <c r="AM1341" t="s">
        <v>52</v>
      </c>
      <c r="AN1341" t="s">
        <v>53</v>
      </c>
    </row>
    <row r="1342" spans="1:40">
      <c r="A1342" t="s">
        <v>2370</v>
      </c>
      <c r="B1342" t="s">
        <v>4934</v>
      </c>
      <c r="C1342" t="s">
        <v>4915</v>
      </c>
      <c r="D1342" t="s">
        <v>52</v>
      </c>
      <c r="E1342" t="s">
        <v>4939</v>
      </c>
      <c r="F1342" t="s">
        <v>45</v>
      </c>
      <c r="G1342" t="str">
        <f>HYPERLINK("https://www.instagram.com/p/BzGpZabiVTN")</f>
        <v>https://www.instagram.com/p/BzGpZabiVTN</v>
      </c>
      <c r="H1342" t="s">
        <v>46</v>
      </c>
      <c r="I1342" t="s">
        <v>4940</v>
      </c>
      <c r="J1342" t="str">
        <f>HYPERLINK("http://instagram.com/chokoreto_draws")</f>
        <v>http://instagram.com/chokoreto_draws</v>
      </c>
      <c r="K1342">
        <v>62</v>
      </c>
      <c r="N1342" t="s">
        <v>59</v>
      </c>
      <c r="O1342" t="s">
        <v>4940</v>
      </c>
      <c r="P1342" t="str">
        <f>HYPERLINK("http://instagram.com/chokoreto_draws")</f>
        <v>http://instagram.com/chokoreto_draws</v>
      </c>
      <c r="Q1342">
        <v>62</v>
      </c>
      <c r="R1342" t="s">
        <v>60</v>
      </c>
      <c r="W1342">
        <v>17</v>
      </c>
      <c r="X1342">
        <v>17</v>
      </c>
      <c r="AE1342">
        <v>6</v>
      </c>
      <c r="AI1342" t="s">
        <v>52</v>
      </c>
      <c r="AJ1342" t="s">
        <v>4941</v>
      </c>
      <c r="AK1342" t="s">
        <v>2565</v>
      </c>
      <c r="AL1342" t="str">
        <f>HYPERLINK("https://www.instagram.com/p/BzGpZabiVTN/media/?size=l")</f>
        <v>https://www.instagram.com/p/BzGpZabiVTN/media/?size=l</v>
      </c>
      <c r="AM1342" t="s">
        <v>52</v>
      </c>
      <c r="AN1342" t="s">
        <v>53</v>
      </c>
    </row>
    <row r="1343" spans="1:40">
      <c r="A1343" t="s">
        <v>2370</v>
      </c>
      <c r="B1343" t="s">
        <v>4942</v>
      </c>
      <c r="C1343" t="s">
        <v>4935</v>
      </c>
      <c r="D1343" t="s">
        <v>52</v>
      </c>
      <c r="E1343" t="s">
        <v>4543</v>
      </c>
      <c r="F1343" t="s">
        <v>131</v>
      </c>
      <c r="G1343" t="str">
        <f>HYPERLINK("https://twitter.com/1116069636041322499/status/1143235821803208705")</f>
        <v>https://twitter.com/1116069636041322499/status/1143235821803208705</v>
      </c>
      <c r="H1343" t="s">
        <v>46</v>
      </c>
      <c r="I1343" t="s">
        <v>4943</v>
      </c>
      <c r="J1343" t="str">
        <f>HYPERLINK("http://twitter.com/EveryDeadPod")</f>
        <v>http://twitter.com/EveryDeadPod</v>
      </c>
      <c r="K1343">
        <v>42</v>
      </c>
      <c r="N1343" t="s">
        <v>65</v>
      </c>
      <c r="R1343" t="s">
        <v>60</v>
      </c>
      <c r="S1343" t="s">
        <v>51</v>
      </c>
      <c r="T1343" t="s">
        <v>66</v>
      </c>
      <c r="W1343">
        <v>0</v>
      </c>
      <c r="X1343">
        <v>0</v>
      </c>
      <c r="AE1343">
        <v>0</v>
      </c>
      <c r="AM1343" t="s">
        <v>52</v>
      </c>
      <c r="AN1343" t="s">
        <v>53</v>
      </c>
    </row>
    <row r="1344" spans="1:40">
      <c r="A1344" t="s">
        <v>2370</v>
      </c>
      <c r="B1344" t="s">
        <v>4942</v>
      </c>
      <c r="C1344" t="s">
        <v>4944</v>
      </c>
      <c r="D1344" t="s">
        <v>52</v>
      </c>
      <c r="E1344" t="s">
        <v>4945</v>
      </c>
      <c r="F1344" t="s">
        <v>45</v>
      </c>
      <c r="G1344" t="str">
        <f>HYPERLINK("https://twitter.com/1083397359944560640/status/1143235756066004996")</f>
        <v>https://twitter.com/1083397359944560640/status/1143235756066004996</v>
      </c>
      <c r="H1344" t="s">
        <v>46</v>
      </c>
      <c r="I1344" t="s">
        <v>4946</v>
      </c>
      <c r="J1344" t="str">
        <f>HYPERLINK("http://twitter.com/platosvillassm")</f>
        <v>http://twitter.com/platosvillassm</v>
      </c>
      <c r="K1344">
        <v>36</v>
      </c>
      <c r="N1344" t="s">
        <v>65</v>
      </c>
      <c r="R1344" t="s">
        <v>60</v>
      </c>
      <c r="S1344" t="s">
        <v>51</v>
      </c>
      <c r="T1344" t="s">
        <v>73</v>
      </c>
      <c r="U1344" t="s">
        <v>4527</v>
      </c>
      <c r="W1344">
        <v>0</v>
      </c>
      <c r="X1344">
        <v>0</v>
      </c>
      <c r="AE1344">
        <v>0</v>
      </c>
      <c r="AF1344">
        <v>0</v>
      </c>
      <c r="AM1344" t="s">
        <v>52</v>
      </c>
      <c r="AN1344" t="s">
        <v>53</v>
      </c>
    </row>
    <row r="1345" spans="1:40">
      <c r="A1345" t="s">
        <v>2370</v>
      </c>
      <c r="B1345" t="s">
        <v>4942</v>
      </c>
      <c r="C1345" t="s">
        <v>4947</v>
      </c>
      <c r="D1345" t="s">
        <v>4948</v>
      </c>
      <c r="E1345" t="s">
        <v>4949</v>
      </c>
      <c r="F1345" t="s">
        <v>45</v>
      </c>
      <c r="G1345" t="str">
        <f>HYPERLINK("https://techknowbits.com/2019/06/24/pepsico-inc-nasdaqpep-position-reduced-by-rehmann-capital-advisory-group.html")</f>
        <v>https://techknowbits.com/2019/06/24/pepsico-inc-nasdaqpep-position-reduced-by-rehmann-capital-advisory-group.html</v>
      </c>
      <c r="H1345" t="s">
        <v>91</v>
      </c>
      <c r="I1345" t="s">
        <v>4950</v>
      </c>
      <c r="J1345" t="str">
        <f>HYPERLINK("https://techknowbits.com/2019/06/24/pepsico-inc-nasdaqpep-position-reduced-by-rehmann-capital-advisory-group.html")</f>
        <v>https://techknowbits.com/2019/06/24/pepsico-inc-nasdaqpep-position-reduced-by-rehmann-capital-advisory-group.html</v>
      </c>
      <c r="N1345" t="s">
        <v>49</v>
      </c>
      <c r="R1345" t="s">
        <v>50</v>
      </c>
      <c r="S1345" t="s">
        <v>51</v>
      </c>
      <c r="AM1345" t="s">
        <v>52</v>
      </c>
      <c r="AN1345" t="s">
        <v>53</v>
      </c>
    </row>
    <row r="1346" spans="1:40">
      <c r="A1346" t="s">
        <v>2370</v>
      </c>
      <c r="B1346" t="s">
        <v>4951</v>
      </c>
      <c r="C1346" t="s">
        <v>4952</v>
      </c>
      <c r="D1346" t="s">
        <v>52</v>
      </c>
      <c r="E1346" t="s">
        <v>1893</v>
      </c>
      <c r="F1346" t="s">
        <v>131</v>
      </c>
      <c r="G1346" t="str">
        <f>HYPERLINK("https://twitter.com/1056196818013286400/status/1143235591468806144")</f>
        <v>https://twitter.com/1056196818013286400/status/1143235591468806144</v>
      </c>
      <c r="H1346" t="s">
        <v>46</v>
      </c>
      <c r="I1346" t="s">
        <v>4953</v>
      </c>
      <c r="J1346" t="str">
        <f>HYPERLINK("http://twitter.com/OhhRiiOnn")</f>
        <v>http://twitter.com/OhhRiiOnn</v>
      </c>
      <c r="K1346">
        <v>207</v>
      </c>
      <c r="N1346" t="s">
        <v>65</v>
      </c>
      <c r="R1346" t="s">
        <v>60</v>
      </c>
      <c r="S1346" t="s">
        <v>4488</v>
      </c>
      <c r="W1346">
        <v>0</v>
      </c>
      <c r="X1346">
        <v>0</v>
      </c>
      <c r="AE1346">
        <v>0</v>
      </c>
      <c r="AI1346" t="s">
        <v>108</v>
      </c>
      <c r="AJ1346" t="s">
        <v>1894</v>
      </c>
      <c r="AK1346" t="s">
        <v>52</v>
      </c>
      <c r="AL1346" t="str">
        <f>HYPERLINK("https://pbs.twimg.com/media/D9ze6kEU4AEjuDQ.jpg")</f>
        <v>https://pbs.twimg.com/media/D9ze6kEU4AEjuDQ.jpg</v>
      </c>
      <c r="AM1346" t="s">
        <v>52</v>
      </c>
      <c r="AN1346" t="s">
        <v>53</v>
      </c>
    </row>
    <row r="1347" spans="1:40">
      <c r="A1347" t="s">
        <v>2370</v>
      </c>
      <c r="B1347" t="s">
        <v>4951</v>
      </c>
      <c r="C1347" t="s">
        <v>4904</v>
      </c>
      <c r="D1347" t="s">
        <v>52</v>
      </c>
      <c r="E1347" t="s">
        <v>4954</v>
      </c>
      <c r="F1347" t="s">
        <v>131</v>
      </c>
      <c r="G1347" t="str">
        <f>HYPERLINK("https://twitter.com/1056196818013286400/status/1143235575840833536")</f>
        <v>https://twitter.com/1056196818013286400/status/1143235575840833536</v>
      </c>
      <c r="H1347" t="s">
        <v>46</v>
      </c>
      <c r="I1347" t="s">
        <v>4953</v>
      </c>
      <c r="J1347" t="str">
        <f>HYPERLINK("http://twitter.com/OhhRiiOnn")</f>
        <v>http://twitter.com/OhhRiiOnn</v>
      </c>
      <c r="K1347">
        <v>207</v>
      </c>
      <c r="N1347" t="s">
        <v>65</v>
      </c>
      <c r="R1347" t="s">
        <v>60</v>
      </c>
      <c r="S1347" t="s">
        <v>4488</v>
      </c>
      <c r="W1347">
        <v>0</v>
      </c>
      <c r="X1347">
        <v>0</v>
      </c>
      <c r="AE1347">
        <v>0</v>
      </c>
      <c r="AI1347" t="s">
        <v>108</v>
      </c>
      <c r="AJ1347" t="s">
        <v>942</v>
      </c>
      <c r="AK1347" t="s">
        <v>52</v>
      </c>
      <c r="AL1347" t="str">
        <f>HYPERLINK("https://pbs.twimg.com/media/D9zeUUMUYAAQjlB.jpg")</f>
        <v>https://pbs.twimg.com/media/D9zeUUMUYAAQjlB.jpg</v>
      </c>
      <c r="AM1347" t="s">
        <v>52</v>
      </c>
      <c r="AN1347" t="s">
        <v>53</v>
      </c>
    </row>
    <row r="1348" spans="1:40">
      <c r="A1348" t="s">
        <v>2370</v>
      </c>
      <c r="B1348" t="s">
        <v>4951</v>
      </c>
      <c r="C1348" t="s">
        <v>4955</v>
      </c>
      <c r="D1348" t="s">
        <v>52</v>
      </c>
      <c r="E1348" t="s">
        <v>4956</v>
      </c>
      <c r="F1348" t="s">
        <v>131</v>
      </c>
      <c r="G1348" t="str">
        <f>HYPERLINK("https://twitter.com/1056196818013286400/status/1143235546648473600")</f>
        <v>https://twitter.com/1056196818013286400/status/1143235546648473600</v>
      </c>
      <c r="H1348" t="s">
        <v>46</v>
      </c>
      <c r="I1348" t="s">
        <v>4953</v>
      </c>
      <c r="J1348" t="str">
        <f>HYPERLINK("http://twitter.com/OhhRiiOnn")</f>
        <v>http://twitter.com/OhhRiiOnn</v>
      </c>
      <c r="K1348">
        <v>207</v>
      </c>
      <c r="N1348" t="s">
        <v>65</v>
      </c>
      <c r="R1348" t="s">
        <v>60</v>
      </c>
      <c r="S1348" t="s">
        <v>4488</v>
      </c>
      <c r="W1348">
        <v>0</v>
      </c>
      <c r="X1348">
        <v>0</v>
      </c>
      <c r="AE1348">
        <v>0</v>
      </c>
      <c r="AI1348" t="s">
        <v>108</v>
      </c>
      <c r="AJ1348" t="s">
        <v>52</v>
      </c>
      <c r="AK1348" t="s">
        <v>52</v>
      </c>
      <c r="AL1348" t="str">
        <f>HYPERLINK("https://pbs.twimg.com/media/D9zcsx9UwAAVRxM.jpg")</f>
        <v>https://pbs.twimg.com/media/D9zcsx9UwAAVRxM.jpg</v>
      </c>
      <c r="AM1348" t="s">
        <v>52</v>
      </c>
      <c r="AN1348" t="s">
        <v>53</v>
      </c>
    </row>
    <row r="1349" spans="1:40">
      <c r="A1349" t="s">
        <v>2370</v>
      </c>
      <c r="B1349" t="s">
        <v>4951</v>
      </c>
      <c r="C1349" t="s">
        <v>4944</v>
      </c>
      <c r="D1349" t="s">
        <v>52</v>
      </c>
      <c r="E1349" t="s">
        <v>4957</v>
      </c>
      <c r="F1349" t="s">
        <v>45</v>
      </c>
      <c r="G1349" t="str">
        <f>HYPERLINK("https://www.instagram.com/p/BzGpMKnD4dO")</f>
        <v>https://www.instagram.com/p/BzGpMKnD4dO</v>
      </c>
      <c r="H1349" t="s">
        <v>215</v>
      </c>
      <c r="I1349" t="s">
        <v>4475</v>
      </c>
      <c r="J1349" t="str">
        <f>HYPERLINK("http://instagram.com/ultimatespideyy")</f>
        <v>http://instagram.com/ultimatespideyy</v>
      </c>
      <c r="K1349">
        <v>18665</v>
      </c>
      <c r="N1349" t="s">
        <v>59</v>
      </c>
      <c r="O1349" t="s">
        <v>4475</v>
      </c>
      <c r="P1349" t="str">
        <f>HYPERLINK("http://instagram.com/ultimatespideyy")</f>
        <v>http://instagram.com/ultimatespideyy</v>
      </c>
      <c r="Q1349">
        <v>18665</v>
      </c>
      <c r="R1349" t="s">
        <v>60</v>
      </c>
      <c r="W1349">
        <v>38</v>
      </c>
      <c r="X1349">
        <v>38</v>
      </c>
      <c r="AE1349">
        <v>2</v>
      </c>
      <c r="AI1349" t="s">
        <v>52</v>
      </c>
      <c r="AJ1349" t="s">
        <v>52</v>
      </c>
      <c r="AK1349" t="s">
        <v>52</v>
      </c>
      <c r="AL1349" t="str">
        <f>HYPERLINK("https://www.instagram.com/p/BzGpMKnD4dO/media/?size=l")</f>
        <v>https://www.instagram.com/p/BzGpMKnD4dO/media/?size=l</v>
      </c>
      <c r="AM1349" t="s">
        <v>52</v>
      </c>
      <c r="AN1349" t="s">
        <v>53</v>
      </c>
    </row>
    <row r="1350" spans="1:40">
      <c r="A1350" t="s">
        <v>2370</v>
      </c>
      <c r="B1350" t="s">
        <v>4951</v>
      </c>
      <c r="C1350" t="s">
        <v>4958</v>
      </c>
      <c r="D1350" t="s">
        <v>52</v>
      </c>
      <c r="E1350" t="s">
        <v>1900</v>
      </c>
      <c r="F1350" t="s">
        <v>131</v>
      </c>
      <c r="G1350" t="str">
        <f>HYPERLINK("https://twitter.com/1056196818013286400/status/1143235507746295808")</f>
        <v>https://twitter.com/1056196818013286400/status/1143235507746295808</v>
      </c>
      <c r="H1350" t="s">
        <v>46</v>
      </c>
      <c r="I1350" t="s">
        <v>4953</v>
      </c>
      <c r="J1350" t="str">
        <f>HYPERLINK("http://twitter.com/OhhRiiOnn")</f>
        <v>http://twitter.com/OhhRiiOnn</v>
      </c>
      <c r="K1350">
        <v>207</v>
      </c>
      <c r="N1350" t="s">
        <v>65</v>
      </c>
      <c r="R1350" t="s">
        <v>60</v>
      </c>
      <c r="S1350" t="s">
        <v>4488</v>
      </c>
      <c r="W1350">
        <v>0</v>
      </c>
      <c r="X1350">
        <v>0</v>
      </c>
      <c r="AE1350">
        <v>0</v>
      </c>
      <c r="AI1350" t="s">
        <v>52</v>
      </c>
      <c r="AJ1350" t="s">
        <v>1901</v>
      </c>
      <c r="AK1350" t="s">
        <v>52</v>
      </c>
      <c r="AL1350" t="str">
        <f>HYPERLINK("https://pbs.twimg.com/media/D9zbTcxVAAADaUG.jpg")</f>
        <v>https://pbs.twimg.com/media/D9zbTcxVAAADaUG.jpg</v>
      </c>
      <c r="AM1350" t="s">
        <v>52</v>
      </c>
      <c r="AN1350" t="s">
        <v>53</v>
      </c>
    </row>
    <row r="1351" spans="1:40">
      <c r="A1351" t="s">
        <v>2370</v>
      </c>
      <c r="B1351" t="s">
        <v>4951</v>
      </c>
      <c r="C1351" t="s">
        <v>2385</v>
      </c>
      <c r="D1351" t="s">
        <v>52</v>
      </c>
      <c r="E1351" t="s">
        <v>4959</v>
      </c>
      <c r="F1351" t="s">
        <v>45</v>
      </c>
      <c r="G1351" t="str">
        <f>HYPERLINK("https://www.instagram.com/p/BzGpIfjCkYy")</f>
        <v>https://www.instagram.com/p/BzGpIfjCkYy</v>
      </c>
      <c r="H1351" t="s">
        <v>46</v>
      </c>
      <c r="I1351" t="s">
        <v>4960</v>
      </c>
      <c r="J1351" t="str">
        <f>HYPERLINK("http://instagram.com/cutie_nichex")</f>
        <v>http://instagram.com/cutie_nichex</v>
      </c>
      <c r="K1351">
        <v>657</v>
      </c>
      <c r="N1351" t="s">
        <v>59</v>
      </c>
      <c r="O1351" t="s">
        <v>4960</v>
      </c>
      <c r="P1351" t="str">
        <f>HYPERLINK("http://instagram.com/cutie_nichex")</f>
        <v>http://instagram.com/cutie_nichex</v>
      </c>
      <c r="Q1351">
        <v>657</v>
      </c>
      <c r="R1351" t="s">
        <v>60</v>
      </c>
      <c r="W1351">
        <v>22</v>
      </c>
      <c r="X1351">
        <v>22</v>
      </c>
      <c r="AE1351">
        <v>9</v>
      </c>
      <c r="AI1351" t="s">
        <v>108</v>
      </c>
      <c r="AJ1351" t="s">
        <v>52</v>
      </c>
      <c r="AK1351" t="s">
        <v>52</v>
      </c>
      <c r="AL1351" t="str">
        <f>HYPERLINK("https://www.instagram.com/p/BzGpIfjCkYy/media/?size=l")</f>
        <v>https://www.instagram.com/p/BzGpIfjCkYy/media/?size=l</v>
      </c>
      <c r="AM1351" t="s">
        <v>52</v>
      </c>
      <c r="AN1351" t="s">
        <v>53</v>
      </c>
    </row>
    <row r="1352" spans="1:40">
      <c r="A1352" t="s">
        <v>2370</v>
      </c>
      <c r="B1352" t="s">
        <v>4951</v>
      </c>
      <c r="C1352" t="s">
        <v>4961</v>
      </c>
      <c r="D1352" t="s">
        <v>52</v>
      </c>
      <c r="E1352" t="s">
        <v>4962</v>
      </c>
      <c r="F1352" t="s">
        <v>45</v>
      </c>
      <c r="G1352" t="str">
        <f>HYPERLINK("https://www.instagram.com/p/BzGpIAqhySd")</f>
        <v>https://www.instagram.com/p/BzGpIAqhySd</v>
      </c>
      <c r="H1352" t="s">
        <v>46</v>
      </c>
      <c r="I1352" t="s">
        <v>4963</v>
      </c>
      <c r="J1352" t="str">
        <f>HYPERLINK("http://instagram.com/weatherinapril")</f>
        <v>http://instagram.com/weatherinapril</v>
      </c>
      <c r="K1352">
        <v>131</v>
      </c>
      <c r="N1352" t="s">
        <v>59</v>
      </c>
      <c r="O1352" t="s">
        <v>4963</v>
      </c>
      <c r="P1352" t="str">
        <f>HYPERLINK("http://instagram.com/weatherinapril")</f>
        <v>http://instagram.com/weatherinapril</v>
      </c>
      <c r="Q1352">
        <v>131</v>
      </c>
      <c r="R1352" t="s">
        <v>60</v>
      </c>
      <c r="W1352">
        <v>17</v>
      </c>
      <c r="X1352">
        <v>17</v>
      </c>
      <c r="AE1352">
        <v>1</v>
      </c>
      <c r="AI1352" t="s">
        <v>52</v>
      </c>
      <c r="AJ1352" t="s">
        <v>52</v>
      </c>
      <c r="AK1352" t="s">
        <v>52</v>
      </c>
      <c r="AL1352" t="str">
        <f>HYPERLINK("https://www.instagram.com/p/BzGpIAqhySd/media/?size=l")</f>
        <v>https://www.instagram.com/p/BzGpIAqhySd/media/?size=l</v>
      </c>
      <c r="AM1352" t="s">
        <v>52</v>
      </c>
      <c r="AN1352" t="s">
        <v>53</v>
      </c>
    </row>
    <row r="1353" spans="1:40">
      <c r="A1353" t="s">
        <v>2370</v>
      </c>
      <c r="B1353" t="s">
        <v>4964</v>
      </c>
      <c r="C1353" t="s">
        <v>4955</v>
      </c>
      <c r="D1353" t="s">
        <v>52</v>
      </c>
      <c r="E1353" t="s">
        <v>4965</v>
      </c>
      <c r="F1353" t="s">
        <v>45</v>
      </c>
      <c r="G1353" t="str">
        <f>HYPERLINK("https://www.instagram.com/p/BzGpGqyFsTI")</f>
        <v>https://www.instagram.com/p/BzGpGqyFsTI</v>
      </c>
      <c r="H1353" t="s">
        <v>215</v>
      </c>
      <c r="I1353" t="s">
        <v>4966</v>
      </c>
      <c r="J1353" t="str">
        <f>HYPERLINK("http://instagram.com/thegreatamericanpizzatour")</f>
        <v>http://instagram.com/thegreatamericanpizzatour</v>
      </c>
      <c r="K1353">
        <v>163</v>
      </c>
      <c r="N1353" t="s">
        <v>59</v>
      </c>
      <c r="O1353" t="s">
        <v>4966</v>
      </c>
      <c r="P1353" t="str">
        <f>HYPERLINK("http://instagram.com/thegreatamericanpizzatour")</f>
        <v>http://instagram.com/thegreatamericanpizzatour</v>
      </c>
      <c r="Q1353">
        <v>163</v>
      </c>
      <c r="R1353" t="s">
        <v>60</v>
      </c>
      <c r="S1353" t="s">
        <v>51</v>
      </c>
      <c r="T1353" t="s">
        <v>3290</v>
      </c>
      <c r="U1353" t="s">
        <v>200</v>
      </c>
      <c r="W1353">
        <v>22</v>
      </c>
      <c r="X1353">
        <v>22</v>
      </c>
      <c r="AE1353">
        <v>0</v>
      </c>
      <c r="AI1353" t="s">
        <v>52</v>
      </c>
      <c r="AJ1353" t="s">
        <v>4967</v>
      </c>
      <c r="AK1353" t="s">
        <v>52</v>
      </c>
      <c r="AL1353" t="str">
        <f>HYPERLINK("https://www.instagram.com/p/BzGpGqyFsTI/media/?size=l")</f>
        <v>https://www.instagram.com/p/BzGpGqyFsTI/media/?size=l</v>
      </c>
      <c r="AM1353" t="s">
        <v>52</v>
      </c>
      <c r="AN1353" t="s">
        <v>53</v>
      </c>
    </row>
    <row r="1354" spans="1:40">
      <c r="A1354" t="s">
        <v>2370</v>
      </c>
      <c r="B1354" t="s">
        <v>4968</v>
      </c>
      <c r="C1354" t="s">
        <v>4969</v>
      </c>
      <c r="D1354" t="s">
        <v>52</v>
      </c>
      <c r="E1354" t="s">
        <v>4970</v>
      </c>
      <c r="F1354" t="s">
        <v>45</v>
      </c>
      <c r="G1354" t="str">
        <f>HYPERLINK("https://twitter.com/291351343/status/1143235085895917568")</f>
        <v>https://twitter.com/291351343/status/1143235085895917568</v>
      </c>
      <c r="H1354" t="s">
        <v>46</v>
      </c>
      <c r="I1354" t="s">
        <v>4971</v>
      </c>
      <c r="J1354" t="str">
        <f>HYPERLINK("http://twitter.com/leezamarie__")</f>
        <v>http://twitter.com/leezamarie__</v>
      </c>
      <c r="K1354">
        <v>402</v>
      </c>
      <c r="L1354" t="s">
        <v>58</v>
      </c>
      <c r="N1354" t="s">
        <v>65</v>
      </c>
      <c r="R1354" t="s">
        <v>60</v>
      </c>
      <c r="S1354" t="s">
        <v>51</v>
      </c>
      <c r="T1354" t="s">
        <v>152</v>
      </c>
      <c r="U1354" t="s">
        <v>1958</v>
      </c>
      <c r="W1354">
        <v>1</v>
      </c>
      <c r="X1354">
        <v>1</v>
      </c>
      <c r="AE1354">
        <v>0</v>
      </c>
      <c r="AF1354">
        <v>0</v>
      </c>
      <c r="AM1354" t="s">
        <v>52</v>
      </c>
      <c r="AN1354" t="s">
        <v>53</v>
      </c>
    </row>
    <row r="1355" spans="1:40">
      <c r="A1355" t="s">
        <v>2370</v>
      </c>
      <c r="B1355" t="s">
        <v>4972</v>
      </c>
      <c r="C1355" t="s">
        <v>4973</v>
      </c>
      <c r="D1355" t="s">
        <v>4974</v>
      </c>
      <c r="E1355" t="s">
        <v>4975</v>
      </c>
      <c r="F1355" t="s">
        <v>45</v>
      </c>
      <c r="G1355" t="str">
        <f>HYPERLINK("https://www.youtube.com/watch?v=8uzu9T3UW-Y")</f>
        <v>https://www.youtube.com/watch?v=8uzu9T3UW-Y</v>
      </c>
      <c r="H1355" t="s">
        <v>46</v>
      </c>
      <c r="I1355" t="s">
        <v>4976</v>
      </c>
      <c r="J1355" t="str">
        <f>HYPERLINK("https://www.youtube.com/channel/UCx_--zZCqTOb8-m-o_r_-_w")</f>
        <v>https://www.youtube.com/channel/UCx_--zZCqTOb8-m-o_r_-_w</v>
      </c>
      <c r="K1355">
        <v>39788</v>
      </c>
      <c r="N1355" t="s">
        <v>116</v>
      </c>
      <c r="O1355" t="s">
        <v>4976</v>
      </c>
      <c r="P1355" t="str">
        <f>HYPERLINK("https://www.youtube.com/channel/UCx_--zZCqTOb8-m-o_r_-_w")</f>
        <v>https://www.youtube.com/channel/UCx_--zZCqTOb8-m-o_r_-_w</v>
      </c>
      <c r="Q1355">
        <v>39788</v>
      </c>
      <c r="R1355" t="s">
        <v>60</v>
      </c>
      <c r="S1355" t="s">
        <v>51</v>
      </c>
      <c r="W1355">
        <v>210</v>
      </c>
      <c r="X1355">
        <v>210</v>
      </c>
      <c r="AD1355">
        <v>18</v>
      </c>
      <c r="AE1355">
        <v>106</v>
      </c>
      <c r="AG1355">
        <v>2717</v>
      </c>
      <c r="AI1355" t="s">
        <v>52</v>
      </c>
      <c r="AJ1355" t="s">
        <v>659</v>
      </c>
      <c r="AK1355" t="s">
        <v>52</v>
      </c>
      <c r="AL1355" t="str">
        <f>HYPERLINK("https://i.ytimg.com/vi/8uzu9T3UW-Y/maxresdefault.jpg")</f>
        <v>https://i.ytimg.com/vi/8uzu9T3UW-Y/maxresdefault.jpg</v>
      </c>
      <c r="AM1355" t="s">
        <v>52</v>
      </c>
      <c r="AN1355" t="s">
        <v>53</v>
      </c>
    </row>
    <row r="1356" spans="1:40">
      <c r="A1356" t="s">
        <v>2370</v>
      </c>
      <c r="B1356" t="s">
        <v>4977</v>
      </c>
      <c r="C1356" t="s">
        <v>4944</v>
      </c>
      <c r="D1356" t="s">
        <v>4978</v>
      </c>
      <c r="E1356" t="s">
        <v>4979</v>
      </c>
      <c r="F1356" t="s">
        <v>95</v>
      </c>
      <c r="G1356" t="str">
        <f>HYPERLINK("https://www.breitbart.com/entertainment/2019/06/24/rosanna-arquette-every-minute-the-united-states-is-abusing-children-at-the-border/#comment-4514524172")</f>
        <v>https://www.breitbart.com/entertainment/2019/06/24/rosanna-arquette-every-minute-the-united-states-is-abusing-children-at-the-border/#comment-4514524172</v>
      </c>
      <c r="H1356" t="s">
        <v>46</v>
      </c>
      <c r="I1356" t="s">
        <v>4980</v>
      </c>
      <c r="J1356" t="str">
        <f>HYPERLINK("https://disqus.com/by/pimplestiltskin/")</f>
        <v>https://disqus.com/by/pimplestiltskin/</v>
      </c>
      <c r="K1356">
        <v>6</v>
      </c>
      <c r="N1356" t="s">
        <v>2702</v>
      </c>
      <c r="O1356" t="s">
        <v>2703</v>
      </c>
      <c r="P1356" t="str">
        <f>HYPERLINK("https://disqus.com/home/forum/breitbartproduction/")</f>
        <v>https://disqus.com/home/forum/breitbartproduction/</v>
      </c>
      <c r="R1356" t="s">
        <v>50</v>
      </c>
      <c r="W1356">
        <v>0</v>
      </c>
      <c r="X1356">
        <v>0</v>
      </c>
      <c r="AM1356" t="s">
        <v>52</v>
      </c>
      <c r="AN1356" t="s">
        <v>53</v>
      </c>
    </row>
    <row r="1357" spans="1:40">
      <c r="A1357" t="s">
        <v>2370</v>
      </c>
      <c r="B1357" t="s">
        <v>4977</v>
      </c>
      <c r="C1357" t="s">
        <v>4961</v>
      </c>
      <c r="D1357" t="s">
        <v>52</v>
      </c>
      <c r="E1357" t="s">
        <v>4305</v>
      </c>
      <c r="F1357" t="s">
        <v>71</v>
      </c>
      <c r="G1357" t="str">
        <f>HYPERLINK("https://twitter.com/277454598/status/1143233689549254664")</f>
        <v>https://twitter.com/277454598/status/1143233689549254664</v>
      </c>
      <c r="H1357" t="s">
        <v>46</v>
      </c>
      <c r="I1357" t="s">
        <v>4981</v>
      </c>
      <c r="J1357" t="str">
        <f>HYPERLINK("http://twitter.com/KindaKoolKiro")</f>
        <v>http://twitter.com/KindaKoolKiro</v>
      </c>
      <c r="K1357">
        <v>1077</v>
      </c>
      <c r="N1357" t="s">
        <v>65</v>
      </c>
      <c r="R1357" t="s">
        <v>60</v>
      </c>
      <c r="S1357" t="s">
        <v>1071</v>
      </c>
      <c r="T1357" t="s">
        <v>1072</v>
      </c>
      <c r="U1357" t="s">
        <v>4982</v>
      </c>
      <c r="W1357">
        <v>1</v>
      </c>
      <c r="X1357">
        <v>1</v>
      </c>
      <c r="AE1357">
        <v>0</v>
      </c>
      <c r="AF1357">
        <v>1</v>
      </c>
      <c r="AI1357" t="s">
        <v>108</v>
      </c>
      <c r="AJ1357" t="s">
        <v>52</v>
      </c>
      <c r="AK1357" t="s">
        <v>52</v>
      </c>
      <c r="AL1357" t="str">
        <f>HYPERLINK("https://pbs.twimg.com/media/D9sAXHUX4AA6vJs.jpg")</f>
        <v>https://pbs.twimg.com/media/D9sAXHUX4AA6vJs.jpg</v>
      </c>
      <c r="AM1357" t="s">
        <v>52</v>
      </c>
      <c r="AN1357" t="s">
        <v>53</v>
      </c>
    </row>
    <row r="1358" spans="1:40">
      <c r="A1358" t="s">
        <v>2370</v>
      </c>
      <c r="B1358" t="s">
        <v>4977</v>
      </c>
      <c r="C1358" t="s">
        <v>4983</v>
      </c>
      <c r="D1358" t="s">
        <v>52</v>
      </c>
      <c r="E1358" t="s">
        <v>4927</v>
      </c>
      <c r="F1358" t="s">
        <v>95</v>
      </c>
      <c r="G1358" t="str">
        <f>HYPERLINK("https://twitter.com/168760714/status/1143233634125668354")</f>
        <v>https://twitter.com/168760714/status/1143233634125668354</v>
      </c>
      <c r="H1358" t="s">
        <v>46</v>
      </c>
      <c r="I1358" t="s">
        <v>4984</v>
      </c>
      <c r="J1358" t="str">
        <f>HYPERLINK("http://twitter.com/MelaniasHair")</f>
        <v>http://twitter.com/MelaniasHair</v>
      </c>
      <c r="K1358">
        <v>10404</v>
      </c>
      <c r="N1358" t="s">
        <v>65</v>
      </c>
      <c r="R1358" t="s">
        <v>60</v>
      </c>
      <c r="S1358" t="s">
        <v>51</v>
      </c>
      <c r="T1358" t="s">
        <v>380</v>
      </c>
      <c r="U1358" t="s">
        <v>380</v>
      </c>
      <c r="W1358">
        <v>6</v>
      </c>
      <c r="X1358">
        <v>6</v>
      </c>
      <c r="AE1358">
        <v>0</v>
      </c>
      <c r="AF1358">
        <v>3</v>
      </c>
      <c r="AM1358" t="s">
        <v>52</v>
      </c>
      <c r="AN1358" t="s">
        <v>53</v>
      </c>
    </row>
    <row r="1359" spans="1:40">
      <c r="A1359" t="s">
        <v>2370</v>
      </c>
      <c r="B1359" t="s">
        <v>4985</v>
      </c>
      <c r="C1359" t="s">
        <v>4986</v>
      </c>
      <c r="D1359" t="s">
        <v>52</v>
      </c>
      <c r="E1359" t="s">
        <v>4987</v>
      </c>
      <c r="F1359" t="s">
        <v>95</v>
      </c>
      <c r="G1359" t="str">
        <f>HYPERLINK("https://twitter.com/603151732/status/1143233372694700038")</f>
        <v>https://twitter.com/603151732/status/1143233372694700038</v>
      </c>
      <c r="H1359" t="s">
        <v>46</v>
      </c>
      <c r="I1359" t="s">
        <v>4988</v>
      </c>
      <c r="J1359" t="str">
        <f>HYPERLINK("http://twitter.com/SunnyInDorset")</f>
        <v>http://twitter.com/SunnyInDorset</v>
      </c>
      <c r="K1359">
        <v>513</v>
      </c>
      <c r="N1359" t="s">
        <v>65</v>
      </c>
      <c r="R1359" t="s">
        <v>60</v>
      </c>
      <c r="S1359" t="s">
        <v>97</v>
      </c>
      <c r="T1359" t="s">
        <v>177</v>
      </c>
      <c r="U1359" t="s">
        <v>4989</v>
      </c>
      <c r="W1359">
        <v>0</v>
      </c>
      <c r="X1359">
        <v>0</v>
      </c>
      <c r="AE1359">
        <v>0</v>
      </c>
      <c r="AF1359">
        <v>0</v>
      </c>
      <c r="AM1359" t="s">
        <v>52</v>
      </c>
      <c r="AN1359" t="s">
        <v>53</v>
      </c>
    </row>
    <row r="1360" spans="1:40">
      <c r="A1360" t="s">
        <v>2370</v>
      </c>
      <c r="B1360" t="s">
        <v>4990</v>
      </c>
      <c r="C1360" t="s">
        <v>4991</v>
      </c>
      <c r="D1360" t="s">
        <v>52</v>
      </c>
      <c r="E1360" t="s">
        <v>130</v>
      </c>
      <c r="F1360" t="s">
        <v>131</v>
      </c>
      <c r="G1360" t="str">
        <f>HYPERLINK("https://twitter.com/603151732/status/1143233313185964032")</f>
        <v>https://twitter.com/603151732/status/1143233313185964032</v>
      </c>
      <c r="H1360" t="s">
        <v>46</v>
      </c>
      <c r="I1360" t="s">
        <v>4988</v>
      </c>
      <c r="J1360" t="str">
        <f>HYPERLINK("http://twitter.com/SunnyInDorset")</f>
        <v>http://twitter.com/SunnyInDorset</v>
      </c>
      <c r="K1360">
        <v>513</v>
      </c>
      <c r="N1360" t="s">
        <v>65</v>
      </c>
      <c r="R1360" t="s">
        <v>60</v>
      </c>
      <c r="S1360" t="s">
        <v>97</v>
      </c>
      <c r="T1360" t="s">
        <v>177</v>
      </c>
      <c r="U1360" t="s">
        <v>4989</v>
      </c>
      <c r="W1360">
        <v>0</v>
      </c>
      <c r="X1360">
        <v>0</v>
      </c>
      <c r="AE1360">
        <v>0</v>
      </c>
      <c r="AI1360" t="s">
        <v>108</v>
      </c>
      <c r="AJ1360" t="s">
        <v>52</v>
      </c>
      <c r="AK1360" t="s">
        <v>52</v>
      </c>
      <c r="AL1360" t="str">
        <f>HYPERLINK("https://pbs.twimg.com/media/D9XTkLWW4AAOYnJ.jpg")</f>
        <v>https://pbs.twimg.com/media/D9XTkLWW4AAOYnJ.jpg</v>
      </c>
      <c r="AM1360" t="s">
        <v>52</v>
      </c>
      <c r="AN1360" t="s">
        <v>53</v>
      </c>
    </row>
    <row r="1361" spans="1:40">
      <c r="A1361" t="s">
        <v>2370</v>
      </c>
      <c r="B1361" t="s">
        <v>4990</v>
      </c>
      <c r="C1361" t="s">
        <v>4992</v>
      </c>
      <c r="D1361" t="s">
        <v>52</v>
      </c>
      <c r="E1361" t="s">
        <v>1194</v>
      </c>
      <c r="F1361" t="s">
        <v>131</v>
      </c>
      <c r="G1361" t="str">
        <f>HYPERLINK("https://twitter.com/930270488714272768/status/1143233267493212163")</f>
        <v>https://twitter.com/930270488714272768/status/1143233267493212163</v>
      </c>
      <c r="H1361" t="s">
        <v>46</v>
      </c>
      <c r="I1361" t="s">
        <v>4993</v>
      </c>
      <c r="J1361" t="str">
        <f>HYPERLINK("http://twitter.com/karnecastillo")</f>
        <v>http://twitter.com/karnecastillo</v>
      </c>
      <c r="K1361">
        <v>571</v>
      </c>
      <c r="N1361" t="s">
        <v>65</v>
      </c>
      <c r="R1361" t="s">
        <v>60</v>
      </c>
      <c r="S1361" t="s">
        <v>437</v>
      </c>
      <c r="T1361" t="s">
        <v>4994</v>
      </c>
      <c r="U1361" t="s">
        <v>1532</v>
      </c>
      <c r="W1361">
        <v>0</v>
      </c>
      <c r="X1361">
        <v>0</v>
      </c>
      <c r="AE1361">
        <v>0</v>
      </c>
      <c r="AI1361" t="s">
        <v>52</v>
      </c>
      <c r="AJ1361" t="s">
        <v>1196</v>
      </c>
      <c r="AK1361" t="s">
        <v>52</v>
      </c>
      <c r="AL1361" t="str">
        <f>HYPERLINK("https://pbs.twimg.com/media/D9xgk2YXkAAd2ql.jpg")</f>
        <v>https://pbs.twimg.com/media/D9xgk2YXkAAd2ql.jpg</v>
      </c>
      <c r="AM1361" t="s">
        <v>52</v>
      </c>
      <c r="AN1361" t="s">
        <v>53</v>
      </c>
    </row>
    <row r="1362" spans="1:40">
      <c r="A1362" t="s">
        <v>2370</v>
      </c>
      <c r="B1362" t="s">
        <v>4990</v>
      </c>
      <c r="C1362" t="s">
        <v>4973</v>
      </c>
      <c r="D1362" t="s">
        <v>4995</v>
      </c>
      <c r="E1362" t="s">
        <v>4996</v>
      </c>
      <c r="F1362" t="s">
        <v>45</v>
      </c>
      <c r="G1362" t="str">
        <f>HYPERLINK("https://www.youtube.com/watch?v=IyLEb2W5IjA")</f>
        <v>https://www.youtube.com/watch?v=IyLEb2W5IjA</v>
      </c>
      <c r="H1362" t="s">
        <v>46</v>
      </c>
      <c r="I1362" t="s">
        <v>4997</v>
      </c>
      <c r="J1362" t="str">
        <f>HYPERLINK("https://www.youtube.com/channel/UC1GJHY8qMlE9wj3mk_ooHAg")</f>
        <v>https://www.youtube.com/channel/UC1GJHY8qMlE9wj3mk_ooHAg</v>
      </c>
      <c r="K1362">
        <v>1</v>
      </c>
      <c r="L1362" t="s">
        <v>48</v>
      </c>
      <c r="N1362" t="s">
        <v>116</v>
      </c>
      <c r="O1362" t="s">
        <v>4997</v>
      </c>
      <c r="P1362" t="str">
        <f>HYPERLINK("https://www.youtube.com/channel/UC1GJHY8qMlE9wj3mk_ooHAg")</f>
        <v>https://www.youtube.com/channel/UC1GJHY8qMlE9wj3mk_ooHAg</v>
      </c>
      <c r="Q1362">
        <v>1</v>
      </c>
      <c r="R1362" t="s">
        <v>60</v>
      </c>
      <c r="W1362">
        <v>1</v>
      </c>
      <c r="X1362">
        <v>1</v>
      </c>
      <c r="AD1362">
        <v>0</v>
      </c>
      <c r="AG1362">
        <v>4</v>
      </c>
      <c r="AI1362" t="s">
        <v>52</v>
      </c>
      <c r="AJ1362" t="s">
        <v>4998</v>
      </c>
      <c r="AK1362" t="s">
        <v>52</v>
      </c>
      <c r="AL1362" t="str">
        <f>HYPERLINK("https://i.ytimg.com/vi/IyLEb2W5IjA/maxresdefault.jpg")</f>
        <v>https://i.ytimg.com/vi/IyLEb2W5IjA/maxresdefault.jpg</v>
      </c>
      <c r="AM1362" t="s">
        <v>52</v>
      </c>
      <c r="AN1362" t="s">
        <v>53</v>
      </c>
    </row>
    <row r="1363" spans="1:40">
      <c r="A1363" t="s">
        <v>2370</v>
      </c>
      <c r="B1363" t="s">
        <v>4999</v>
      </c>
      <c r="C1363" t="s">
        <v>4961</v>
      </c>
      <c r="D1363" t="s">
        <v>52</v>
      </c>
      <c r="E1363" t="s">
        <v>5000</v>
      </c>
      <c r="F1363" t="s">
        <v>45</v>
      </c>
      <c r="G1363" t="str">
        <f>HYPERLINK("https://www.instagram.com/p/BzGoD-XgP0A")</f>
        <v>https://www.instagram.com/p/BzGoD-XgP0A</v>
      </c>
      <c r="H1363" t="s">
        <v>46</v>
      </c>
      <c r="I1363" t="s">
        <v>5001</v>
      </c>
      <c r="J1363" t="str">
        <f>HYPERLINK("http://instagram.com/toya.renee.750")</f>
        <v>http://instagram.com/toya.renee.750</v>
      </c>
      <c r="K1363">
        <v>105</v>
      </c>
      <c r="N1363" t="s">
        <v>59</v>
      </c>
      <c r="O1363" t="s">
        <v>5001</v>
      </c>
      <c r="P1363" t="str">
        <f>HYPERLINK("http://instagram.com/toya.renee.750")</f>
        <v>http://instagram.com/toya.renee.750</v>
      </c>
      <c r="Q1363">
        <v>105</v>
      </c>
      <c r="R1363" t="s">
        <v>60</v>
      </c>
      <c r="W1363">
        <v>2</v>
      </c>
      <c r="X1363">
        <v>2</v>
      </c>
      <c r="AE1363">
        <v>0</v>
      </c>
      <c r="AI1363" t="s">
        <v>52</v>
      </c>
      <c r="AJ1363" t="s">
        <v>5002</v>
      </c>
      <c r="AK1363" t="s">
        <v>52</v>
      </c>
      <c r="AL1363" t="str">
        <f>HYPERLINK("https://www.instagram.com/p/BzGoD-XgP0A/media/?size=l")</f>
        <v>https://www.instagram.com/p/BzGoD-XgP0A/media/?size=l</v>
      </c>
      <c r="AM1363" t="s">
        <v>52</v>
      </c>
      <c r="AN1363" t="s">
        <v>53</v>
      </c>
    </row>
    <row r="1364" spans="1:40">
      <c r="A1364" t="s">
        <v>2370</v>
      </c>
      <c r="B1364" t="s">
        <v>4999</v>
      </c>
      <c r="C1364" t="s">
        <v>4991</v>
      </c>
      <c r="D1364" t="s">
        <v>52</v>
      </c>
      <c r="E1364" t="s">
        <v>5003</v>
      </c>
      <c r="F1364" t="s">
        <v>95</v>
      </c>
      <c r="G1364" t="str">
        <f>HYPERLINK("https://twitter.com/189621289/status/1143232931395244033")</f>
        <v>https://twitter.com/189621289/status/1143232931395244033</v>
      </c>
      <c r="H1364" t="s">
        <v>46</v>
      </c>
      <c r="I1364" t="s">
        <v>5004</v>
      </c>
      <c r="J1364" t="str">
        <f>HYPERLINK("http://twitter.com/If_I_fell_")</f>
        <v>http://twitter.com/If_I_fell_</v>
      </c>
      <c r="K1364">
        <v>210</v>
      </c>
      <c r="N1364" t="s">
        <v>65</v>
      </c>
      <c r="R1364" t="s">
        <v>60</v>
      </c>
      <c r="W1364">
        <v>1</v>
      </c>
      <c r="X1364">
        <v>1</v>
      </c>
      <c r="AE1364">
        <v>1</v>
      </c>
      <c r="AF1364">
        <v>0</v>
      </c>
      <c r="AM1364" t="s">
        <v>52</v>
      </c>
      <c r="AN1364" t="s">
        <v>53</v>
      </c>
    </row>
    <row r="1365" spans="1:40">
      <c r="A1365" t="s">
        <v>2370</v>
      </c>
      <c r="B1365" t="s">
        <v>5005</v>
      </c>
      <c r="C1365" t="s">
        <v>5006</v>
      </c>
      <c r="D1365" t="s">
        <v>52</v>
      </c>
      <c r="E1365" t="s">
        <v>5007</v>
      </c>
      <c r="F1365" t="s">
        <v>45</v>
      </c>
      <c r="G1365" t="str">
        <f>HYPERLINK("https://www.instagram.com/p/BzGn6PRhBsq")</f>
        <v>https://www.instagram.com/p/BzGn6PRhBsq</v>
      </c>
      <c r="H1365" t="s">
        <v>46</v>
      </c>
      <c r="I1365" t="s">
        <v>5008</v>
      </c>
      <c r="J1365" t="str">
        <f>HYPERLINK("http://instagram.com/samantha_slimmingw")</f>
        <v>http://instagram.com/samantha_slimmingw</v>
      </c>
      <c r="K1365">
        <v>250</v>
      </c>
      <c r="N1365" t="s">
        <v>59</v>
      </c>
      <c r="O1365" t="s">
        <v>5008</v>
      </c>
      <c r="P1365" t="str">
        <f>HYPERLINK("http://instagram.com/samantha_slimmingw")</f>
        <v>http://instagram.com/samantha_slimmingw</v>
      </c>
      <c r="Q1365">
        <v>250</v>
      </c>
      <c r="R1365" t="s">
        <v>60</v>
      </c>
      <c r="W1365">
        <v>16</v>
      </c>
      <c r="X1365">
        <v>16</v>
      </c>
      <c r="AE1365">
        <v>1</v>
      </c>
      <c r="AI1365" t="s">
        <v>52</v>
      </c>
      <c r="AJ1365" t="s">
        <v>5009</v>
      </c>
      <c r="AK1365" t="s">
        <v>52</v>
      </c>
      <c r="AL1365" t="str">
        <f>HYPERLINK("https://www.instagram.com/p/BzGn6PRhBsq/media/?size=l")</f>
        <v>https://www.instagram.com/p/BzGn6PRhBsq/media/?size=l</v>
      </c>
      <c r="AM1365" t="s">
        <v>52</v>
      </c>
      <c r="AN1365" t="s">
        <v>53</v>
      </c>
    </row>
    <row r="1366" spans="1:40">
      <c r="A1366" t="s">
        <v>2370</v>
      </c>
      <c r="B1366" t="s">
        <v>5010</v>
      </c>
      <c r="C1366" t="s">
        <v>5011</v>
      </c>
      <c r="D1366" t="s">
        <v>52</v>
      </c>
      <c r="E1366" t="s">
        <v>5012</v>
      </c>
      <c r="F1366" t="s">
        <v>45</v>
      </c>
      <c r="G1366" t="str">
        <f>HYPERLINK("https://www.instagram.com/p/BzGnvyDhXf8")</f>
        <v>https://www.instagram.com/p/BzGnvyDhXf8</v>
      </c>
      <c r="H1366" t="s">
        <v>46</v>
      </c>
      <c r="I1366" t="s">
        <v>5013</v>
      </c>
      <c r="J1366" t="str">
        <f>HYPERLINK("http://instagram.com/slimmingworldsydney")</f>
        <v>http://instagram.com/slimmingworldsydney</v>
      </c>
      <c r="K1366">
        <v>222</v>
      </c>
      <c r="N1366" t="s">
        <v>59</v>
      </c>
      <c r="O1366" t="s">
        <v>5013</v>
      </c>
      <c r="P1366" t="str">
        <f>HYPERLINK("http://instagram.com/slimmingworldsydney")</f>
        <v>http://instagram.com/slimmingworldsydney</v>
      </c>
      <c r="Q1366">
        <v>222</v>
      </c>
      <c r="R1366" t="s">
        <v>60</v>
      </c>
      <c r="W1366">
        <v>10</v>
      </c>
      <c r="X1366">
        <v>10</v>
      </c>
      <c r="AE1366">
        <v>0</v>
      </c>
      <c r="AI1366" t="s">
        <v>52</v>
      </c>
      <c r="AJ1366" t="s">
        <v>5014</v>
      </c>
      <c r="AK1366" t="s">
        <v>52</v>
      </c>
      <c r="AL1366" t="str">
        <f>HYPERLINK("https://www.instagram.com/p/BzGnvyDhXf8/media/?size=l")</f>
        <v>https://www.instagram.com/p/BzGnvyDhXf8/media/?size=l</v>
      </c>
      <c r="AM1366" t="s">
        <v>52</v>
      </c>
      <c r="AN1366" t="s">
        <v>53</v>
      </c>
    </row>
    <row r="1367" spans="1:40">
      <c r="A1367" t="s">
        <v>2370</v>
      </c>
      <c r="B1367" t="s">
        <v>5010</v>
      </c>
      <c r="C1367" t="s">
        <v>4375</v>
      </c>
      <c r="D1367" t="s">
        <v>52</v>
      </c>
      <c r="E1367" t="s">
        <v>5015</v>
      </c>
      <c r="F1367" t="s">
        <v>45</v>
      </c>
      <c r="G1367" t="str">
        <f>HYPERLINK("https://www.facebook.com/254913604523986/posts/2822153947799926")</f>
        <v>https://www.facebook.com/254913604523986/posts/2822153947799926</v>
      </c>
      <c r="H1367" t="s">
        <v>46</v>
      </c>
      <c r="I1367" t="s">
        <v>5016</v>
      </c>
      <c r="J1367" t="str">
        <f>HYPERLINK("https://www.facebook.com/254913604523986")</f>
        <v>https://www.facebook.com/254913604523986</v>
      </c>
      <c r="K1367">
        <v>30217</v>
      </c>
      <c r="L1367" t="s">
        <v>651</v>
      </c>
      <c r="N1367" t="s">
        <v>1792</v>
      </c>
      <c r="O1367" t="s">
        <v>5016</v>
      </c>
      <c r="P1367" t="str">
        <f>HYPERLINK("https://www.facebook.com/254913604523986")</f>
        <v>https://www.facebook.com/254913604523986</v>
      </c>
      <c r="Q1367">
        <v>30217</v>
      </c>
      <c r="R1367" t="s">
        <v>60</v>
      </c>
      <c r="W1367">
        <v>0</v>
      </c>
      <c r="X1367">
        <v>0</v>
      </c>
      <c r="Y1367">
        <v>0</v>
      </c>
      <c r="Z1367">
        <v>0</v>
      </c>
      <c r="AA1367">
        <v>0</v>
      </c>
      <c r="AB1367">
        <v>0</v>
      </c>
      <c r="AC1367">
        <v>0</v>
      </c>
      <c r="AE1367">
        <v>0</v>
      </c>
      <c r="AF1367">
        <v>0</v>
      </c>
      <c r="AI1367" t="s">
        <v>52</v>
      </c>
      <c r="AJ1367" t="s">
        <v>52</v>
      </c>
      <c r="AK1367" t="s">
        <v>52</v>
      </c>
      <c r="AL1367" t="str">
        <f>HYPERLINK("http://mumblebeeinc.com/wp-content/uploads/2019/05/DORITOS-Spider-Man-Far-From-Home-Activate-Your-Spidey-Senses-Promotion.jpg")</f>
        <v>http://mumblebeeinc.com/wp-content/uploads/2019/05/DORITOS-Spider-Man-Far-From-Home-Activate-Your-Spidey-Senses-Promotion.jpg</v>
      </c>
      <c r="AM1367" t="s">
        <v>52</v>
      </c>
      <c r="AN1367" t="s">
        <v>53</v>
      </c>
    </row>
    <row r="1368" spans="1:40">
      <c r="A1368" t="s">
        <v>2370</v>
      </c>
      <c r="B1368" t="s">
        <v>5010</v>
      </c>
      <c r="C1368" t="s">
        <v>5017</v>
      </c>
      <c r="D1368" t="s">
        <v>52</v>
      </c>
      <c r="E1368" t="s">
        <v>5018</v>
      </c>
      <c r="F1368" t="s">
        <v>45</v>
      </c>
      <c r="G1368" t="str">
        <f>HYPERLINK("https://twitter.com/311148189/status/1143232337074933760")</f>
        <v>https://twitter.com/311148189/status/1143232337074933760</v>
      </c>
      <c r="H1368" t="s">
        <v>46</v>
      </c>
      <c r="I1368" t="s">
        <v>5019</v>
      </c>
      <c r="J1368" t="str">
        <f>HYPERLINK("http://twitter.com/secretfct")</f>
        <v>http://twitter.com/secretfct</v>
      </c>
      <c r="K1368">
        <v>1484</v>
      </c>
      <c r="N1368" t="s">
        <v>65</v>
      </c>
      <c r="R1368" t="s">
        <v>60</v>
      </c>
      <c r="W1368">
        <v>0</v>
      </c>
      <c r="X1368">
        <v>0</v>
      </c>
      <c r="AE1368">
        <v>0</v>
      </c>
      <c r="AF1368">
        <v>0</v>
      </c>
      <c r="AM1368" t="s">
        <v>52</v>
      </c>
      <c r="AN1368" t="s">
        <v>53</v>
      </c>
    </row>
    <row r="1369" spans="1:40">
      <c r="A1369" t="s">
        <v>2370</v>
      </c>
      <c r="B1369" t="s">
        <v>5020</v>
      </c>
      <c r="C1369" t="s">
        <v>5021</v>
      </c>
      <c r="D1369" t="s">
        <v>52</v>
      </c>
      <c r="E1369" t="s">
        <v>5022</v>
      </c>
      <c r="F1369" t="s">
        <v>45</v>
      </c>
      <c r="G1369" t="str">
        <f>HYPERLINK("https://www.instagram.com/p/BzGnfo1F7NQ")</f>
        <v>https://www.instagram.com/p/BzGnfo1F7NQ</v>
      </c>
      <c r="H1369" t="s">
        <v>46</v>
      </c>
      <c r="I1369" t="s">
        <v>4231</v>
      </c>
      <c r="J1369" t="str">
        <f>HYPERLINK("http://instagram.com/canilose")</f>
        <v>http://instagram.com/canilose</v>
      </c>
      <c r="K1369">
        <v>1</v>
      </c>
      <c r="L1369" t="s">
        <v>58</v>
      </c>
      <c r="N1369" t="s">
        <v>59</v>
      </c>
      <c r="O1369" t="s">
        <v>4231</v>
      </c>
      <c r="P1369" t="str">
        <f>HYPERLINK("http://instagram.com/canilose")</f>
        <v>http://instagram.com/canilose</v>
      </c>
      <c r="Q1369">
        <v>1</v>
      </c>
      <c r="R1369" t="s">
        <v>60</v>
      </c>
      <c r="W1369">
        <v>6</v>
      </c>
      <c r="X1369">
        <v>6</v>
      </c>
      <c r="AE1369">
        <v>0</v>
      </c>
      <c r="AI1369" t="s">
        <v>52</v>
      </c>
      <c r="AJ1369" t="s">
        <v>5023</v>
      </c>
      <c r="AK1369" t="s">
        <v>52</v>
      </c>
      <c r="AL1369" t="str">
        <f>HYPERLINK("https://www.instagram.com/p/BzGnfo1F7NQ/media/?size=l")</f>
        <v>https://www.instagram.com/p/BzGnfo1F7NQ/media/?size=l</v>
      </c>
      <c r="AM1369" t="s">
        <v>52</v>
      </c>
      <c r="AN1369" t="s">
        <v>53</v>
      </c>
    </row>
    <row r="1370" spans="1:40">
      <c r="A1370" t="s">
        <v>2370</v>
      </c>
      <c r="B1370" t="s">
        <v>5020</v>
      </c>
      <c r="C1370" t="s">
        <v>5024</v>
      </c>
      <c r="D1370" t="s">
        <v>52</v>
      </c>
      <c r="E1370" t="s">
        <v>5025</v>
      </c>
      <c r="F1370" t="s">
        <v>45</v>
      </c>
      <c r="G1370" t="str">
        <f>HYPERLINK("https://www.instagram.com/p/BzGnb5Ml0r9")</f>
        <v>https://www.instagram.com/p/BzGnb5Ml0r9</v>
      </c>
      <c r="H1370" t="s">
        <v>46</v>
      </c>
      <c r="I1370" t="s">
        <v>5026</v>
      </c>
      <c r="J1370" t="str">
        <f>HYPERLINK("http://instagram.com/fountainfoodieuk")</f>
        <v>http://instagram.com/fountainfoodieuk</v>
      </c>
      <c r="K1370">
        <v>342</v>
      </c>
      <c r="L1370" t="s">
        <v>58</v>
      </c>
      <c r="N1370" t="s">
        <v>59</v>
      </c>
      <c r="O1370" t="s">
        <v>5026</v>
      </c>
      <c r="P1370" t="str">
        <f>HYPERLINK("http://instagram.com/fountainfoodieuk")</f>
        <v>http://instagram.com/fountainfoodieuk</v>
      </c>
      <c r="Q1370">
        <v>342</v>
      </c>
      <c r="R1370" t="s">
        <v>60</v>
      </c>
      <c r="W1370">
        <v>14</v>
      </c>
      <c r="X1370">
        <v>14</v>
      </c>
      <c r="AE1370">
        <v>0</v>
      </c>
      <c r="AI1370" t="s">
        <v>52</v>
      </c>
      <c r="AJ1370" t="s">
        <v>52</v>
      </c>
      <c r="AK1370" t="s">
        <v>52</v>
      </c>
      <c r="AL1370" t="str">
        <f>HYPERLINK("https://www.instagram.com/p/BzGnb5Ml0r9/media/?size=l")</f>
        <v>https://www.instagram.com/p/BzGnb5Ml0r9/media/?size=l</v>
      </c>
      <c r="AM1370" t="s">
        <v>52</v>
      </c>
      <c r="AN1370" t="s">
        <v>53</v>
      </c>
    </row>
    <row r="1371" spans="1:40">
      <c r="A1371" t="s">
        <v>2370</v>
      </c>
      <c r="B1371" t="s">
        <v>5027</v>
      </c>
      <c r="C1371" t="s">
        <v>5028</v>
      </c>
      <c r="D1371" t="s">
        <v>5029</v>
      </c>
      <c r="E1371" t="s">
        <v>5030</v>
      </c>
      <c r="F1371" t="s">
        <v>45</v>
      </c>
      <c r="G1371" t="str">
        <f>HYPERLINK("https://www.youtube.com/watch?v=soNk1FgUNDw")</f>
        <v>https://www.youtube.com/watch?v=soNk1FgUNDw</v>
      </c>
      <c r="H1371" t="s">
        <v>46</v>
      </c>
      <c r="I1371" t="s">
        <v>4388</v>
      </c>
      <c r="J1371" t="str">
        <f>HYPERLINK("https://www.youtube.com/channel/UC0dY73koh1T9PC4cggCToLA")</f>
        <v>https://www.youtube.com/channel/UC0dY73koh1T9PC4cggCToLA</v>
      </c>
      <c r="K1371">
        <v>6</v>
      </c>
      <c r="N1371" t="s">
        <v>116</v>
      </c>
      <c r="O1371" t="s">
        <v>4388</v>
      </c>
      <c r="P1371" t="str">
        <f>HYPERLINK("https://www.youtube.com/channel/UC0dY73koh1T9PC4cggCToLA")</f>
        <v>https://www.youtube.com/channel/UC0dY73koh1T9PC4cggCToLA</v>
      </c>
      <c r="Q1371">
        <v>6</v>
      </c>
      <c r="R1371" t="s">
        <v>60</v>
      </c>
      <c r="W1371">
        <v>0</v>
      </c>
      <c r="X1371">
        <v>0</v>
      </c>
      <c r="AD1371">
        <v>0</v>
      </c>
      <c r="AE1371">
        <v>0</v>
      </c>
      <c r="AG1371">
        <v>1</v>
      </c>
      <c r="AI1371" t="s">
        <v>52</v>
      </c>
      <c r="AJ1371" t="s">
        <v>52</v>
      </c>
      <c r="AK1371" t="s">
        <v>52</v>
      </c>
      <c r="AL1371" t="str">
        <f>HYPERLINK("https://i.ytimg.com/vi/soNk1FgUNDw/maxresdefault.jpg")</f>
        <v>https://i.ytimg.com/vi/soNk1FgUNDw/maxresdefault.jpg</v>
      </c>
      <c r="AM1371" t="s">
        <v>52</v>
      </c>
      <c r="AN1371" t="s">
        <v>53</v>
      </c>
    </row>
    <row r="1372" spans="1:40">
      <c r="A1372" t="s">
        <v>2370</v>
      </c>
      <c r="B1372" t="s">
        <v>5031</v>
      </c>
      <c r="C1372" t="s">
        <v>5028</v>
      </c>
      <c r="D1372" t="s">
        <v>5032</v>
      </c>
      <c r="E1372" t="s">
        <v>5033</v>
      </c>
      <c r="F1372" t="s">
        <v>45</v>
      </c>
      <c r="G1372" t="str">
        <f>HYPERLINK("https://www.youtube.com/watch?v=KAts8HoPojw")</f>
        <v>https://www.youtube.com/watch?v=KAts8HoPojw</v>
      </c>
      <c r="H1372" t="s">
        <v>91</v>
      </c>
      <c r="I1372" t="s">
        <v>5034</v>
      </c>
      <c r="J1372" t="str">
        <f>HYPERLINK("https://www.youtube.com/channel/UClFNpdt81RgszHukMUbN-AA")</f>
        <v>https://www.youtube.com/channel/UClFNpdt81RgszHukMUbN-AA</v>
      </c>
      <c r="K1372">
        <v>25</v>
      </c>
      <c r="N1372" t="s">
        <v>116</v>
      </c>
      <c r="O1372" t="s">
        <v>5034</v>
      </c>
      <c r="P1372" t="str">
        <f>HYPERLINK("https://www.youtube.com/channel/UClFNpdt81RgszHukMUbN-AA")</f>
        <v>https://www.youtube.com/channel/UClFNpdt81RgszHukMUbN-AA</v>
      </c>
      <c r="Q1372">
        <v>25</v>
      </c>
      <c r="R1372" t="s">
        <v>60</v>
      </c>
      <c r="W1372">
        <v>1</v>
      </c>
      <c r="X1372">
        <v>1</v>
      </c>
      <c r="AD1372">
        <v>0</v>
      </c>
      <c r="AE1372">
        <v>0</v>
      </c>
      <c r="AG1372">
        <v>8</v>
      </c>
      <c r="AI1372" t="s">
        <v>52</v>
      </c>
      <c r="AJ1372" t="s">
        <v>2467</v>
      </c>
      <c r="AK1372" t="s">
        <v>52</v>
      </c>
      <c r="AL1372" t="str">
        <f>HYPERLINK("https://i.ytimg.com/vi/KAts8HoPojw/sddefault.jpg")</f>
        <v>https://i.ytimg.com/vi/KAts8HoPojw/sddefault.jpg</v>
      </c>
      <c r="AM1372" t="s">
        <v>52</v>
      </c>
      <c r="AN1372" t="s">
        <v>53</v>
      </c>
    </row>
    <row r="1373" spans="1:40">
      <c r="A1373" t="s">
        <v>2370</v>
      </c>
      <c r="B1373" t="s">
        <v>5035</v>
      </c>
      <c r="C1373" t="s">
        <v>5017</v>
      </c>
      <c r="D1373" t="s">
        <v>52</v>
      </c>
      <c r="E1373" t="s">
        <v>5036</v>
      </c>
      <c r="F1373" t="s">
        <v>45</v>
      </c>
      <c r="G1373" t="str">
        <f>HYPERLINK("https://www.instagram.com/p/BzGnEqpJ5tH")</f>
        <v>https://www.instagram.com/p/BzGnEqpJ5tH</v>
      </c>
      <c r="H1373" t="s">
        <v>46</v>
      </c>
      <c r="I1373" t="s">
        <v>5037</v>
      </c>
      <c r="J1373" t="str">
        <f>HYPERLINK("http://instagram.com/cy_edrecovery")</f>
        <v>http://instagram.com/cy_edrecovery</v>
      </c>
      <c r="K1373">
        <v>201</v>
      </c>
      <c r="N1373" t="s">
        <v>59</v>
      </c>
      <c r="O1373" t="s">
        <v>5037</v>
      </c>
      <c r="P1373" t="str">
        <f>HYPERLINK("http://instagram.com/cy_edrecovery")</f>
        <v>http://instagram.com/cy_edrecovery</v>
      </c>
      <c r="Q1373">
        <v>201</v>
      </c>
      <c r="R1373" t="s">
        <v>60</v>
      </c>
      <c r="W1373">
        <v>23</v>
      </c>
      <c r="X1373">
        <v>23</v>
      </c>
      <c r="AE1373">
        <v>0</v>
      </c>
      <c r="AI1373" t="s">
        <v>52</v>
      </c>
      <c r="AJ1373" t="s">
        <v>321</v>
      </c>
      <c r="AK1373" t="s">
        <v>52</v>
      </c>
      <c r="AL1373" t="str">
        <f>HYPERLINK("https://www.instagram.com/p/BzGnEqpJ5tH/media/?size=l")</f>
        <v>https://www.instagram.com/p/BzGnEqpJ5tH/media/?size=l</v>
      </c>
      <c r="AM1373" t="s">
        <v>52</v>
      </c>
      <c r="AN1373" t="s">
        <v>53</v>
      </c>
    </row>
    <row r="1374" spans="1:40">
      <c r="A1374" t="s">
        <v>2370</v>
      </c>
      <c r="B1374" t="s">
        <v>5038</v>
      </c>
      <c r="C1374" t="s">
        <v>5039</v>
      </c>
      <c r="D1374" t="s">
        <v>5040</v>
      </c>
      <c r="E1374" t="s">
        <v>5040</v>
      </c>
      <c r="F1374" t="s">
        <v>45</v>
      </c>
      <c r="G1374" t="str">
        <f>HYPERLINK("https://www.youtube.com/watch?v=3Q1tSlMhQe4")</f>
        <v>https://www.youtube.com/watch?v=3Q1tSlMhQe4</v>
      </c>
      <c r="H1374" t="s">
        <v>46</v>
      </c>
      <c r="I1374" t="s">
        <v>5041</v>
      </c>
      <c r="J1374" t="str">
        <f>HYPERLINK("https://www.youtube.com/channel/UCkN2yeSv-9mxf18QTgkKGkw")</f>
        <v>https://www.youtube.com/channel/UCkN2yeSv-9mxf18QTgkKGkw</v>
      </c>
      <c r="K1374">
        <v>14</v>
      </c>
      <c r="L1374" t="s">
        <v>48</v>
      </c>
      <c r="N1374" t="s">
        <v>116</v>
      </c>
      <c r="O1374" t="s">
        <v>5041</v>
      </c>
      <c r="P1374" t="str">
        <f>HYPERLINK("https://www.youtube.com/channel/UCkN2yeSv-9mxf18QTgkKGkw")</f>
        <v>https://www.youtube.com/channel/UCkN2yeSv-9mxf18QTgkKGkw</v>
      </c>
      <c r="Q1374">
        <v>14</v>
      </c>
      <c r="R1374" t="s">
        <v>60</v>
      </c>
      <c r="W1374">
        <v>2</v>
      </c>
      <c r="X1374">
        <v>2</v>
      </c>
      <c r="AD1374">
        <v>0</v>
      </c>
      <c r="AE1374">
        <v>0</v>
      </c>
      <c r="AG1374">
        <v>9</v>
      </c>
      <c r="AI1374" t="s">
        <v>52</v>
      </c>
      <c r="AJ1374" t="s">
        <v>52</v>
      </c>
      <c r="AK1374" t="s">
        <v>52</v>
      </c>
      <c r="AL1374" t="str">
        <f>HYPERLINK("https://i.ytimg.com/vi/3Q1tSlMhQe4/hqdefault.jpg")</f>
        <v>https://i.ytimg.com/vi/3Q1tSlMhQe4/hqdefault.jpg</v>
      </c>
      <c r="AM1374" t="s">
        <v>52</v>
      </c>
      <c r="AN1374" t="s">
        <v>53</v>
      </c>
    </row>
    <row r="1375" spans="1:40">
      <c r="A1375" t="s">
        <v>2370</v>
      </c>
      <c r="B1375" t="s">
        <v>5038</v>
      </c>
      <c r="C1375" t="s">
        <v>5042</v>
      </c>
      <c r="D1375" t="s">
        <v>52</v>
      </c>
      <c r="E1375" t="s">
        <v>5043</v>
      </c>
      <c r="F1375" t="s">
        <v>131</v>
      </c>
      <c r="G1375" t="str">
        <f>HYPERLINK("https://twitter.com/2151604146/status/1143230678701658113")</f>
        <v>https://twitter.com/2151604146/status/1143230678701658113</v>
      </c>
      <c r="H1375" t="s">
        <v>46</v>
      </c>
      <c r="I1375" t="s">
        <v>5044</v>
      </c>
      <c r="J1375" t="str">
        <f>HYPERLINK("http://twitter.com/PameDubois")</f>
        <v>http://twitter.com/PameDubois</v>
      </c>
      <c r="K1375">
        <v>2541</v>
      </c>
      <c r="N1375" t="s">
        <v>65</v>
      </c>
      <c r="R1375" t="s">
        <v>60</v>
      </c>
      <c r="S1375" t="s">
        <v>710</v>
      </c>
      <c r="T1375" t="s">
        <v>5045</v>
      </c>
      <c r="U1375" t="s">
        <v>5046</v>
      </c>
      <c r="W1375">
        <v>0</v>
      </c>
      <c r="X1375">
        <v>0</v>
      </c>
      <c r="AE1375">
        <v>0</v>
      </c>
      <c r="AM1375" t="s">
        <v>52</v>
      </c>
      <c r="AN1375" t="s">
        <v>53</v>
      </c>
    </row>
    <row r="1376" spans="1:40">
      <c r="A1376" t="s">
        <v>2370</v>
      </c>
      <c r="B1376" t="s">
        <v>5047</v>
      </c>
      <c r="C1376" t="s">
        <v>5028</v>
      </c>
      <c r="D1376" t="s">
        <v>52</v>
      </c>
      <c r="E1376" t="s">
        <v>5048</v>
      </c>
      <c r="F1376" t="s">
        <v>71</v>
      </c>
      <c r="G1376" t="str">
        <f>HYPERLINK("https://twitter.com/616244584/status/1143230536833355776")</f>
        <v>https://twitter.com/616244584/status/1143230536833355776</v>
      </c>
      <c r="H1376" t="s">
        <v>46</v>
      </c>
      <c r="I1376" t="s">
        <v>5049</v>
      </c>
      <c r="J1376" t="str">
        <f>HYPERLINK("http://twitter.com/calemag")</f>
        <v>http://twitter.com/calemag</v>
      </c>
      <c r="K1376">
        <v>146</v>
      </c>
      <c r="N1376" t="s">
        <v>65</v>
      </c>
      <c r="R1376" t="s">
        <v>60</v>
      </c>
      <c r="W1376">
        <v>0</v>
      </c>
      <c r="X1376">
        <v>0</v>
      </c>
      <c r="AE1376">
        <v>0</v>
      </c>
      <c r="AF1376">
        <v>0</v>
      </c>
      <c r="AI1376" t="s">
        <v>108</v>
      </c>
      <c r="AJ1376" t="s">
        <v>1182</v>
      </c>
      <c r="AK1376" t="s">
        <v>52</v>
      </c>
      <c r="AL1376" t="str">
        <f>HYPERLINK("https://pbs.twimg.com/media/D9mxTD3X4AAqTBb.png")</f>
        <v>https://pbs.twimg.com/media/D9mxTD3X4AAqTBb.png</v>
      </c>
      <c r="AM1376" t="s">
        <v>52</v>
      </c>
      <c r="AN1376" t="s">
        <v>53</v>
      </c>
    </row>
    <row r="1377" spans="1:40">
      <c r="A1377" t="s">
        <v>2370</v>
      </c>
      <c r="B1377" t="s">
        <v>5047</v>
      </c>
      <c r="C1377" t="s">
        <v>5050</v>
      </c>
      <c r="D1377" t="s">
        <v>52</v>
      </c>
      <c r="E1377" t="s">
        <v>1194</v>
      </c>
      <c r="F1377" t="s">
        <v>131</v>
      </c>
      <c r="G1377" t="str">
        <f>HYPERLINK("https://twitter.com/826901814868062210/status/1143230471389794310")</f>
        <v>https://twitter.com/826901814868062210/status/1143230471389794310</v>
      </c>
      <c r="H1377" t="s">
        <v>46</v>
      </c>
      <c r="I1377" t="s">
        <v>5051</v>
      </c>
      <c r="J1377" t="str">
        <f>HYPERLINK("http://twitter.com/Urnotevenkawaii")</f>
        <v>http://twitter.com/Urnotevenkawaii</v>
      </c>
      <c r="K1377">
        <v>4</v>
      </c>
      <c r="N1377" t="s">
        <v>65</v>
      </c>
      <c r="R1377" t="s">
        <v>60</v>
      </c>
      <c r="S1377" t="s">
        <v>51</v>
      </c>
      <c r="T1377" t="s">
        <v>851</v>
      </c>
      <c r="U1377" t="s">
        <v>2050</v>
      </c>
      <c r="W1377">
        <v>0</v>
      </c>
      <c r="X1377">
        <v>0</v>
      </c>
      <c r="AE1377">
        <v>0</v>
      </c>
      <c r="AI1377" t="s">
        <v>52</v>
      </c>
      <c r="AJ1377" t="s">
        <v>1196</v>
      </c>
      <c r="AK1377" t="s">
        <v>52</v>
      </c>
      <c r="AL1377" t="str">
        <f>HYPERLINK("https://pbs.twimg.com/media/D9xgk2YXkAAd2ql.jpg")</f>
        <v>https://pbs.twimg.com/media/D9xgk2YXkAAd2ql.jpg</v>
      </c>
      <c r="AM1377" t="s">
        <v>52</v>
      </c>
      <c r="AN1377" t="s">
        <v>53</v>
      </c>
    </row>
    <row r="1378" spans="1:40">
      <c r="A1378" t="s">
        <v>2370</v>
      </c>
      <c r="B1378" t="s">
        <v>5047</v>
      </c>
      <c r="C1378" t="s">
        <v>5052</v>
      </c>
      <c r="D1378" t="s">
        <v>52</v>
      </c>
      <c r="E1378" t="s">
        <v>5053</v>
      </c>
      <c r="F1378" t="s">
        <v>45</v>
      </c>
      <c r="G1378" t="str">
        <f>HYPERLINK("https://twitter.com/1119876588101931010/status/1143230438502273025")</f>
        <v>https://twitter.com/1119876588101931010/status/1143230438502273025</v>
      </c>
      <c r="H1378" t="s">
        <v>46</v>
      </c>
      <c r="I1378" t="s">
        <v>5054</v>
      </c>
      <c r="J1378" t="str">
        <f>HYPERLINK("http://twitter.com/shaynathemaker")</f>
        <v>http://twitter.com/shaynathemaker</v>
      </c>
      <c r="K1378">
        <v>0</v>
      </c>
      <c r="N1378" t="s">
        <v>65</v>
      </c>
      <c r="R1378" t="s">
        <v>60</v>
      </c>
      <c r="W1378">
        <v>0</v>
      </c>
      <c r="X1378">
        <v>0</v>
      </c>
      <c r="AE1378">
        <v>0</v>
      </c>
      <c r="AF1378">
        <v>0</v>
      </c>
      <c r="AM1378" t="s">
        <v>52</v>
      </c>
      <c r="AN1378" t="s">
        <v>53</v>
      </c>
    </row>
    <row r="1379" spans="1:40">
      <c r="A1379" t="s">
        <v>2370</v>
      </c>
      <c r="B1379" t="s">
        <v>5055</v>
      </c>
      <c r="C1379" t="s">
        <v>5056</v>
      </c>
      <c r="D1379" t="s">
        <v>52</v>
      </c>
      <c r="E1379" t="s">
        <v>5057</v>
      </c>
      <c r="F1379" t="s">
        <v>45</v>
      </c>
      <c r="G1379" t="str">
        <f>HYPERLINK("https://www.instagram.com/p/BzGmuzFAH5F")</f>
        <v>https://www.instagram.com/p/BzGmuzFAH5F</v>
      </c>
      <c r="H1379" t="s">
        <v>46</v>
      </c>
      <c r="I1379" t="s">
        <v>5058</v>
      </c>
      <c r="J1379" t="str">
        <f>HYPERLINK("http://instagram.com/esse.for.food")</f>
        <v>http://instagram.com/esse.for.food</v>
      </c>
      <c r="K1379">
        <v>425</v>
      </c>
      <c r="N1379" t="s">
        <v>59</v>
      </c>
      <c r="O1379" t="s">
        <v>5058</v>
      </c>
      <c r="P1379" t="str">
        <f>HYPERLINK("http://instagram.com/esse.for.food")</f>
        <v>http://instagram.com/esse.for.food</v>
      </c>
      <c r="Q1379">
        <v>425</v>
      </c>
      <c r="R1379" t="s">
        <v>60</v>
      </c>
      <c r="S1379" t="s">
        <v>4594</v>
      </c>
      <c r="T1379" t="s">
        <v>5059</v>
      </c>
      <c r="U1379" t="s">
        <v>5060</v>
      </c>
      <c r="W1379">
        <v>14</v>
      </c>
      <c r="X1379">
        <v>14</v>
      </c>
      <c r="AE1379">
        <v>2</v>
      </c>
      <c r="AI1379" t="s">
        <v>52</v>
      </c>
      <c r="AJ1379" t="s">
        <v>659</v>
      </c>
      <c r="AK1379" t="s">
        <v>52</v>
      </c>
      <c r="AL1379" t="str">
        <f>HYPERLINK("https://www.instagram.com/p/BzGmuzFAH5F/media/?size=l")</f>
        <v>https://www.instagram.com/p/BzGmuzFAH5F/media/?size=l</v>
      </c>
      <c r="AM1379" t="s">
        <v>52</v>
      </c>
      <c r="AN1379" t="s">
        <v>53</v>
      </c>
    </row>
    <row r="1380" spans="1:40">
      <c r="A1380" t="s">
        <v>2370</v>
      </c>
      <c r="B1380" t="s">
        <v>5061</v>
      </c>
      <c r="C1380" t="s">
        <v>5052</v>
      </c>
      <c r="D1380" t="s">
        <v>52</v>
      </c>
      <c r="E1380" t="s">
        <v>5062</v>
      </c>
      <c r="F1380" t="s">
        <v>45</v>
      </c>
      <c r="G1380" t="str">
        <f>HYPERLINK("https://www.instagram.com/p/BzGmnKCAidq")</f>
        <v>https://www.instagram.com/p/BzGmnKCAidq</v>
      </c>
      <c r="H1380" t="s">
        <v>46</v>
      </c>
      <c r="I1380" t="s">
        <v>5063</v>
      </c>
      <c r="J1380" t="str">
        <f>HYPERLINK("http://instagram.com/imma_dorito_fan")</f>
        <v>http://instagram.com/imma_dorito_fan</v>
      </c>
      <c r="K1380">
        <v>27</v>
      </c>
      <c r="N1380" t="s">
        <v>59</v>
      </c>
      <c r="O1380" t="s">
        <v>5063</v>
      </c>
      <c r="P1380" t="str">
        <f>HYPERLINK("http://instagram.com/imma_dorito_fan")</f>
        <v>http://instagram.com/imma_dorito_fan</v>
      </c>
      <c r="Q1380">
        <v>27</v>
      </c>
      <c r="R1380" t="s">
        <v>60</v>
      </c>
      <c r="W1380">
        <v>17</v>
      </c>
      <c r="X1380">
        <v>17</v>
      </c>
      <c r="AE1380">
        <v>2</v>
      </c>
      <c r="AI1380" t="s">
        <v>108</v>
      </c>
      <c r="AJ1380" t="s">
        <v>52</v>
      </c>
      <c r="AK1380" t="s">
        <v>52</v>
      </c>
      <c r="AL1380" t="str">
        <f>HYPERLINK("https://www.instagram.com/p/BzGmnKCAidq/media/?size=l")</f>
        <v>https://www.instagram.com/p/BzGmnKCAidq/media/?size=l</v>
      </c>
      <c r="AM1380" t="s">
        <v>52</v>
      </c>
      <c r="AN1380" t="s">
        <v>53</v>
      </c>
    </row>
    <row r="1381" spans="1:40">
      <c r="A1381" t="s">
        <v>2370</v>
      </c>
      <c r="B1381" t="s">
        <v>5064</v>
      </c>
      <c r="C1381" t="s">
        <v>5052</v>
      </c>
      <c r="D1381" t="s">
        <v>52</v>
      </c>
      <c r="E1381" t="s">
        <v>5065</v>
      </c>
      <c r="F1381" t="s">
        <v>95</v>
      </c>
      <c r="G1381" t="str">
        <f>HYPERLINK("https://twitter.com/32210479/status/1143229774770388993")</f>
        <v>https://twitter.com/32210479/status/1143229774770388993</v>
      </c>
      <c r="H1381" t="s">
        <v>46</v>
      </c>
      <c r="I1381" t="s">
        <v>5066</v>
      </c>
      <c r="J1381" t="str">
        <f>HYPERLINK("http://twitter.com/chaos9001")</f>
        <v>http://twitter.com/chaos9001</v>
      </c>
      <c r="K1381">
        <v>93</v>
      </c>
      <c r="L1381" t="s">
        <v>48</v>
      </c>
      <c r="N1381" t="s">
        <v>65</v>
      </c>
      <c r="R1381" t="s">
        <v>60</v>
      </c>
      <c r="S1381" t="s">
        <v>51</v>
      </c>
      <c r="T1381" t="s">
        <v>84</v>
      </c>
      <c r="U1381" t="s">
        <v>5067</v>
      </c>
      <c r="W1381">
        <v>0</v>
      </c>
      <c r="X1381">
        <v>0</v>
      </c>
      <c r="AE1381">
        <v>0</v>
      </c>
      <c r="AF1381">
        <v>0</v>
      </c>
      <c r="AM1381" t="s">
        <v>52</v>
      </c>
      <c r="AN1381" t="s">
        <v>53</v>
      </c>
    </row>
    <row r="1382" spans="1:40">
      <c r="A1382" t="s">
        <v>2370</v>
      </c>
      <c r="B1382" t="s">
        <v>5064</v>
      </c>
      <c r="C1382" t="s">
        <v>5052</v>
      </c>
      <c r="D1382" t="s">
        <v>52</v>
      </c>
      <c r="E1382" t="s">
        <v>5068</v>
      </c>
      <c r="F1382" t="s">
        <v>45</v>
      </c>
      <c r="G1382" t="str">
        <f>HYPERLINK("https://www.instagram.com/p/BzGmiVmhmLi")</f>
        <v>https://www.instagram.com/p/BzGmiVmhmLi</v>
      </c>
      <c r="H1382" t="s">
        <v>46</v>
      </c>
      <c r="I1382" t="s">
        <v>3125</v>
      </c>
      <c r="J1382" t="str">
        <f>HYPERLINK("http://instagram.com/spicysweetchillidoritos_")</f>
        <v>http://instagram.com/spicysweetchillidoritos_</v>
      </c>
      <c r="K1382">
        <v>52</v>
      </c>
      <c r="N1382" t="s">
        <v>59</v>
      </c>
      <c r="O1382" t="s">
        <v>3125</v>
      </c>
      <c r="P1382" t="str">
        <f>HYPERLINK("http://instagram.com/spicysweetchillidoritos_")</f>
        <v>http://instagram.com/spicysweetchillidoritos_</v>
      </c>
      <c r="Q1382">
        <v>52</v>
      </c>
      <c r="R1382" t="s">
        <v>60</v>
      </c>
      <c r="W1382">
        <v>9</v>
      </c>
      <c r="X1382">
        <v>9</v>
      </c>
      <c r="AE1382">
        <v>8</v>
      </c>
      <c r="AL1382" t="str">
        <f>HYPERLINK("https://www.instagram.com/p/BzGmiVmhmLi/media/?size=l")</f>
        <v>https://www.instagram.com/p/BzGmiVmhmLi/media/?size=l</v>
      </c>
      <c r="AM1382" t="s">
        <v>52</v>
      </c>
      <c r="AN1382" t="s">
        <v>53</v>
      </c>
    </row>
    <row r="1383" spans="1:40">
      <c r="A1383" t="s">
        <v>2370</v>
      </c>
      <c r="B1383" t="s">
        <v>5069</v>
      </c>
      <c r="C1383" t="s">
        <v>5052</v>
      </c>
      <c r="D1383" t="s">
        <v>52</v>
      </c>
      <c r="E1383" t="s">
        <v>5070</v>
      </c>
      <c r="F1383" t="s">
        <v>71</v>
      </c>
      <c r="G1383" t="str">
        <f>HYPERLINK("https://twitter.com/866927659804131328/status/1143229540149420032")</f>
        <v>https://twitter.com/866927659804131328/status/1143229540149420032</v>
      </c>
      <c r="H1383" t="s">
        <v>215</v>
      </c>
      <c r="I1383" t="s">
        <v>5071</v>
      </c>
      <c r="J1383" t="str">
        <f>HYPERLINK("http://twitter.com/BoitumeloMoloii")</f>
        <v>http://twitter.com/BoitumeloMoloii</v>
      </c>
      <c r="K1383">
        <v>1294</v>
      </c>
      <c r="N1383" t="s">
        <v>65</v>
      </c>
      <c r="R1383" t="s">
        <v>60</v>
      </c>
      <c r="S1383" t="s">
        <v>1071</v>
      </c>
      <c r="T1383" t="s">
        <v>1072</v>
      </c>
      <c r="U1383" t="s">
        <v>1073</v>
      </c>
      <c r="W1383">
        <v>0</v>
      </c>
      <c r="X1383">
        <v>0</v>
      </c>
      <c r="AE1383">
        <v>0</v>
      </c>
      <c r="AF1383">
        <v>0</v>
      </c>
      <c r="AM1383" t="s">
        <v>52</v>
      </c>
      <c r="AN1383" t="s">
        <v>53</v>
      </c>
    </row>
    <row r="1384" spans="1:40">
      <c r="A1384" t="s">
        <v>2370</v>
      </c>
      <c r="B1384" t="s">
        <v>5072</v>
      </c>
      <c r="C1384" t="s">
        <v>5073</v>
      </c>
      <c r="D1384" t="s">
        <v>52</v>
      </c>
      <c r="E1384" t="s">
        <v>5074</v>
      </c>
      <c r="F1384" t="s">
        <v>45</v>
      </c>
      <c r="G1384" t="str">
        <f>HYPERLINK("https://twitter.com/3976500017/status/1143228477556043782")</f>
        <v>https://twitter.com/3976500017/status/1143228477556043782</v>
      </c>
      <c r="H1384" t="s">
        <v>46</v>
      </c>
      <c r="I1384" t="s">
        <v>1697</v>
      </c>
      <c r="J1384" t="str">
        <f>HYPERLINK("http://twitter.com/memerbot404")</f>
        <v>http://twitter.com/memerbot404</v>
      </c>
      <c r="K1384">
        <v>12</v>
      </c>
      <c r="L1384" t="s">
        <v>48</v>
      </c>
      <c r="N1384" t="s">
        <v>65</v>
      </c>
      <c r="R1384" t="s">
        <v>60</v>
      </c>
      <c r="S1384" t="s">
        <v>774</v>
      </c>
      <c r="W1384">
        <v>0</v>
      </c>
      <c r="X1384">
        <v>0</v>
      </c>
      <c r="AE1384">
        <v>0</v>
      </c>
      <c r="AF1384">
        <v>0</v>
      </c>
      <c r="AM1384" t="s">
        <v>52</v>
      </c>
      <c r="AN1384" t="s">
        <v>53</v>
      </c>
    </row>
    <row r="1385" spans="1:40">
      <c r="A1385" t="s">
        <v>2370</v>
      </c>
      <c r="B1385" t="s">
        <v>5072</v>
      </c>
      <c r="C1385" t="s">
        <v>5075</v>
      </c>
      <c r="D1385" t="s">
        <v>52</v>
      </c>
      <c r="E1385" t="s">
        <v>5076</v>
      </c>
      <c r="F1385" t="s">
        <v>45</v>
      </c>
      <c r="G1385" t="str">
        <f>HYPERLINK("https://www.instagram.com/p/BzGl9LJouTt")</f>
        <v>https://www.instagram.com/p/BzGl9LJouTt</v>
      </c>
      <c r="H1385" t="s">
        <v>46</v>
      </c>
      <c r="I1385" t="s">
        <v>5077</v>
      </c>
      <c r="J1385" t="str">
        <f>HYPERLINK("http://instagram.com/patito_cusplei")</f>
        <v>http://instagram.com/patito_cusplei</v>
      </c>
      <c r="K1385">
        <v>979</v>
      </c>
      <c r="N1385" t="s">
        <v>59</v>
      </c>
      <c r="O1385" t="s">
        <v>5077</v>
      </c>
      <c r="P1385" t="str">
        <f>HYPERLINK("http://instagram.com/patito_cusplei")</f>
        <v>http://instagram.com/patito_cusplei</v>
      </c>
      <c r="Q1385">
        <v>979</v>
      </c>
      <c r="R1385" t="s">
        <v>60</v>
      </c>
      <c r="S1385" t="s">
        <v>298</v>
      </c>
      <c r="T1385" t="s">
        <v>5078</v>
      </c>
      <c r="U1385" t="s">
        <v>5079</v>
      </c>
      <c r="W1385">
        <v>206</v>
      </c>
      <c r="X1385">
        <v>206</v>
      </c>
      <c r="AE1385">
        <v>15</v>
      </c>
      <c r="AI1385" t="s">
        <v>108</v>
      </c>
      <c r="AJ1385" t="s">
        <v>52</v>
      </c>
      <c r="AK1385" t="s">
        <v>612</v>
      </c>
      <c r="AL1385" t="str">
        <f>HYPERLINK("https://www.instagram.com/p/BzGl9LJouTt/media/?size=l")</f>
        <v>https://www.instagram.com/p/BzGl9LJouTt/media/?size=l</v>
      </c>
      <c r="AM1385" t="s">
        <v>52</v>
      </c>
      <c r="AN1385" t="s">
        <v>53</v>
      </c>
    </row>
    <row r="1386" spans="1:40">
      <c r="A1386" t="s">
        <v>2370</v>
      </c>
      <c r="B1386" t="s">
        <v>5080</v>
      </c>
      <c r="C1386" t="s">
        <v>5052</v>
      </c>
      <c r="D1386" t="s">
        <v>52</v>
      </c>
      <c r="E1386" t="s">
        <v>5081</v>
      </c>
      <c r="F1386" t="s">
        <v>45</v>
      </c>
      <c r="G1386" t="str">
        <f>HYPERLINK("https://www.instagram.com/p/BzGls6oAbOO")</f>
        <v>https://www.instagram.com/p/BzGls6oAbOO</v>
      </c>
      <c r="H1386" t="s">
        <v>215</v>
      </c>
      <c r="I1386" t="s">
        <v>5082</v>
      </c>
      <c r="J1386" t="str">
        <f>HYPERLINK("http://instagram.com/the_heart_movement")</f>
        <v>http://instagram.com/the_heart_movement</v>
      </c>
      <c r="K1386">
        <v>188</v>
      </c>
      <c r="N1386" t="s">
        <v>59</v>
      </c>
      <c r="O1386" t="s">
        <v>5082</v>
      </c>
      <c r="P1386" t="str">
        <f>HYPERLINK("http://instagram.com/the_heart_movement")</f>
        <v>http://instagram.com/the_heart_movement</v>
      </c>
      <c r="Q1386">
        <v>188</v>
      </c>
      <c r="R1386" t="s">
        <v>60</v>
      </c>
      <c r="W1386">
        <v>7</v>
      </c>
      <c r="X1386">
        <v>7</v>
      </c>
      <c r="AE1386">
        <v>0</v>
      </c>
      <c r="AI1386" t="s">
        <v>52</v>
      </c>
      <c r="AJ1386" t="s">
        <v>716</v>
      </c>
      <c r="AK1386" t="s">
        <v>52</v>
      </c>
      <c r="AL1386" t="str">
        <f>HYPERLINK("https://www.instagram.com/p/BzGls6oAbOO/media/?size=l")</f>
        <v>https://www.instagram.com/p/BzGls6oAbOO/media/?size=l</v>
      </c>
      <c r="AM1386" t="s">
        <v>52</v>
      </c>
      <c r="AN1386" t="s">
        <v>53</v>
      </c>
    </row>
    <row r="1387" spans="1:40">
      <c r="A1387" t="s">
        <v>2370</v>
      </c>
      <c r="B1387" t="s">
        <v>5083</v>
      </c>
      <c r="C1387" t="s">
        <v>5084</v>
      </c>
      <c r="D1387" t="s">
        <v>52</v>
      </c>
      <c r="E1387" t="s">
        <v>5085</v>
      </c>
      <c r="F1387" t="s">
        <v>45</v>
      </c>
      <c r="G1387" t="str">
        <f>HYPERLINK("https://www.instagram.com/p/BzGlou1nCZN")</f>
        <v>https://www.instagram.com/p/BzGlou1nCZN</v>
      </c>
      <c r="H1387" t="s">
        <v>46</v>
      </c>
      <c r="I1387" t="s">
        <v>5086</v>
      </c>
      <c r="J1387" t="str">
        <f>HYPERLINK("http://instagram.com/houstoneric24")</f>
        <v>http://instagram.com/houstoneric24</v>
      </c>
      <c r="K1387">
        <v>561</v>
      </c>
      <c r="L1387" t="s">
        <v>48</v>
      </c>
      <c r="N1387" t="s">
        <v>59</v>
      </c>
      <c r="O1387" t="s">
        <v>5086</v>
      </c>
      <c r="P1387" t="str">
        <f>HYPERLINK("http://instagram.com/houstoneric24")</f>
        <v>http://instagram.com/houstoneric24</v>
      </c>
      <c r="Q1387">
        <v>561</v>
      </c>
      <c r="R1387" t="s">
        <v>60</v>
      </c>
      <c r="W1387">
        <v>9</v>
      </c>
      <c r="X1387">
        <v>9</v>
      </c>
      <c r="AE1387">
        <v>0</v>
      </c>
      <c r="AI1387" t="s">
        <v>52</v>
      </c>
      <c r="AJ1387" t="s">
        <v>5087</v>
      </c>
      <c r="AK1387" t="s">
        <v>5088</v>
      </c>
      <c r="AL1387" t="str">
        <f>HYPERLINK("https://www.instagram.com/p/BzGlou1nCZN/media/?size=l")</f>
        <v>https://www.instagram.com/p/BzGlou1nCZN/media/?size=l</v>
      </c>
      <c r="AM1387" t="s">
        <v>52</v>
      </c>
      <c r="AN1387" t="s">
        <v>53</v>
      </c>
    </row>
    <row r="1388" spans="1:40">
      <c r="A1388" t="s">
        <v>2370</v>
      </c>
      <c r="B1388" t="s">
        <v>5083</v>
      </c>
      <c r="C1388" t="s">
        <v>5089</v>
      </c>
      <c r="D1388" t="s">
        <v>5090</v>
      </c>
      <c r="E1388" t="s">
        <v>5091</v>
      </c>
      <c r="F1388" t="s">
        <v>45</v>
      </c>
      <c r="G1388" t="str">
        <f>HYPERLINK("https://www.phillyvoice.com/keep-your-canine-out-your-cannabis-legal-weed-growing-danger-to-dogs")</f>
        <v>https://www.phillyvoice.com/keep-your-canine-out-your-cannabis-legal-weed-growing-danger-to-dogs</v>
      </c>
      <c r="H1388" t="s">
        <v>46</v>
      </c>
      <c r="I1388" t="s">
        <v>5092</v>
      </c>
      <c r="J1388" t="str">
        <f>HYPERLINK("https://www.phillyvoice.com/keep-your-canine-out-your-cannabis-legal-weed-growing-danger-to-dogs/")</f>
        <v>https://www.phillyvoice.com/keep-your-canine-out-your-cannabis-legal-weed-growing-danger-to-dogs/</v>
      </c>
      <c r="L1388" t="s">
        <v>48</v>
      </c>
      <c r="N1388" t="s">
        <v>5093</v>
      </c>
      <c r="R1388" t="s">
        <v>357</v>
      </c>
      <c r="S1388" t="s">
        <v>51</v>
      </c>
      <c r="AI1388" t="s">
        <v>52</v>
      </c>
      <c r="AJ1388" t="s">
        <v>148</v>
      </c>
      <c r="AK1388" t="s">
        <v>52</v>
      </c>
      <c r="AL1388" t="str">
        <f>HYPERLINK("https://media.phillyvoice.com/media/images/06242019_Dog_Puppy_Face.2e16d0ba.fill-735x490.jpg")</f>
        <v>https://media.phillyvoice.com/media/images/06242019_Dog_Puppy_Face.2e16d0ba.fill-735x490.jpg</v>
      </c>
      <c r="AM1388" t="s">
        <v>52</v>
      </c>
      <c r="AN1388" t="s">
        <v>53</v>
      </c>
    </row>
    <row r="1389" spans="1:40">
      <c r="A1389" t="s">
        <v>2370</v>
      </c>
      <c r="B1389" t="s">
        <v>5083</v>
      </c>
      <c r="C1389" t="s">
        <v>5052</v>
      </c>
      <c r="D1389" t="s">
        <v>52</v>
      </c>
      <c r="E1389" t="s">
        <v>5094</v>
      </c>
      <c r="F1389" t="s">
        <v>45</v>
      </c>
      <c r="G1389" t="str">
        <f>HYPERLINK("https://www.instagram.com/p/BzGlcA5h_7h")</f>
        <v>https://www.instagram.com/p/BzGlcA5h_7h</v>
      </c>
      <c r="H1389" t="s">
        <v>46</v>
      </c>
      <c r="I1389" t="s">
        <v>5095</v>
      </c>
      <c r="J1389" t="str">
        <f>HYPERLINK("http://instagram.com/wrx_boost")</f>
        <v>http://instagram.com/wrx_boost</v>
      </c>
      <c r="K1389">
        <v>537</v>
      </c>
      <c r="N1389" t="s">
        <v>59</v>
      </c>
      <c r="O1389" t="s">
        <v>5095</v>
      </c>
      <c r="P1389" t="str">
        <f>HYPERLINK("http://instagram.com/wrx_boost")</f>
        <v>http://instagram.com/wrx_boost</v>
      </c>
      <c r="Q1389">
        <v>537</v>
      </c>
      <c r="R1389" t="s">
        <v>60</v>
      </c>
      <c r="W1389">
        <v>38</v>
      </c>
      <c r="X1389">
        <v>38</v>
      </c>
      <c r="AE1389">
        <v>2</v>
      </c>
      <c r="AG1389">
        <v>117</v>
      </c>
      <c r="AI1389" t="s">
        <v>52</v>
      </c>
      <c r="AJ1389" t="s">
        <v>121</v>
      </c>
      <c r="AK1389" t="s">
        <v>52</v>
      </c>
      <c r="AL1389" t="str">
        <f>HYPERLINK("https://www.instagram.com/p/BzGlcA5h_7h/media/?size=l")</f>
        <v>https://www.instagram.com/p/BzGlcA5h_7h/media/?size=l</v>
      </c>
      <c r="AM1389" t="s">
        <v>52</v>
      </c>
      <c r="AN1389" t="s">
        <v>53</v>
      </c>
    </row>
    <row r="1390" spans="1:40">
      <c r="A1390" t="s">
        <v>2370</v>
      </c>
      <c r="B1390" t="s">
        <v>5083</v>
      </c>
      <c r="C1390" t="s">
        <v>5096</v>
      </c>
      <c r="D1390" t="s">
        <v>5097</v>
      </c>
      <c r="E1390" t="s">
        <v>5098</v>
      </c>
      <c r="F1390" t="s">
        <v>45</v>
      </c>
      <c r="G1390" t="str">
        <f>HYPERLINK("https://www.reddit.com/r/ENLIGHTENEDCENTRISM/comments/c4iyni/antifa_and_the_kkk_are_the_same/?sort=new#thing_t1_erxfz11")</f>
        <v>https://www.reddit.com/r/ENLIGHTENEDCENTRISM/comments/c4iyni/antifa_and_the_kkk_are_the_same/?sort=new#thing_t1_erxfz11</v>
      </c>
      <c r="H1390" t="s">
        <v>46</v>
      </c>
      <c r="I1390" t="s">
        <v>5099</v>
      </c>
      <c r="J1390" t="str">
        <f>HYPERLINK("https://www.reddit.com/r/ENLIGHTENEDCENTRISM/comments/c4iyni/antifa_and_the_kkk_are_the_same/?sort=new#thing_t1_erxfz11")</f>
        <v>https://www.reddit.com/r/ENLIGHTENEDCENTRISM/comments/c4iyni/antifa_and_the_kkk_are_the_same/?sort=new#thing_t1_erxfz11</v>
      </c>
      <c r="N1390" t="s">
        <v>545</v>
      </c>
      <c r="O1390" t="s">
        <v>5100</v>
      </c>
      <c r="P1390" t="str">
        <f>HYPERLINK("https://www.reddit.com/r/ENLIGHTENEDCENTRISM/")</f>
        <v>https://www.reddit.com/r/ENLIGHTENEDCENTRISM/</v>
      </c>
      <c r="R1390" t="s">
        <v>516</v>
      </c>
      <c r="S1390" t="s">
        <v>51</v>
      </c>
      <c r="AM1390" t="s">
        <v>52</v>
      </c>
      <c r="AN1390" t="s">
        <v>53</v>
      </c>
    </row>
    <row r="1391" spans="1:40">
      <c r="A1391" t="s">
        <v>2370</v>
      </c>
      <c r="B1391" t="s">
        <v>5101</v>
      </c>
      <c r="C1391" t="s">
        <v>3216</v>
      </c>
      <c r="D1391" t="s">
        <v>5102</v>
      </c>
      <c r="E1391" t="s">
        <v>5103</v>
      </c>
      <c r="F1391" t="s">
        <v>45</v>
      </c>
      <c r="G1391" t="str">
        <f>HYPERLINK("https://forums.battlefield.com/en-us/discussion/188825/which-one-is-it-i-cant-see-anyone-in-bf-v-or-spotting-was-easy-mode-glad-it-is-gone/p11#Comment_1562593")</f>
        <v>https://forums.battlefield.com/en-us/discussion/188825/which-one-is-it-i-cant-see-anyone-in-bf-v-or-spotting-was-easy-mode-glad-it-is-gone/p11#Comment_1562593</v>
      </c>
      <c r="H1391" t="s">
        <v>46</v>
      </c>
      <c r="I1391" t="s">
        <v>5104</v>
      </c>
      <c r="J1391" t="str">
        <f>HYPERLINK("https://forums.battlefield.com/en-us/discussion/188825/which-one-is-it-i-cant-see-anyone-in-bf-v-or-spotting-was-easy-mode-glad-it-is-gone/p11#Comment_1562593")</f>
        <v>https://forums.battlefield.com/en-us/discussion/188825/which-one-is-it-i-cant-see-anyone-in-bf-v-or-spotting-was-easy-mode-glad-it-is-gone/p11#Comment_1562593</v>
      </c>
      <c r="N1391" t="s">
        <v>3237</v>
      </c>
      <c r="O1391" t="s">
        <v>3238</v>
      </c>
      <c r="P1391" t="str">
        <f>HYPERLINK("https://forums.battlefield.com/en-us/categories/battlefield-v-general-discussion")</f>
        <v>https://forums.battlefield.com/en-us/categories/battlefield-v-general-discussion</v>
      </c>
      <c r="R1391" t="s">
        <v>516</v>
      </c>
      <c r="S1391" t="s">
        <v>51</v>
      </c>
      <c r="AM1391" t="s">
        <v>52</v>
      </c>
      <c r="AN1391" t="s">
        <v>53</v>
      </c>
    </row>
    <row r="1392" spans="1:40">
      <c r="A1392" t="s">
        <v>2370</v>
      </c>
      <c r="B1392" t="s">
        <v>5105</v>
      </c>
      <c r="C1392" t="s">
        <v>5106</v>
      </c>
      <c r="D1392" t="s">
        <v>5107</v>
      </c>
      <c r="E1392" t="s">
        <v>5108</v>
      </c>
      <c r="F1392" t="s">
        <v>95</v>
      </c>
      <c r="G1392" t="str">
        <f>HYPERLINK("https://www.youtube.com/watch?v=sa0bAdXtuTs&amp;lc=UgwsTb1yatMHGIAJm0R4AaABAg")</f>
        <v>https://www.youtube.com/watch?v=sa0bAdXtuTs&amp;lc=UgwsTb1yatMHGIAJm0R4AaABAg</v>
      </c>
      <c r="H1392" t="s">
        <v>46</v>
      </c>
      <c r="I1392" t="s">
        <v>5109</v>
      </c>
      <c r="J1392" t="str">
        <f>HYPERLINK("https://www.youtube.com/channel/UCQ9HyjOZapcl_fpBM4jaDjA")</f>
        <v>https://www.youtube.com/channel/UCQ9HyjOZapcl_fpBM4jaDjA</v>
      </c>
      <c r="K1392">
        <v>0</v>
      </c>
      <c r="L1392" t="s">
        <v>48</v>
      </c>
      <c r="N1392" t="s">
        <v>116</v>
      </c>
      <c r="O1392" t="s">
        <v>5110</v>
      </c>
      <c r="P1392" t="str">
        <f>HYPERLINK("https://www.youtube.com/channel/UCv6NjKuKhRq9vboWSFn2tHQ")</f>
        <v>https://www.youtube.com/channel/UCv6NjKuKhRq9vboWSFn2tHQ</v>
      </c>
      <c r="Q1392">
        <v>11</v>
      </c>
      <c r="R1392" t="s">
        <v>60</v>
      </c>
      <c r="W1392">
        <v>0</v>
      </c>
      <c r="X1392">
        <v>0</v>
      </c>
      <c r="AE1392">
        <v>0</v>
      </c>
      <c r="AM1392" t="s">
        <v>52</v>
      </c>
      <c r="AN1392" t="s">
        <v>53</v>
      </c>
    </row>
    <row r="1393" spans="1:40">
      <c r="A1393" t="s">
        <v>2370</v>
      </c>
      <c r="B1393" t="s">
        <v>5111</v>
      </c>
      <c r="C1393" t="s">
        <v>5073</v>
      </c>
      <c r="D1393" t="s">
        <v>52</v>
      </c>
      <c r="E1393" t="s">
        <v>4756</v>
      </c>
      <c r="F1393" t="s">
        <v>131</v>
      </c>
      <c r="G1393" t="str">
        <f>HYPERLINK("https://twitter.com/1100780563122671616/status/1143226583865597957")</f>
        <v>https://twitter.com/1100780563122671616/status/1143226583865597957</v>
      </c>
      <c r="H1393" t="s">
        <v>46</v>
      </c>
      <c r="I1393" t="s">
        <v>5112</v>
      </c>
      <c r="J1393" t="str">
        <f>HYPERLINK("http://twitter.com/VerenaOconnell")</f>
        <v>http://twitter.com/VerenaOconnell</v>
      </c>
      <c r="K1393">
        <v>1630</v>
      </c>
      <c r="L1393" t="s">
        <v>58</v>
      </c>
      <c r="N1393" t="s">
        <v>65</v>
      </c>
      <c r="R1393" t="s">
        <v>60</v>
      </c>
      <c r="S1393" t="s">
        <v>51</v>
      </c>
      <c r="T1393" t="s">
        <v>152</v>
      </c>
      <c r="U1393" t="s">
        <v>5113</v>
      </c>
      <c r="W1393">
        <v>0</v>
      </c>
      <c r="X1393">
        <v>0</v>
      </c>
      <c r="AE1393">
        <v>0</v>
      </c>
      <c r="AM1393" t="s">
        <v>52</v>
      </c>
      <c r="AN1393" t="s">
        <v>53</v>
      </c>
    </row>
    <row r="1394" spans="1:40">
      <c r="A1394" t="s">
        <v>2370</v>
      </c>
      <c r="B1394" t="s">
        <v>5114</v>
      </c>
      <c r="C1394" t="s">
        <v>5115</v>
      </c>
      <c r="D1394" t="s">
        <v>5116</v>
      </c>
      <c r="E1394" t="s">
        <v>5117</v>
      </c>
      <c r="F1394" t="s">
        <v>45</v>
      </c>
      <c r="G1394" t="str">
        <f>HYPERLINK("https://www.youtube.com/watch?v=pbCpnnvnvuU")</f>
        <v>https://www.youtube.com/watch?v=pbCpnnvnvuU</v>
      </c>
      <c r="H1394" t="s">
        <v>46</v>
      </c>
      <c r="I1394" t="s">
        <v>5118</v>
      </c>
      <c r="J1394" t="str">
        <f>HYPERLINK("https://www.youtube.com/channel/UCXvS57Se-iVKKobbaspMrVw")</f>
        <v>https://www.youtube.com/channel/UCXvS57Se-iVKKobbaspMrVw</v>
      </c>
      <c r="K1394">
        <v>5</v>
      </c>
      <c r="N1394" t="s">
        <v>116</v>
      </c>
      <c r="O1394" t="s">
        <v>5118</v>
      </c>
      <c r="P1394" t="str">
        <f>HYPERLINK("https://www.youtube.com/channel/UCXvS57Se-iVKKobbaspMrVw")</f>
        <v>https://www.youtube.com/channel/UCXvS57Se-iVKKobbaspMrVw</v>
      </c>
      <c r="Q1394">
        <v>5</v>
      </c>
      <c r="R1394" t="s">
        <v>60</v>
      </c>
      <c r="S1394" t="s">
        <v>4594</v>
      </c>
      <c r="W1394">
        <v>0</v>
      </c>
      <c r="X1394">
        <v>0</v>
      </c>
      <c r="AD1394">
        <v>0</v>
      </c>
      <c r="AE1394">
        <v>0</v>
      </c>
      <c r="AG1394">
        <v>0</v>
      </c>
      <c r="AI1394" t="s">
        <v>52</v>
      </c>
      <c r="AJ1394" t="s">
        <v>52</v>
      </c>
      <c r="AK1394" t="s">
        <v>612</v>
      </c>
      <c r="AL1394" t="str">
        <f>HYPERLINK("https://i.ytimg.com/vi/pbCpnnvnvuU/maxresdefault.jpg")</f>
        <v>https://i.ytimg.com/vi/pbCpnnvnvuU/maxresdefault.jpg</v>
      </c>
      <c r="AM1394" t="s">
        <v>52</v>
      </c>
      <c r="AN1394" t="s">
        <v>53</v>
      </c>
    </row>
    <row r="1395" spans="1:40">
      <c r="A1395" t="s">
        <v>2370</v>
      </c>
      <c r="B1395" t="s">
        <v>5114</v>
      </c>
      <c r="C1395" t="s">
        <v>5119</v>
      </c>
      <c r="D1395" t="s">
        <v>5120</v>
      </c>
      <c r="E1395" t="s">
        <v>5121</v>
      </c>
      <c r="F1395" t="s">
        <v>95</v>
      </c>
      <c r="G1395" t="str">
        <f>HYPERLINK("https://vk.com/wall525597052_191?reply=194")</f>
        <v>https://vk.com/wall525597052_191?reply=194</v>
      </c>
      <c r="H1395" t="s">
        <v>215</v>
      </c>
      <c r="I1395" t="s">
        <v>5122</v>
      </c>
      <c r="J1395" t="str">
        <f>HYPERLINK("http://vk.com/id455389496")</f>
        <v>http://vk.com/id455389496</v>
      </c>
      <c r="K1395">
        <v>235</v>
      </c>
      <c r="L1395" t="s">
        <v>48</v>
      </c>
      <c r="M1395">
        <v>16</v>
      </c>
      <c r="N1395" t="s">
        <v>1624</v>
      </c>
      <c r="O1395" t="s">
        <v>5123</v>
      </c>
      <c r="P1395" t="str">
        <f>HYPERLINK("http://vk.com/id525597052")</f>
        <v>http://vk.com/id525597052</v>
      </c>
      <c r="Q1395">
        <v>132</v>
      </c>
      <c r="R1395" t="s">
        <v>60</v>
      </c>
      <c r="S1395" t="s">
        <v>5124</v>
      </c>
      <c r="T1395" t="s">
        <v>5125</v>
      </c>
      <c r="U1395" t="s">
        <v>5125</v>
      </c>
      <c r="W1395">
        <v>0</v>
      </c>
      <c r="X1395">
        <v>0</v>
      </c>
      <c r="AM1395" t="s">
        <v>52</v>
      </c>
      <c r="AN1395" t="s">
        <v>53</v>
      </c>
    </row>
    <row r="1396" spans="1:40">
      <c r="A1396" t="s">
        <v>2370</v>
      </c>
      <c r="B1396" t="s">
        <v>5114</v>
      </c>
      <c r="C1396" t="s">
        <v>5052</v>
      </c>
      <c r="D1396" t="s">
        <v>52</v>
      </c>
      <c r="E1396" t="s">
        <v>5126</v>
      </c>
      <c r="F1396" t="s">
        <v>45</v>
      </c>
      <c r="G1396" t="str">
        <f>HYPERLINK("https://www.instagram.com/p/BzGkoI2hn0k")</f>
        <v>https://www.instagram.com/p/BzGkoI2hn0k</v>
      </c>
      <c r="H1396" t="s">
        <v>46</v>
      </c>
      <c r="I1396" t="s">
        <v>5095</v>
      </c>
      <c r="J1396" t="str">
        <f>HYPERLINK("http://instagram.com/wrx_boost")</f>
        <v>http://instagram.com/wrx_boost</v>
      </c>
      <c r="K1396">
        <v>537</v>
      </c>
      <c r="N1396" t="s">
        <v>59</v>
      </c>
      <c r="O1396" t="s">
        <v>5095</v>
      </c>
      <c r="P1396" t="str">
        <f>HYPERLINK("http://instagram.com/wrx_boost")</f>
        <v>http://instagram.com/wrx_boost</v>
      </c>
      <c r="Q1396">
        <v>537</v>
      </c>
      <c r="R1396" t="s">
        <v>60</v>
      </c>
      <c r="W1396">
        <v>37</v>
      </c>
      <c r="X1396">
        <v>37</v>
      </c>
      <c r="AE1396">
        <v>0</v>
      </c>
      <c r="AG1396">
        <v>143</v>
      </c>
      <c r="AI1396" t="s">
        <v>52</v>
      </c>
      <c r="AJ1396" t="s">
        <v>121</v>
      </c>
      <c r="AK1396" t="s">
        <v>52</v>
      </c>
      <c r="AL1396" t="str">
        <f>HYPERLINK("https://www.instagram.com/p/BzGkoI2hn0k/media/?size=l")</f>
        <v>https://www.instagram.com/p/BzGkoI2hn0k/media/?size=l</v>
      </c>
      <c r="AM1396" t="s">
        <v>52</v>
      </c>
      <c r="AN1396" t="s">
        <v>53</v>
      </c>
    </row>
    <row r="1397" spans="1:40">
      <c r="A1397" t="s">
        <v>2370</v>
      </c>
      <c r="B1397" t="s">
        <v>5114</v>
      </c>
      <c r="C1397" t="s">
        <v>5127</v>
      </c>
      <c r="D1397" t="s">
        <v>52</v>
      </c>
      <c r="E1397" t="s">
        <v>5128</v>
      </c>
      <c r="F1397" t="s">
        <v>131</v>
      </c>
      <c r="G1397" t="str">
        <f>HYPERLINK("https://twitter.com/3046419768/status/1143226295909830656")</f>
        <v>https://twitter.com/3046419768/status/1143226295909830656</v>
      </c>
      <c r="H1397" t="s">
        <v>46</v>
      </c>
      <c r="I1397" t="s">
        <v>5129</v>
      </c>
      <c r="J1397" t="str">
        <f>HYPERLINK("http://twitter.com/Nontu44")</f>
        <v>http://twitter.com/Nontu44</v>
      </c>
      <c r="K1397">
        <v>3253</v>
      </c>
      <c r="N1397" t="s">
        <v>65</v>
      </c>
      <c r="R1397" t="s">
        <v>60</v>
      </c>
      <c r="S1397" t="s">
        <v>1071</v>
      </c>
      <c r="T1397" t="s">
        <v>1072</v>
      </c>
      <c r="U1397" t="s">
        <v>1295</v>
      </c>
      <c r="W1397">
        <v>0</v>
      </c>
      <c r="X1397">
        <v>0</v>
      </c>
      <c r="AE1397">
        <v>0</v>
      </c>
      <c r="AI1397" t="s">
        <v>52</v>
      </c>
      <c r="AJ1397" t="s">
        <v>5130</v>
      </c>
      <c r="AK1397" t="s">
        <v>52</v>
      </c>
      <c r="AL1397" t="str">
        <f>HYPERLINK("https://pbs.twimg.com/media/D91AXfmXoAE6StK.jpg")</f>
        <v>https://pbs.twimg.com/media/D91AXfmXoAE6StK.jpg</v>
      </c>
      <c r="AM1397" t="s">
        <v>52</v>
      </c>
      <c r="AN1397" t="s">
        <v>53</v>
      </c>
    </row>
    <row r="1398" spans="1:40">
      <c r="A1398" t="s">
        <v>2370</v>
      </c>
      <c r="B1398" t="s">
        <v>5131</v>
      </c>
      <c r="C1398" t="s">
        <v>5132</v>
      </c>
      <c r="D1398" t="s">
        <v>52</v>
      </c>
      <c r="E1398" t="s">
        <v>130</v>
      </c>
      <c r="F1398" t="s">
        <v>131</v>
      </c>
      <c r="G1398" t="str">
        <f>HYPERLINK("https://twitter.com/969471339483549696/status/1143225562984587264")</f>
        <v>https://twitter.com/969471339483549696/status/1143225562984587264</v>
      </c>
      <c r="H1398" t="s">
        <v>46</v>
      </c>
      <c r="I1398" t="s">
        <v>5133</v>
      </c>
      <c r="J1398" t="str">
        <f>HYPERLINK("http://twitter.com/rovergw7")</f>
        <v>http://twitter.com/rovergw7</v>
      </c>
      <c r="K1398">
        <v>86</v>
      </c>
      <c r="L1398" t="s">
        <v>48</v>
      </c>
      <c r="N1398" t="s">
        <v>65</v>
      </c>
      <c r="R1398" t="s">
        <v>60</v>
      </c>
      <c r="S1398" t="s">
        <v>97</v>
      </c>
      <c r="T1398" t="s">
        <v>98</v>
      </c>
      <c r="U1398" t="s">
        <v>5134</v>
      </c>
      <c r="W1398">
        <v>0</v>
      </c>
      <c r="X1398">
        <v>0</v>
      </c>
      <c r="AE1398">
        <v>0</v>
      </c>
      <c r="AI1398" t="s">
        <v>108</v>
      </c>
      <c r="AJ1398" t="s">
        <v>52</v>
      </c>
      <c r="AK1398" t="s">
        <v>52</v>
      </c>
      <c r="AL1398" t="str">
        <f>HYPERLINK("https://pbs.twimg.com/media/D9XTkLWW4AAOYnJ.jpg")</f>
        <v>https://pbs.twimg.com/media/D9XTkLWW4AAOYnJ.jpg</v>
      </c>
      <c r="AM1398" t="s">
        <v>52</v>
      </c>
      <c r="AN1398" t="s">
        <v>53</v>
      </c>
    </row>
    <row r="1399" spans="1:40">
      <c r="A1399" t="s">
        <v>2370</v>
      </c>
      <c r="B1399" t="s">
        <v>5135</v>
      </c>
      <c r="C1399" t="s">
        <v>5136</v>
      </c>
      <c r="D1399" t="s">
        <v>52</v>
      </c>
      <c r="E1399" t="s">
        <v>5137</v>
      </c>
      <c r="F1399" t="s">
        <v>95</v>
      </c>
      <c r="G1399" t="str">
        <f>HYPERLINK("https://twitter.com/115296937/status/1143225324932648960")</f>
        <v>https://twitter.com/115296937/status/1143225324932648960</v>
      </c>
      <c r="H1399" t="s">
        <v>46</v>
      </c>
      <c r="I1399" t="s">
        <v>5138</v>
      </c>
      <c r="J1399" t="str">
        <f>HYPERLINK("http://twitter.com/hktparty")</f>
        <v>http://twitter.com/hktparty</v>
      </c>
      <c r="K1399">
        <v>1194</v>
      </c>
      <c r="N1399" t="s">
        <v>65</v>
      </c>
      <c r="R1399" t="s">
        <v>60</v>
      </c>
      <c r="S1399" t="s">
        <v>51</v>
      </c>
      <c r="T1399" t="s">
        <v>84</v>
      </c>
      <c r="U1399" t="s">
        <v>85</v>
      </c>
      <c r="W1399">
        <v>2</v>
      </c>
      <c r="X1399">
        <v>2</v>
      </c>
      <c r="AE1399">
        <v>0</v>
      </c>
      <c r="AF1399">
        <v>0</v>
      </c>
      <c r="AM1399" t="s">
        <v>52</v>
      </c>
      <c r="AN1399" t="s">
        <v>53</v>
      </c>
    </row>
    <row r="1400" spans="1:40">
      <c r="A1400" t="s">
        <v>2370</v>
      </c>
      <c r="B1400" t="s">
        <v>5135</v>
      </c>
      <c r="C1400" t="s">
        <v>5073</v>
      </c>
      <c r="D1400" t="s">
        <v>52</v>
      </c>
      <c r="E1400" t="s">
        <v>5139</v>
      </c>
      <c r="F1400" t="s">
        <v>45</v>
      </c>
      <c r="G1400" t="str">
        <f>HYPERLINK("https://www.instagram.com/p/BzGkiXQg6xt")</f>
        <v>https://www.instagram.com/p/BzGkiXQg6xt</v>
      </c>
      <c r="H1400" t="s">
        <v>215</v>
      </c>
      <c r="I1400" t="s">
        <v>108</v>
      </c>
      <c r="J1400" t="str">
        <f>HYPERLINK("http://instagram.com/doritos_chipz")</f>
        <v>http://instagram.com/doritos_chipz</v>
      </c>
      <c r="K1400">
        <v>0</v>
      </c>
      <c r="N1400" t="s">
        <v>59</v>
      </c>
      <c r="O1400" t="s">
        <v>108</v>
      </c>
      <c r="P1400" t="str">
        <f>HYPERLINK("http://instagram.com/doritos_chipz")</f>
        <v>http://instagram.com/doritos_chipz</v>
      </c>
      <c r="Q1400">
        <v>0</v>
      </c>
      <c r="R1400" t="s">
        <v>60</v>
      </c>
      <c r="W1400">
        <v>7</v>
      </c>
      <c r="X1400">
        <v>7</v>
      </c>
      <c r="AE1400">
        <v>1</v>
      </c>
      <c r="AI1400" t="s">
        <v>108</v>
      </c>
      <c r="AJ1400" t="s">
        <v>2083</v>
      </c>
      <c r="AK1400" t="s">
        <v>52</v>
      </c>
      <c r="AL1400" t="str">
        <f>HYPERLINK("https://www.instagram.com/p/BzGkiXQg6xt/media/?size=l")</f>
        <v>https://www.instagram.com/p/BzGkiXQg6xt/media/?size=l</v>
      </c>
      <c r="AM1400" t="s">
        <v>52</v>
      </c>
      <c r="AN1400" t="s">
        <v>53</v>
      </c>
    </row>
    <row r="1401" spans="1:40">
      <c r="A1401" t="s">
        <v>2370</v>
      </c>
      <c r="B1401" t="s">
        <v>5140</v>
      </c>
      <c r="C1401" t="s">
        <v>5141</v>
      </c>
      <c r="D1401" t="s">
        <v>52</v>
      </c>
      <c r="E1401" t="s">
        <v>5142</v>
      </c>
      <c r="F1401" t="s">
        <v>45</v>
      </c>
      <c r="G1401" t="str">
        <f>HYPERLINK("https://twitter.com/1064284946989240320/status/1143225173933481984")</f>
        <v>https://twitter.com/1064284946989240320/status/1143225173933481984</v>
      </c>
      <c r="H1401" t="s">
        <v>46</v>
      </c>
      <c r="I1401" t="s">
        <v>5143</v>
      </c>
      <c r="J1401" t="str">
        <f>HYPERLINK("http://twitter.com/growngoddess1")</f>
        <v>http://twitter.com/growngoddess1</v>
      </c>
      <c r="K1401">
        <v>70</v>
      </c>
      <c r="N1401" t="s">
        <v>65</v>
      </c>
      <c r="R1401" t="s">
        <v>60</v>
      </c>
      <c r="S1401" t="s">
        <v>51</v>
      </c>
      <c r="T1401" t="s">
        <v>253</v>
      </c>
      <c r="U1401" t="s">
        <v>5144</v>
      </c>
      <c r="W1401">
        <v>0</v>
      </c>
      <c r="X1401">
        <v>0</v>
      </c>
      <c r="AE1401">
        <v>1</v>
      </c>
      <c r="AF1401">
        <v>0</v>
      </c>
      <c r="AM1401" t="s">
        <v>52</v>
      </c>
      <c r="AN1401" t="s">
        <v>53</v>
      </c>
    </row>
    <row r="1402" spans="1:40">
      <c r="A1402" t="s">
        <v>2370</v>
      </c>
      <c r="B1402" t="s">
        <v>5140</v>
      </c>
      <c r="C1402" t="s">
        <v>1288</v>
      </c>
      <c r="D1402" t="s">
        <v>5145</v>
      </c>
      <c r="E1402" t="s">
        <v>5146</v>
      </c>
      <c r="F1402" t="s">
        <v>45</v>
      </c>
      <c r="G1402" t="str">
        <f>HYPERLINK("http://presearing.boards.net/thread/336")</f>
        <v>http://presearing.boards.net/thread/336</v>
      </c>
      <c r="H1402" t="s">
        <v>46</v>
      </c>
      <c r="I1402" t="s">
        <v>5147</v>
      </c>
      <c r="J1402" t="str">
        <f>HYPERLINK("http://presearing.boards.net/thread/336/")</f>
        <v>http://presearing.boards.net/thread/336/</v>
      </c>
      <c r="N1402" t="s">
        <v>5148</v>
      </c>
      <c r="O1402" t="s">
        <v>5149</v>
      </c>
      <c r="P1402" t="str">
        <f>HYPERLINK("http://presearing.boards.net/board/23/")</f>
        <v>http://presearing.boards.net/board/23/</v>
      </c>
      <c r="R1402" t="s">
        <v>516</v>
      </c>
      <c r="S1402" t="s">
        <v>51</v>
      </c>
      <c r="AM1402" t="s">
        <v>52</v>
      </c>
      <c r="AN1402" t="s">
        <v>53</v>
      </c>
    </row>
    <row r="1403" spans="1:40">
      <c r="A1403" t="s">
        <v>2370</v>
      </c>
      <c r="B1403" t="s">
        <v>5150</v>
      </c>
      <c r="C1403" t="s">
        <v>5115</v>
      </c>
      <c r="D1403" t="s">
        <v>5151</v>
      </c>
      <c r="E1403" t="s">
        <v>5152</v>
      </c>
      <c r="F1403" t="s">
        <v>95</v>
      </c>
      <c r="G1403" t="str">
        <f>HYPERLINK("https://the-avocado.org/2019/06/24/the-day-thread-dresses-in-drag-and-does-the-hula/#comment-4514476032")</f>
        <v>https://the-avocado.org/2019/06/24/the-day-thread-dresses-in-drag-and-does-the-hula/#comment-4514476032</v>
      </c>
      <c r="H1403" t="s">
        <v>46</v>
      </c>
      <c r="I1403" t="s">
        <v>5153</v>
      </c>
      <c r="J1403" t="str">
        <f>HYPERLINK("https://disqus.com/by/Wynstone/")</f>
        <v>https://disqus.com/by/Wynstone/</v>
      </c>
      <c r="K1403">
        <v>58</v>
      </c>
      <c r="N1403" t="s">
        <v>5154</v>
      </c>
      <c r="O1403" t="s">
        <v>5155</v>
      </c>
      <c r="P1403" t="str">
        <f>HYPERLINK("https://disqus.com/home/forum/avocadotesting/")</f>
        <v>https://disqus.com/home/forum/avocadotesting/</v>
      </c>
      <c r="R1403" t="s">
        <v>50</v>
      </c>
      <c r="W1403">
        <v>5</v>
      </c>
      <c r="X1403">
        <v>5</v>
      </c>
      <c r="AL1403" t="s">
        <v>5156</v>
      </c>
      <c r="AM1403" t="s">
        <v>52</v>
      </c>
      <c r="AN1403" t="s">
        <v>53</v>
      </c>
    </row>
    <row r="1404" spans="1:40">
      <c r="A1404" t="s">
        <v>2370</v>
      </c>
      <c r="B1404" t="s">
        <v>5157</v>
      </c>
      <c r="C1404" t="s">
        <v>5158</v>
      </c>
      <c r="D1404" t="s">
        <v>52</v>
      </c>
      <c r="E1404" t="s">
        <v>5159</v>
      </c>
      <c r="F1404" t="s">
        <v>131</v>
      </c>
      <c r="G1404" t="str">
        <f>HYPERLINK("https://twitter.com/1108760107867951104/status/1143223886017957889")</f>
        <v>https://twitter.com/1108760107867951104/status/1143223886017957889</v>
      </c>
      <c r="H1404" t="s">
        <v>46</v>
      </c>
      <c r="I1404" t="s">
        <v>5160</v>
      </c>
      <c r="J1404" t="str">
        <f>HYPERLINK("http://twitter.com/CatlakKafaaa")</f>
        <v>http://twitter.com/CatlakKafaaa</v>
      </c>
      <c r="K1404">
        <v>6035</v>
      </c>
      <c r="N1404" t="s">
        <v>65</v>
      </c>
      <c r="R1404" t="s">
        <v>60</v>
      </c>
      <c r="S1404" t="s">
        <v>5161</v>
      </c>
      <c r="W1404">
        <v>0</v>
      </c>
      <c r="X1404">
        <v>0</v>
      </c>
      <c r="AE1404">
        <v>0</v>
      </c>
      <c r="AM1404" t="s">
        <v>52</v>
      </c>
      <c r="AN1404" t="s">
        <v>53</v>
      </c>
    </row>
    <row r="1405" spans="1:40">
      <c r="A1405" t="s">
        <v>2370</v>
      </c>
      <c r="B1405" t="s">
        <v>5162</v>
      </c>
      <c r="C1405" t="s">
        <v>3609</v>
      </c>
      <c r="D1405" t="s">
        <v>5163</v>
      </c>
      <c r="E1405" t="s">
        <v>5164</v>
      </c>
      <c r="F1405" t="s">
        <v>45</v>
      </c>
      <c r="G1405" t="str">
        <f>HYPERLINK("https://techknowbits.com/2019/06/24/trust-co-of-toledo-na-oh-decreases-holdings-in-pepsico-inc-nasdaqpep.html")</f>
        <v>https://techknowbits.com/2019/06/24/trust-co-of-toledo-na-oh-decreases-holdings-in-pepsico-inc-nasdaqpep.html</v>
      </c>
      <c r="H1405" t="s">
        <v>91</v>
      </c>
      <c r="I1405" t="s">
        <v>2996</v>
      </c>
      <c r="J1405" t="str">
        <f>HYPERLINK("https://techknowbits.com/2019/06/24/trust-co-of-toledo-na-oh-decreases-holdings-in-pepsico-inc-nasdaqpep.html")</f>
        <v>https://techknowbits.com/2019/06/24/trust-co-of-toledo-na-oh-decreases-holdings-in-pepsico-inc-nasdaqpep.html</v>
      </c>
      <c r="L1405" t="s">
        <v>48</v>
      </c>
      <c r="N1405" t="s">
        <v>49</v>
      </c>
      <c r="R1405" t="s">
        <v>50</v>
      </c>
      <c r="S1405" t="s">
        <v>51</v>
      </c>
      <c r="AM1405" t="s">
        <v>52</v>
      </c>
      <c r="AN1405" t="s">
        <v>53</v>
      </c>
    </row>
    <row r="1406" spans="1:40">
      <c r="A1406" t="s">
        <v>2370</v>
      </c>
      <c r="B1406" t="s">
        <v>5165</v>
      </c>
      <c r="C1406" t="s">
        <v>5166</v>
      </c>
      <c r="D1406" t="s">
        <v>52</v>
      </c>
      <c r="E1406" t="s">
        <v>130</v>
      </c>
      <c r="F1406" t="s">
        <v>131</v>
      </c>
      <c r="G1406" t="str">
        <f>HYPERLINK("https://twitter.com/1034029562911510534/status/1143223162995392517")</f>
        <v>https://twitter.com/1034029562911510534/status/1143223162995392517</v>
      </c>
      <c r="H1406" t="s">
        <v>46</v>
      </c>
      <c r="I1406" t="s">
        <v>5167</v>
      </c>
      <c r="J1406" t="str">
        <f>HYPERLINK("http://twitter.com/Mariobug25")</f>
        <v>http://twitter.com/Mariobug25</v>
      </c>
      <c r="K1406">
        <v>498</v>
      </c>
      <c r="N1406" t="s">
        <v>65</v>
      </c>
      <c r="R1406" t="s">
        <v>60</v>
      </c>
      <c r="S1406" t="s">
        <v>97</v>
      </c>
      <c r="T1406" t="s">
        <v>177</v>
      </c>
      <c r="U1406" t="s">
        <v>395</v>
      </c>
      <c r="W1406">
        <v>0</v>
      </c>
      <c r="X1406">
        <v>0</v>
      </c>
      <c r="AE1406">
        <v>0</v>
      </c>
      <c r="AI1406" t="s">
        <v>108</v>
      </c>
      <c r="AJ1406" t="s">
        <v>52</v>
      </c>
      <c r="AK1406" t="s">
        <v>52</v>
      </c>
      <c r="AL1406" t="str">
        <f>HYPERLINK("https://pbs.twimg.com/media/D9XTkLWW4AAOYnJ.jpg")</f>
        <v>https://pbs.twimg.com/media/D9XTkLWW4AAOYnJ.jpg</v>
      </c>
      <c r="AM1406" t="s">
        <v>52</v>
      </c>
      <c r="AN1406" t="s">
        <v>53</v>
      </c>
    </row>
    <row r="1407" spans="1:40">
      <c r="A1407" t="s">
        <v>2370</v>
      </c>
      <c r="B1407" t="s">
        <v>5165</v>
      </c>
      <c r="C1407" t="s">
        <v>3216</v>
      </c>
      <c r="D1407" t="s">
        <v>3234</v>
      </c>
      <c r="E1407" t="s">
        <v>5168</v>
      </c>
      <c r="F1407" t="s">
        <v>45</v>
      </c>
      <c r="G1407" t="str">
        <f>HYPERLINK("https://forums.battlefield.com/en-us/discussion/188457/bfv-is-a-campy-try-hard-insta-death-bore/p17#Comment_1562583")</f>
        <v>https://forums.battlefield.com/en-us/discussion/188457/bfv-is-a-campy-try-hard-insta-death-bore/p17#Comment_1562583</v>
      </c>
      <c r="H1407" t="s">
        <v>46</v>
      </c>
      <c r="I1407" t="s">
        <v>3470</v>
      </c>
      <c r="J1407" t="str">
        <f>HYPERLINK("https://forums.battlefield.com/en-us/discussion/188457/bfv-is-a-campy-try-hard-insta-death-bore/p17#Comment_1562583")</f>
        <v>https://forums.battlefield.com/en-us/discussion/188457/bfv-is-a-campy-try-hard-insta-death-bore/p17#Comment_1562583</v>
      </c>
      <c r="N1407" t="s">
        <v>3237</v>
      </c>
      <c r="O1407" t="s">
        <v>3238</v>
      </c>
      <c r="P1407" t="str">
        <f>HYPERLINK("https://forums.battlefield.com/en-us/categories/battlefield-v-general-discussion")</f>
        <v>https://forums.battlefield.com/en-us/categories/battlefield-v-general-discussion</v>
      </c>
      <c r="R1407" t="s">
        <v>516</v>
      </c>
      <c r="S1407" t="s">
        <v>51</v>
      </c>
      <c r="AM1407" t="s">
        <v>52</v>
      </c>
      <c r="AN1407" t="s">
        <v>53</v>
      </c>
    </row>
    <row r="1408" spans="1:40">
      <c r="A1408" t="s">
        <v>2370</v>
      </c>
      <c r="B1408" t="s">
        <v>5169</v>
      </c>
      <c r="C1408" t="s">
        <v>2672</v>
      </c>
      <c r="D1408" t="s">
        <v>52</v>
      </c>
      <c r="E1408" t="s">
        <v>5170</v>
      </c>
      <c r="F1408" t="s">
        <v>45</v>
      </c>
      <c r="G1408" t="str">
        <f>HYPERLINK("https://www.instagram.com/p/BzGje5NHEGk")</f>
        <v>https://www.instagram.com/p/BzGje5NHEGk</v>
      </c>
      <c r="H1408" t="s">
        <v>46</v>
      </c>
      <c r="I1408" t="s">
        <v>5171</v>
      </c>
      <c r="J1408" t="str">
        <f>HYPERLINK("http://instagram.com/leighade_world_")</f>
        <v>http://instagram.com/leighade_world_</v>
      </c>
      <c r="K1408">
        <v>1590</v>
      </c>
      <c r="N1408" t="s">
        <v>59</v>
      </c>
      <c r="O1408" t="s">
        <v>5171</v>
      </c>
      <c r="P1408" t="str">
        <f>HYPERLINK("http://instagram.com/leighade_world_")</f>
        <v>http://instagram.com/leighade_world_</v>
      </c>
      <c r="Q1408">
        <v>1590</v>
      </c>
      <c r="R1408" t="s">
        <v>60</v>
      </c>
      <c r="S1408" t="s">
        <v>51</v>
      </c>
      <c r="T1408" t="s">
        <v>380</v>
      </c>
      <c r="U1408" t="s">
        <v>380</v>
      </c>
      <c r="W1408">
        <v>26</v>
      </c>
      <c r="X1408">
        <v>26</v>
      </c>
      <c r="AE1408">
        <v>1</v>
      </c>
      <c r="AI1408" t="s">
        <v>108</v>
      </c>
      <c r="AJ1408" t="s">
        <v>52</v>
      </c>
      <c r="AK1408" t="s">
        <v>52</v>
      </c>
      <c r="AL1408" t="str">
        <f>HYPERLINK("https://www.instagram.com/p/BzGje5NHEGk/media/?size=l")</f>
        <v>https://www.instagram.com/p/BzGje5NHEGk/media/?size=l</v>
      </c>
      <c r="AM1408" t="s">
        <v>52</v>
      </c>
      <c r="AN1408" t="s">
        <v>53</v>
      </c>
    </row>
    <row r="1409" spans="1:40">
      <c r="A1409" t="s">
        <v>2370</v>
      </c>
      <c r="B1409" t="s">
        <v>5169</v>
      </c>
      <c r="C1409" t="s">
        <v>5172</v>
      </c>
      <c r="D1409" t="s">
        <v>52</v>
      </c>
      <c r="E1409" t="s">
        <v>5173</v>
      </c>
      <c r="F1409" t="s">
        <v>45</v>
      </c>
      <c r="G1409" t="str">
        <f>HYPERLINK("https://twitter.com/2148348698/status/1143222920052764672")</f>
        <v>https://twitter.com/2148348698/status/1143222920052764672</v>
      </c>
      <c r="H1409" t="s">
        <v>46</v>
      </c>
      <c r="I1409" t="s">
        <v>5174</v>
      </c>
      <c r="J1409" t="str">
        <f>HYPERLINK("http://twitter.com/augie_trejo")</f>
        <v>http://twitter.com/augie_trejo</v>
      </c>
      <c r="K1409">
        <v>151</v>
      </c>
      <c r="N1409" t="s">
        <v>65</v>
      </c>
      <c r="R1409" t="s">
        <v>60</v>
      </c>
      <c r="S1409" t="s">
        <v>51</v>
      </c>
      <c r="T1409" t="s">
        <v>173</v>
      </c>
      <c r="U1409" t="s">
        <v>5175</v>
      </c>
      <c r="W1409">
        <v>0</v>
      </c>
      <c r="X1409">
        <v>0</v>
      </c>
      <c r="AE1409">
        <v>0</v>
      </c>
      <c r="AF1409">
        <v>0</v>
      </c>
      <c r="AM1409" t="s">
        <v>52</v>
      </c>
      <c r="AN1409" t="s">
        <v>53</v>
      </c>
    </row>
    <row r="1410" spans="1:40">
      <c r="A1410" t="s">
        <v>2370</v>
      </c>
      <c r="B1410" t="s">
        <v>5169</v>
      </c>
      <c r="C1410" t="s">
        <v>5158</v>
      </c>
      <c r="D1410" t="s">
        <v>52</v>
      </c>
      <c r="E1410" t="s">
        <v>1605</v>
      </c>
      <c r="F1410" t="s">
        <v>71</v>
      </c>
      <c r="G1410" t="str">
        <f>HYPERLINK("https://twitter.com/888769405760532484/status/1143222801605771264")</f>
        <v>https://twitter.com/888769405760532484/status/1143222801605771264</v>
      </c>
      <c r="H1410" t="s">
        <v>215</v>
      </c>
      <c r="I1410" t="s">
        <v>5176</v>
      </c>
      <c r="J1410" t="str">
        <f>HYPERLINK("http://twitter.com/KamgeloMo")</f>
        <v>http://twitter.com/KamgeloMo</v>
      </c>
      <c r="K1410">
        <v>337</v>
      </c>
      <c r="N1410" t="s">
        <v>65</v>
      </c>
      <c r="R1410" t="s">
        <v>60</v>
      </c>
      <c r="S1410" t="s">
        <v>51</v>
      </c>
      <c r="T1410" t="s">
        <v>66</v>
      </c>
      <c r="U1410" t="s">
        <v>5177</v>
      </c>
      <c r="W1410">
        <v>0</v>
      </c>
      <c r="X1410">
        <v>0</v>
      </c>
      <c r="AE1410">
        <v>0</v>
      </c>
      <c r="AF1410">
        <v>0</v>
      </c>
      <c r="AM1410" t="s">
        <v>52</v>
      </c>
      <c r="AN1410" t="s">
        <v>53</v>
      </c>
    </row>
    <row r="1411" spans="1:40">
      <c r="A1411" t="s">
        <v>2370</v>
      </c>
      <c r="B1411" t="s">
        <v>5178</v>
      </c>
      <c r="C1411" t="s">
        <v>5179</v>
      </c>
      <c r="D1411" t="s">
        <v>52</v>
      </c>
      <c r="E1411" t="s">
        <v>5180</v>
      </c>
      <c r="F1411" t="s">
        <v>95</v>
      </c>
      <c r="G1411" t="str">
        <f>HYPERLINK("https://twitter.com/1012506059083304960/status/1143222568486363136")</f>
        <v>https://twitter.com/1012506059083304960/status/1143222568486363136</v>
      </c>
      <c r="H1411" t="s">
        <v>215</v>
      </c>
      <c r="I1411" t="s">
        <v>5181</v>
      </c>
      <c r="J1411" t="str">
        <f>HYPERLINK("http://twitter.com/gngautumn")</f>
        <v>http://twitter.com/gngautumn</v>
      </c>
      <c r="K1411">
        <v>6777</v>
      </c>
      <c r="N1411" t="s">
        <v>65</v>
      </c>
      <c r="R1411" t="s">
        <v>60</v>
      </c>
      <c r="W1411">
        <v>1</v>
      </c>
      <c r="X1411">
        <v>1</v>
      </c>
      <c r="AE1411">
        <v>1</v>
      </c>
      <c r="AF1411">
        <v>0</v>
      </c>
      <c r="AM1411" t="s">
        <v>52</v>
      </c>
      <c r="AN1411" t="s">
        <v>53</v>
      </c>
    </row>
    <row r="1412" spans="1:40">
      <c r="A1412" t="s">
        <v>2370</v>
      </c>
      <c r="B1412" t="s">
        <v>5182</v>
      </c>
      <c r="C1412" t="s">
        <v>5172</v>
      </c>
      <c r="D1412" t="s">
        <v>52</v>
      </c>
      <c r="E1412" t="s">
        <v>1194</v>
      </c>
      <c r="F1412" t="s">
        <v>131</v>
      </c>
      <c r="G1412" t="str">
        <f>HYPERLINK("https://twitter.com/855375661/status/1143222502883246082")</f>
        <v>https://twitter.com/855375661/status/1143222502883246082</v>
      </c>
      <c r="H1412" t="s">
        <v>46</v>
      </c>
      <c r="I1412" t="s">
        <v>5183</v>
      </c>
      <c r="J1412" t="str">
        <f>HYPERLINK("http://twitter.com/_estebban")</f>
        <v>http://twitter.com/_estebban</v>
      </c>
      <c r="K1412">
        <v>551</v>
      </c>
      <c r="N1412" t="s">
        <v>65</v>
      </c>
      <c r="R1412" t="s">
        <v>60</v>
      </c>
      <c r="S1412" t="s">
        <v>1530</v>
      </c>
      <c r="T1412" t="s">
        <v>5184</v>
      </c>
      <c r="U1412" t="s">
        <v>5185</v>
      </c>
      <c r="W1412">
        <v>0</v>
      </c>
      <c r="X1412">
        <v>0</v>
      </c>
      <c r="AE1412">
        <v>0</v>
      </c>
      <c r="AI1412" t="s">
        <v>52</v>
      </c>
      <c r="AJ1412" t="s">
        <v>1196</v>
      </c>
      <c r="AK1412" t="s">
        <v>52</v>
      </c>
      <c r="AL1412" t="str">
        <f>HYPERLINK("https://pbs.twimg.com/media/D9xgk2YXkAAd2ql.jpg")</f>
        <v>https://pbs.twimg.com/media/D9xgk2YXkAAd2ql.jpg</v>
      </c>
      <c r="AM1412" t="s">
        <v>52</v>
      </c>
      <c r="AN1412" t="s">
        <v>53</v>
      </c>
    </row>
    <row r="1413" spans="1:40">
      <c r="A1413" t="s">
        <v>2370</v>
      </c>
      <c r="B1413" t="s">
        <v>5182</v>
      </c>
      <c r="C1413" t="s">
        <v>5186</v>
      </c>
      <c r="D1413" t="s">
        <v>52</v>
      </c>
      <c r="E1413" t="s">
        <v>5159</v>
      </c>
      <c r="F1413" t="s">
        <v>131</v>
      </c>
      <c r="G1413" t="str">
        <f>HYPERLINK("https://twitter.com/1108760107867951104/status/1143222432007933952")</f>
        <v>https://twitter.com/1108760107867951104/status/1143222432007933952</v>
      </c>
      <c r="H1413" t="s">
        <v>46</v>
      </c>
      <c r="I1413" t="s">
        <v>5160</v>
      </c>
      <c r="J1413" t="str">
        <f>HYPERLINK("http://twitter.com/CatlakKafaaa")</f>
        <v>http://twitter.com/CatlakKafaaa</v>
      </c>
      <c r="K1413">
        <v>6035</v>
      </c>
      <c r="N1413" t="s">
        <v>65</v>
      </c>
      <c r="R1413" t="s">
        <v>60</v>
      </c>
      <c r="S1413" t="s">
        <v>5161</v>
      </c>
      <c r="W1413">
        <v>0</v>
      </c>
      <c r="X1413">
        <v>0</v>
      </c>
      <c r="AE1413">
        <v>0</v>
      </c>
      <c r="AM1413" t="s">
        <v>52</v>
      </c>
      <c r="AN1413" t="s">
        <v>53</v>
      </c>
    </row>
    <row r="1414" spans="1:40">
      <c r="A1414" t="s">
        <v>2370</v>
      </c>
      <c r="B1414" t="s">
        <v>5182</v>
      </c>
      <c r="C1414" t="s">
        <v>2672</v>
      </c>
      <c r="D1414" t="s">
        <v>52</v>
      </c>
      <c r="E1414" t="s">
        <v>5187</v>
      </c>
      <c r="F1414" t="s">
        <v>45</v>
      </c>
      <c r="G1414" t="str">
        <f>HYPERLINK("https://www.instagram.com/p/BzGjKyvDBpG")</f>
        <v>https://www.instagram.com/p/BzGjKyvDBpG</v>
      </c>
      <c r="H1414" t="s">
        <v>215</v>
      </c>
      <c r="I1414" t="s">
        <v>5188</v>
      </c>
      <c r="J1414" t="str">
        <f>HYPERLINK("http://instagram.com/ms_mcqueen")</f>
        <v>http://instagram.com/ms_mcqueen</v>
      </c>
      <c r="K1414">
        <v>674</v>
      </c>
      <c r="N1414" t="s">
        <v>59</v>
      </c>
      <c r="O1414" t="s">
        <v>5188</v>
      </c>
      <c r="P1414" t="str">
        <f>HYPERLINK("http://instagram.com/ms_mcqueen")</f>
        <v>http://instagram.com/ms_mcqueen</v>
      </c>
      <c r="Q1414">
        <v>674</v>
      </c>
      <c r="R1414" t="s">
        <v>60</v>
      </c>
      <c r="W1414">
        <v>230</v>
      </c>
      <c r="X1414">
        <v>230</v>
      </c>
      <c r="AE1414">
        <v>11</v>
      </c>
      <c r="AI1414" t="s">
        <v>108</v>
      </c>
      <c r="AJ1414" t="s">
        <v>52</v>
      </c>
      <c r="AK1414" t="s">
        <v>52</v>
      </c>
      <c r="AL1414" t="str">
        <f>HYPERLINK("https://www.instagram.com/p/BzGjKyvDBpG/media/?size=l")</f>
        <v>https://www.instagram.com/p/BzGjKyvDBpG/media/?size=l</v>
      </c>
      <c r="AM1414" t="s">
        <v>52</v>
      </c>
      <c r="AN1414" t="s">
        <v>53</v>
      </c>
    </row>
    <row r="1415" spans="1:40">
      <c r="A1415" t="s">
        <v>2370</v>
      </c>
      <c r="B1415" t="s">
        <v>5182</v>
      </c>
      <c r="C1415" t="s">
        <v>3641</v>
      </c>
      <c r="D1415" t="s">
        <v>52</v>
      </c>
      <c r="E1415" t="s">
        <v>5189</v>
      </c>
      <c r="F1415" t="s">
        <v>45</v>
      </c>
      <c r="G1415" t="str">
        <f>HYPERLINK("https://www.facebook.com/74508637032/posts/10157574723332033")</f>
        <v>https://www.facebook.com/74508637032/posts/10157574723332033</v>
      </c>
      <c r="H1415" t="s">
        <v>46</v>
      </c>
      <c r="I1415" t="s">
        <v>5190</v>
      </c>
      <c r="J1415" t="str">
        <f>HYPERLINK("https://www.facebook.com/74508637032")</f>
        <v>https://www.facebook.com/74508637032</v>
      </c>
      <c r="K1415">
        <v>897268</v>
      </c>
      <c r="L1415" t="s">
        <v>651</v>
      </c>
      <c r="N1415" t="s">
        <v>1792</v>
      </c>
      <c r="O1415" t="s">
        <v>5190</v>
      </c>
      <c r="P1415" t="str">
        <f>HYPERLINK("https://www.facebook.com/74508637032")</f>
        <v>https://www.facebook.com/74508637032</v>
      </c>
      <c r="Q1415">
        <v>897268</v>
      </c>
      <c r="R1415" t="s">
        <v>60</v>
      </c>
      <c r="W1415">
        <v>23</v>
      </c>
      <c r="X1415">
        <v>22</v>
      </c>
      <c r="Y1415">
        <v>1</v>
      </c>
      <c r="Z1415">
        <v>0</v>
      </c>
      <c r="AA1415">
        <v>0</v>
      </c>
      <c r="AB1415">
        <v>0</v>
      </c>
      <c r="AC1415">
        <v>0</v>
      </c>
      <c r="AE1415">
        <v>6</v>
      </c>
      <c r="AF1415">
        <v>64</v>
      </c>
      <c r="AI1415" t="s">
        <v>52</v>
      </c>
      <c r="AJ1415" t="s">
        <v>2235</v>
      </c>
      <c r="AK1415" t="s">
        <v>52</v>
      </c>
      <c r="AL1415" t="str">
        <f>HYPERLINK("https://scontent.xx.fbcdn.net/v/t15.5256-10/50027813_1949223921866862_8266872031077728256_n.jpg?_nc_cat=109&amp;_nc_ht=scontent.xx&amp;oh=c9f8c556432c8d12f13075432786c931&amp;oe=5D8F34EE")</f>
        <v>https://scontent.xx.fbcdn.net/v/t15.5256-10/50027813_1949223921866862_8266872031077728256_n.jpg?_nc_cat=109&amp;_nc_ht=scontent.xx&amp;oh=c9f8c556432c8d12f13075432786c931&amp;oe=5D8F34EE</v>
      </c>
      <c r="AM1415" t="s">
        <v>52</v>
      </c>
      <c r="AN1415" t="s">
        <v>53</v>
      </c>
    </row>
    <row r="1416" spans="1:40">
      <c r="A1416" t="s">
        <v>2370</v>
      </c>
      <c r="B1416" t="s">
        <v>5191</v>
      </c>
      <c r="C1416" t="s">
        <v>5179</v>
      </c>
      <c r="D1416" t="s">
        <v>52</v>
      </c>
      <c r="E1416" t="s">
        <v>5192</v>
      </c>
      <c r="F1416" t="s">
        <v>131</v>
      </c>
      <c r="G1416" t="str">
        <f>HYPERLINK("https://twitter.com/851098672997830657/status/1143221717541822465")</f>
        <v>https://twitter.com/851098672997830657/status/1143221717541822465</v>
      </c>
      <c r="H1416" t="s">
        <v>46</v>
      </c>
      <c r="I1416" t="s">
        <v>5193</v>
      </c>
      <c r="J1416" t="str">
        <f>HYPERLINK("http://twitter.com/Nottanannother")</f>
        <v>http://twitter.com/Nottanannother</v>
      </c>
      <c r="K1416">
        <v>350</v>
      </c>
      <c r="N1416" t="s">
        <v>65</v>
      </c>
      <c r="R1416" t="s">
        <v>60</v>
      </c>
      <c r="S1416" t="s">
        <v>51</v>
      </c>
      <c r="T1416" t="s">
        <v>160</v>
      </c>
      <c r="U1416" t="s">
        <v>2658</v>
      </c>
      <c r="W1416">
        <v>0</v>
      </c>
      <c r="X1416">
        <v>0</v>
      </c>
      <c r="AE1416">
        <v>0</v>
      </c>
      <c r="AI1416" t="s">
        <v>52</v>
      </c>
      <c r="AJ1416" t="s">
        <v>52</v>
      </c>
      <c r="AK1416" t="s">
        <v>52</v>
      </c>
      <c r="AL1416" t="str">
        <f>HYPERLINK("https://pbs.twimg.com/ext_tw_video_thumb/1143211746502553601/pu/img/kvZGNoQsrHPsGR94.jpg")</f>
        <v>https://pbs.twimg.com/ext_tw_video_thumb/1143211746502553601/pu/img/kvZGNoQsrHPsGR94.jpg</v>
      </c>
      <c r="AM1416" t="s">
        <v>52</v>
      </c>
      <c r="AN1416" t="s">
        <v>53</v>
      </c>
    </row>
    <row r="1417" spans="1:40">
      <c r="A1417" t="s">
        <v>2370</v>
      </c>
      <c r="B1417" t="s">
        <v>5191</v>
      </c>
      <c r="C1417" t="s">
        <v>5158</v>
      </c>
      <c r="D1417" t="s">
        <v>52</v>
      </c>
      <c r="E1417" t="s">
        <v>5194</v>
      </c>
      <c r="F1417" t="s">
        <v>45</v>
      </c>
      <c r="G1417" t="str">
        <f>HYPERLINK("https://twitter.com/461341353/status/1143221520078123008")</f>
        <v>https://twitter.com/461341353/status/1143221520078123008</v>
      </c>
      <c r="H1417" t="s">
        <v>46</v>
      </c>
      <c r="I1417" t="s">
        <v>5195</v>
      </c>
      <c r="J1417" t="str">
        <f>HYPERLINK("http://twitter.com/galamicujesdami")</f>
        <v>http://twitter.com/galamicujesdami</v>
      </c>
      <c r="K1417">
        <v>830</v>
      </c>
      <c r="N1417" t="s">
        <v>65</v>
      </c>
      <c r="R1417" t="s">
        <v>60</v>
      </c>
      <c r="S1417" t="s">
        <v>5196</v>
      </c>
      <c r="T1417" t="s">
        <v>5197</v>
      </c>
      <c r="U1417" t="s">
        <v>5198</v>
      </c>
      <c r="W1417">
        <v>0</v>
      </c>
      <c r="X1417">
        <v>0</v>
      </c>
      <c r="AE1417">
        <v>0</v>
      </c>
      <c r="AF1417">
        <v>0</v>
      </c>
      <c r="AM1417" t="s">
        <v>52</v>
      </c>
      <c r="AN1417" t="s">
        <v>53</v>
      </c>
    </row>
    <row r="1418" spans="1:40">
      <c r="A1418" t="s">
        <v>2370</v>
      </c>
      <c r="B1418" t="s">
        <v>5199</v>
      </c>
      <c r="C1418" t="s">
        <v>2705</v>
      </c>
      <c r="D1418" t="s">
        <v>52</v>
      </c>
      <c r="E1418" t="s">
        <v>5200</v>
      </c>
      <c r="F1418" t="s">
        <v>45</v>
      </c>
      <c r="G1418" t="str">
        <f>HYPERLINK("https://www.instagram.com/p/BzGizjtIW-E")</f>
        <v>https://www.instagram.com/p/BzGizjtIW-E</v>
      </c>
      <c r="H1418" t="s">
        <v>46</v>
      </c>
      <c r="I1418" t="s">
        <v>5201</v>
      </c>
      <c r="J1418" t="str">
        <f>HYPERLINK("http://instagram.com/thesatwinkle")</f>
        <v>http://instagram.com/thesatwinkle</v>
      </c>
      <c r="K1418">
        <v>192</v>
      </c>
      <c r="L1418" t="s">
        <v>58</v>
      </c>
      <c r="N1418" t="s">
        <v>59</v>
      </c>
      <c r="O1418" t="s">
        <v>5201</v>
      </c>
      <c r="P1418" t="str">
        <f>HYPERLINK("http://instagram.com/thesatwinkle")</f>
        <v>http://instagram.com/thesatwinkle</v>
      </c>
      <c r="Q1418">
        <v>192</v>
      </c>
      <c r="R1418" t="s">
        <v>60</v>
      </c>
      <c r="S1418" t="s">
        <v>156</v>
      </c>
      <c r="T1418" t="s">
        <v>5202</v>
      </c>
      <c r="U1418" t="s">
        <v>5203</v>
      </c>
      <c r="W1418">
        <v>12</v>
      </c>
      <c r="X1418">
        <v>12</v>
      </c>
      <c r="AE1418">
        <v>0</v>
      </c>
      <c r="AI1418" t="s">
        <v>108</v>
      </c>
      <c r="AJ1418" t="s">
        <v>5204</v>
      </c>
      <c r="AK1418" t="s">
        <v>52</v>
      </c>
      <c r="AL1418" t="str">
        <f>HYPERLINK("https://www.instagram.com/p/BzGizjtIW-E/media/?size=l")</f>
        <v>https://www.instagram.com/p/BzGizjtIW-E/media/?size=l</v>
      </c>
      <c r="AM1418" t="s">
        <v>52</v>
      </c>
      <c r="AN1418" t="s">
        <v>53</v>
      </c>
    </row>
    <row r="1419" spans="1:40">
      <c r="A1419" t="s">
        <v>2370</v>
      </c>
      <c r="B1419" t="s">
        <v>5199</v>
      </c>
      <c r="C1419" t="s">
        <v>5205</v>
      </c>
      <c r="D1419" t="s">
        <v>52</v>
      </c>
      <c r="E1419" t="s">
        <v>5206</v>
      </c>
      <c r="F1419" t="s">
        <v>45</v>
      </c>
      <c r="G1419" t="str">
        <f>HYPERLINK("https://www.instagram.com/p/BzGitL_B46e")</f>
        <v>https://www.instagram.com/p/BzGitL_B46e</v>
      </c>
      <c r="H1419" t="s">
        <v>46</v>
      </c>
      <c r="I1419" t="s">
        <v>5207</v>
      </c>
      <c r="J1419" t="str">
        <f>HYPERLINK("http://instagram.com/solidsuppers")</f>
        <v>http://instagram.com/solidsuppers</v>
      </c>
      <c r="K1419">
        <v>28</v>
      </c>
      <c r="N1419" t="s">
        <v>59</v>
      </c>
      <c r="O1419" t="s">
        <v>5207</v>
      </c>
      <c r="P1419" t="str">
        <f>HYPERLINK("http://instagram.com/solidsuppers")</f>
        <v>http://instagram.com/solidsuppers</v>
      </c>
      <c r="Q1419">
        <v>28</v>
      </c>
      <c r="R1419" t="s">
        <v>60</v>
      </c>
      <c r="W1419">
        <v>2</v>
      </c>
      <c r="X1419">
        <v>2</v>
      </c>
      <c r="AE1419">
        <v>0</v>
      </c>
      <c r="AI1419" t="s">
        <v>52</v>
      </c>
      <c r="AJ1419" t="s">
        <v>5208</v>
      </c>
      <c r="AK1419" t="s">
        <v>52</v>
      </c>
      <c r="AL1419" t="str">
        <f>HYPERLINK("https://www.instagram.com/p/BzGitL_B46e/media/?size=l")</f>
        <v>https://www.instagram.com/p/BzGitL_B46e/media/?size=l</v>
      </c>
      <c r="AM1419" t="s">
        <v>52</v>
      </c>
      <c r="AN1419" t="s">
        <v>53</v>
      </c>
    </row>
    <row r="1420" spans="1:40">
      <c r="A1420" t="s">
        <v>2370</v>
      </c>
      <c r="B1420" t="s">
        <v>5209</v>
      </c>
      <c r="C1420" t="s">
        <v>5186</v>
      </c>
      <c r="D1420" t="s">
        <v>5210</v>
      </c>
      <c r="E1420" t="s">
        <v>5211</v>
      </c>
      <c r="F1420" t="s">
        <v>45</v>
      </c>
      <c r="G1420" t="str">
        <f>HYPERLINK("https://www.youtube.com/watch?v=XmrApSDeQAY")</f>
        <v>https://www.youtube.com/watch?v=XmrApSDeQAY</v>
      </c>
      <c r="H1420" t="s">
        <v>91</v>
      </c>
      <c r="I1420" t="s">
        <v>5212</v>
      </c>
      <c r="J1420" t="str">
        <f>HYPERLINK("https://www.youtube.com/channel/UCtrsZnabQkab7IFhjCv0Q9g")</f>
        <v>https://www.youtube.com/channel/UCtrsZnabQkab7IFhjCv0Q9g</v>
      </c>
      <c r="K1420">
        <v>46</v>
      </c>
      <c r="N1420" t="s">
        <v>116</v>
      </c>
      <c r="O1420" t="s">
        <v>5212</v>
      </c>
      <c r="P1420" t="str">
        <f>HYPERLINK("https://www.youtube.com/channel/UCtrsZnabQkab7IFhjCv0Q9g")</f>
        <v>https://www.youtube.com/channel/UCtrsZnabQkab7IFhjCv0Q9g</v>
      </c>
      <c r="Q1420">
        <v>46</v>
      </c>
      <c r="R1420" t="s">
        <v>60</v>
      </c>
      <c r="W1420">
        <v>1</v>
      </c>
      <c r="X1420">
        <v>1</v>
      </c>
      <c r="AD1420">
        <v>0</v>
      </c>
      <c r="AE1420">
        <v>0</v>
      </c>
      <c r="AG1420">
        <v>5</v>
      </c>
      <c r="AI1420" t="s">
        <v>52</v>
      </c>
      <c r="AJ1420" t="s">
        <v>52</v>
      </c>
      <c r="AK1420" t="s">
        <v>52</v>
      </c>
      <c r="AL1420" t="str">
        <f>HYPERLINK("https://i.ytimg.com/vi/XmrApSDeQAY/maxresdefault.jpg")</f>
        <v>https://i.ytimg.com/vi/XmrApSDeQAY/maxresdefault.jpg</v>
      </c>
      <c r="AM1420" t="s">
        <v>52</v>
      </c>
      <c r="AN1420" t="s">
        <v>53</v>
      </c>
    </row>
    <row r="1421" spans="1:40">
      <c r="A1421" t="s">
        <v>2370</v>
      </c>
      <c r="B1421" t="s">
        <v>5213</v>
      </c>
      <c r="C1421" t="s">
        <v>5214</v>
      </c>
      <c r="D1421" t="s">
        <v>52</v>
      </c>
      <c r="E1421" t="s">
        <v>1194</v>
      </c>
      <c r="F1421" t="s">
        <v>131</v>
      </c>
      <c r="G1421" t="str">
        <f>HYPERLINK("https://twitter.com/786343856774144001/status/1143220692881534977")</f>
        <v>https://twitter.com/786343856774144001/status/1143220692881534977</v>
      </c>
      <c r="H1421" t="s">
        <v>46</v>
      </c>
      <c r="I1421" t="s">
        <v>5215</v>
      </c>
      <c r="J1421" t="str">
        <f>HYPERLINK("http://twitter.com/celestialchels_")</f>
        <v>http://twitter.com/celestialchels_</v>
      </c>
      <c r="K1421">
        <v>1025</v>
      </c>
      <c r="N1421" t="s">
        <v>65</v>
      </c>
      <c r="R1421" t="s">
        <v>60</v>
      </c>
      <c r="S1421" t="s">
        <v>387</v>
      </c>
      <c r="T1421" t="s">
        <v>3687</v>
      </c>
      <c r="U1421" t="s">
        <v>3688</v>
      </c>
      <c r="W1421">
        <v>0</v>
      </c>
      <c r="X1421">
        <v>0</v>
      </c>
      <c r="AE1421">
        <v>0</v>
      </c>
      <c r="AI1421" t="s">
        <v>52</v>
      </c>
      <c r="AJ1421" t="s">
        <v>1196</v>
      </c>
      <c r="AK1421" t="s">
        <v>52</v>
      </c>
      <c r="AL1421" t="str">
        <f>HYPERLINK("https://pbs.twimg.com/media/D9xgk2YXkAAd2ql.jpg")</f>
        <v>https://pbs.twimg.com/media/D9xgk2YXkAAd2ql.jpg</v>
      </c>
      <c r="AM1421" t="s">
        <v>52</v>
      </c>
      <c r="AN1421" t="s">
        <v>53</v>
      </c>
    </row>
    <row r="1422" spans="1:40">
      <c r="A1422" t="s">
        <v>2370</v>
      </c>
      <c r="B1422" t="s">
        <v>5213</v>
      </c>
      <c r="C1422" t="s">
        <v>5214</v>
      </c>
      <c r="D1422" t="s">
        <v>52</v>
      </c>
      <c r="E1422" t="s">
        <v>5216</v>
      </c>
      <c r="F1422" t="s">
        <v>45</v>
      </c>
      <c r="G1422" t="str">
        <f>HYPERLINK("https://twitter.com/3013977982/status/1143220674476924928")</f>
        <v>https://twitter.com/3013977982/status/1143220674476924928</v>
      </c>
      <c r="H1422" t="s">
        <v>46</v>
      </c>
      <c r="I1422" t="s">
        <v>5217</v>
      </c>
      <c r="J1422" t="str">
        <f>HYPERLINK("http://twitter.com/funkrageous")</f>
        <v>http://twitter.com/funkrageous</v>
      </c>
      <c r="K1422">
        <v>61</v>
      </c>
      <c r="N1422" t="s">
        <v>65</v>
      </c>
      <c r="R1422" t="s">
        <v>60</v>
      </c>
      <c r="S1422" t="s">
        <v>51</v>
      </c>
      <c r="T1422" t="s">
        <v>173</v>
      </c>
      <c r="W1422">
        <v>3</v>
      </c>
      <c r="X1422">
        <v>3</v>
      </c>
      <c r="AE1422">
        <v>1</v>
      </c>
      <c r="AF1422">
        <v>0</v>
      </c>
      <c r="AM1422" t="s">
        <v>52</v>
      </c>
      <c r="AN1422" t="s">
        <v>53</v>
      </c>
    </row>
    <row r="1423" spans="1:40">
      <c r="A1423" t="s">
        <v>2370</v>
      </c>
      <c r="B1423" t="s">
        <v>5213</v>
      </c>
      <c r="C1423" t="s">
        <v>5218</v>
      </c>
      <c r="D1423" t="s">
        <v>52</v>
      </c>
      <c r="E1423" t="s">
        <v>1194</v>
      </c>
      <c r="F1423" t="s">
        <v>131</v>
      </c>
      <c r="G1423" t="str">
        <f>HYPERLINK("https://twitter.com/307579359/status/1143220622786531329")</f>
        <v>https://twitter.com/307579359/status/1143220622786531329</v>
      </c>
      <c r="H1423" t="s">
        <v>46</v>
      </c>
      <c r="I1423" t="s">
        <v>5219</v>
      </c>
      <c r="J1423" t="str">
        <f>HYPERLINK("http://twitter.com/chatarra98")</f>
        <v>http://twitter.com/chatarra98</v>
      </c>
      <c r="K1423">
        <v>1693</v>
      </c>
      <c r="N1423" t="s">
        <v>65</v>
      </c>
      <c r="R1423" t="s">
        <v>60</v>
      </c>
      <c r="S1423" t="s">
        <v>5220</v>
      </c>
      <c r="T1423" t="s">
        <v>5221</v>
      </c>
      <c r="U1423" t="s">
        <v>5222</v>
      </c>
      <c r="W1423">
        <v>0</v>
      </c>
      <c r="X1423">
        <v>0</v>
      </c>
      <c r="AE1423">
        <v>0</v>
      </c>
      <c r="AI1423" t="s">
        <v>52</v>
      </c>
      <c r="AJ1423" t="s">
        <v>1196</v>
      </c>
      <c r="AK1423" t="s">
        <v>52</v>
      </c>
      <c r="AL1423" t="str">
        <f>HYPERLINK("https://pbs.twimg.com/media/D9xgk2YXkAAd2ql.jpg")</f>
        <v>https://pbs.twimg.com/media/D9xgk2YXkAAd2ql.jpg</v>
      </c>
      <c r="AM1423" t="s">
        <v>52</v>
      </c>
      <c r="AN1423" t="s">
        <v>53</v>
      </c>
    </row>
    <row r="1424" spans="1:40">
      <c r="A1424" t="s">
        <v>2370</v>
      </c>
      <c r="B1424" t="s">
        <v>5213</v>
      </c>
      <c r="C1424" t="s">
        <v>5218</v>
      </c>
      <c r="D1424" t="s">
        <v>52</v>
      </c>
      <c r="E1424" t="s">
        <v>1194</v>
      </c>
      <c r="F1424" t="s">
        <v>131</v>
      </c>
      <c r="G1424" t="str">
        <f>HYPERLINK("https://twitter.com/285999619/status/1143220621138116608")</f>
        <v>https://twitter.com/285999619/status/1143220621138116608</v>
      </c>
      <c r="H1424" t="s">
        <v>46</v>
      </c>
      <c r="I1424" t="s">
        <v>5223</v>
      </c>
      <c r="J1424" t="str">
        <f>HYPERLINK("http://twitter.com/RedFlannelPunk")</f>
        <v>http://twitter.com/RedFlannelPunk</v>
      </c>
      <c r="K1424">
        <v>390</v>
      </c>
      <c r="N1424" t="s">
        <v>65</v>
      </c>
      <c r="R1424" t="s">
        <v>60</v>
      </c>
      <c r="W1424">
        <v>0</v>
      </c>
      <c r="X1424">
        <v>0</v>
      </c>
      <c r="AE1424">
        <v>0</v>
      </c>
      <c r="AI1424" t="s">
        <v>52</v>
      </c>
      <c r="AJ1424" t="s">
        <v>1196</v>
      </c>
      <c r="AK1424" t="s">
        <v>52</v>
      </c>
      <c r="AL1424" t="str">
        <f>HYPERLINK("https://pbs.twimg.com/media/D9xgk2YXkAAd2ql.jpg")</f>
        <v>https://pbs.twimg.com/media/D9xgk2YXkAAd2ql.jpg</v>
      </c>
      <c r="AM1424" t="s">
        <v>52</v>
      </c>
      <c r="AN1424" t="s">
        <v>53</v>
      </c>
    </row>
    <row r="1425" spans="1:40">
      <c r="A1425" t="s">
        <v>2370</v>
      </c>
      <c r="B1425" t="s">
        <v>5213</v>
      </c>
      <c r="C1425" t="s">
        <v>5218</v>
      </c>
      <c r="D1425" t="s">
        <v>52</v>
      </c>
      <c r="E1425" t="s">
        <v>1194</v>
      </c>
      <c r="F1425" t="s">
        <v>131</v>
      </c>
      <c r="G1425" t="str">
        <f>HYPERLINK("https://twitter.com/513502151/status/1143220613605199872")</f>
        <v>https://twitter.com/513502151/status/1143220613605199872</v>
      </c>
      <c r="H1425" t="s">
        <v>46</v>
      </c>
      <c r="I1425" t="s">
        <v>5224</v>
      </c>
      <c r="J1425" t="str">
        <f>HYPERLINK("http://twitter.com/carter_kubik")</f>
        <v>http://twitter.com/carter_kubik</v>
      </c>
      <c r="K1425">
        <v>790</v>
      </c>
      <c r="N1425" t="s">
        <v>65</v>
      </c>
      <c r="R1425" t="s">
        <v>60</v>
      </c>
      <c r="W1425">
        <v>0</v>
      </c>
      <c r="X1425">
        <v>0</v>
      </c>
      <c r="AE1425">
        <v>0</v>
      </c>
      <c r="AI1425" t="s">
        <v>52</v>
      </c>
      <c r="AJ1425" t="s">
        <v>1196</v>
      </c>
      <c r="AK1425" t="s">
        <v>52</v>
      </c>
      <c r="AL1425" t="str">
        <f>HYPERLINK("https://pbs.twimg.com/media/D9xgk2YXkAAd2ql.jpg")</f>
        <v>https://pbs.twimg.com/media/D9xgk2YXkAAd2ql.jpg</v>
      </c>
      <c r="AM1425" t="s">
        <v>52</v>
      </c>
      <c r="AN1425" t="s">
        <v>53</v>
      </c>
    </row>
    <row r="1426" spans="1:40">
      <c r="A1426" t="s">
        <v>2370</v>
      </c>
      <c r="B1426" t="s">
        <v>5213</v>
      </c>
      <c r="C1426" t="s">
        <v>5225</v>
      </c>
      <c r="D1426" t="s">
        <v>52</v>
      </c>
      <c r="E1426" t="s">
        <v>1194</v>
      </c>
      <c r="F1426" t="s">
        <v>131</v>
      </c>
      <c r="G1426" t="str">
        <f>HYPERLINK("https://twitter.com/2994195139/status/1143220541245050880")</f>
        <v>https://twitter.com/2994195139/status/1143220541245050880</v>
      </c>
      <c r="H1426" t="s">
        <v>46</v>
      </c>
      <c r="I1426" t="s">
        <v>5226</v>
      </c>
      <c r="J1426" t="str">
        <f>HYPERLINK("http://twitter.com/__machop")</f>
        <v>http://twitter.com/__machop</v>
      </c>
      <c r="K1426">
        <v>160</v>
      </c>
      <c r="N1426" t="s">
        <v>65</v>
      </c>
      <c r="R1426" t="s">
        <v>60</v>
      </c>
      <c r="W1426">
        <v>0</v>
      </c>
      <c r="X1426">
        <v>0</v>
      </c>
      <c r="AE1426">
        <v>0</v>
      </c>
      <c r="AI1426" t="s">
        <v>52</v>
      </c>
      <c r="AJ1426" t="s">
        <v>1196</v>
      </c>
      <c r="AK1426" t="s">
        <v>52</v>
      </c>
      <c r="AL1426" t="str">
        <f>HYPERLINK("https://pbs.twimg.com/media/D9xgk2YXkAAd2ql.jpg")</f>
        <v>https://pbs.twimg.com/media/D9xgk2YXkAAd2ql.jpg</v>
      </c>
      <c r="AM1426" t="s">
        <v>52</v>
      </c>
      <c r="AN1426" t="s">
        <v>53</v>
      </c>
    </row>
    <row r="1427" spans="1:40">
      <c r="A1427" t="s">
        <v>2370</v>
      </c>
      <c r="B1427" t="s">
        <v>5213</v>
      </c>
      <c r="C1427" t="s">
        <v>5227</v>
      </c>
      <c r="D1427" t="s">
        <v>52</v>
      </c>
      <c r="E1427" t="s">
        <v>5159</v>
      </c>
      <c r="F1427" t="s">
        <v>131</v>
      </c>
      <c r="G1427" t="str">
        <f>HYPERLINK("https://twitter.com/1108760107867951104/status/1143220541421174784")</f>
        <v>https://twitter.com/1108760107867951104/status/1143220541421174784</v>
      </c>
      <c r="H1427" t="s">
        <v>46</v>
      </c>
      <c r="I1427" t="s">
        <v>5160</v>
      </c>
      <c r="J1427" t="str">
        <f>HYPERLINK("http://twitter.com/CatlakKafaaa")</f>
        <v>http://twitter.com/CatlakKafaaa</v>
      </c>
      <c r="K1427">
        <v>6035</v>
      </c>
      <c r="N1427" t="s">
        <v>65</v>
      </c>
      <c r="R1427" t="s">
        <v>60</v>
      </c>
      <c r="S1427" t="s">
        <v>5161</v>
      </c>
      <c r="W1427">
        <v>0</v>
      </c>
      <c r="X1427">
        <v>0</v>
      </c>
      <c r="AE1427">
        <v>0</v>
      </c>
      <c r="AM1427" t="s">
        <v>52</v>
      </c>
      <c r="AN1427" t="s">
        <v>53</v>
      </c>
    </row>
    <row r="1428" spans="1:40">
      <c r="A1428" t="s">
        <v>2370</v>
      </c>
      <c r="B1428" t="s">
        <v>5213</v>
      </c>
      <c r="C1428" t="s">
        <v>5228</v>
      </c>
      <c r="D1428" t="s">
        <v>52</v>
      </c>
      <c r="E1428" t="s">
        <v>5229</v>
      </c>
      <c r="F1428" t="s">
        <v>71</v>
      </c>
      <c r="G1428" t="str">
        <f>HYPERLINK("https://twitter.com/4700860007/status/1143220502225465344")</f>
        <v>https://twitter.com/4700860007/status/1143220502225465344</v>
      </c>
      <c r="H1428" t="s">
        <v>215</v>
      </c>
      <c r="I1428" t="s">
        <v>5230</v>
      </c>
      <c r="J1428" t="str">
        <f>HYPERLINK("http://twitter.com/sebastienle5")</f>
        <v>http://twitter.com/sebastienle5</v>
      </c>
      <c r="K1428">
        <v>72</v>
      </c>
      <c r="N1428" t="s">
        <v>65</v>
      </c>
      <c r="R1428" t="s">
        <v>60</v>
      </c>
      <c r="S1428" t="s">
        <v>51</v>
      </c>
      <c r="T1428" t="s">
        <v>73</v>
      </c>
      <c r="U1428" t="s">
        <v>5231</v>
      </c>
      <c r="W1428">
        <v>0</v>
      </c>
      <c r="X1428">
        <v>0</v>
      </c>
      <c r="AE1428">
        <v>0</v>
      </c>
      <c r="AF1428">
        <v>0</v>
      </c>
      <c r="AI1428" t="s">
        <v>52</v>
      </c>
      <c r="AJ1428" t="s">
        <v>3129</v>
      </c>
      <c r="AK1428" t="s">
        <v>52</v>
      </c>
      <c r="AL1428" t="str">
        <f>HYPERLINK("https://pbs.twimg.com/media/D9yu0q6XUAAe63p.jpg")</f>
        <v>https://pbs.twimg.com/media/D9yu0q6XUAAe63p.jpg</v>
      </c>
      <c r="AM1428" t="s">
        <v>52</v>
      </c>
      <c r="AN1428" t="s">
        <v>53</v>
      </c>
    </row>
    <row r="1429" spans="1:40">
      <c r="A1429" t="s">
        <v>2370</v>
      </c>
      <c r="B1429" t="s">
        <v>5232</v>
      </c>
      <c r="C1429" t="s">
        <v>5186</v>
      </c>
      <c r="D1429" t="s">
        <v>52</v>
      </c>
      <c r="E1429" t="s">
        <v>5233</v>
      </c>
      <c r="F1429" t="s">
        <v>45</v>
      </c>
      <c r="G1429" t="str">
        <f>HYPERLINK("https://www.instagram.com/p/BzGh5_EHUfN")</f>
        <v>https://www.instagram.com/p/BzGh5_EHUfN</v>
      </c>
      <c r="H1429" t="s">
        <v>215</v>
      </c>
      <c r="I1429" t="s">
        <v>5234</v>
      </c>
      <c r="J1429" t="str">
        <f>HYPERLINK("http://instagram.com/ace.slimery")</f>
        <v>http://instagram.com/ace.slimery</v>
      </c>
      <c r="K1429">
        <v>3367</v>
      </c>
      <c r="N1429" t="s">
        <v>59</v>
      </c>
      <c r="O1429" t="s">
        <v>5234</v>
      </c>
      <c r="P1429" t="str">
        <f>HYPERLINK("http://instagram.com/ace.slimery")</f>
        <v>http://instagram.com/ace.slimery</v>
      </c>
      <c r="Q1429">
        <v>3367</v>
      </c>
      <c r="R1429" t="s">
        <v>60</v>
      </c>
      <c r="W1429">
        <v>100</v>
      </c>
      <c r="X1429">
        <v>100</v>
      </c>
      <c r="AE1429">
        <v>4</v>
      </c>
      <c r="AG1429">
        <v>235</v>
      </c>
      <c r="AI1429" t="s">
        <v>52</v>
      </c>
      <c r="AJ1429" t="s">
        <v>1536</v>
      </c>
      <c r="AK1429" t="s">
        <v>52</v>
      </c>
      <c r="AL1429" t="str">
        <f>HYPERLINK("https://www.instagram.com/p/BzGh5_EHUfN/media/?size=l")</f>
        <v>https://www.instagram.com/p/BzGh5_EHUfN/media/?size=l</v>
      </c>
      <c r="AM1429" t="s">
        <v>52</v>
      </c>
      <c r="AN1429" t="s">
        <v>53</v>
      </c>
    </row>
    <row r="1430" spans="1:40">
      <c r="A1430" t="s">
        <v>2370</v>
      </c>
      <c r="B1430" t="s">
        <v>5235</v>
      </c>
      <c r="C1430" t="s">
        <v>5236</v>
      </c>
      <c r="D1430" t="s">
        <v>52</v>
      </c>
      <c r="E1430" t="s">
        <v>5237</v>
      </c>
      <c r="F1430" t="s">
        <v>95</v>
      </c>
      <c r="G1430" t="str">
        <f>HYPERLINK("https://twitter.com/928692490395414529/status/1143218597076115456")</f>
        <v>https://twitter.com/928692490395414529/status/1143218597076115456</v>
      </c>
      <c r="H1430" t="s">
        <v>46</v>
      </c>
      <c r="I1430" t="s">
        <v>5238</v>
      </c>
      <c r="J1430" t="str">
        <f>HYPERLINK("http://twitter.com/sun_moonctzen")</f>
        <v>http://twitter.com/sun_moonctzen</v>
      </c>
      <c r="K1430">
        <v>2758</v>
      </c>
      <c r="N1430" t="s">
        <v>65</v>
      </c>
      <c r="R1430" t="s">
        <v>60</v>
      </c>
      <c r="S1430" t="s">
        <v>1592</v>
      </c>
      <c r="T1430" t="s">
        <v>5239</v>
      </c>
      <c r="U1430" t="s">
        <v>5240</v>
      </c>
      <c r="W1430">
        <v>1</v>
      </c>
      <c r="X1430">
        <v>1</v>
      </c>
      <c r="AE1430">
        <v>1</v>
      </c>
      <c r="AF1430">
        <v>0</v>
      </c>
      <c r="AM1430" t="s">
        <v>52</v>
      </c>
      <c r="AN1430" t="s">
        <v>53</v>
      </c>
    </row>
    <row r="1431" spans="1:40">
      <c r="A1431" t="s">
        <v>2370</v>
      </c>
      <c r="B1431" t="s">
        <v>5235</v>
      </c>
      <c r="C1431" t="s">
        <v>5241</v>
      </c>
      <c r="D1431" t="s">
        <v>52</v>
      </c>
      <c r="E1431" t="s">
        <v>526</v>
      </c>
      <c r="F1431" t="s">
        <v>131</v>
      </c>
      <c r="G1431" t="str">
        <f>HYPERLINK("https://twitter.com/95101009/status/1143218584753041409")</f>
        <v>https://twitter.com/95101009/status/1143218584753041409</v>
      </c>
      <c r="H1431" t="s">
        <v>46</v>
      </c>
      <c r="I1431" t="s">
        <v>5242</v>
      </c>
      <c r="J1431" t="str">
        <f>HYPERLINK("http://twitter.com/NancySolanoGon")</f>
        <v>http://twitter.com/NancySolanoGon</v>
      </c>
      <c r="K1431">
        <v>1002</v>
      </c>
      <c r="N1431" t="s">
        <v>65</v>
      </c>
      <c r="R1431" t="s">
        <v>60</v>
      </c>
      <c r="W1431">
        <v>0</v>
      </c>
      <c r="X1431">
        <v>0</v>
      </c>
      <c r="AE1431">
        <v>0</v>
      </c>
      <c r="AI1431" t="s">
        <v>108</v>
      </c>
      <c r="AJ1431" t="s">
        <v>52</v>
      </c>
      <c r="AK1431" t="s">
        <v>52</v>
      </c>
      <c r="AL1431" t="str">
        <f>HYPERLINK("https://pbs.twimg.com/ext_tw_video_thumb/1141360066962100224/pu/img/5_tGc4hLFQwcD07b.jpg")</f>
        <v>https://pbs.twimg.com/ext_tw_video_thumb/1141360066962100224/pu/img/5_tGc4hLFQwcD07b.jpg</v>
      </c>
      <c r="AM1431" t="s">
        <v>52</v>
      </c>
      <c r="AN1431" t="s">
        <v>53</v>
      </c>
    </row>
    <row r="1432" spans="1:40">
      <c r="A1432" t="s">
        <v>2370</v>
      </c>
      <c r="B1432" t="s">
        <v>5235</v>
      </c>
      <c r="C1432" t="s">
        <v>5243</v>
      </c>
      <c r="D1432" t="s">
        <v>52</v>
      </c>
      <c r="E1432" t="s">
        <v>5244</v>
      </c>
      <c r="F1432" t="s">
        <v>45</v>
      </c>
      <c r="G1432" t="str">
        <f>HYPERLINK("https://twitter.com/105156723/status/1143218546379505664")</f>
        <v>https://twitter.com/105156723/status/1143218546379505664</v>
      </c>
      <c r="H1432" t="s">
        <v>46</v>
      </c>
      <c r="I1432" t="s">
        <v>5245</v>
      </c>
      <c r="J1432" t="str">
        <f>HYPERLINK("http://twitter.com/lachikyparra")</f>
        <v>http://twitter.com/lachikyparra</v>
      </c>
      <c r="K1432">
        <v>5972</v>
      </c>
      <c r="N1432" t="s">
        <v>65</v>
      </c>
      <c r="R1432" t="s">
        <v>60</v>
      </c>
      <c r="S1432" t="s">
        <v>97</v>
      </c>
      <c r="T1432" t="s">
        <v>1332</v>
      </c>
      <c r="U1432" t="s">
        <v>5246</v>
      </c>
      <c r="W1432">
        <v>0</v>
      </c>
      <c r="X1432">
        <v>0</v>
      </c>
      <c r="AE1432">
        <v>0</v>
      </c>
      <c r="AF1432">
        <v>0</v>
      </c>
      <c r="AM1432" t="s">
        <v>52</v>
      </c>
      <c r="AN1432" t="s">
        <v>53</v>
      </c>
    </row>
    <row r="1433" spans="1:40">
      <c r="A1433" t="s">
        <v>2370</v>
      </c>
      <c r="B1433" t="s">
        <v>5235</v>
      </c>
      <c r="C1433" t="s">
        <v>5247</v>
      </c>
      <c r="D1433" t="s">
        <v>5248</v>
      </c>
      <c r="E1433" t="s">
        <v>5249</v>
      </c>
      <c r="F1433" t="s">
        <v>45</v>
      </c>
      <c r="G1433" t="str">
        <f>HYPERLINK("https://www.reddit.com/r/SCJerk/comments/c4if3e/bruh_orange_cassidy_lmao/?sort=new#thing_t1_erxdc66")</f>
        <v>https://www.reddit.com/r/SCJerk/comments/c4if3e/bruh_orange_cassidy_lmao/?sort=new#thing_t1_erxdc66</v>
      </c>
      <c r="H1433" t="s">
        <v>46</v>
      </c>
      <c r="I1433" t="s">
        <v>5250</v>
      </c>
      <c r="J1433" t="str">
        <f>HYPERLINK("https://www.reddit.com/r/SCJerk/comments/c4if3e/bruh_orange_cassidy_lmao/?sort=new#thing_t1_erxdc66")</f>
        <v>https://www.reddit.com/r/SCJerk/comments/c4if3e/bruh_orange_cassidy_lmao/?sort=new#thing_t1_erxdc66</v>
      </c>
      <c r="N1433" t="s">
        <v>545</v>
      </c>
      <c r="O1433" t="s">
        <v>3657</v>
      </c>
      <c r="P1433" t="str">
        <f>HYPERLINK("https://www.reddit.com/r/SCJerk/")</f>
        <v>https://www.reddit.com/r/SCJerk/</v>
      </c>
      <c r="R1433" t="s">
        <v>516</v>
      </c>
      <c r="S1433" t="s">
        <v>51</v>
      </c>
      <c r="AM1433" t="s">
        <v>52</v>
      </c>
      <c r="AN1433" t="s">
        <v>53</v>
      </c>
    </row>
    <row r="1434" spans="1:40">
      <c r="A1434" t="s">
        <v>2370</v>
      </c>
      <c r="B1434" t="s">
        <v>5251</v>
      </c>
      <c r="C1434" t="s">
        <v>5252</v>
      </c>
      <c r="D1434" t="s">
        <v>52</v>
      </c>
      <c r="E1434" t="s">
        <v>5253</v>
      </c>
      <c r="F1434" t="s">
        <v>45</v>
      </c>
      <c r="G1434" t="str">
        <f>HYPERLINK("https://www.instagram.com/p/BzGg_Nlhsjs")</f>
        <v>https://www.instagram.com/p/BzGg_Nlhsjs</v>
      </c>
      <c r="H1434" t="s">
        <v>46</v>
      </c>
      <c r="I1434" t="s">
        <v>5254</v>
      </c>
      <c r="J1434" t="str">
        <f>HYPERLINK("http://instagram.com/judefxrbes")</f>
        <v>http://instagram.com/judefxrbes</v>
      </c>
      <c r="K1434">
        <v>4026</v>
      </c>
      <c r="N1434" t="s">
        <v>59</v>
      </c>
      <c r="O1434" t="s">
        <v>5254</v>
      </c>
      <c r="P1434" t="str">
        <f>HYPERLINK("http://instagram.com/judefxrbes")</f>
        <v>http://instagram.com/judefxrbes</v>
      </c>
      <c r="Q1434">
        <v>4026</v>
      </c>
      <c r="R1434" t="s">
        <v>60</v>
      </c>
      <c r="W1434">
        <v>1053</v>
      </c>
      <c r="X1434">
        <v>1053</v>
      </c>
      <c r="AE1434">
        <v>48</v>
      </c>
      <c r="AG1434">
        <v>5644</v>
      </c>
      <c r="AI1434" t="s">
        <v>52</v>
      </c>
      <c r="AJ1434" t="s">
        <v>268</v>
      </c>
      <c r="AK1434" t="s">
        <v>52</v>
      </c>
      <c r="AL1434" t="str">
        <f>HYPERLINK("https://www.instagram.com/p/BzGg_Nlhsjs/media/?size=l")</f>
        <v>https://www.instagram.com/p/BzGg_Nlhsjs/media/?size=l</v>
      </c>
      <c r="AM1434" t="s">
        <v>52</v>
      </c>
      <c r="AN1434" t="s">
        <v>53</v>
      </c>
    </row>
    <row r="1435" spans="1:40">
      <c r="A1435" t="s">
        <v>2370</v>
      </c>
      <c r="B1435" t="s">
        <v>5251</v>
      </c>
      <c r="C1435" t="s">
        <v>3198</v>
      </c>
      <c r="D1435" t="s">
        <v>5255</v>
      </c>
      <c r="E1435" t="s">
        <v>5256</v>
      </c>
      <c r="F1435" t="s">
        <v>45</v>
      </c>
      <c r="G1435" t="str">
        <f>HYPERLINK("https://www.reddit.com/r/aww/comments/c4evlr/this_is_hank_hank_is_34_for_a_horse_to_reach_34/?sort=new#thing_t1_erxd953")</f>
        <v>https://www.reddit.com/r/aww/comments/c4evlr/this_is_hank_hank_is_34_for_a_horse_to_reach_34/?sort=new#thing_t1_erxd953</v>
      </c>
      <c r="H1435" t="s">
        <v>46</v>
      </c>
      <c r="I1435" t="s">
        <v>5257</v>
      </c>
      <c r="J1435" t="str">
        <f>HYPERLINK("https://www.reddit.com/r/aww/comments/c4evlr/this_is_hank_hank_is_34_for_a_horse_to_reach_34/?sort=new#thing_t1_erxd953")</f>
        <v>https://www.reddit.com/r/aww/comments/c4evlr/this_is_hank_hank_is_34_for_a_horse_to_reach_34/?sort=new#thing_t1_erxd953</v>
      </c>
      <c r="N1435" t="s">
        <v>545</v>
      </c>
      <c r="O1435" t="s">
        <v>973</v>
      </c>
      <c r="P1435" t="str">
        <f>HYPERLINK("https://www.reddit.com/top/")</f>
        <v>https://www.reddit.com/top/</v>
      </c>
      <c r="R1435" t="s">
        <v>516</v>
      </c>
      <c r="S1435" t="s">
        <v>51</v>
      </c>
      <c r="AM1435" t="s">
        <v>52</v>
      </c>
      <c r="AN1435" t="s">
        <v>53</v>
      </c>
    </row>
    <row r="1436" spans="1:40">
      <c r="A1436" t="s">
        <v>2370</v>
      </c>
      <c r="B1436" t="s">
        <v>5258</v>
      </c>
      <c r="C1436" t="s">
        <v>5259</v>
      </c>
      <c r="D1436" t="s">
        <v>52</v>
      </c>
      <c r="E1436" t="s">
        <v>5159</v>
      </c>
      <c r="F1436" t="s">
        <v>45</v>
      </c>
      <c r="G1436" t="str">
        <f>HYPERLINK("https://twitter.com/1108760107867951104/status/1143217591927934984")</f>
        <v>https://twitter.com/1108760107867951104/status/1143217591927934984</v>
      </c>
      <c r="H1436" t="s">
        <v>46</v>
      </c>
      <c r="I1436" t="s">
        <v>5160</v>
      </c>
      <c r="J1436" t="str">
        <f>HYPERLINK("http://twitter.com/CatlakKafaaa")</f>
        <v>http://twitter.com/CatlakKafaaa</v>
      </c>
      <c r="K1436">
        <v>6035</v>
      </c>
      <c r="N1436" t="s">
        <v>65</v>
      </c>
      <c r="R1436" t="s">
        <v>60</v>
      </c>
      <c r="S1436" t="s">
        <v>5161</v>
      </c>
      <c r="W1436">
        <v>50</v>
      </c>
      <c r="X1436">
        <v>50</v>
      </c>
      <c r="AE1436">
        <v>1</v>
      </c>
      <c r="AF1436">
        <v>0</v>
      </c>
      <c r="AM1436" t="s">
        <v>52</v>
      </c>
      <c r="AN1436" t="s">
        <v>53</v>
      </c>
    </row>
    <row r="1437" spans="1:40">
      <c r="A1437" t="s">
        <v>2370</v>
      </c>
      <c r="B1437" t="s">
        <v>5260</v>
      </c>
      <c r="C1437" t="s">
        <v>4375</v>
      </c>
      <c r="D1437" t="s">
        <v>52</v>
      </c>
      <c r="E1437" t="s">
        <v>5261</v>
      </c>
      <c r="F1437" t="s">
        <v>45</v>
      </c>
      <c r="G1437" t="str">
        <f>HYPERLINK("https://www.facebook.com/1891150181215805/posts/2229641660699987")</f>
        <v>https://www.facebook.com/1891150181215805/posts/2229641660699987</v>
      </c>
      <c r="H1437" t="s">
        <v>46</v>
      </c>
      <c r="I1437" t="s">
        <v>5262</v>
      </c>
      <c r="J1437" t="str">
        <f>HYPERLINK("https://www.facebook.com/1891150181215805")</f>
        <v>https://www.facebook.com/1891150181215805</v>
      </c>
      <c r="K1437">
        <v>14559</v>
      </c>
      <c r="L1437" t="s">
        <v>651</v>
      </c>
      <c r="N1437" t="s">
        <v>1792</v>
      </c>
      <c r="O1437" t="s">
        <v>5262</v>
      </c>
      <c r="P1437" t="str">
        <f>HYPERLINK("https://www.facebook.com/1891150181215805")</f>
        <v>https://www.facebook.com/1891150181215805</v>
      </c>
      <c r="Q1437">
        <v>14559</v>
      </c>
      <c r="R1437" t="s">
        <v>60</v>
      </c>
      <c r="W1437">
        <v>25</v>
      </c>
      <c r="X1437">
        <v>8</v>
      </c>
      <c r="Y1437">
        <v>0</v>
      </c>
      <c r="Z1437">
        <v>17</v>
      </c>
      <c r="AA1437">
        <v>0</v>
      </c>
      <c r="AB1437">
        <v>0</v>
      </c>
      <c r="AC1437">
        <v>0</v>
      </c>
      <c r="AE1437">
        <v>0</v>
      </c>
      <c r="AF1437">
        <v>3</v>
      </c>
      <c r="AI1437" t="s">
        <v>52</v>
      </c>
      <c r="AJ1437" t="s">
        <v>461</v>
      </c>
      <c r="AK1437" t="s">
        <v>52</v>
      </c>
      <c r="AL1437" t="str">
        <f>HYPERLINK("https://scontent.xx.fbcdn.net/v/t1.0-9/s720x720/62247490_1838311642935060_8832320628968128512_n.jpg?_nc_cat=105&amp;_nc_ht=scontent.xx&amp;oh=1241b4d30217a0e9aa6ddeca2a75f76a&amp;oe=5D84EDB5")</f>
        <v>https://scontent.xx.fbcdn.net/v/t1.0-9/s720x720/62247490_1838311642935060_8832320628968128512_n.jpg?_nc_cat=105&amp;_nc_ht=scontent.xx&amp;oh=1241b4d30217a0e9aa6ddeca2a75f76a&amp;oe=5D84EDB5</v>
      </c>
      <c r="AM1437" t="s">
        <v>52</v>
      </c>
      <c r="AN1437" t="s">
        <v>53</v>
      </c>
    </row>
    <row r="1438" spans="1:40">
      <c r="A1438" t="s">
        <v>2370</v>
      </c>
      <c r="B1438" t="s">
        <v>5260</v>
      </c>
      <c r="C1438" t="s">
        <v>5252</v>
      </c>
      <c r="D1438" t="s">
        <v>5263</v>
      </c>
      <c r="E1438" t="s">
        <v>5264</v>
      </c>
      <c r="F1438" t="s">
        <v>45</v>
      </c>
      <c r="G1438" t="str">
        <f>HYPERLINK("https://www.youtube.com/watch?v=fZWfiFaho28")</f>
        <v>https://www.youtube.com/watch?v=fZWfiFaho28</v>
      </c>
      <c r="H1438" t="s">
        <v>46</v>
      </c>
      <c r="I1438" t="s">
        <v>5265</v>
      </c>
      <c r="J1438" t="str">
        <f>HYPERLINK("https://www.youtube.com/channel/UC5bWZDiWqXfDAUlMd1kvTyA")</f>
        <v>https://www.youtube.com/channel/UC5bWZDiWqXfDAUlMd1kvTyA</v>
      </c>
      <c r="K1438">
        <v>1</v>
      </c>
      <c r="N1438" t="s">
        <v>116</v>
      </c>
      <c r="O1438" t="s">
        <v>5265</v>
      </c>
      <c r="P1438" t="str">
        <f>HYPERLINK("https://www.youtube.com/channel/UC5bWZDiWqXfDAUlMd1kvTyA")</f>
        <v>https://www.youtube.com/channel/UC5bWZDiWqXfDAUlMd1kvTyA</v>
      </c>
      <c r="Q1438">
        <v>1</v>
      </c>
      <c r="R1438" t="s">
        <v>60</v>
      </c>
      <c r="W1438">
        <v>1</v>
      </c>
      <c r="X1438">
        <v>1</v>
      </c>
      <c r="AD1438">
        <v>0</v>
      </c>
      <c r="AE1438">
        <v>0</v>
      </c>
      <c r="AG1438">
        <v>3</v>
      </c>
      <c r="AI1438" t="s">
        <v>52</v>
      </c>
      <c r="AJ1438" t="s">
        <v>52</v>
      </c>
      <c r="AK1438" t="s">
        <v>52</v>
      </c>
      <c r="AL1438" t="str">
        <f>HYPERLINK("https://i.ytimg.com/vi/fZWfiFaho28/hqdefault.jpg")</f>
        <v>https://i.ytimg.com/vi/fZWfiFaho28/hqdefault.jpg</v>
      </c>
      <c r="AM1438" t="s">
        <v>52</v>
      </c>
      <c r="AN1438" t="s">
        <v>53</v>
      </c>
    </row>
    <row r="1439" spans="1:40">
      <c r="A1439" t="s">
        <v>2370</v>
      </c>
      <c r="B1439" t="s">
        <v>5260</v>
      </c>
      <c r="C1439" t="s">
        <v>5266</v>
      </c>
      <c r="D1439" t="s">
        <v>52</v>
      </c>
      <c r="E1439" t="s">
        <v>5267</v>
      </c>
      <c r="F1439" t="s">
        <v>45</v>
      </c>
      <c r="G1439" t="str">
        <f>HYPERLINK("https://www.instagram.com/p/BzGg6cAntFj")</f>
        <v>https://www.instagram.com/p/BzGg6cAntFj</v>
      </c>
      <c r="H1439" t="s">
        <v>46</v>
      </c>
      <c r="I1439" t="s">
        <v>5268</v>
      </c>
      <c r="J1439" t="str">
        <f>HYPERLINK("http://instagram.com/_just.a.vampette_")</f>
        <v>http://instagram.com/_just.a.vampette_</v>
      </c>
      <c r="K1439">
        <v>6838</v>
      </c>
      <c r="N1439" t="s">
        <v>59</v>
      </c>
      <c r="O1439" t="s">
        <v>5268</v>
      </c>
      <c r="P1439" t="str">
        <f>HYPERLINK("http://instagram.com/_just.a.vampette_")</f>
        <v>http://instagram.com/_just.a.vampette_</v>
      </c>
      <c r="Q1439">
        <v>6838</v>
      </c>
      <c r="R1439" t="s">
        <v>60</v>
      </c>
      <c r="W1439">
        <v>203</v>
      </c>
      <c r="X1439">
        <v>203</v>
      </c>
      <c r="AE1439">
        <v>13</v>
      </c>
      <c r="AI1439" t="s">
        <v>52</v>
      </c>
      <c r="AJ1439" t="s">
        <v>703</v>
      </c>
      <c r="AK1439" t="s">
        <v>52</v>
      </c>
      <c r="AL1439" t="str">
        <f>HYPERLINK("https://www.instagram.com/p/BzGg6cAntFj/media/?size=l")</f>
        <v>https://www.instagram.com/p/BzGg6cAntFj/media/?size=l</v>
      </c>
      <c r="AM1439" t="s">
        <v>52</v>
      </c>
      <c r="AN1439" t="s">
        <v>53</v>
      </c>
    </row>
    <row r="1440" spans="1:40">
      <c r="A1440" t="s">
        <v>2370</v>
      </c>
      <c r="B1440" t="s">
        <v>5269</v>
      </c>
      <c r="C1440" t="s">
        <v>5270</v>
      </c>
      <c r="D1440" t="s">
        <v>52</v>
      </c>
      <c r="E1440" t="s">
        <v>1194</v>
      </c>
      <c r="F1440" t="s">
        <v>131</v>
      </c>
      <c r="G1440" t="str">
        <f>HYPERLINK("https://twitter.com/878346339859476480/status/1143216968146833411")</f>
        <v>https://twitter.com/878346339859476480/status/1143216968146833411</v>
      </c>
      <c r="H1440" t="s">
        <v>46</v>
      </c>
      <c r="I1440" t="s">
        <v>52</v>
      </c>
      <c r="J1440" t="str">
        <f>HYPERLINK("http://twitter.com/is_a_bells")</f>
        <v>http://twitter.com/is_a_bells</v>
      </c>
      <c r="K1440">
        <v>40</v>
      </c>
      <c r="N1440" t="s">
        <v>65</v>
      </c>
      <c r="R1440" t="s">
        <v>60</v>
      </c>
      <c r="S1440" t="s">
        <v>51</v>
      </c>
      <c r="T1440" t="s">
        <v>152</v>
      </c>
      <c r="U1440" t="s">
        <v>1958</v>
      </c>
      <c r="W1440">
        <v>0</v>
      </c>
      <c r="X1440">
        <v>0</v>
      </c>
      <c r="AE1440">
        <v>0</v>
      </c>
      <c r="AI1440" t="s">
        <v>52</v>
      </c>
      <c r="AJ1440" t="s">
        <v>1196</v>
      </c>
      <c r="AK1440" t="s">
        <v>52</v>
      </c>
      <c r="AL1440" t="str">
        <f>HYPERLINK("https://pbs.twimg.com/media/D9xgk2YXkAAd2ql.jpg")</f>
        <v>https://pbs.twimg.com/media/D9xgk2YXkAAd2ql.jpg</v>
      </c>
      <c r="AM1440" t="s">
        <v>52</v>
      </c>
      <c r="AN1440" t="s">
        <v>53</v>
      </c>
    </row>
    <row r="1441" spans="1:40">
      <c r="A1441" t="s">
        <v>2370</v>
      </c>
      <c r="B1441" t="s">
        <v>5269</v>
      </c>
      <c r="C1441" t="s">
        <v>5243</v>
      </c>
      <c r="D1441" t="s">
        <v>5271</v>
      </c>
      <c r="E1441" t="s">
        <v>5272</v>
      </c>
      <c r="F1441" t="s">
        <v>45</v>
      </c>
      <c r="G1441" t="str">
        <f>HYPERLINK("https://www.youtube.com/watch?v=MIDfCNL1hXg")</f>
        <v>https://www.youtube.com/watch?v=MIDfCNL1hXg</v>
      </c>
      <c r="H1441" t="s">
        <v>215</v>
      </c>
      <c r="I1441" t="s">
        <v>5273</v>
      </c>
      <c r="J1441" t="str">
        <f>HYPERLINK("https://www.youtube.com/channel/UCJEumSDMCze-qi7Dbq5z9Kw")</f>
        <v>https://www.youtube.com/channel/UCJEumSDMCze-qi7Dbq5z9Kw</v>
      </c>
      <c r="K1441">
        <v>3</v>
      </c>
      <c r="N1441" t="s">
        <v>116</v>
      </c>
      <c r="O1441" t="s">
        <v>5273</v>
      </c>
      <c r="P1441" t="str">
        <f>HYPERLINK("https://www.youtube.com/channel/UCJEumSDMCze-qi7Dbq5z9Kw")</f>
        <v>https://www.youtube.com/channel/UCJEumSDMCze-qi7Dbq5z9Kw</v>
      </c>
      <c r="Q1441">
        <v>3</v>
      </c>
      <c r="R1441" t="s">
        <v>60</v>
      </c>
      <c r="W1441">
        <v>1</v>
      </c>
      <c r="X1441">
        <v>1</v>
      </c>
      <c r="AD1441">
        <v>0</v>
      </c>
      <c r="AE1441">
        <v>0</v>
      </c>
      <c r="AG1441">
        <v>2</v>
      </c>
      <c r="AI1441" t="s">
        <v>52</v>
      </c>
      <c r="AJ1441" t="s">
        <v>2985</v>
      </c>
      <c r="AK1441" t="s">
        <v>52</v>
      </c>
      <c r="AL1441" t="str">
        <f>HYPERLINK("https://i.ytimg.com/vi/MIDfCNL1hXg/sddefault.jpg")</f>
        <v>https://i.ytimg.com/vi/MIDfCNL1hXg/sddefault.jpg</v>
      </c>
      <c r="AM1441" t="s">
        <v>52</v>
      </c>
      <c r="AN1441" t="s">
        <v>53</v>
      </c>
    </row>
    <row r="1442" spans="1:40">
      <c r="A1442" t="s">
        <v>2370</v>
      </c>
      <c r="B1442" t="s">
        <v>5269</v>
      </c>
      <c r="C1442" t="s">
        <v>5274</v>
      </c>
      <c r="D1442" t="s">
        <v>52</v>
      </c>
      <c r="E1442" t="s">
        <v>5275</v>
      </c>
      <c r="F1442" t="s">
        <v>95</v>
      </c>
      <c r="G1442" t="str">
        <f>HYPERLINK("https://twitter.com/879134833/status/1143216831173468165")</f>
        <v>https://twitter.com/879134833/status/1143216831173468165</v>
      </c>
      <c r="H1442" t="s">
        <v>46</v>
      </c>
      <c r="I1442" t="s">
        <v>5276</v>
      </c>
      <c r="J1442" t="str">
        <f>HYPERLINK("http://twitter.com/MDSebach")</f>
        <v>http://twitter.com/MDSebach</v>
      </c>
      <c r="K1442">
        <v>2364</v>
      </c>
      <c r="L1442" t="s">
        <v>48</v>
      </c>
      <c r="N1442" t="s">
        <v>65</v>
      </c>
      <c r="R1442" t="s">
        <v>60</v>
      </c>
      <c r="S1442" t="s">
        <v>51</v>
      </c>
      <c r="T1442" t="s">
        <v>3290</v>
      </c>
      <c r="U1442" t="s">
        <v>5277</v>
      </c>
      <c r="W1442">
        <v>0</v>
      </c>
      <c r="X1442">
        <v>0</v>
      </c>
      <c r="AE1442">
        <v>2</v>
      </c>
      <c r="AF1442">
        <v>0</v>
      </c>
      <c r="AM1442" t="s">
        <v>52</v>
      </c>
      <c r="AN1442" t="s">
        <v>53</v>
      </c>
    </row>
    <row r="1443" spans="1:40">
      <c r="A1443" t="s">
        <v>2370</v>
      </c>
      <c r="B1443" t="s">
        <v>5278</v>
      </c>
      <c r="C1443" t="s">
        <v>5279</v>
      </c>
      <c r="D1443" t="s">
        <v>5280</v>
      </c>
      <c r="E1443" t="s">
        <v>5281</v>
      </c>
      <c r="F1443" t="s">
        <v>45</v>
      </c>
      <c r="G1443" t="str">
        <f>HYPERLINK("https://www.youtube.com/watch?v=01VDyNCLd_U")</f>
        <v>https://www.youtube.com/watch?v=01VDyNCLd_U</v>
      </c>
      <c r="H1443" t="s">
        <v>46</v>
      </c>
      <c r="I1443" t="s">
        <v>5282</v>
      </c>
      <c r="J1443" t="str">
        <f>HYPERLINK("https://www.youtube.com/channel/UC8s8Sur2GlGW6R6yZZE3_Mg")</f>
        <v>https://www.youtube.com/channel/UC8s8Sur2GlGW6R6yZZE3_Mg</v>
      </c>
      <c r="K1443">
        <v>61</v>
      </c>
      <c r="N1443" t="s">
        <v>116</v>
      </c>
      <c r="O1443" t="s">
        <v>5282</v>
      </c>
      <c r="P1443" t="str">
        <f>HYPERLINK("https://www.youtube.com/channel/UC8s8Sur2GlGW6R6yZZE3_Mg")</f>
        <v>https://www.youtube.com/channel/UC8s8Sur2GlGW6R6yZZE3_Mg</v>
      </c>
      <c r="Q1443">
        <v>61</v>
      </c>
      <c r="R1443" t="s">
        <v>60</v>
      </c>
      <c r="W1443">
        <v>0</v>
      </c>
      <c r="X1443">
        <v>0</v>
      </c>
      <c r="AD1443">
        <v>0</v>
      </c>
      <c r="AE1443">
        <v>0</v>
      </c>
      <c r="AG1443">
        <v>0</v>
      </c>
      <c r="AI1443" t="s">
        <v>52</v>
      </c>
      <c r="AJ1443" t="s">
        <v>2985</v>
      </c>
      <c r="AK1443" t="s">
        <v>2986</v>
      </c>
      <c r="AL1443" t="str">
        <f>HYPERLINK("https://i.ytimg.com/vi/01VDyNCLd_U/maxresdefault_live.jpg")</f>
        <v>https://i.ytimg.com/vi/01VDyNCLd_U/maxresdefault_live.jpg</v>
      </c>
      <c r="AM1443" t="s">
        <v>52</v>
      </c>
      <c r="AN1443" t="s">
        <v>53</v>
      </c>
    </row>
    <row r="1444" spans="1:40">
      <c r="A1444" t="s">
        <v>2370</v>
      </c>
      <c r="B1444" t="s">
        <v>5283</v>
      </c>
      <c r="C1444" t="s">
        <v>1972</v>
      </c>
      <c r="D1444" t="s">
        <v>52</v>
      </c>
      <c r="E1444" t="s">
        <v>5284</v>
      </c>
      <c r="F1444" t="s">
        <v>45</v>
      </c>
      <c r="G1444" t="str">
        <f>HYPERLINK("https://www.instagram.com/p/BzGgCnBJ4FL")</f>
        <v>https://www.instagram.com/p/BzGgCnBJ4FL</v>
      </c>
      <c r="H1444" t="s">
        <v>46</v>
      </c>
      <c r="I1444" t="s">
        <v>5285</v>
      </c>
      <c r="J1444" t="str">
        <f>HYPERLINK("http://instagram.com/indiespens")</f>
        <v>http://instagram.com/indiespens</v>
      </c>
      <c r="K1444">
        <v>259</v>
      </c>
      <c r="N1444" t="s">
        <v>59</v>
      </c>
      <c r="O1444" t="s">
        <v>5285</v>
      </c>
      <c r="P1444" t="str">
        <f>HYPERLINK("http://instagram.com/indiespens")</f>
        <v>http://instagram.com/indiespens</v>
      </c>
      <c r="Q1444">
        <v>259</v>
      </c>
      <c r="R1444" t="s">
        <v>60</v>
      </c>
      <c r="W1444">
        <v>6</v>
      </c>
      <c r="X1444">
        <v>6</v>
      </c>
      <c r="AE1444">
        <v>0</v>
      </c>
      <c r="AI1444" t="s">
        <v>108</v>
      </c>
      <c r="AJ1444" t="s">
        <v>5286</v>
      </c>
      <c r="AK1444" t="s">
        <v>52</v>
      </c>
      <c r="AL1444" t="str">
        <f>HYPERLINK("https://www.instagram.com/p/BzGgCnBJ4FL/media/?size=l")</f>
        <v>https://www.instagram.com/p/BzGgCnBJ4FL/media/?size=l</v>
      </c>
      <c r="AM1444" t="s">
        <v>52</v>
      </c>
      <c r="AN1444" t="s">
        <v>53</v>
      </c>
    </row>
    <row r="1445" spans="1:40">
      <c r="A1445" t="s">
        <v>2370</v>
      </c>
      <c r="B1445" t="s">
        <v>5283</v>
      </c>
      <c r="C1445" t="s">
        <v>5287</v>
      </c>
      <c r="D1445" t="s">
        <v>52</v>
      </c>
      <c r="E1445" t="s">
        <v>5288</v>
      </c>
      <c r="F1445" t="s">
        <v>45</v>
      </c>
      <c r="G1445" t="str">
        <f>HYPERLINK("https://www.instagram.com/p/BzGgCixAkg7")</f>
        <v>https://www.instagram.com/p/BzGgCixAkg7</v>
      </c>
      <c r="H1445" t="s">
        <v>215</v>
      </c>
      <c r="I1445" t="s">
        <v>5289</v>
      </c>
      <c r="J1445" t="str">
        <f>HYPERLINK("http://instagram.com/louiethefatcatz")</f>
        <v>http://instagram.com/louiethefatcatz</v>
      </c>
      <c r="K1445">
        <v>21</v>
      </c>
      <c r="N1445" t="s">
        <v>59</v>
      </c>
      <c r="O1445" t="s">
        <v>5289</v>
      </c>
      <c r="P1445" t="str">
        <f>HYPERLINK("http://instagram.com/louiethefatcatz")</f>
        <v>http://instagram.com/louiethefatcatz</v>
      </c>
      <c r="Q1445">
        <v>21</v>
      </c>
      <c r="R1445" t="s">
        <v>60</v>
      </c>
      <c r="W1445">
        <v>14</v>
      </c>
      <c r="X1445">
        <v>14</v>
      </c>
      <c r="AE1445">
        <v>2</v>
      </c>
      <c r="AI1445" t="s">
        <v>52</v>
      </c>
      <c r="AJ1445" t="s">
        <v>1196</v>
      </c>
      <c r="AK1445" t="s">
        <v>52</v>
      </c>
      <c r="AL1445" t="str">
        <f>HYPERLINK("https://www.instagram.com/p/BzGgCixAkg7/media/?size=l")</f>
        <v>https://www.instagram.com/p/BzGgCixAkg7/media/?size=l</v>
      </c>
      <c r="AM1445" t="s">
        <v>52</v>
      </c>
      <c r="AN1445" t="s">
        <v>53</v>
      </c>
    </row>
    <row r="1446" spans="1:40">
      <c r="A1446" t="s">
        <v>2370</v>
      </c>
      <c r="B1446" t="s">
        <v>5283</v>
      </c>
      <c r="C1446" t="s">
        <v>5274</v>
      </c>
      <c r="D1446" t="s">
        <v>52</v>
      </c>
      <c r="E1446" t="s">
        <v>5290</v>
      </c>
      <c r="F1446" t="s">
        <v>131</v>
      </c>
      <c r="G1446" t="str">
        <f>HYPERLINK("https://twitter.com/852180702275788800/status/1143215304102830081")</f>
        <v>https://twitter.com/852180702275788800/status/1143215304102830081</v>
      </c>
      <c r="H1446" t="s">
        <v>46</v>
      </c>
      <c r="I1446" t="s">
        <v>5291</v>
      </c>
      <c r="J1446" t="str">
        <f>HYPERLINK("http://twitter.com/julii_montu")</f>
        <v>http://twitter.com/julii_montu</v>
      </c>
      <c r="K1446">
        <v>660</v>
      </c>
      <c r="N1446" t="s">
        <v>65</v>
      </c>
      <c r="R1446" t="s">
        <v>60</v>
      </c>
      <c r="S1446" t="s">
        <v>701</v>
      </c>
      <c r="T1446" t="s">
        <v>2528</v>
      </c>
      <c r="U1446" t="s">
        <v>2816</v>
      </c>
      <c r="W1446">
        <v>0</v>
      </c>
      <c r="X1446">
        <v>0</v>
      </c>
      <c r="AE1446">
        <v>0</v>
      </c>
      <c r="AM1446" t="s">
        <v>52</v>
      </c>
      <c r="AN1446" t="s">
        <v>53</v>
      </c>
    </row>
    <row r="1447" spans="1:40">
      <c r="A1447" t="s">
        <v>2370</v>
      </c>
      <c r="B1447" t="s">
        <v>5283</v>
      </c>
      <c r="C1447" t="s">
        <v>5236</v>
      </c>
      <c r="D1447" t="s">
        <v>5151</v>
      </c>
      <c r="E1447" t="s">
        <v>5292</v>
      </c>
      <c r="F1447" t="s">
        <v>95</v>
      </c>
      <c r="G1447" t="str">
        <f>HYPERLINK("https://the-avocado.org/2019/06/24/the-day-thread-dresses-in-drag-and-does-the-hula/#comment-4514429301")</f>
        <v>https://the-avocado.org/2019/06/24/the-day-thread-dresses-in-drag-and-does-the-hula/#comment-4514429301</v>
      </c>
      <c r="H1447" t="s">
        <v>46</v>
      </c>
      <c r="I1447" t="s">
        <v>5293</v>
      </c>
      <c r="J1447" t="str">
        <f>HYPERLINK("https://disqus.com/by/andrewlaffin/")</f>
        <v>https://disqus.com/by/andrewlaffin/</v>
      </c>
      <c r="K1447">
        <v>0</v>
      </c>
      <c r="N1447" t="s">
        <v>5154</v>
      </c>
      <c r="O1447" t="s">
        <v>5155</v>
      </c>
      <c r="P1447" t="str">
        <f>HYPERLINK("https://disqus.com/home/forum/avocadotesting/")</f>
        <v>https://disqus.com/home/forum/avocadotesting/</v>
      </c>
      <c r="R1447" t="s">
        <v>50</v>
      </c>
      <c r="W1447">
        <v>1</v>
      </c>
      <c r="X1447">
        <v>1</v>
      </c>
      <c r="AM1447" t="s">
        <v>52</v>
      </c>
      <c r="AN1447" t="s">
        <v>53</v>
      </c>
    </row>
    <row r="1448" spans="1:40">
      <c r="A1448" t="s">
        <v>2370</v>
      </c>
      <c r="B1448" t="s">
        <v>5283</v>
      </c>
      <c r="C1448" t="s">
        <v>5279</v>
      </c>
      <c r="D1448" t="s">
        <v>52</v>
      </c>
      <c r="E1448" t="s">
        <v>1194</v>
      </c>
      <c r="F1448" t="s">
        <v>131</v>
      </c>
      <c r="G1448" t="str">
        <f>HYPERLINK("https://twitter.com/367999852/status/1143215225656754176")</f>
        <v>https://twitter.com/367999852/status/1143215225656754176</v>
      </c>
      <c r="H1448" t="s">
        <v>46</v>
      </c>
      <c r="I1448" t="s">
        <v>5294</v>
      </c>
      <c r="J1448" t="str">
        <f>HYPERLINK("http://twitter.com/eleenamulli")</f>
        <v>http://twitter.com/eleenamulli</v>
      </c>
      <c r="K1448">
        <v>868</v>
      </c>
      <c r="N1448" t="s">
        <v>65</v>
      </c>
      <c r="R1448" t="s">
        <v>60</v>
      </c>
      <c r="W1448">
        <v>0</v>
      </c>
      <c r="X1448">
        <v>0</v>
      </c>
      <c r="AE1448">
        <v>0</v>
      </c>
      <c r="AI1448" t="s">
        <v>52</v>
      </c>
      <c r="AJ1448" t="s">
        <v>1196</v>
      </c>
      <c r="AK1448" t="s">
        <v>52</v>
      </c>
      <c r="AL1448" t="str">
        <f>HYPERLINK("https://pbs.twimg.com/media/D9xgk2YXkAAd2ql.jpg")</f>
        <v>https://pbs.twimg.com/media/D9xgk2YXkAAd2ql.jpg</v>
      </c>
      <c r="AM1448" t="s">
        <v>52</v>
      </c>
      <c r="AN1448" t="s">
        <v>53</v>
      </c>
    </row>
    <row r="1449" spans="1:40">
      <c r="A1449" t="s">
        <v>2370</v>
      </c>
      <c r="B1449" t="s">
        <v>5295</v>
      </c>
      <c r="C1449" t="s">
        <v>5279</v>
      </c>
      <c r="D1449" t="s">
        <v>52</v>
      </c>
      <c r="E1449" t="s">
        <v>1194</v>
      </c>
      <c r="F1449" t="s">
        <v>131</v>
      </c>
      <c r="G1449" t="str">
        <f>HYPERLINK("https://twitter.com/776625876158992384/status/1143215204664139776")</f>
        <v>https://twitter.com/776625876158992384/status/1143215204664139776</v>
      </c>
      <c r="H1449" t="s">
        <v>46</v>
      </c>
      <c r="I1449" t="s">
        <v>5296</v>
      </c>
      <c r="J1449" t="str">
        <f>HYPERLINK("http://twitter.com/mosyicat")</f>
        <v>http://twitter.com/mosyicat</v>
      </c>
      <c r="K1449">
        <v>138</v>
      </c>
      <c r="N1449" t="s">
        <v>65</v>
      </c>
      <c r="R1449" t="s">
        <v>60</v>
      </c>
      <c r="W1449">
        <v>0</v>
      </c>
      <c r="X1449">
        <v>0</v>
      </c>
      <c r="AE1449">
        <v>0</v>
      </c>
      <c r="AI1449" t="s">
        <v>52</v>
      </c>
      <c r="AJ1449" t="s">
        <v>1196</v>
      </c>
      <c r="AK1449" t="s">
        <v>52</v>
      </c>
      <c r="AL1449" t="str">
        <f>HYPERLINK("https://pbs.twimg.com/media/D9xgk2YXkAAd2ql.jpg")</f>
        <v>https://pbs.twimg.com/media/D9xgk2YXkAAd2ql.jpg</v>
      </c>
      <c r="AM1449" t="s">
        <v>52</v>
      </c>
      <c r="AN1449" t="s">
        <v>53</v>
      </c>
    </row>
    <row r="1450" spans="1:40">
      <c r="A1450" t="s">
        <v>2370</v>
      </c>
      <c r="B1450" t="s">
        <v>5295</v>
      </c>
      <c r="C1450" t="s">
        <v>5297</v>
      </c>
      <c r="D1450" t="s">
        <v>52</v>
      </c>
      <c r="E1450" t="s">
        <v>5298</v>
      </c>
      <c r="F1450" t="s">
        <v>45</v>
      </c>
      <c r="G1450" t="str">
        <f>HYPERLINK("https://www.instagram.com/p/BzGf2usHYhV")</f>
        <v>https://www.instagram.com/p/BzGf2usHYhV</v>
      </c>
      <c r="H1450" t="s">
        <v>46</v>
      </c>
      <c r="I1450" t="s">
        <v>5299</v>
      </c>
      <c r="J1450" t="str">
        <f>HYPERLINK("http://instagram.com/poptartrestart")</f>
        <v>http://instagram.com/poptartrestart</v>
      </c>
      <c r="K1450">
        <v>170</v>
      </c>
      <c r="N1450" t="s">
        <v>59</v>
      </c>
      <c r="O1450" t="s">
        <v>5299</v>
      </c>
      <c r="P1450" t="str">
        <f>HYPERLINK("http://instagram.com/poptartrestart")</f>
        <v>http://instagram.com/poptartrestart</v>
      </c>
      <c r="Q1450">
        <v>170</v>
      </c>
      <c r="R1450" t="s">
        <v>60</v>
      </c>
      <c r="W1450">
        <v>35</v>
      </c>
      <c r="X1450">
        <v>35</v>
      </c>
      <c r="AE1450">
        <v>17</v>
      </c>
      <c r="AG1450">
        <v>95</v>
      </c>
      <c r="AI1450" t="s">
        <v>52</v>
      </c>
      <c r="AJ1450" t="s">
        <v>1536</v>
      </c>
      <c r="AK1450" t="s">
        <v>52</v>
      </c>
      <c r="AL1450" t="str">
        <f>HYPERLINK("https://www.instagram.com/p/BzGf2usHYhV/media/?size=l")</f>
        <v>https://www.instagram.com/p/BzGf2usHYhV/media/?size=l</v>
      </c>
      <c r="AM1450" t="s">
        <v>52</v>
      </c>
      <c r="AN1450" t="s">
        <v>53</v>
      </c>
    </row>
    <row r="1451" spans="1:40">
      <c r="A1451" t="s">
        <v>2370</v>
      </c>
      <c r="B1451" t="s">
        <v>5295</v>
      </c>
      <c r="C1451" t="s">
        <v>5300</v>
      </c>
      <c r="D1451" t="s">
        <v>52</v>
      </c>
      <c r="E1451" t="s">
        <v>5301</v>
      </c>
      <c r="F1451" t="s">
        <v>45</v>
      </c>
      <c r="G1451" t="str">
        <f>HYPERLINK("https://twitter.com/1472753744/status/1143215000615555073")</f>
        <v>https://twitter.com/1472753744/status/1143215000615555073</v>
      </c>
      <c r="H1451" t="s">
        <v>46</v>
      </c>
      <c r="I1451" t="s">
        <v>5302</v>
      </c>
      <c r="J1451" t="str">
        <f>HYPERLINK("http://twitter.com/sloloanpro")</f>
        <v>http://twitter.com/sloloanpro</v>
      </c>
      <c r="K1451">
        <v>10</v>
      </c>
      <c r="L1451" t="s">
        <v>58</v>
      </c>
      <c r="N1451" t="s">
        <v>65</v>
      </c>
      <c r="R1451" t="s">
        <v>60</v>
      </c>
      <c r="W1451">
        <v>0</v>
      </c>
      <c r="X1451">
        <v>0</v>
      </c>
      <c r="AE1451">
        <v>0</v>
      </c>
      <c r="AF1451">
        <v>0</v>
      </c>
      <c r="AM1451" t="s">
        <v>52</v>
      </c>
      <c r="AN1451" t="s">
        <v>53</v>
      </c>
    </row>
    <row r="1452" spans="1:40">
      <c r="A1452" t="s">
        <v>2370</v>
      </c>
      <c r="B1452" t="s">
        <v>5303</v>
      </c>
      <c r="C1452" t="s">
        <v>5236</v>
      </c>
      <c r="D1452" t="s">
        <v>5151</v>
      </c>
      <c r="E1452" t="s">
        <v>5304</v>
      </c>
      <c r="F1452" t="s">
        <v>95</v>
      </c>
      <c r="G1452" t="str">
        <f>HYPERLINK("https://the-avocado.org/2019/06/24/the-day-thread-dresses-in-drag-and-does-the-hula/#comment-4514426703")</f>
        <v>https://the-avocado.org/2019/06/24/the-day-thread-dresses-in-drag-and-does-the-hula/#comment-4514426703</v>
      </c>
      <c r="H1452" t="s">
        <v>46</v>
      </c>
      <c r="I1452" t="s">
        <v>5305</v>
      </c>
      <c r="J1452" t="str">
        <f>HYPERLINK("https://disqus.com/by/Councilman_Les_Wynan/")</f>
        <v>https://disqus.com/by/Councilman_Les_Wynan/</v>
      </c>
      <c r="K1452">
        <v>7</v>
      </c>
      <c r="N1452" t="s">
        <v>5154</v>
      </c>
      <c r="O1452" t="s">
        <v>5155</v>
      </c>
      <c r="P1452" t="str">
        <f>HYPERLINK("https://disqus.com/home/forum/avocadotesting/")</f>
        <v>https://disqus.com/home/forum/avocadotesting/</v>
      </c>
      <c r="R1452" t="s">
        <v>50</v>
      </c>
      <c r="W1452">
        <v>2</v>
      </c>
      <c r="X1452">
        <v>2</v>
      </c>
      <c r="AM1452" t="s">
        <v>52</v>
      </c>
      <c r="AN1452" t="s">
        <v>53</v>
      </c>
    </row>
    <row r="1453" spans="1:40">
      <c r="A1453" t="s">
        <v>2370</v>
      </c>
      <c r="B1453" t="s">
        <v>5306</v>
      </c>
      <c r="C1453" t="s">
        <v>5300</v>
      </c>
      <c r="D1453" t="s">
        <v>52</v>
      </c>
      <c r="E1453" t="s">
        <v>130</v>
      </c>
      <c r="F1453" t="s">
        <v>131</v>
      </c>
      <c r="G1453" t="str">
        <f>HYPERLINK("https://twitter.com/734683754732617728/status/1143214639867674631")</f>
        <v>https://twitter.com/734683754732617728/status/1143214639867674631</v>
      </c>
      <c r="H1453" t="s">
        <v>46</v>
      </c>
      <c r="I1453" t="s">
        <v>5307</v>
      </c>
      <c r="J1453" t="str">
        <f>HYPERLINK("http://twitter.com/carlychoc2")</f>
        <v>http://twitter.com/carlychoc2</v>
      </c>
      <c r="K1453">
        <v>744</v>
      </c>
      <c r="N1453" t="s">
        <v>65</v>
      </c>
      <c r="R1453" t="s">
        <v>60</v>
      </c>
      <c r="S1453" t="s">
        <v>97</v>
      </c>
      <c r="T1453" t="s">
        <v>177</v>
      </c>
      <c r="U1453" t="s">
        <v>2031</v>
      </c>
      <c r="W1453">
        <v>0</v>
      </c>
      <c r="X1453">
        <v>0</v>
      </c>
      <c r="AE1453">
        <v>0</v>
      </c>
      <c r="AI1453" t="s">
        <v>108</v>
      </c>
      <c r="AJ1453" t="s">
        <v>52</v>
      </c>
      <c r="AK1453" t="s">
        <v>52</v>
      </c>
      <c r="AL1453" t="str">
        <f>HYPERLINK("https://pbs.twimg.com/media/D9XTkLWW4AAOYnJ.jpg")</f>
        <v>https://pbs.twimg.com/media/D9XTkLWW4AAOYnJ.jpg</v>
      </c>
      <c r="AM1453" t="s">
        <v>52</v>
      </c>
      <c r="AN1453" t="s">
        <v>53</v>
      </c>
    </row>
    <row r="1454" spans="1:40">
      <c r="A1454" t="s">
        <v>2370</v>
      </c>
      <c r="B1454" t="s">
        <v>5308</v>
      </c>
      <c r="C1454" t="s">
        <v>2883</v>
      </c>
      <c r="D1454" t="s">
        <v>5309</v>
      </c>
      <c r="E1454" t="s">
        <v>5310</v>
      </c>
      <c r="F1454" t="s">
        <v>45</v>
      </c>
      <c r="G1454" t="str">
        <f>HYPERLINK("https://www.youtube.com/watch?v=NMsO55wnSy0")</f>
        <v>https://www.youtube.com/watch?v=NMsO55wnSy0</v>
      </c>
      <c r="H1454" t="s">
        <v>46</v>
      </c>
      <c r="I1454" t="s">
        <v>5311</v>
      </c>
      <c r="J1454" t="str">
        <f>HYPERLINK("https://www.youtube.com/channel/UCHGfuSIXwgTkSYmMiHPMWbQ")</f>
        <v>https://www.youtube.com/channel/UCHGfuSIXwgTkSYmMiHPMWbQ</v>
      </c>
      <c r="K1454">
        <v>25</v>
      </c>
      <c r="N1454" t="s">
        <v>116</v>
      </c>
      <c r="O1454" t="s">
        <v>5311</v>
      </c>
      <c r="P1454" t="str">
        <f>HYPERLINK("https://www.youtube.com/channel/UCHGfuSIXwgTkSYmMiHPMWbQ")</f>
        <v>https://www.youtube.com/channel/UCHGfuSIXwgTkSYmMiHPMWbQ</v>
      </c>
      <c r="Q1454">
        <v>25</v>
      </c>
      <c r="R1454" t="s">
        <v>60</v>
      </c>
      <c r="W1454">
        <v>5</v>
      </c>
      <c r="X1454">
        <v>5</v>
      </c>
      <c r="AD1454">
        <v>0</v>
      </c>
      <c r="AE1454">
        <v>4</v>
      </c>
      <c r="AG1454">
        <v>33</v>
      </c>
      <c r="AI1454" t="s">
        <v>108</v>
      </c>
      <c r="AJ1454" t="s">
        <v>52</v>
      </c>
      <c r="AK1454" t="s">
        <v>52</v>
      </c>
      <c r="AL1454" t="str">
        <f>HYPERLINK("https://i.ytimg.com/vi/NMsO55wnSy0/maxresdefault.jpg")</f>
        <v>https://i.ytimg.com/vi/NMsO55wnSy0/maxresdefault.jpg</v>
      </c>
      <c r="AM1454" t="s">
        <v>52</v>
      </c>
      <c r="AN1454" t="s">
        <v>53</v>
      </c>
    </row>
    <row r="1455" spans="1:40">
      <c r="A1455" t="s">
        <v>2370</v>
      </c>
      <c r="B1455" t="s">
        <v>5312</v>
      </c>
      <c r="C1455" t="s">
        <v>5313</v>
      </c>
      <c r="D1455" t="s">
        <v>52</v>
      </c>
      <c r="E1455" t="s">
        <v>5314</v>
      </c>
      <c r="F1455" t="s">
        <v>95</v>
      </c>
      <c r="G1455" t="str">
        <f>HYPERLINK("https://twitter.com/48233388/status/1143214150522494976")</f>
        <v>https://twitter.com/48233388/status/1143214150522494976</v>
      </c>
      <c r="H1455" t="s">
        <v>46</v>
      </c>
      <c r="I1455" t="s">
        <v>5315</v>
      </c>
      <c r="J1455" t="str">
        <f>HYPERLINK("http://twitter.com/ramiroJBfan")</f>
        <v>http://twitter.com/ramiroJBfan</v>
      </c>
      <c r="K1455">
        <v>869</v>
      </c>
      <c r="N1455" t="s">
        <v>65</v>
      </c>
      <c r="R1455" t="s">
        <v>60</v>
      </c>
      <c r="S1455" t="s">
        <v>51</v>
      </c>
      <c r="T1455" t="s">
        <v>5316</v>
      </c>
      <c r="W1455">
        <v>0</v>
      </c>
      <c r="X1455">
        <v>0</v>
      </c>
      <c r="AE1455">
        <v>0</v>
      </c>
      <c r="AF1455">
        <v>0</v>
      </c>
      <c r="AM1455" t="s">
        <v>52</v>
      </c>
      <c r="AN1455" t="s">
        <v>53</v>
      </c>
    </row>
    <row r="1456" spans="1:40">
      <c r="A1456" t="s">
        <v>2370</v>
      </c>
      <c r="B1456" t="s">
        <v>5317</v>
      </c>
      <c r="C1456" t="s">
        <v>1288</v>
      </c>
      <c r="D1456" t="s">
        <v>5318</v>
      </c>
      <c r="E1456" t="s">
        <v>5319</v>
      </c>
      <c r="F1456" t="s">
        <v>45</v>
      </c>
      <c r="G1456" t="str">
        <f>HYPERLINK("https://www.reddit.com/r/Hiphopcirclejerk/comments/c4gedl/cheeto_dorito_vro/?sort=new#thing_t1_erxbzyp")</f>
        <v>https://www.reddit.com/r/Hiphopcirclejerk/comments/c4gedl/cheeto_dorito_vro/?sort=new#thing_t1_erxbzyp</v>
      </c>
      <c r="H1456" t="s">
        <v>46</v>
      </c>
      <c r="I1456" t="s">
        <v>5320</v>
      </c>
      <c r="J1456" t="str">
        <f>HYPERLINK("https://www.reddit.com/r/Hiphopcirclejerk/comments/c4gedl/cheeto_dorito_vro/?sort=new#thing_t1_erxbzyp")</f>
        <v>https://www.reddit.com/r/Hiphopcirclejerk/comments/c4gedl/cheeto_dorito_vro/?sort=new#thing_t1_erxbzyp</v>
      </c>
      <c r="N1456" t="s">
        <v>545</v>
      </c>
      <c r="O1456" t="s">
        <v>4401</v>
      </c>
      <c r="P1456" t="str">
        <f>HYPERLINK("https://www.reddit.com/r/Hiphopcirclejerk/")</f>
        <v>https://www.reddit.com/r/Hiphopcirclejerk/</v>
      </c>
      <c r="R1456" t="s">
        <v>516</v>
      </c>
      <c r="S1456" t="s">
        <v>51</v>
      </c>
      <c r="AM1456" t="s">
        <v>52</v>
      </c>
      <c r="AN1456" t="s">
        <v>53</v>
      </c>
    </row>
    <row r="1457" spans="1:40">
      <c r="A1457" t="s">
        <v>2370</v>
      </c>
      <c r="B1457" t="s">
        <v>5321</v>
      </c>
      <c r="C1457" t="s">
        <v>5322</v>
      </c>
      <c r="D1457" t="s">
        <v>52</v>
      </c>
      <c r="E1457" t="s">
        <v>5323</v>
      </c>
      <c r="F1457" t="s">
        <v>45</v>
      </c>
      <c r="G1457" t="str">
        <f>HYPERLINK("https://twitter.com/1126721450910425088/status/1143213309388365824")</f>
        <v>https://twitter.com/1126721450910425088/status/1143213309388365824</v>
      </c>
      <c r="H1457" t="s">
        <v>46</v>
      </c>
      <c r="I1457" t="s">
        <v>5324</v>
      </c>
      <c r="J1457" t="str">
        <f>HYPERLINK("http://twitter.com/Ioveisblind")</f>
        <v>http://twitter.com/Ioveisblind</v>
      </c>
      <c r="K1457">
        <v>34</v>
      </c>
      <c r="N1457" t="s">
        <v>65</v>
      </c>
      <c r="R1457" t="s">
        <v>60</v>
      </c>
      <c r="W1457">
        <v>3</v>
      </c>
      <c r="X1457">
        <v>3</v>
      </c>
      <c r="AE1457">
        <v>0</v>
      </c>
      <c r="AF1457">
        <v>0</v>
      </c>
      <c r="AI1457" t="s">
        <v>52</v>
      </c>
      <c r="AJ1457" t="s">
        <v>52</v>
      </c>
      <c r="AK1457" t="s">
        <v>300</v>
      </c>
      <c r="AL1457" t="str">
        <f>HYPERLINK("https://pbs.twimg.com/ext_tw_video_thumb/1141502726959849472/pu/img/8td14DzNt0sKhlkF.jpg")</f>
        <v>https://pbs.twimg.com/ext_tw_video_thumb/1141502726959849472/pu/img/8td14DzNt0sKhlkF.jpg</v>
      </c>
      <c r="AM1457" t="s">
        <v>52</v>
      </c>
      <c r="AN1457" t="s">
        <v>53</v>
      </c>
    </row>
    <row r="1458" spans="1:40">
      <c r="A1458" t="s">
        <v>2370</v>
      </c>
      <c r="B1458" t="s">
        <v>5321</v>
      </c>
      <c r="C1458" t="s">
        <v>5325</v>
      </c>
      <c r="D1458" t="s">
        <v>5326</v>
      </c>
      <c r="E1458" t="s">
        <v>5327</v>
      </c>
      <c r="F1458" t="s">
        <v>45</v>
      </c>
      <c r="G1458" t="str">
        <f>HYPERLINK("https://www.youtube.com/watch?v=ABChxq3u7hM")</f>
        <v>https://www.youtube.com/watch?v=ABChxq3u7hM</v>
      </c>
      <c r="H1458" t="s">
        <v>46</v>
      </c>
      <c r="I1458" t="s">
        <v>5328</v>
      </c>
      <c r="J1458" t="str">
        <f>HYPERLINK("https://www.youtube.com/channel/UCXgKIhKCBEU-TUaCPq-z6YA")</f>
        <v>https://www.youtube.com/channel/UCXgKIhKCBEU-TUaCPq-z6YA</v>
      </c>
      <c r="K1458">
        <v>141</v>
      </c>
      <c r="N1458" t="s">
        <v>116</v>
      </c>
      <c r="O1458" t="s">
        <v>5328</v>
      </c>
      <c r="P1458" t="str">
        <f>HYPERLINK("https://www.youtube.com/channel/UCXgKIhKCBEU-TUaCPq-z6YA")</f>
        <v>https://www.youtube.com/channel/UCXgKIhKCBEU-TUaCPq-z6YA</v>
      </c>
      <c r="Q1458">
        <v>141</v>
      </c>
      <c r="R1458" t="s">
        <v>60</v>
      </c>
      <c r="S1458" t="s">
        <v>51</v>
      </c>
      <c r="W1458">
        <v>2</v>
      </c>
      <c r="X1458">
        <v>2</v>
      </c>
      <c r="AD1458">
        <v>0</v>
      </c>
      <c r="AE1458">
        <v>0</v>
      </c>
      <c r="AG1458">
        <v>23</v>
      </c>
      <c r="AI1458" t="s">
        <v>52</v>
      </c>
      <c r="AJ1458" t="s">
        <v>2277</v>
      </c>
      <c r="AK1458" t="s">
        <v>52</v>
      </c>
      <c r="AL1458" t="str">
        <f>HYPERLINK("https://i.ytimg.com/vi/ABChxq3u7hM/sddefault.jpg")</f>
        <v>https://i.ytimg.com/vi/ABChxq3u7hM/sddefault.jpg</v>
      </c>
      <c r="AM1458" t="s">
        <v>52</v>
      </c>
      <c r="AN1458" t="s">
        <v>53</v>
      </c>
    </row>
    <row r="1459" spans="1:40">
      <c r="A1459" t="s">
        <v>2370</v>
      </c>
      <c r="B1459" t="s">
        <v>5329</v>
      </c>
      <c r="C1459" t="s">
        <v>5330</v>
      </c>
      <c r="D1459" t="s">
        <v>5331</v>
      </c>
      <c r="E1459" t="s">
        <v>5332</v>
      </c>
      <c r="F1459" t="s">
        <v>45</v>
      </c>
      <c r="G1459" t="str">
        <f>HYPERLINK("http://sanantonio.culturemap.com/news/restaurants-bars/06-24-19-7-eleven-debuts-7now-pins-app-delivery-parks-beaches-sports-fields")</f>
        <v>http://sanantonio.culturemap.com/news/restaurants-bars/06-24-19-7-eleven-debuts-7now-pins-app-delivery-parks-beaches-sports-fields</v>
      </c>
      <c r="H1459" t="s">
        <v>46</v>
      </c>
      <c r="I1459" t="s">
        <v>5333</v>
      </c>
      <c r="J1459" t="str">
        <f>HYPERLINK("http://sanantonio.culturemap.com/news/restaurants-bars/06-24-19-7-eleven-debuts-7now-pins-app-delivery-parks-beaches-sports-fields/")</f>
        <v>http://sanantonio.culturemap.com/news/restaurants-bars/06-24-19-7-eleven-debuts-7now-pins-app-delivery-parks-beaches-sports-fields/</v>
      </c>
      <c r="L1459" t="s">
        <v>48</v>
      </c>
      <c r="N1459" t="s">
        <v>5334</v>
      </c>
      <c r="R1459" t="s">
        <v>357</v>
      </c>
      <c r="S1459" t="s">
        <v>51</v>
      </c>
      <c r="AM1459" t="s">
        <v>52</v>
      </c>
      <c r="AN1459" t="s">
        <v>53</v>
      </c>
    </row>
    <row r="1460" spans="1:40">
      <c r="A1460" t="s">
        <v>2370</v>
      </c>
      <c r="B1460" t="s">
        <v>5335</v>
      </c>
      <c r="C1460" t="s">
        <v>5336</v>
      </c>
      <c r="D1460" t="s">
        <v>52</v>
      </c>
      <c r="E1460" t="s">
        <v>5337</v>
      </c>
      <c r="F1460" t="s">
        <v>45</v>
      </c>
      <c r="G1460" t="str">
        <f>HYPERLINK("https://www.instagram.com/p/BzGey7XAKfV")</f>
        <v>https://www.instagram.com/p/BzGey7XAKfV</v>
      </c>
      <c r="H1460" t="s">
        <v>46</v>
      </c>
      <c r="I1460" t="s">
        <v>5338</v>
      </c>
      <c r="J1460" t="str">
        <f>HYPERLINK("http://instagram.com/bibby.jpg")</f>
        <v>http://instagram.com/bibby.jpg</v>
      </c>
      <c r="K1460">
        <v>654</v>
      </c>
      <c r="N1460" t="s">
        <v>59</v>
      </c>
      <c r="O1460" t="s">
        <v>5338</v>
      </c>
      <c r="P1460" t="str">
        <f>HYPERLINK("http://instagram.com/bibby.jpg")</f>
        <v>http://instagram.com/bibby.jpg</v>
      </c>
      <c r="Q1460">
        <v>654</v>
      </c>
      <c r="R1460" t="s">
        <v>60</v>
      </c>
      <c r="W1460">
        <v>102</v>
      </c>
      <c r="X1460">
        <v>102</v>
      </c>
      <c r="AE1460">
        <v>63</v>
      </c>
      <c r="AI1460" t="s">
        <v>108</v>
      </c>
      <c r="AJ1460" t="s">
        <v>458</v>
      </c>
      <c r="AK1460" t="s">
        <v>110</v>
      </c>
      <c r="AL1460" t="str">
        <f>HYPERLINK("https://www.instagram.com/p/BzGey7XAKfV/media/?size=l")</f>
        <v>https://www.instagram.com/p/BzGey7XAKfV/media/?size=l</v>
      </c>
      <c r="AM1460" t="s">
        <v>52</v>
      </c>
      <c r="AN1460" t="s">
        <v>53</v>
      </c>
    </row>
    <row r="1461" spans="1:40">
      <c r="A1461" t="s">
        <v>2370</v>
      </c>
      <c r="B1461" t="s">
        <v>5339</v>
      </c>
      <c r="C1461" t="s">
        <v>5325</v>
      </c>
      <c r="D1461" t="s">
        <v>5340</v>
      </c>
      <c r="E1461" t="s">
        <v>5341</v>
      </c>
      <c r="F1461" t="s">
        <v>95</v>
      </c>
      <c r="G1461" t="str">
        <f>HYPERLINK("https://www.rawstory.com/?p=1515709#comment-4514411640")</f>
        <v>https://www.rawstory.com/?p=1515709#comment-4514411640</v>
      </c>
      <c r="H1461" t="s">
        <v>46</v>
      </c>
      <c r="I1461" t="s">
        <v>5342</v>
      </c>
      <c r="J1461" t="str">
        <f>HYPERLINK("https://disqus.com/by/aaronscheff/")</f>
        <v>https://disqus.com/by/aaronscheff/</v>
      </c>
      <c r="K1461">
        <v>0</v>
      </c>
      <c r="L1461" t="s">
        <v>48</v>
      </c>
      <c r="N1461" t="s">
        <v>5343</v>
      </c>
      <c r="O1461" t="s">
        <v>5344</v>
      </c>
      <c r="P1461" t="str">
        <f>HYPERLINK("https://disqus.com/home/forum/rawstory/")</f>
        <v>https://disqus.com/home/forum/rawstory/</v>
      </c>
      <c r="R1461" t="s">
        <v>50</v>
      </c>
      <c r="W1461">
        <v>1</v>
      </c>
      <c r="X1461">
        <v>1</v>
      </c>
      <c r="AM1461" t="s">
        <v>52</v>
      </c>
      <c r="AN1461" t="s">
        <v>53</v>
      </c>
    </row>
    <row r="1462" spans="1:40">
      <c r="A1462" t="s">
        <v>2370</v>
      </c>
      <c r="B1462" t="s">
        <v>5345</v>
      </c>
      <c r="C1462" t="s">
        <v>5346</v>
      </c>
      <c r="D1462" t="s">
        <v>5347</v>
      </c>
      <c r="E1462" t="s">
        <v>5348</v>
      </c>
      <c r="F1462" t="s">
        <v>95</v>
      </c>
      <c r="G1462" t="str">
        <f>HYPERLINK("https://www.youtube.com/watch?v=VE7dqUfx0Sw&amp;lc=Ugwj1fxlIx3c3GOXl0N4AaABAg")</f>
        <v>https://www.youtube.com/watch?v=VE7dqUfx0Sw&amp;lc=Ugwj1fxlIx3c3GOXl0N4AaABAg</v>
      </c>
      <c r="H1462" t="s">
        <v>46</v>
      </c>
      <c r="I1462" t="s">
        <v>5349</v>
      </c>
      <c r="J1462" t="str">
        <f>HYPERLINK("https://www.youtube.com/channel/UCltDN6juOqqxCNEPODkt_Kg")</f>
        <v>https://www.youtube.com/channel/UCltDN6juOqqxCNEPODkt_Kg</v>
      </c>
      <c r="K1462">
        <v>41</v>
      </c>
      <c r="N1462" t="s">
        <v>116</v>
      </c>
      <c r="O1462" t="s">
        <v>5350</v>
      </c>
      <c r="P1462" t="str">
        <f>HYPERLINK("https://www.youtube.com/channel/UC70rXJEUZFApx9EBGAvEzjg")</f>
        <v>https://www.youtube.com/channel/UC70rXJEUZFApx9EBGAvEzjg</v>
      </c>
      <c r="Q1462">
        <v>34</v>
      </c>
      <c r="R1462" t="s">
        <v>60</v>
      </c>
      <c r="W1462">
        <v>0</v>
      </c>
      <c r="X1462">
        <v>0</v>
      </c>
      <c r="AE1462">
        <v>0</v>
      </c>
      <c r="AM1462" t="s">
        <v>52</v>
      </c>
      <c r="AN1462" t="s">
        <v>53</v>
      </c>
    </row>
    <row r="1463" spans="1:40">
      <c r="A1463" t="s">
        <v>2370</v>
      </c>
      <c r="B1463" t="s">
        <v>5351</v>
      </c>
      <c r="C1463" t="s">
        <v>5352</v>
      </c>
      <c r="D1463" t="s">
        <v>52</v>
      </c>
      <c r="E1463" t="s">
        <v>1194</v>
      </c>
      <c r="F1463" t="s">
        <v>131</v>
      </c>
      <c r="G1463" t="str">
        <f>HYPERLINK("https://twitter.com/4775168183/status/1143211417383911424")</f>
        <v>https://twitter.com/4775168183/status/1143211417383911424</v>
      </c>
      <c r="H1463" t="s">
        <v>46</v>
      </c>
      <c r="I1463" t="s">
        <v>5353</v>
      </c>
      <c r="J1463" t="str">
        <f>HYPERLINK("http://twitter.com/Anais_Lgne")</f>
        <v>http://twitter.com/Anais_Lgne</v>
      </c>
      <c r="K1463">
        <v>56</v>
      </c>
      <c r="N1463" t="s">
        <v>65</v>
      </c>
      <c r="R1463" t="s">
        <v>60</v>
      </c>
      <c r="S1463" t="s">
        <v>444</v>
      </c>
      <c r="T1463" t="s">
        <v>2608</v>
      </c>
      <c r="U1463" t="s">
        <v>2609</v>
      </c>
      <c r="W1463">
        <v>0</v>
      </c>
      <c r="X1463">
        <v>0</v>
      </c>
      <c r="AE1463">
        <v>0</v>
      </c>
      <c r="AI1463" t="s">
        <v>52</v>
      </c>
      <c r="AJ1463" t="s">
        <v>1196</v>
      </c>
      <c r="AK1463" t="s">
        <v>52</v>
      </c>
      <c r="AL1463" t="str">
        <f>HYPERLINK("https://pbs.twimg.com/media/D9xgk2YXkAAd2ql.jpg")</f>
        <v>https://pbs.twimg.com/media/D9xgk2YXkAAd2ql.jpg</v>
      </c>
      <c r="AM1463" t="s">
        <v>52</v>
      </c>
      <c r="AN1463" t="s">
        <v>53</v>
      </c>
    </row>
    <row r="1464" spans="1:40">
      <c r="A1464" t="s">
        <v>2370</v>
      </c>
      <c r="B1464" t="s">
        <v>5351</v>
      </c>
      <c r="C1464" t="s">
        <v>5354</v>
      </c>
      <c r="D1464" t="s">
        <v>52</v>
      </c>
      <c r="E1464" t="s">
        <v>1194</v>
      </c>
      <c r="F1464" t="s">
        <v>131</v>
      </c>
      <c r="G1464" t="str">
        <f>HYPERLINK("https://twitter.com/231748965/status/1143211357573005312")</f>
        <v>https://twitter.com/231748965/status/1143211357573005312</v>
      </c>
      <c r="H1464" t="s">
        <v>46</v>
      </c>
      <c r="I1464" t="s">
        <v>5355</v>
      </c>
      <c r="J1464" t="str">
        <f>HYPERLINK("http://twitter.com/Rissakidd_")</f>
        <v>http://twitter.com/Rissakidd_</v>
      </c>
      <c r="K1464">
        <v>119</v>
      </c>
      <c r="N1464" t="s">
        <v>65</v>
      </c>
      <c r="R1464" t="s">
        <v>60</v>
      </c>
      <c r="W1464">
        <v>0</v>
      </c>
      <c r="X1464">
        <v>0</v>
      </c>
      <c r="AE1464">
        <v>0</v>
      </c>
      <c r="AI1464" t="s">
        <v>52</v>
      </c>
      <c r="AJ1464" t="s">
        <v>1196</v>
      </c>
      <c r="AK1464" t="s">
        <v>52</v>
      </c>
      <c r="AL1464" t="str">
        <f>HYPERLINK("https://pbs.twimg.com/media/D9xgk2YXkAAd2ql.jpg")</f>
        <v>https://pbs.twimg.com/media/D9xgk2YXkAAd2ql.jpg</v>
      </c>
      <c r="AM1464" t="s">
        <v>52</v>
      </c>
      <c r="AN1464" t="s">
        <v>53</v>
      </c>
    </row>
    <row r="1465" spans="1:40">
      <c r="A1465" t="s">
        <v>2370</v>
      </c>
      <c r="B1465" t="s">
        <v>5351</v>
      </c>
      <c r="C1465" t="s">
        <v>5356</v>
      </c>
      <c r="D1465" t="s">
        <v>52</v>
      </c>
      <c r="E1465" t="s">
        <v>5357</v>
      </c>
      <c r="F1465" t="s">
        <v>45</v>
      </c>
      <c r="G1465" t="str">
        <f>HYPERLINK("https://twitter.com/2546755820/status/1143211222998777856")</f>
        <v>https://twitter.com/2546755820/status/1143211222998777856</v>
      </c>
      <c r="H1465" t="s">
        <v>215</v>
      </c>
      <c r="I1465" t="s">
        <v>5358</v>
      </c>
      <c r="J1465" t="str">
        <f>HYPERLINK("http://twitter.com/_letsgetisbread")</f>
        <v>http://twitter.com/_letsgetisbread</v>
      </c>
      <c r="K1465">
        <v>180</v>
      </c>
      <c r="N1465" t="s">
        <v>65</v>
      </c>
      <c r="R1465" t="s">
        <v>60</v>
      </c>
      <c r="S1465" t="s">
        <v>387</v>
      </c>
      <c r="T1465" t="s">
        <v>5359</v>
      </c>
      <c r="U1465" t="s">
        <v>5360</v>
      </c>
      <c r="W1465">
        <v>2</v>
      </c>
      <c r="X1465">
        <v>2</v>
      </c>
      <c r="AE1465">
        <v>1</v>
      </c>
      <c r="AF1465">
        <v>0</v>
      </c>
      <c r="AM1465" t="s">
        <v>52</v>
      </c>
      <c r="AN1465" t="s">
        <v>53</v>
      </c>
    </row>
    <row r="1466" spans="1:40">
      <c r="A1466" t="s">
        <v>2370</v>
      </c>
      <c r="B1466" t="s">
        <v>5351</v>
      </c>
      <c r="C1466" t="s">
        <v>5356</v>
      </c>
      <c r="D1466" t="s">
        <v>52</v>
      </c>
      <c r="E1466" t="s">
        <v>1194</v>
      </c>
      <c r="F1466" t="s">
        <v>131</v>
      </c>
      <c r="G1466" t="str">
        <f>HYPERLINK("https://twitter.com/783830060096712704/status/1143211222549975040")</f>
        <v>https://twitter.com/783830060096712704/status/1143211222549975040</v>
      </c>
      <c r="H1466" t="s">
        <v>46</v>
      </c>
      <c r="I1466" t="s">
        <v>5361</v>
      </c>
      <c r="J1466" t="str">
        <f>HYPERLINK("http://twitter.com/nnnnbrb")</f>
        <v>http://twitter.com/nnnnbrb</v>
      </c>
      <c r="K1466">
        <v>776</v>
      </c>
      <c r="N1466" t="s">
        <v>65</v>
      </c>
      <c r="R1466" t="s">
        <v>60</v>
      </c>
      <c r="S1466" t="s">
        <v>2118</v>
      </c>
      <c r="T1466" t="s">
        <v>5362</v>
      </c>
      <c r="U1466" t="s">
        <v>5363</v>
      </c>
      <c r="W1466">
        <v>0</v>
      </c>
      <c r="X1466">
        <v>0</v>
      </c>
      <c r="AE1466">
        <v>0</v>
      </c>
      <c r="AI1466" t="s">
        <v>52</v>
      </c>
      <c r="AJ1466" t="s">
        <v>1196</v>
      </c>
      <c r="AK1466" t="s">
        <v>52</v>
      </c>
      <c r="AL1466" t="str">
        <f>HYPERLINK("https://pbs.twimg.com/media/D9xgk2YXkAAd2ql.jpg")</f>
        <v>https://pbs.twimg.com/media/D9xgk2YXkAAd2ql.jpg</v>
      </c>
      <c r="AM1466" t="s">
        <v>52</v>
      </c>
      <c r="AN1466" t="s">
        <v>53</v>
      </c>
    </row>
    <row r="1467" spans="1:40">
      <c r="A1467" t="s">
        <v>2370</v>
      </c>
      <c r="B1467" t="s">
        <v>5364</v>
      </c>
      <c r="C1467" t="s">
        <v>5352</v>
      </c>
      <c r="D1467" t="s">
        <v>52</v>
      </c>
      <c r="E1467" t="s">
        <v>5365</v>
      </c>
      <c r="F1467" t="s">
        <v>45</v>
      </c>
      <c r="G1467" t="str">
        <f>HYPERLINK("https://www.instagram.com/p/BzGeFJdniRt")</f>
        <v>https://www.instagram.com/p/BzGeFJdniRt</v>
      </c>
      <c r="H1467" t="s">
        <v>46</v>
      </c>
      <c r="I1467" t="s">
        <v>5366</v>
      </c>
      <c r="J1467" t="str">
        <f>HYPERLINK("http://instagram.com/dsmith_fb")</f>
        <v>http://instagram.com/dsmith_fb</v>
      </c>
      <c r="K1467">
        <v>327</v>
      </c>
      <c r="N1467" t="s">
        <v>59</v>
      </c>
      <c r="O1467" t="s">
        <v>5366</v>
      </c>
      <c r="P1467" t="str">
        <f>HYPERLINK("http://instagram.com/dsmith_fb")</f>
        <v>http://instagram.com/dsmith_fb</v>
      </c>
      <c r="Q1467">
        <v>327</v>
      </c>
      <c r="R1467" t="s">
        <v>60</v>
      </c>
      <c r="W1467">
        <v>53</v>
      </c>
      <c r="X1467">
        <v>53</v>
      </c>
      <c r="AE1467">
        <v>9</v>
      </c>
      <c r="AI1467" t="s">
        <v>52</v>
      </c>
      <c r="AJ1467" t="s">
        <v>648</v>
      </c>
      <c r="AK1467" t="s">
        <v>52</v>
      </c>
      <c r="AL1467" t="str">
        <f>HYPERLINK("https://www.instagram.com/p/BzGeFJdniRt/media/?size=l")</f>
        <v>https://www.instagram.com/p/BzGeFJdniRt/media/?size=l</v>
      </c>
      <c r="AM1467" t="s">
        <v>52</v>
      </c>
      <c r="AN1467" t="s">
        <v>53</v>
      </c>
    </row>
    <row r="1468" spans="1:40">
      <c r="A1468" t="s">
        <v>2370</v>
      </c>
      <c r="B1468" t="s">
        <v>5364</v>
      </c>
      <c r="C1468" t="s">
        <v>5354</v>
      </c>
      <c r="D1468" t="s">
        <v>5367</v>
      </c>
      <c r="E1468" t="s">
        <v>5368</v>
      </c>
      <c r="F1468" t="s">
        <v>45</v>
      </c>
      <c r="G1468" t="str">
        <f>HYPERLINK("https://www.youtube.com/watch?v=uXpki1nWcx0")</f>
        <v>https://www.youtube.com/watch?v=uXpki1nWcx0</v>
      </c>
      <c r="H1468" t="s">
        <v>46</v>
      </c>
      <c r="I1468" t="s">
        <v>5369</v>
      </c>
      <c r="J1468" t="str">
        <f>HYPERLINK("https://www.youtube.com/channel/UCXCjkFAOQv_Qm6rYOvFeIwA")</f>
        <v>https://www.youtube.com/channel/UCXCjkFAOQv_Qm6rYOvFeIwA</v>
      </c>
      <c r="K1468">
        <v>273</v>
      </c>
      <c r="N1468" t="s">
        <v>116</v>
      </c>
      <c r="O1468" t="s">
        <v>5369</v>
      </c>
      <c r="P1468" t="str">
        <f>HYPERLINK("https://www.youtube.com/channel/UCXCjkFAOQv_Qm6rYOvFeIwA")</f>
        <v>https://www.youtube.com/channel/UCXCjkFAOQv_Qm6rYOvFeIwA</v>
      </c>
      <c r="Q1468">
        <v>273</v>
      </c>
      <c r="R1468" t="s">
        <v>60</v>
      </c>
      <c r="W1468">
        <v>7</v>
      </c>
      <c r="X1468">
        <v>7</v>
      </c>
      <c r="AD1468">
        <v>2</v>
      </c>
      <c r="AE1468">
        <v>4</v>
      </c>
      <c r="AG1468">
        <v>52</v>
      </c>
      <c r="AI1468" t="s">
        <v>52</v>
      </c>
      <c r="AJ1468" t="s">
        <v>458</v>
      </c>
      <c r="AK1468" t="s">
        <v>52</v>
      </c>
      <c r="AL1468" t="str">
        <f>HYPERLINK("https://i.ytimg.com/vi/uXpki1nWcx0/maxresdefault.jpg")</f>
        <v>https://i.ytimg.com/vi/uXpki1nWcx0/maxresdefault.jpg</v>
      </c>
      <c r="AM1468" t="s">
        <v>52</v>
      </c>
      <c r="AN1468" t="s">
        <v>53</v>
      </c>
    </row>
    <row r="1469" spans="1:40">
      <c r="A1469" t="s">
        <v>2370</v>
      </c>
      <c r="B1469" t="s">
        <v>5370</v>
      </c>
      <c r="C1469" t="s">
        <v>5371</v>
      </c>
      <c r="D1469" t="s">
        <v>52</v>
      </c>
      <c r="E1469" t="s">
        <v>5372</v>
      </c>
      <c r="F1469" t="s">
        <v>45</v>
      </c>
      <c r="G1469" t="str">
        <f>HYPERLINK("https://www.instagram.com/p/BzGd60blzXv")</f>
        <v>https://www.instagram.com/p/BzGd60blzXv</v>
      </c>
      <c r="H1469" t="s">
        <v>46</v>
      </c>
      <c r="I1469" t="s">
        <v>5373</v>
      </c>
      <c r="J1469" t="str">
        <f>HYPERLINK("http://instagram.com/tinybeerclub")</f>
        <v>http://instagram.com/tinybeerclub</v>
      </c>
      <c r="K1469">
        <v>102</v>
      </c>
      <c r="N1469" t="s">
        <v>59</v>
      </c>
      <c r="O1469" t="s">
        <v>5373</v>
      </c>
      <c r="P1469" t="str">
        <f>HYPERLINK("http://instagram.com/tinybeerclub")</f>
        <v>http://instagram.com/tinybeerclub</v>
      </c>
      <c r="Q1469">
        <v>102</v>
      </c>
      <c r="R1469" t="s">
        <v>60</v>
      </c>
      <c r="W1469">
        <v>17</v>
      </c>
      <c r="X1469">
        <v>17</v>
      </c>
      <c r="AE1469">
        <v>2</v>
      </c>
      <c r="AI1469" t="s">
        <v>52</v>
      </c>
      <c r="AJ1469" t="s">
        <v>1763</v>
      </c>
      <c r="AK1469" t="s">
        <v>52</v>
      </c>
      <c r="AL1469" t="str">
        <f>HYPERLINK("https://www.instagram.com/p/BzGd60blzXv/media/?size=l")</f>
        <v>https://www.instagram.com/p/BzGd60blzXv/media/?size=l</v>
      </c>
      <c r="AM1469" t="s">
        <v>52</v>
      </c>
      <c r="AN1469" t="s">
        <v>53</v>
      </c>
    </row>
    <row r="1470" spans="1:40">
      <c r="A1470" t="s">
        <v>2370</v>
      </c>
      <c r="B1470" t="s">
        <v>5374</v>
      </c>
      <c r="C1470" t="s">
        <v>5375</v>
      </c>
      <c r="D1470" t="s">
        <v>52</v>
      </c>
      <c r="E1470" t="s">
        <v>5376</v>
      </c>
      <c r="F1470" t="s">
        <v>45</v>
      </c>
      <c r="G1470" t="str">
        <f>HYPERLINK("https://twitter.com/3976500017/status/1143210604494241795")</f>
        <v>https://twitter.com/3976500017/status/1143210604494241795</v>
      </c>
      <c r="H1470" t="s">
        <v>46</v>
      </c>
      <c r="I1470" t="s">
        <v>1697</v>
      </c>
      <c r="J1470" t="str">
        <f>HYPERLINK("http://twitter.com/memerbot404")</f>
        <v>http://twitter.com/memerbot404</v>
      </c>
      <c r="K1470">
        <v>12</v>
      </c>
      <c r="L1470" t="s">
        <v>48</v>
      </c>
      <c r="N1470" t="s">
        <v>65</v>
      </c>
      <c r="R1470" t="s">
        <v>60</v>
      </c>
      <c r="S1470" t="s">
        <v>774</v>
      </c>
      <c r="W1470">
        <v>0</v>
      </c>
      <c r="X1470">
        <v>0</v>
      </c>
      <c r="AE1470">
        <v>0</v>
      </c>
      <c r="AF1470">
        <v>0</v>
      </c>
      <c r="AM1470" t="s">
        <v>52</v>
      </c>
      <c r="AN1470" t="s">
        <v>53</v>
      </c>
    </row>
    <row r="1471" spans="1:40">
      <c r="A1471" t="s">
        <v>2370</v>
      </c>
      <c r="B1471" t="s">
        <v>5374</v>
      </c>
      <c r="C1471" t="s">
        <v>5377</v>
      </c>
      <c r="D1471" t="s">
        <v>52</v>
      </c>
      <c r="E1471" t="s">
        <v>5378</v>
      </c>
      <c r="F1471" t="s">
        <v>71</v>
      </c>
      <c r="G1471" t="str">
        <f>HYPERLINK("https://twitter.com/18303903/status/1143210567248830465")</f>
        <v>https://twitter.com/18303903/status/1143210567248830465</v>
      </c>
      <c r="H1471" t="s">
        <v>46</v>
      </c>
      <c r="I1471" t="s">
        <v>5379</v>
      </c>
      <c r="J1471" t="str">
        <f>HYPERLINK("http://twitter.com/alexlukeshelby")</f>
        <v>http://twitter.com/alexlukeshelby</v>
      </c>
      <c r="K1471">
        <v>552</v>
      </c>
      <c r="N1471" t="s">
        <v>65</v>
      </c>
      <c r="R1471" t="s">
        <v>60</v>
      </c>
      <c r="W1471">
        <v>0</v>
      </c>
      <c r="X1471">
        <v>0</v>
      </c>
      <c r="AE1471">
        <v>0</v>
      </c>
      <c r="AF1471">
        <v>0</v>
      </c>
      <c r="AI1471" t="s">
        <v>108</v>
      </c>
      <c r="AJ1471" t="s">
        <v>52</v>
      </c>
      <c r="AK1471" t="s">
        <v>52</v>
      </c>
      <c r="AL1471" t="str">
        <f>HYPERLINK("https://pbs.twimg.com/media/D9XTkLWW4AAOYnJ.jpg")</f>
        <v>https://pbs.twimg.com/media/D9XTkLWW4AAOYnJ.jpg</v>
      </c>
      <c r="AM1471" t="s">
        <v>52</v>
      </c>
      <c r="AN1471" t="s">
        <v>53</v>
      </c>
    </row>
    <row r="1472" spans="1:40">
      <c r="A1472" t="s">
        <v>2370</v>
      </c>
      <c r="B1472" t="s">
        <v>5374</v>
      </c>
      <c r="C1472" t="s">
        <v>2033</v>
      </c>
      <c r="D1472" t="s">
        <v>52</v>
      </c>
      <c r="E1472" t="s">
        <v>5380</v>
      </c>
      <c r="F1472" t="s">
        <v>45</v>
      </c>
      <c r="G1472" t="str">
        <f>HYPERLINK("https://www.facebook.com/74986601153/posts/10156914359191154")</f>
        <v>https://www.facebook.com/74986601153/posts/10156914359191154</v>
      </c>
      <c r="H1472" t="s">
        <v>46</v>
      </c>
      <c r="I1472" t="s">
        <v>5381</v>
      </c>
      <c r="J1472" t="str">
        <f>HYPERLINK("https://www.facebook.com/74986601153")</f>
        <v>https://www.facebook.com/74986601153</v>
      </c>
      <c r="K1472">
        <v>74430</v>
      </c>
      <c r="L1472" t="s">
        <v>651</v>
      </c>
      <c r="N1472" t="s">
        <v>1792</v>
      </c>
      <c r="O1472" t="s">
        <v>5381</v>
      </c>
      <c r="P1472" t="str">
        <f>HYPERLINK("https://www.facebook.com/74986601153")</f>
        <v>https://www.facebook.com/74986601153</v>
      </c>
      <c r="Q1472">
        <v>74430</v>
      </c>
      <c r="R1472" t="s">
        <v>60</v>
      </c>
      <c r="W1472">
        <v>0</v>
      </c>
      <c r="X1472">
        <v>0</v>
      </c>
      <c r="Y1472">
        <v>0</v>
      </c>
      <c r="Z1472">
        <v>0</v>
      </c>
      <c r="AA1472">
        <v>0</v>
      </c>
      <c r="AB1472">
        <v>0</v>
      </c>
      <c r="AC1472">
        <v>0</v>
      </c>
      <c r="AE1472">
        <v>0</v>
      </c>
      <c r="AF1472">
        <v>0</v>
      </c>
      <c r="AI1472" t="s">
        <v>52</v>
      </c>
      <c r="AJ1472" t="s">
        <v>5382</v>
      </c>
      <c r="AK1472" t="s">
        <v>52</v>
      </c>
      <c r="AL1472" t="str">
        <f>HYPERLINK("https://kiss951.com/wp-content/uploads/sites/48/2017/08/GettyImages-72301193.jpg")</f>
        <v>https://kiss951.com/wp-content/uploads/sites/48/2017/08/GettyImages-72301193.jpg</v>
      </c>
      <c r="AM1472" t="s">
        <v>52</v>
      </c>
      <c r="AN1472" t="s">
        <v>53</v>
      </c>
    </row>
    <row r="1473" spans="1:40">
      <c r="A1473" t="s">
        <v>2370</v>
      </c>
      <c r="B1473" t="s">
        <v>5383</v>
      </c>
      <c r="C1473" t="s">
        <v>5384</v>
      </c>
      <c r="D1473" t="s">
        <v>5385</v>
      </c>
      <c r="E1473" t="s">
        <v>5386</v>
      </c>
      <c r="F1473" t="s">
        <v>45</v>
      </c>
      <c r="G1473" t="str">
        <f>HYPERLINK("https://mayfieldrecorder.com/2019/06/24/pepsico-inc-nasdaqpep-shares-bought-by-dixon-hubard-feinour-brown-inc-va.html")</f>
        <v>https://mayfieldrecorder.com/2019/06/24/pepsico-inc-nasdaqpep-shares-bought-by-dixon-hubard-feinour-brown-inc-va.html</v>
      </c>
      <c r="H1473" t="s">
        <v>91</v>
      </c>
      <c r="I1473" t="s">
        <v>1245</v>
      </c>
      <c r="J1473" t="str">
        <f>HYPERLINK("https://mayfieldrecorder.com/2019/06/24/pepsico-inc-nasdaqpep-shares-bought-by-dixon-hubard-feinour-brown-inc-va.html")</f>
        <v>https://mayfieldrecorder.com/2019/06/24/pepsico-inc-nasdaqpep-shares-bought-by-dixon-hubard-feinour-brown-inc-va.html</v>
      </c>
      <c r="L1473" t="s">
        <v>48</v>
      </c>
      <c r="N1473" t="s">
        <v>356</v>
      </c>
      <c r="R1473" t="s">
        <v>357</v>
      </c>
      <c r="S1473" t="s">
        <v>51</v>
      </c>
      <c r="AM1473" t="s">
        <v>52</v>
      </c>
      <c r="AN1473" t="s">
        <v>53</v>
      </c>
    </row>
    <row r="1474" spans="1:40">
      <c r="A1474" t="s">
        <v>2370</v>
      </c>
      <c r="B1474" t="s">
        <v>5387</v>
      </c>
      <c r="C1474" t="s">
        <v>5388</v>
      </c>
      <c r="D1474" t="s">
        <v>52</v>
      </c>
      <c r="E1474" t="s">
        <v>5389</v>
      </c>
      <c r="F1474" t="s">
        <v>45</v>
      </c>
      <c r="G1474" t="str">
        <f>HYPERLINK("https://www.instagram.com/p/BzGdmRilWZ2")</f>
        <v>https://www.instagram.com/p/BzGdmRilWZ2</v>
      </c>
      <c r="H1474" t="s">
        <v>46</v>
      </c>
      <c r="I1474" t="s">
        <v>5390</v>
      </c>
      <c r="J1474" t="str">
        <f>HYPERLINK("http://instagram.com/fishawkoutdoors")</f>
        <v>http://instagram.com/fishawkoutdoors</v>
      </c>
      <c r="K1474">
        <v>165</v>
      </c>
      <c r="L1474" t="s">
        <v>48</v>
      </c>
      <c r="N1474" t="s">
        <v>59</v>
      </c>
      <c r="O1474" t="s">
        <v>5390</v>
      </c>
      <c r="P1474" t="str">
        <f>HYPERLINK("http://instagram.com/fishawkoutdoors")</f>
        <v>http://instagram.com/fishawkoutdoors</v>
      </c>
      <c r="Q1474">
        <v>165</v>
      </c>
      <c r="R1474" t="s">
        <v>60</v>
      </c>
      <c r="W1474">
        <v>32</v>
      </c>
      <c r="X1474">
        <v>32</v>
      </c>
      <c r="AE1474">
        <v>1</v>
      </c>
      <c r="AI1474" t="s">
        <v>52</v>
      </c>
      <c r="AJ1474" t="s">
        <v>5391</v>
      </c>
      <c r="AK1474" t="s">
        <v>52</v>
      </c>
      <c r="AL1474" t="str">
        <f>HYPERLINK("https://www.instagram.com/p/BzGdmRilWZ2/media/?size=l")</f>
        <v>https://www.instagram.com/p/BzGdmRilWZ2/media/?size=l</v>
      </c>
      <c r="AM1474" t="s">
        <v>52</v>
      </c>
      <c r="AN1474" t="s">
        <v>53</v>
      </c>
    </row>
    <row r="1475" spans="1:40">
      <c r="A1475" t="s">
        <v>2370</v>
      </c>
      <c r="B1475" t="s">
        <v>5392</v>
      </c>
      <c r="C1475" t="s">
        <v>5297</v>
      </c>
      <c r="D1475" t="s">
        <v>52</v>
      </c>
      <c r="E1475" t="s">
        <v>5393</v>
      </c>
      <c r="F1475" t="s">
        <v>45</v>
      </c>
      <c r="G1475" t="str">
        <f>HYPERLINK("https://www.instagram.com/p/BzGdXDlFWgH")</f>
        <v>https://www.instagram.com/p/BzGdXDlFWgH</v>
      </c>
      <c r="H1475" t="s">
        <v>46</v>
      </c>
      <c r="I1475" t="s">
        <v>52</v>
      </c>
      <c r="J1475" t="str">
        <f>HYPERLINK("http://instagram.com/echo903")</f>
        <v>http://instagram.com/echo903</v>
      </c>
      <c r="K1475">
        <v>324</v>
      </c>
      <c r="N1475" t="s">
        <v>59</v>
      </c>
      <c r="O1475" t="s">
        <v>52</v>
      </c>
      <c r="P1475" t="str">
        <f>HYPERLINK("http://instagram.com/echo903")</f>
        <v>http://instagram.com/echo903</v>
      </c>
      <c r="Q1475">
        <v>324</v>
      </c>
      <c r="R1475" t="s">
        <v>60</v>
      </c>
      <c r="W1475">
        <v>17</v>
      </c>
      <c r="X1475">
        <v>17</v>
      </c>
      <c r="AE1475">
        <v>0</v>
      </c>
      <c r="AG1475">
        <v>69</v>
      </c>
      <c r="AI1475" t="s">
        <v>52</v>
      </c>
      <c r="AJ1475" t="s">
        <v>5394</v>
      </c>
      <c r="AK1475" t="s">
        <v>5395</v>
      </c>
      <c r="AL1475" t="str">
        <f>HYPERLINK("https://www.instagram.com/p/BzGdXDlFWgH/media/?size=l")</f>
        <v>https://www.instagram.com/p/BzGdXDlFWgH/media/?size=l</v>
      </c>
      <c r="AM1475" t="s">
        <v>52</v>
      </c>
      <c r="AN1475" t="s">
        <v>53</v>
      </c>
    </row>
    <row r="1476" spans="1:40">
      <c r="A1476" t="s">
        <v>2370</v>
      </c>
      <c r="B1476" t="s">
        <v>5392</v>
      </c>
      <c r="C1476" t="s">
        <v>4375</v>
      </c>
      <c r="D1476" t="s">
        <v>52</v>
      </c>
      <c r="E1476" t="s">
        <v>5396</v>
      </c>
      <c r="F1476" t="s">
        <v>45</v>
      </c>
      <c r="G1476" t="str">
        <f>HYPERLINK("https://www.facebook.com/758493147522903/posts/2501769719861895")</f>
        <v>https://www.facebook.com/758493147522903/posts/2501769719861895</v>
      </c>
      <c r="H1476" t="s">
        <v>46</v>
      </c>
      <c r="I1476" t="s">
        <v>5397</v>
      </c>
      <c r="J1476" t="str">
        <f>HYPERLINK("https://www.facebook.com/758493147522903")</f>
        <v>https://www.facebook.com/758493147522903</v>
      </c>
      <c r="K1476">
        <v>21689</v>
      </c>
      <c r="L1476" t="s">
        <v>651</v>
      </c>
      <c r="N1476" t="s">
        <v>1792</v>
      </c>
      <c r="O1476" t="s">
        <v>5397</v>
      </c>
      <c r="P1476" t="str">
        <f>HYPERLINK("https://www.facebook.com/758493147522903")</f>
        <v>https://www.facebook.com/758493147522903</v>
      </c>
      <c r="Q1476">
        <v>21689</v>
      </c>
      <c r="R1476" t="s">
        <v>60</v>
      </c>
      <c r="S1476" t="s">
        <v>51</v>
      </c>
      <c r="W1476">
        <v>27</v>
      </c>
      <c r="X1476">
        <v>23</v>
      </c>
      <c r="Y1476">
        <v>4</v>
      </c>
      <c r="Z1476">
        <v>0</v>
      </c>
      <c r="AA1476">
        <v>0</v>
      </c>
      <c r="AB1476">
        <v>0</v>
      </c>
      <c r="AC1476">
        <v>0</v>
      </c>
      <c r="AE1476">
        <v>2</v>
      </c>
      <c r="AF1476">
        <v>17</v>
      </c>
      <c r="AI1476" t="s">
        <v>52</v>
      </c>
      <c r="AJ1476" t="s">
        <v>659</v>
      </c>
      <c r="AK1476" t="s">
        <v>52</v>
      </c>
      <c r="AL1476" t="str">
        <f>HYPERLINK("https://scontent.xx.fbcdn.net/v/t1.0-9/s720x720/64997933_2501750196530514_1405389908582858752_o.jpg?_nc_cat=108&amp;_nc_oc=AQkz54XiSehgiDCzAgVzIAZHZZltsSRMXr0hp5SQpNm6eg06afXfm0hqT3cxn9Z4rBE&amp;_nc_ht=scontent.xx&amp;oh=3e970c6801f5fe61f6588c58f92422d8&amp;oe=5D869311")</f>
        <v>https://scontent.xx.fbcdn.net/v/t1.0-9/s720x720/64997933_2501750196530514_1405389908582858752_o.jpg?_nc_cat=108&amp;_nc_oc=AQkz54XiSehgiDCzAgVzIAZHZZltsSRMXr0hp5SQpNm6eg06afXfm0hqT3cxn9Z4rBE&amp;_nc_ht=scontent.xx&amp;oh=3e970c6801f5fe61f6588c58f92422d8&amp;oe=5D869311</v>
      </c>
      <c r="AM1476" t="s">
        <v>52</v>
      </c>
      <c r="AN1476" t="s">
        <v>53</v>
      </c>
    </row>
    <row r="1477" spans="1:40">
      <c r="A1477" t="s">
        <v>2370</v>
      </c>
      <c r="B1477" t="s">
        <v>5398</v>
      </c>
      <c r="C1477" t="s">
        <v>5399</v>
      </c>
      <c r="D1477" t="s">
        <v>52</v>
      </c>
      <c r="E1477" t="s">
        <v>526</v>
      </c>
      <c r="F1477" t="s">
        <v>131</v>
      </c>
      <c r="G1477" t="str">
        <f>HYPERLINK("https://twitter.com/877550085617397760/status/1143209522384654336")</f>
        <v>https://twitter.com/877550085617397760/status/1143209522384654336</v>
      </c>
      <c r="H1477" t="s">
        <v>46</v>
      </c>
      <c r="I1477" t="s">
        <v>5400</v>
      </c>
      <c r="J1477" t="str">
        <f>HYPERLINK("http://twitter.com/Alejand03828421")</f>
        <v>http://twitter.com/Alejand03828421</v>
      </c>
      <c r="K1477">
        <v>28</v>
      </c>
      <c r="L1477" t="s">
        <v>58</v>
      </c>
      <c r="N1477" t="s">
        <v>65</v>
      </c>
      <c r="R1477" t="s">
        <v>60</v>
      </c>
      <c r="S1477" t="s">
        <v>437</v>
      </c>
      <c r="T1477" t="s">
        <v>5401</v>
      </c>
      <c r="U1477" t="s">
        <v>5402</v>
      </c>
      <c r="W1477">
        <v>0</v>
      </c>
      <c r="X1477">
        <v>0</v>
      </c>
      <c r="AE1477">
        <v>0</v>
      </c>
      <c r="AI1477" t="s">
        <v>108</v>
      </c>
      <c r="AJ1477" t="s">
        <v>52</v>
      </c>
      <c r="AK1477" t="s">
        <v>52</v>
      </c>
      <c r="AL1477" t="str">
        <f>HYPERLINK("https://pbs.twimg.com/ext_tw_video_thumb/1141360066962100224/pu/img/5_tGc4hLFQwcD07b.jpg")</f>
        <v>https://pbs.twimg.com/ext_tw_video_thumb/1141360066962100224/pu/img/5_tGc4hLFQwcD07b.jpg</v>
      </c>
      <c r="AM1477" t="s">
        <v>52</v>
      </c>
      <c r="AN1477" t="s">
        <v>53</v>
      </c>
    </row>
    <row r="1478" spans="1:40">
      <c r="A1478" t="s">
        <v>2370</v>
      </c>
      <c r="B1478" t="s">
        <v>5403</v>
      </c>
      <c r="C1478" t="s">
        <v>5404</v>
      </c>
      <c r="D1478" t="s">
        <v>52</v>
      </c>
      <c r="E1478" t="s">
        <v>1194</v>
      </c>
      <c r="F1478" t="s">
        <v>131</v>
      </c>
      <c r="G1478" t="str">
        <f>HYPERLINK("https://twitter.com/1959224168/status/1143209406374526977")</f>
        <v>https://twitter.com/1959224168/status/1143209406374526977</v>
      </c>
      <c r="H1478" t="s">
        <v>46</v>
      </c>
      <c r="I1478" t="s">
        <v>5405</v>
      </c>
      <c r="J1478" t="str">
        <f>HYPERLINK("http://twitter.com/naviddunez")</f>
        <v>http://twitter.com/naviddunez</v>
      </c>
      <c r="K1478">
        <v>448</v>
      </c>
      <c r="L1478" t="s">
        <v>48</v>
      </c>
      <c r="N1478" t="s">
        <v>65</v>
      </c>
      <c r="R1478" t="s">
        <v>60</v>
      </c>
      <c r="S1478" t="s">
        <v>51</v>
      </c>
      <c r="T1478" t="s">
        <v>84</v>
      </c>
      <c r="U1478" t="s">
        <v>85</v>
      </c>
      <c r="W1478">
        <v>0</v>
      </c>
      <c r="X1478">
        <v>0</v>
      </c>
      <c r="AE1478">
        <v>0</v>
      </c>
      <c r="AI1478" t="s">
        <v>52</v>
      </c>
      <c r="AJ1478" t="s">
        <v>1196</v>
      </c>
      <c r="AK1478" t="s">
        <v>52</v>
      </c>
      <c r="AL1478" t="str">
        <f>HYPERLINK("https://pbs.twimg.com/media/D9xgk2YXkAAd2ql.jpg")</f>
        <v>https://pbs.twimg.com/media/D9xgk2YXkAAd2ql.jpg</v>
      </c>
      <c r="AM1478" t="s">
        <v>52</v>
      </c>
      <c r="AN1478" t="s">
        <v>53</v>
      </c>
    </row>
    <row r="1479" spans="1:40">
      <c r="A1479" t="s">
        <v>2370</v>
      </c>
      <c r="B1479" t="s">
        <v>5403</v>
      </c>
      <c r="C1479" t="s">
        <v>5406</v>
      </c>
      <c r="D1479" t="s">
        <v>52</v>
      </c>
      <c r="E1479" t="s">
        <v>1194</v>
      </c>
      <c r="F1479" t="s">
        <v>131</v>
      </c>
      <c r="G1479" t="str">
        <f>HYPERLINK("https://twitter.com/4844140947/status/1143209337927737345")</f>
        <v>https://twitter.com/4844140947/status/1143209337927737345</v>
      </c>
      <c r="H1479" t="s">
        <v>46</v>
      </c>
      <c r="I1479" t="s">
        <v>5407</v>
      </c>
      <c r="J1479" t="str">
        <f>HYPERLINK("http://twitter.com/dumattTw")</f>
        <v>http://twitter.com/dumattTw</v>
      </c>
      <c r="K1479">
        <v>68</v>
      </c>
      <c r="N1479" t="s">
        <v>65</v>
      </c>
      <c r="R1479" t="s">
        <v>60</v>
      </c>
      <c r="W1479">
        <v>0</v>
      </c>
      <c r="X1479">
        <v>0</v>
      </c>
      <c r="AE1479">
        <v>0</v>
      </c>
      <c r="AI1479" t="s">
        <v>52</v>
      </c>
      <c r="AJ1479" t="s">
        <v>1196</v>
      </c>
      <c r="AK1479" t="s">
        <v>52</v>
      </c>
      <c r="AL1479" t="str">
        <f>HYPERLINK("https://pbs.twimg.com/media/D9xgk2YXkAAd2ql.jpg")</f>
        <v>https://pbs.twimg.com/media/D9xgk2YXkAAd2ql.jpg</v>
      </c>
      <c r="AM1479" t="s">
        <v>52</v>
      </c>
      <c r="AN1479" t="s">
        <v>53</v>
      </c>
    </row>
    <row r="1480" spans="1:40">
      <c r="A1480" t="s">
        <v>2370</v>
      </c>
      <c r="B1480" t="s">
        <v>5408</v>
      </c>
      <c r="C1480" t="s">
        <v>5409</v>
      </c>
      <c r="D1480" t="s">
        <v>52</v>
      </c>
      <c r="E1480" t="s">
        <v>5410</v>
      </c>
      <c r="F1480" t="s">
        <v>45</v>
      </c>
      <c r="G1480" t="str">
        <f>HYPERLINK("https://www.instagram.com/p/BzGdDFmH2Ji")</f>
        <v>https://www.instagram.com/p/BzGdDFmH2Ji</v>
      </c>
      <c r="H1480" t="s">
        <v>46</v>
      </c>
      <c r="I1480" t="s">
        <v>5411</v>
      </c>
      <c r="J1480" t="str">
        <f>HYPERLINK("http://instagram.com/megatrontraps")</f>
        <v>http://instagram.com/megatrontraps</v>
      </c>
      <c r="K1480">
        <v>60</v>
      </c>
      <c r="N1480" t="s">
        <v>59</v>
      </c>
      <c r="O1480" t="s">
        <v>5411</v>
      </c>
      <c r="P1480" t="str">
        <f>HYPERLINK("http://instagram.com/megatrontraps")</f>
        <v>http://instagram.com/megatrontraps</v>
      </c>
      <c r="Q1480">
        <v>60</v>
      </c>
      <c r="R1480" t="s">
        <v>60</v>
      </c>
      <c r="W1480">
        <v>9</v>
      </c>
      <c r="X1480">
        <v>9</v>
      </c>
      <c r="AE1480">
        <v>0</v>
      </c>
      <c r="AI1480" t="s">
        <v>108</v>
      </c>
      <c r="AJ1480" t="s">
        <v>458</v>
      </c>
      <c r="AK1480" t="s">
        <v>52</v>
      </c>
      <c r="AL1480" t="str">
        <f>HYPERLINK("https://www.instagram.com/p/BzGdDFmH2Ji/media/?size=l")</f>
        <v>https://www.instagram.com/p/BzGdDFmH2Ji/media/?size=l</v>
      </c>
      <c r="AM1480" t="s">
        <v>52</v>
      </c>
      <c r="AN1480" t="s">
        <v>53</v>
      </c>
    </row>
    <row r="1481" spans="1:40">
      <c r="A1481" t="s">
        <v>2370</v>
      </c>
      <c r="B1481" t="s">
        <v>5408</v>
      </c>
      <c r="C1481" t="s">
        <v>5412</v>
      </c>
      <c r="D1481" t="s">
        <v>5413</v>
      </c>
      <c r="E1481" t="s">
        <v>5414</v>
      </c>
      <c r="F1481" t="s">
        <v>95</v>
      </c>
      <c r="G1481" t="str">
        <f>HYPERLINK("https://telegram.me/AC2019babyfur/6823")</f>
        <v>https://telegram.me/AC2019babyfur/6823</v>
      </c>
      <c r="H1481" t="s">
        <v>46</v>
      </c>
      <c r="I1481" t="s">
        <v>5415</v>
      </c>
      <c r="J1481" t="str">
        <f>HYPERLINK("https://telegram.me/fezzikfleabaggins")</f>
        <v>https://telegram.me/fezzikfleabaggins</v>
      </c>
      <c r="N1481" t="s">
        <v>4242</v>
      </c>
      <c r="O1481" t="s">
        <v>5416</v>
      </c>
      <c r="P1481" t="str">
        <f>HYPERLINK("https://telegram.me/ac2019babyfur")</f>
        <v>https://telegram.me/ac2019babyfur</v>
      </c>
      <c r="Q1481">
        <v>45</v>
      </c>
      <c r="R1481" t="s">
        <v>4244</v>
      </c>
      <c r="AM1481" t="s">
        <v>52</v>
      </c>
      <c r="AN1481" t="s">
        <v>53</v>
      </c>
    </row>
    <row r="1482" spans="1:40">
      <c r="A1482" t="s">
        <v>2370</v>
      </c>
      <c r="B1482" t="s">
        <v>5408</v>
      </c>
      <c r="C1482" t="s">
        <v>5352</v>
      </c>
      <c r="D1482" t="s">
        <v>52</v>
      </c>
      <c r="E1482" t="s">
        <v>5128</v>
      </c>
      <c r="F1482" t="s">
        <v>131</v>
      </c>
      <c r="G1482" t="str">
        <f>HYPERLINK("https://twitter.com/3355767129/status/1143208770555789313")</f>
        <v>https://twitter.com/3355767129/status/1143208770555789313</v>
      </c>
      <c r="H1482" t="s">
        <v>46</v>
      </c>
      <c r="I1482" t="s">
        <v>5417</v>
      </c>
      <c r="J1482" t="str">
        <f>HYPERLINK("http://twitter.com/buckslevito")</f>
        <v>http://twitter.com/buckslevito</v>
      </c>
      <c r="K1482">
        <v>2107</v>
      </c>
      <c r="N1482" t="s">
        <v>65</v>
      </c>
      <c r="R1482" t="s">
        <v>60</v>
      </c>
      <c r="S1482" t="s">
        <v>1071</v>
      </c>
      <c r="T1482" t="s">
        <v>5418</v>
      </c>
      <c r="U1482" t="s">
        <v>5419</v>
      </c>
      <c r="W1482">
        <v>0</v>
      </c>
      <c r="X1482">
        <v>0</v>
      </c>
      <c r="AE1482">
        <v>0</v>
      </c>
      <c r="AI1482" t="s">
        <v>52</v>
      </c>
      <c r="AJ1482" t="s">
        <v>5130</v>
      </c>
      <c r="AK1482" t="s">
        <v>52</v>
      </c>
      <c r="AL1482" t="str">
        <f>HYPERLINK("https://pbs.twimg.com/media/D91AXfmXoAE6StK.jpg")</f>
        <v>https://pbs.twimg.com/media/D91AXfmXoAE6StK.jpg</v>
      </c>
      <c r="AM1482" t="s">
        <v>52</v>
      </c>
      <c r="AN1482" t="s">
        <v>53</v>
      </c>
    </row>
    <row r="1483" spans="1:40">
      <c r="A1483" t="s">
        <v>2370</v>
      </c>
      <c r="B1483" t="s">
        <v>5420</v>
      </c>
      <c r="C1483" t="s">
        <v>5287</v>
      </c>
      <c r="D1483" t="s">
        <v>52</v>
      </c>
      <c r="E1483" t="s">
        <v>5421</v>
      </c>
      <c r="F1483" t="s">
        <v>45</v>
      </c>
      <c r="G1483" t="str">
        <f>HYPERLINK("https://www.instagram.com/p/BzGc8IFHrle")</f>
        <v>https://www.instagram.com/p/BzGc8IFHrle</v>
      </c>
      <c r="H1483" t="s">
        <v>46</v>
      </c>
      <c r="I1483" t="s">
        <v>5422</v>
      </c>
      <c r="J1483" t="str">
        <f>HYPERLINK("http://instagram.com/bearinthebackyard.yt")</f>
        <v>http://instagram.com/bearinthebackyard.yt</v>
      </c>
      <c r="K1483">
        <v>241</v>
      </c>
      <c r="N1483" t="s">
        <v>59</v>
      </c>
      <c r="O1483" t="s">
        <v>5422</v>
      </c>
      <c r="P1483" t="str">
        <f>HYPERLINK("http://instagram.com/bearinthebackyard.yt")</f>
        <v>http://instagram.com/bearinthebackyard.yt</v>
      </c>
      <c r="Q1483">
        <v>241</v>
      </c>
      <c r="R1483" t="s">
        <v>60</v>
      </c>
      <c r="W1483">
        <v>38</v>
      </c>
      <c r="X1483">
        <v>38</v>
      </c>
      <c r="AE1483">
        <v>1</v>
      </c>
      <c r="AI1483" t="s">
        <v>52</v>
      </c>
      <c r="AJ1483" t="s">
        <v>659</v>
      </c>
      <c r="AK1483" t="s">
        <v>52</v>
      </c>
      <c r="AL1483" t="str">
        <f>HYPERLINK("https://www.instagram.com/p/BzGc8IFHrle/media/?size=l")</f>
        <v>https://www.instagram.com/p/BzGc8IFHrle/media/?size=l</v>
      </c>
      <c r="AM1483" t="s">
        <v>52</v>
      </c>
      <c r="AN1483" t="s">
        <v>53</v>
      </c>
    </row>
    <row r="1484" spans="1:40">
      <c r="A1484" t="s">
        <v>2370</v>
      </c>
      <c r="B1484" t="s">
        <v>5420</v>
      </c>
      <c r="C1484" t="s">
        <v>5423</v>
      </c>
      <c r="D1484" t="s">
        <v>52</v>
      </c>
      <c r="E1484" t="s">
        <v>1194</v>
      </c>
      <c r="F1484" t="s">
        <v>131</v>
      </c>
      <c r="G1484" t="str">
        <f>HYPERLINK("https://twitter.com/2474808741/status/1143208509313560582")</f>
        <v>https://twitter.com/2474808741/status/1143208509313560582</v>
      </c>
      <c r="H1484" t="s">
        <v>46</v>
      </c>
      <c r="I1484" t="s">
        <v>5424</v>
      </c>
      <c r="J1484" t="str">
        <f>HYPERLINK("http://twitter.com/macy_weathers")</f>
        <v>http://twitter.com/macy_weathers</v>
      </c>
      <c r="K1484">
        <v>299</v>
      </c>
      <c r="N1484" t="s">
        <v>65</v>
      </c>
      <c r="R1484" t="s">
        <v>60</v>
      </c>
      <c r="W1484">
        <v>0</v>
      </c>
      <c r="X1484">
        <v>0</v>
      </c>
      <c r="AE1484">
        <v>0</v>
      </c>
      <c r="AI1484" t="s">
        <v>52</v>
      </c>
      <c r="AJ1484" t="s">
        <v>1196</v>
      </c>
      <c r="AK1484" t="s">
        <v>52</v>
      </c>
      <c r="AL1484" t="str">
        <f>HYPERLINK("https://pbs.twimg.com/media/D9xgk2YXkAAd2ql.jpg")</f>
        <v>https://pbs.twimg.com/media/D9xgk2YXkAAd2ql.jpg</v>
      </c>
      <c r="AM1484" t="s">
        <v>52</v>
      </c>
      <c r="AN1484" t="s">
        <v>53</v>
      </c>
    </row>
    <row r="1485" spans="1:40">
      <c r="A1485" t="s">
        <v>2370</v>
      </c>
      <c r="B1485" t="s">
        <v>5420</v>
      </c>
      <c r="C1485" t="s">
        <v>5423</v>
      </c>
      <c r="D1485" t="s">
        <v>52</v>
      </c>
      <c r="E1485" t="s">
        <v>5425</v>
      </c>
      <c r="F1485" t="s">
        <v>95</v>
      </c>
      <c r="G1485" t="str">
        <f>HYPERLINK("https://twitter.com/2964737939/status/1143208507115655171")</f>
        <v>https://twitter.com/2964737939/status/1143208507115655171</v>
      </c>
      <c r="H1485" t="s">
        <v>46</v>
      </c>
      <c r="I1485" t="s">
        <v>52</v>
      </c>
      <c r="J1485" t="str">
        <f>HYPERLINK("http://twitter.com/gonegirl0115")</f>
        <v>http://twitter.com/gonegirl0115</v>
      </c>
      <c r="K1485">
        <v>799</v>
      </c>
      <c r="N1485" t="s">
        <v>65</v>
      </c>
      <c r="R1485" t="s">
        <v>60</v>
      </c>
      <c r="S1485" t="s">
        <v>51</v>
      </c>
      <c r="W1485">
        <v>1</v>
      </c>
      <c r="X1485">
        <v>1</v>
      </c>
      <c r="AE1485">
        <v>0</v>
      </c>
      <c r="AF1485">
        <v>0</v>
      </c>
      <c r="AM1485" t="s">
        <v>52</v>
      </c>
      <c r="AN1485" t="s">
        <v>53</v>
      </c>
    </row>
    <row r="1486" spans="1:40">
      <c r="A1486" t="s">
        <v>2370</v>
      </c>
      <c r="B1486" t="s">
        <v>5426</v>
      </c>
      <c r="C1486" t="s">
        <v>5427</v>
      </c>
      <c r="D1486" t="s">
        <v>52</v>
      </c>
      <c r="E1486" t="s">
        <v>5428</v>
      </c>
      <c r="F1486" t="s">
        <v>95</v>
      </c>
      <c r="G1486" t="str">
        <f>HYPERLINK("https://twitter.com/1081654935119380481/status/1143207247767580673")</f>
        <v>https://twitter.com/1081654935119380481/status/1143207247767580673</v>
      </c>
      <c r="H1486" t="s">
        <v>46</v>
      </c>
      <c r="I1486" t="s">
        <v>5429</v>
      </c>
      <c r="J1486" t="str">
        <f>HYPERLINK("http://twitter.com/clintxhawk")</f>
        <v>http://twitter.com/clintxhawk</v>
      </c>
      <c r="K1486">
        <v>304</v>
      </c>
      <c r="L1486" t="s">
        <v>48</v>
      </c>
      <c r="N1486" t="s">
        <v>65</v>
      </c>
      <c r="R1486" t="s">
        <v>60</v>
      </c>
      <c r="W1486">
        <v>0</v>
      </c>
      <c r="X1486">
        <v>0</v>
      </c>
      <c r="AE1486">
        <v>1</v>
      </c>
      <c r="AF1486">
        <v>0</v>
      </c>
      <c r="AM1486" t="s">
        <v>52</v>
      </c>
      <c r="AN1486" t="s">
        <v>53</v>
      </c>
    </row>
    <row r="1487" spans="1:40">
      <c r="A1487" t="s">
        <v>2370</v>
      </c>
      <c r="B1487" t="s">
        <v>5426</v>
      </c>
      <c r="C1487" t="s">
        <v>5430</v>
      </c>
      <c r="D1487" t="s">
        <v>52</v>
      </c>
      <c r="E1487" t="s">
        <v>1194</v>
      </c>
      <c r="F1487" t="s">
        <v>131</v>
      </c>
      <c r="G1487" t="str">
        <f>HYPERLINK("https://twitter.com/1034062594162667521/status/1143207247817822211")</f>
        <v>https://twitter.com/1034062594162667521/status/1143207247817822211</v>
      </c>
      <c r="H1487" t="s">
        <v>46</v>
      </c>
      <c r="I1487" t="s">
        <v>5431</v>
      </c>
      <c r="J1487" t="str">
        <f>HYPERLINK("http://twitter.com/qistinah_")</f>
        <v>http://twitter.com/qistinah_</v>
      </c>
      <c r="K1487">
        <v>58</v>
      </c>
      <c r="N1487" t="s">
        <v>65</v>
      </c>
      <c r="R1487" t="s">
        <v>60</v>
      </c>
      <c r="W1487">
        <v>0</v>
      </c>
      <c r="X1487">
        <v>0</v>
      </c>
      <c r="AE1487">
        <v>0</v>
      </c>
      <c r="AI1487" t="s">
        <v>52</v>
      </c>
      <c r="AJ1487" t="s">
        <v>1196</v>
      </c>
      <c r="AK1487" t="s">
        <v>52</v>
      </c>
      <c r="AL1487" t="str">
        <f>HYPERLINK("https://pbs.twimg.com/media/D9xgk2YXkAAd2ql.jpg")</f>
        <v>https://pbs.twimg.com/media/D9xgk2YXkAAd2ql.jpg</v>
      </c>
      <c r="AM1487" t="s">
        <v>52</v>
      </c>
      <c r="AN1487" t="s">
        <v>53</v>
      </c>
    </row>
    <row r="1488" spans="1:40">
      <c r="A1488" t="s">
        <v>2370</v>
      </c>
      <c r="B1488" t="s">
        <v>5426</v>
      </c>
      <c r="C1488" t="s">
        <v>5432</v>
      </c>
      <c r="D1488" t="s">
        <v>52</v>
      </c>
      <c r="E1488" t="s">
        <v>5433</v>
      </c>
      <c r="F1488" t="s">
        <v>95</v>
      </c>
      <c r="G1488" t="str">
        <f>HYPERLINK("https://twitter.com/1071142363509243909/status/1143207196949385216")</f>
        <v>https://twitter.com/1071142363509243909/status/1143207196949385216</v>
      </c>
      <c r="H1488" t="s">
        <v>46</v>
      </c>
      <c r="I1488" t="s">
        <v>5434</v>
      </c>
      <c r="J1488" t="str">
        <f>HYPERLINK("http://twitter.com/FossilFoxes")</f>
        <v>http://twitter.com/FossilFoxes</v>
      </c>
      <c r="K1488">
        <v>277</v>
      </c>
      <c r="L1488" t="s">
        <v>48</v>
      </c>
      <c r="N1488" t="s">
        <v>65</v>
      </c>
      <c r="R1488" t="s">
        <v>60</v>
      </c>
      <c r="W1488">
        <v>1</v>
      </c>
      <c r="X1488">
        <v>1</v>
      </c>
      <c r="AE1488">
        <v>0</v>
      </c>
      <c r="AF1488">
        <v>0</v>
      </c>
      <c r="AM1488" t="s">
        <v>52</v>
      </c>
      <c r="AN1488" t="s">
        <v>53</v>
      </c>
    </row>
    <row r="1489" spans="1:40">
      <c r="A1489" t="s">
        <v>2370</v>
      </c>
      <c r="B1489" t="s">
        <v>5435</v>
      </c>
      <c r="C1489" t="s">
        <v>5436</v>
      </c>
      <c r="D1489" t="s">
        <v>52</v>
      </c>
      <c r="E1489" t="s">
        <v>3749</v>
      </c>
      <c r="F1489" t="s">
        <v>71</v>
      </c>
      <c r="G1489" t="str">
        <f>HYPERLINK("https://twitter.com/936946578358784000/status/1143207151042781184")</f>
        <v>https://twitter.com/936946578358784000/status/1143207151042781184</v>
      </c>
      <c r="H1489" t="s">
        <v>46</v>
      </c>
      <c r="I1489" t="s">
        <v>5437</v>
      </c>
      <c r="J1489" t="str">
        <f>HYPERLINK("http://twitter.com/NoChebsNoLove")</f>
        <v>http://twitter.com/NoChebsNoLove</v>
      </c>
      <c r="K1489">
        <v>100</v>
      </c>
      <c r="N1489" t="s">
        <v>65</v>
      </c>
      <c r="R1489" t="s">
        <v>60</v>
      </c>
      <c r="S1489" t="s">
        <v>1071</v>
      </c>
      <c r="W1489">
        <v>0</v>
      </c>
      <c r="X1489">
        <v>0</v>
      </c>
      <c r="AE1489">
        <v>0</v>
      </c>
      <c r="AF1489">
        <v>0</v>
      </c>
      <c r="AI1489" t="s">
        <v>108</v>
      </c>
      <c r="AJ1489" t="s">
        <v>52</v>
      </c>
      <c r="AK1489" t="s">
        <v>52</v>
      </c>
      <c r="AL1489" t="str">
        <f>HYPERLINK("https://pbs.twimg.com/media/D9sAXHUX4AA6vJs.jpg")</f>
        <v>https://pbs.twimg.com/media/D9sAXHUX4AA6vJs.jpg</v>
      </c>
      <c r="AM1489" t="s">
        <v>52</v>
      </c>
      <c r="AN1489" t="s">
        <v>53</v>
      </c>
    </row>
    <row r="1490" spans="1:40">
      <c r="A1490" t="s">
        <v>2370</v>
      </c>
      <c r="B1490" t="s">
        <v>5435</v>
      </c>
      <c r="C1490" t="s">
        <v>5438</v>
      </c>
      <c r="D1490" t="s">
        <v>52</v>
      </c>
      <c r="E1490" t="s">
        <v>5439</v>
      </c>
      <c r="F1490" t="s">
        <v>45</v>
      </c>
      <c r="G1490" t="str">
        <f>HYPERLINK("https://twitter.com/4645735970/status/1143207136119312386")</f>
        <v>https://twitter.com/4645735970/status/1143207136119312386</v>
      </c>
      <c r="H1490" t="s">
        <v>46</v>
      </c>
      <c r="I1490" t="s">
        <v>5440</v>
      </c>
      <c r="J1490" t="str">
        <f>HYPERLINK("http://twitter.com/sullycide")</f>
        <v>http://twitter.com/sullycide</v>
      </c>
      <c r="K1490">
        <v>518</v>
      </c>
      <c r="N1490" t="s">
        <v>65</v>
      </c>
      <c r="R1490" t="s">
        <v>60</v>
      </c>
      <c r="S1490" t="s">
        <v>51</v>
      </c>
      <c r="T1490" t="s">
        <v>2522</v>
      </c>
      <c r="U1490" t="s">
        <v>2523</v>
      </c>
      <c r="W1490">
        <v>5</v>
      </c>
      <c r="X1490">
        <v>5</v>
      </c>
      <c r="AE1490">
        <v>1</v>
      </c>
      <c r="AF1490">
        <v>0</v>
      </c>
      <c r="AM1490" t="s">
        <v>52</v>
      </c>
      <c r="AN1490" t="s">
        <v>53</v>
      </c>
    </row>
    <row r="1491" spans="1:40">
      <c r="A1491" t="s">
        <v>2370</v>
      </c>
      <c r="B1491" t="s">
        <v>5435</v>
      </c>
      <c r="C1491" t="s">
        <v>5438</v>
      </c>
      <c r="D1491" t="s">
        <v>52</v>
      </c>
      <c r="E1491" t="s">
        <v>130</v>
      </c>
      <c r="F1491" t="s">
        <v>131</v>
      </c>
      <c r="G1491" t="str">
        <f>HYPERLINK("https://twitter.com/200016558/status/1143207112400625665")</f>
        <v>https://twitter.com/200016558/status/1143207112400625665</v>
      </c>
      <c r="H1491" t="s">
        <v>46</v>
      </c>
      <c r="I1491" t="s">
        <v>5441</v>
      </c>
      <c r="J1491" t="str">
        <f>HYPERLINK("http://twitter.com/oldwalshy")</f>
        <v>http://twitter.com/oldwalshy</v>
      </c>
      <c r="K1491">
        <v>733</v>
      </c>
      <c r="L1491" t="s">
        <v>48</v>
      </c>
      <c r="N1491" t="s">
        <v>65</v>
      </c>
      <c r="R1491" t="s">
        <v>60</v>
      </c>
      <c r="S1491" t="s">
        <v>51</v>
      </c>
      <c r="T1491" t="s">
        <v>137</v>
      </c>
      <c r="U1491" t="s">
        <v>1015</v>
      </c>
      <c r="W1491">
        <v>0</v>
      </c>
      <c r="X1491">
        <v>0</v>
      </c>
      <c r="AE1491">
        <v>0</v>
      </c>
      <c r="AI1491" t="s">
        <v>108</v>
      </c>
      <c r="AJ1491" t="s">
        <v>52</v>
      </c>
      <c r="AK1491" t="s">
        <v>52</v>
      </c>
      <c r="AL1491" t="str">
        <f>HYPERLINK("https://pbs.twimg.com/media/D9XTkLWW4AAOYnJ.jpg")</f>
        <v>https://pbs.twimg.com/media/D9XTkLWW4AAOYnJ.jpg</v>
      </c>
      <c r="AM1491" t="s">
        <v>52</v>
      </c>
      <c r="AN1491" t="s">
        <v>53</v>
      </c>
    </row>
    <row r="1492" spans="1:40">
      <c r="A1492" t="s">
        <v>2370</v>
      </c>
      <c r="B1492" t="s">
        <v>5435</v>
      </c>
      <c r="C1492" t="s">
        <v>5442</v>
      </c>
      <c r="D1492" t="s">
        <v>52</v>
      </c>
      <c r="E1492" t="s">
        <v>5443</v>
      </c>
      <c r="F1492" t="s">
        <v>45</v>
      </c>
      <c r="G1492" t="str">
        <f>HYPERLINK("https://www.instagram.com/p/BzGcQyxHxuy")</f>
        <v>https://www.instagram.com/p/BzGcQyxHxuy</v>
      </c>
      <c r="H1492" t="s">
        <v>46</v>
      </c>
      <c r="I1492" t="s">
        <v>5444</v>
      </c>
      <c r="J1492" t="str">
        <f>HYPERLINK("http://instagram.com/nichee.rosex")</f>
        <v>http://instagram.com/nichee.rosex</v>
      </c>
      <c r="K1492">
        <v>3965</v>
      </c>
      <c r="N1492" t="s">
        <v>59</v>
      </c>
      <c r="O1492" t="s">
        <v>5444</v>
      </c>
      <c r="P1492" t="str">
        <f>HYPERLINK("http://instagram.com/nichee.rosex")</f>
        <v>http://instagram.com/nichee.rosex</v>
      </c>
      <c r="Q1492">
        <v>3965</v>
      </c>
      <c r="R1492" t="s">
        <v>60</v>
      </c>
      <c r="S1492" t="s">
        <v>97</v>
      </c>
      <c r="T1492" t="s">
        <v>177</v>
      </c>
      <c r="U1492" t="s">
        <v>395</v>
      </c>
      <c r="W1492">
        <v>114</v>
      </c>
      <c r="X1492">
        <v>114</v>
      </c>
      <c r="AE1492">
        <v>5</v>
      </c>
      <c r="AI1492" t="s">
        <v>108</v>
      </c>
      <c r="AJ1492" t="s">
        <v>3626</v>
      </c>
      <c r="AK1492" t="s">
        <v>52</v>
      </c>
      <c r="AL1492" t="str">
        <f>HYPERLINK("https://www.instagram.com/p/BzGcQyxHxuy/media/?size=l")</f>
        <v>https://www.instagram.com/p/BzGcQyxHxuy/media/?size=l</v>
      </c>
      <c r="AM1492" t="s">
        <v>52</v>
      </c>
      <c r="AN1492" t="s">
        <v>53</v>
      </c>
    </row>
    <row r="1493" spans="1:40">
      <c r="A1493" t="s">
        <v>2370</v>
      </c>
      <c r="B1493" t="s">
        <v>5445</v>
      </c>
      <c r="C1493" t="s">
        <v>5446</v>
      </c>
      <c r="D1493" t="s">
        <v>52</v>
      </c>
      <c r="E1493" t="s">
        <v>5447</v>
      </c>
      <c r="F1493" t="s">
        <v>45</v>
      </c>
      <c r="G1493" t="str">
        <f>HYPERLINK("https://www.instagram.com/p/BzGbyG4H7E-")</f>
        <v>https://www.instagram.com/p/BzGbyG4H7E-</v>
      </c>
      <c r="H1493" t="s">
        <v>46</v>
      </c>
      <c r="I1493" t="s">
        <v>5448</v>
      </c>
      <c r="J1493" t="str">
        <f>HYPERLINK("http://instagram.com/metal_beauty_4_life")</f>
        <v>http://instagram.com/metal_beauty_4_life</v>
      </c>
      <c r="K1493">
        <v>1974</v>
      </c>
      <c r="N1493" t="s">
        <v>59</v>
      </c>
      <c r="O1493" t="s">
        <v>5448</v>
      </c>
      <c r="P1493" t="str">
        <f>HYPERLINK("http://instagram.com/metal_beauty_4_life")</f>
        <v>http://instagram.com/metal_beauty_4_life</v>
      </c>
      <c r="Q1493">
        <v>1974</v>
      </c>
      <c r="R1493" t="s">
        <v>60</v>
      </c>
      <c r="S1493" t="s">
        <v>51</v>
      </c>
      <c r="T1493" t="s">
        <v>152</v>
      </c>
      <c r="U1493" t="s">
        <v>5449</v>
      </c>
      <c r="W1493">
        <v>8</v>
      </c>
      <c r="X1493">
        <v>8</v>
      </c>
      <c r="AE1493">
        <v>0</v>
      </c>
      <c r="AI1493" t="s">
        <v>108</v>
      </c>
      <c r="AJ1493" t="s">
        <v>5450</v>
      </c>
      <c r="AK1493" t="s">
        <v>52</v>
      </c>
      <c r="AL1493" t="str">
        <f>HYPERLINK("https://www.instagram.com/p/BzGbyG4H7E-/media/?size=l")</f>
        <v>https://www.instagram.com/p/BzGbyG4H7E-/media/?size=l</v>
      </c>
      <c r="AM1493" t="s">
        <v>52</v>
      </c>
      <c r="AN1493" t="s">
        <v>53</v>
      </c>
    </row>
    <row r="1494" spans="1:40">
      <c r="A1494" t="s">
        <v>2370</v>
      </c>
      <c r="B1494" t="s">
        <v>5445</v>
      </c>
      <c r="C1494" t="s">
        <v>5451</v>
      </c>
      <c r="D1494" t="s">
        <v>52</v>
      </c>
      <c r="E1494" t="s">
        <v>5452</v>
      </c>
      <c r="F1494" t="s">
        <v>45</v>
      </c>
      <c r="G1494" t="str">
        <f>HYPERLINK("https://twitter.com/66304285/status/1143205974372704257")</f>
        <v>https://twitter.com/66304285/status/1143205974372704257</v>
      </c>
      <c r="H1494" t="s">
        <v>46</v>
      </c>
      <c r="I1494" t="s">
        <v>5453</v>
      </c>
      <c r="J1494" t="str">
        <f>HYPERLINK("http://twitter.com/contrasoos")</f>
        <v>http://twitter.com/contrasoos</v>
      </c>
      <c r="K1494">
        <v>126</v>
      </c>
      <c r="L1494" t="s">
        <v>48</v>
      </c>
      <c r="N1494" t="s">
        <v>65</v>
      </c>
      <c r="R1494" t="s">
        <v>60</v>
      </c>
      <c r="S1494" t="s">
        <v>51</v>
      </c>
      <c r="T1494" t="s">
        <v>173</v>
      </c>
      <c r="U1494" t="s">
        <v>5454</v>
      </c>
      <c r="W1494">
        <v>0</v>
      </c>
      <c r="X1494">
        <v>0</v>
      </c>
      <c r="AE1494">
        <v>0</v>
      </c>
      <c r="AF1494">
        <v>0</v>
      </c>
      <c r="AM1494" t="s">
        <v>52</v>
      </c>
      <c r="AN1494" t="s">
        <v>53</v>
      </c>
    </row>
    <row r="1495" spans="1:40">
      <c r="A1495" t="s">
        <v>2370</v>
      </c>
      <c r="B1495" t="s">
        <v>5455</v>
      </c>
      <c r="C1495" t="s">
        <v>5456</v>
      </c>
      <c r="D1495" t="s">
        <v>52</v>
      </c>
      <c r="E1495" t="s">
        <v>5457</v>
      </c>
      <c r="F1495" t="s">
        <v>95</v>
      </c>
      <c r="G1495" t="str">
        <f>HYPERLINK("https://twitter.com/1109456592762597378/status/1143205687457042433")</f>
        <v>https://twitter.com/1109456592762597378/status/1143205687457042433</v>
      </c>
      <c r="H1495" t="s">
        <v>46</v>
      </c>
      <c r="I1495" t="s">
        <v>5458</v>
      </c>
      <c r="J1495" t="str">
        <f>HYPERLINK("http://twitter.com/sugashup_")</f>
        <v>http://twitter.com/sugashup_</v>
      </c>
      <c r="K1495">
        <v>1160</v>
      </c>
      <c r="N1495" t="s">
        <v>65</v>
      </c>
      <c r="R1495" t="s">
        <v>60</v>
      </c>
      <c r="S1495" t="s">
        <v>1643</v>
      </c>
      <c r="W1495">
        <v>0</v>
      </c>
      <c r="X1495">
        <v>0</v>
      </c>
      <c r="AE1495">
        <v>0</v>
      </c>
      <c r="AF1495">
        <v>0</v>
      </c>
      <c r="AM1495" t="s">
        <v>52</v>
      </c>
      <c r="AN1495" t="s">
        <v>53</v>
      </c>
    </row>
    <row r="1496" spans="1:40">
      <c r="A1496" t="s">
        <v>2370</v>
      </c>
      <c r="B1496" t="s">
        <v>5455</v>
      </c>
      <c r="C1496" t="s">
        <v>5459</v>
      </c>
      <c r="D1496" t="s">
        <v>52</v>
      </c>
      <c r="E1496" t="s">
        <v>5460</v>
      </c>
      <c r="F1496" t="s">
        <v>45</v>
      </c>
      <c r="G1496" t="str">
        <f>HYPERLINK("https://www.instagram.com/p/BzGbnBMAIyO")</f>
        <v>https://www.instagram.com/p/BzGbnBMAIyO</v>
      </c>
      <c r="H1496" t="s">
        <v>46</v>
      </c>
      <c r="I1496" t="s">
        <v>5461</v>
      </c>
      <c r="J1496" t="str">
        <f>HYPERLINK("http://instagram.com/420coochie")</f>
        <v>http://instagram.com/420coochie</v>
      </c>
      <c r="K1496">
        <v>304</v>
      </c>
      <c r="N1496" t="s">
        <v>59</v>
      </c>
      <c r="O1496" t="s">
        <v>5461</v>
      </c>
      <c r="P1496" t="str">
        <f>HYPERLINK("http://instagram.com/420coochie")</f>
        <v>http://instagram.com/420coochie</v>
      </c>
      <c r="Q1496">
        <v>304</v>
      </c>
      <c r="R1496" t="s">
        <v>60</v>
      </c>
      <c r="W1496">
        <v>39</v>
      </c>
      <c r="X1496">
        <v>39</v>
      </c>
      <c r="AE1496">
        <v>0</v>
      </c>
      <c r="AI1496" t="s">
        <v>52</v>
      </c>
      <c r="AJ1496" t="s">
        <v>458</v>
      </c>
      <c r="AK1496" t="s">
        <v>110</v>
      </c>
      <c r="AL1496" t="str">
        <f>HYPERLINK("https://www.instagram.com/p/BzGbnBMAIyO/media/?size=l")</f>
        <v>https://www.instagram.com/p/BzGbnBMAIyO/media/?size=l</v>
      </c>
      <c r="AM1496" t="s">
        <v>52</v>
      </c>
      <c r="AN1496" t="s">
        <v>53</v>
      </c>
    </row>
    <row r="1497" spans="1:40">
      <c r="A1497" t="s">
        <v>2370</v>
      </c>
      <c r="B1497" t="s">
        <v>5462</v>
      </c>
      <c r="C1497" t="s">
        <v>2519</v>
      </c>
      <c r="D1497" t="s">
        <v>52</v>
      </c>
      <c r="E1497" t="s">
        <v>5463</v>
      </c>
      <c r="F1497" t="s">
        <v>45</v>
      </c>
      <c r="G1497" t="str">
        <f>HYPERLINK("https://www.facebook.com/285913118190454/posts/2217755928339487")</f>
        <v>https://www.facebook.com/285913118190454/posts/2217755928339487</v>
      </c>
      <c r="H1497" t="s">
        <v>46</v>
      </c>
      <c r="I1497" t="s">
        <v>5464</v>
      </c>
      <c r="J1497" t="str">
        <f>HYPERLINK("https://www.facebook.com/285913118190454")</f>
        <v>https://www.facebook.com/285913118190454</v>
      </c>
      <c r="K1497">
        <v>548918</v>
      </c>
      <c r="L1497" t="s">
        <v>651</v>
      </c>
      <c r="N1497" t="s">
        <v>1792</v>
      </c>
      <c r="O1497" t="s">
        <v>5464</v>
      </c>
      <c r="P1497" t="str">
        <f>HYPERLINK("https://www.facebook.com/285913118190454")</f>
        <v>https://www.facebook.com/285913118190454</v>
      </c>
      <c r="Q1497">
        <v>548918</v>
      </c>
      <c r="R1497" t="s">
        <v>60</v>
      </c>
      <c r="W1497">
        <v>1429</v>
      </c>
      <c r="X1497">
        <v>1041</v>
      </c>
      <c r="Y1497">
        <v>201</v>
      </c>
      <c r="Z1497">
        <v>182</v>
      </c>
      <c r="AA1497">
        <v>5</v>
      </c>
      <c r="AB1497">
        <v>0</v>
      </c>
      <c r="AC1497">
        <v>0</v>
      </c>
      <c r="AE1497">
        <v>324</v>
      </c>
      <c r="AF1497">
        <v>205</v>
      </c>
      <c r="AI1497" t="s">
        <v>52</v>
      </c>
      <c r="AJ1497" t="s">
        <v>121</v>
      </c>
      <c r="AK1497" t="s">
        <v>5465</v>
      </c>
      <c r="AL1497" t="str">
        <f>HYPERLINK("https://scontent.xx.fbcdn.net/v/t1.0-9/p720x720/65312607_2217755331672880_7169517056704905216_o.jpg?_nc_cat=103&amp;_nc_ht=scontent.xx&amp;oh=9b8cabaab2b16cb11cdf1c4bf2bfaabb&amp;oe=5D7BA7A3")</f>
        <v>https://scontent.xx.fbcdn.net/v/t1.0-9/p720x720/65312607_2217755331672880_7169517056704905216_o.jpg?_nc_cat=103&amp;_nc_ht=scontent.xx&amp;oh=9b8cabaab2b16cb11cdf1c4bf2bfaabb&amp;oe=5D7BA7A3</v>
      </c>
      <c r="AM1497" t="s">
        <v>52</v>
      </c>
      <c r="AN1497" t="s">
        <v>53</v>
      </c>
    </row>
    <row r="1498" spans="1:40">
      <c r="A1498" t="s">
        <v>2370</v>
      </c>
      <c r="B1498" t="s">
        <v>5462</v>
      </c>
      <c r="C1498" t="s">
        <v>5466</v>
      </c>
      <c r="D1498" t="s">
        <v>52</v>
      </c>
      <c r="E1498" t="s">
        <v>5467</v>
      </c>
      <c r="F1498" t="s">
        <v>45</v>
      </c>
      <c r="G1498" t="str">
        <f>HYPERLINK("https://www.instagram.com/p/BzGbfeGHhDg")</f>
        <v>https://www.instagram.com/p/BzGbfeGHhDg</v>
      </c>
      <c r="H1498" t="s">
        <v>46</v>
      </c>
      <c r="I1498" t="s">
        <v>5468</v>
      </c>
      <c r="J1498" t="str">
        <f>HYPERLINK("http://instagram.com/eduardovictoryscout77")</f>
        <v>http://instagram.com/eduardovictoryscout77</v>
      </c>
      <c r="K1498">
        <v>80</v>
      </c>
      <c r="N1498" t="s">
        <v>59</v>
      </c>
      <c r="O1498" t="s">
        <v>5468</v>
      </c>
      <c r="P1498" t="str">
        <f>HYPERLINK("http://instagram.com/eduardovictoryscout77")</f>
        <v>http://instagram.com/eduardovictoryscout77</v>
      </c>
      <c r="Q1498">
        <v>80</v>
      </c>
      <c r="R1498" t="s">
        <v>60</v>
      </c>
      <c r="W1498">
        <v>2</v>
      </c>
      <c r="X1498">
        <v>2</v>
      </c>
      <c r="AE1498">
        <v>0</v>
      </c>
      <c r="AI1498" t="s">
        <v>5469</v>
      </c>
      <c r="AJ1498" t="s">
        <v>5470</v>
      </c>
      <c r="AK1498" t="s">
        <v>52</v>
      </c>
      <c r="AL1498" t="str">
        <f>HYPERLINK("https://www.instagram.com/p/BzGbfeGHhDg/media/?size=l")</f>
        <v>https://www.instagram.com/p/BzGbfeGHhDg/media/?size=l</v>
      </c>
      <c r="AM1498" t="s">
        <v>52</v>
      </c>
      <c r="AN1498" t="s">
        <v>53</v>
      </c>
    </row>
    <row r="1499" spans="1:40">
      <c r="A1499" t="s">
        <v>2370</v>
      </c>
      <c r="B1499" t="s">
        <v>5471</v>
      </c>
      <c r="C1499" t="s">
        <v>5472</v>
      </c>
      <c r="D1499" t="s">
        <v>52</v>
      </c>
      <c r="E1499" t="s">
        <v>5473</v>
      </c>
      <c r="F1499" t="s">
        <v>45</v>
      </c>
      <c r="G1499" t="str">
        <f>HYPERLINK("https://www.instagram.com/p/BzGbevHHb3O")</f>
        <v>https://www.instagram.com/p/BzGbevHHb3O</v>
      </c>
      <c r="H1499" t="s">
        <v>215</v>
      </c>
      <c r="I1499" t="s">
        <v>52</v>
      </c>
      <c r="J1499" t="str">
        <f>HYPERLINK("http://instagram.com/blk.peachii")</f>
        <v>http://instagram.com/blk.peachii</v>
      </c>
      <c r="K1499">
        <v>586</v>
      </c>
      <c r="N1499" t="s">
        <v>59</v>
      </c>
      <c r="O1499" t="s">
        <v>52</v>
      </c>
      <c r="P1499" t="str">
        <f>HYPERLINK("http://instagram.com/blk.peachii")</f>
        <v>http://instagram.com/blk.peachii</v>
      </c>
      <c r="Q1499">
        <v>586</v>
      </c>
      <c r="R1499" t="s">
        <v>60</v>
      </c>
      <c r="W1499">
        <v>20</v>
      </c>
      <c r="X1499">
        <v>20</v>
      </c>
      <c r="AE1499">
        <v>3</v>
      </c>
      <c r="AI1499" t="s">
        <v>52</v>
      </c>
      <c r="AJ1499" t="s">
        <v>5474</v>
      </c>
      <c r="AK1499" t="s">
        <v>680</v>
      </c>
      <c r="AL1499" t="str">
        <f>HYPERLINK("https://www.instagram.com/p/BzGbevHHb3O/media/?size=l")</f>
        <v>https://www.instagram.com/p/BzGbevHHb3O/media/?size=l</v>
      </c>
      <c r="AM1499" t="s">
        <v>52</v>
      </c>
      <c r="AN1499" t="s">
        <v>53</v>
      </c>
    </row>
    <row r="1500" spans="1:40">
      <c r="A1500" t="s">
        <v>2370</v>
      </c>
      <c r="B1500" t="s">
        <v>5471</v>
      </c>
      <c r="C1500" t="s">
        <v>5475</v>
      </c>
      <c r="D1500" t="s">
        <v>52</v>
      </c>
      <c r="E1500" t="s">
        <v>1194</v>
      </c>
      <c r="F1500" t="s">
        <v>131</v>
      </c>
      <c r="G1500" t="str">
        <f>HYPERLINK("https://twitter.com/3026422080/status/1143205227027456001")</f>
        <v>https://twitter.com/3026422080/status/1143205227027456001</v>
      </c>
      <c r="H1500" t="s">
        <v>46</v>
      </c>
      <c r="I1500" t="s">
        <v>5476</v>
      </c>
      <c r="J1500" t="str">
        <f>HYPERLINK("http://twitter.com/jacoboprado82")</f>
        <v>http://twitter.com/jacoboprado82</v>
      </c>
      <c r="K1500">
        <v>70</v>
      </c>
      <c r="N1500" t="s">
        <v>65</v>
      </c>
      <c r="R1500" t="s">
        <v>60</v>
      </c>
      <c r="W1500">
        <v>0</v>
      </c>
      <c r="X1500">
        <v>0</v>
      </c>
      <c r="AE1500">
        <v>0</v>
      </c>
      <c r="AI1500" t="s">
        <v>52</v>
      </c>
      <c r="AJ1500" t="s">
        <v>1196</v>
      </c>
      <c r="AK1500" t="s">
        <v>52</v>
      </c>
      <c r="AL1500" t="str">
        <f>HYPERLINK("https://pbs.twimg.com/media/D9xgk2YXkAAd2ql.jpg")</f>
        <v>https://pbs.twimg.com/media/D9xgk2YXkAAd2ql.jpg</v>
      </c>
      <c r="AM1500" t="s">
        <v>52</v>
      </c>
      <c r="AN1500" t="s">
        <v>53</v>
      </c>
    </row>
    <row r="1501" spans="1:40">
      <c r="A1501" t="s">
        <v>2370</v>
      </c>
      <c r="B1501" t="s">
        <v>5471</v>
      </c>
      <c r="C1501" t="s">
        <v>5475</v>
      </c>
      <c r="D1501" t="s">
        <v>52</v>
      </c>
      <c r="E1501" t="s">
        <v>5477</v>
      </c>
      <c r="F1501" t="s">
        <v>95</v>
      </c>
      <c r="G1501" t="str">
        <f>HYPERLINK("https://twitter.com/799748720673882112/status/1143205217430904834")</f>
        <v>https://twitter.com/799748720673882112/status/1143205217430904834</v>
      </c>
      <c r="H1501" t="s">
        <v>46</v>
      </c>
      <c r="I1501" t="s">
        <v>5478</v>
      </c>
      <c r="J1501" t="str">
        <f>HYPERLINK("http://twitter.com/SaffronStranger")</f>
        <v>http://twitter.com/SaffronStranger</v>
      </c>
      <c r="K1501">
        <v>310</v>
      </c>
      <c r="N1501" t="s">
        <v>65</v>
      </c>
      <c r="R1501" t="s">
        <v>60</v>
      </c>
      <c r="S1501" t="s">
        <v>97</v>
      </c>
      <c r="T1501" t="s">
        <v>177</v>
      </c>
      <c r="U1501" t="s">
        <v>1581</v>
      </c>
      <c r="W1501">
        <v>1</v>
      </c>
      <c r="X1501">
        <v>1</v>
      </c>
      <c r="AE1501">
        <v>1</v>
      </c>
      <c r="AF1501">
        <v>0</v>
      </c>
      <c r="AM1501" t="s">
        <v>52</v>
      </c>
      <c r="AN1501" t="s">
        <v>53</v>
      </c>
    </row>
    <row r="1502" spans="1:40">
      <c r="A1502" t="s">
        <v>2370</v>
      </c>
      <c r="B1502" t="s">
        <v>5471</v>
      </c>
      <c r="C1502" t="s">
        <v>5479</v>
      </c>
      <c r="D1502" t="s">
        <v>52</v>
      </c>
      <c r="E1502" t="s">
        <v>1194</v>
      </c>
      <c r="F1502" t="s">
        <v>131</v>
      </c>
      <c r="G1502" t="str">
        <f>HYPERLINK("https://twitter.com/2895207025/status/1143205200695480323")</f>
        <v>https://twitter.com/2895207025/status/1143205200695480323</v>
      </c>
      <c r="H1502" t="s">
        <v>46</v>
      </c>
      <c r="I1502" t="s">
        <v>5480</v>
      </c>
      <c r="J1502" t="str">
        <f>HYPERLINK("http://twitter.com/nicholas_vu")</f>
        <v>http://twitter.com/nicholas_vu</v>
      </c>
      <c r="K1502">
        <v>209</v>
      </c>
      <c r="L1502" t="s">
        <v>48</v>
      </c>
      <c r="N1502" t="s">
        <v>65</v>
      </c>
      <c r="R1502" t="s">
        <v>60</v>
      </c>
      <c r="W1502">
        <v>0</v>
      </c>
      <c r="X1502">
        <v>0</v>
      </c>
      <c r="AE1502">
        <v>0</v>
      </c>
      <c r="AI1502" t="s">
        <v>52</v>
      </c>
      <c r="AJ1502" t="s">
        <v>1196</v>
      </c>
      <c r="AK1502" t="s">
        <v>52</v>
      </c>
      <c r="AL1502" t="str">
        <f>HYPERLINK("https://pbs.twimg.com/media/D9xgk2YXkAAd2ql.jpg")</f>
        <v>https://pbs.twimg.com/media/D9xgk2YXkAAd2ql.jpg</v>
      </c>
      <c r="AM1502" t="s">
        <v>52</v>
      </c>
      <c r="AN1502" t="s">
        <v>53</v>
      </c>
    </row>
    <row r="1503" spans="1:40">
      <c r="A1503" t="s">
        <v>2370</v>
      </c>
      <c r="B1503" t="s">
        <v>5471</v>
      </c>
      <c r="C1503" t="s">
        <v>5479</v>
      </c>
      <c r="D1503" t="s">
        <v>52</v>
      </c>
      <c r="E1503" t="s">
        <v>1194</v>
      </c>
      <c r="F1503" t="s">
        <v>131</v>
      </c>
      <c r="G1503" t="str">
        <f>HYPERLINK("https://twitter.com/2969291507/status/1143205198850134016")</f>
        <v>https://twitter.com/2969291507/status/1143205198850134016</v>
      </c>
      <c r="H1503" t="s">
        <v>46</v>
      </c>
      <c r="I1503" t="s">
        <v>5481</v>
      </c>
      <c r="J1503" t="str">
        <f>HYPERLINK("http://twitter.com/camerynweeds")</f>
        <v>http://twitter.com/camerynweeds</v>
      </c>
      <c r="K1503">
        <v>324</v>
      </c>
      <c r="N1503" t="s">
        <v>65</v>
      </c>
      <c r="R1503" t="s">
        <v>60</v>
      </c>
      <c r="W1503">
        <v>0</v>
      </c>
      <c r="X1503">
        <v>0</v>
      </c>
      <c r="AE1503">
        <v>0</v>
      </c>
      <c r="AI1503" t="s">
        <v>52</v>
      </c>
      <c r="AJ1503" t="s">
        <v>1196</v>
      </c>
      <c r="AK1503" t="s">
        <v>52</v>
      </c>
      <c r="AL1503" t="str">
        <f>HYPERLINK("https://pbs.twimg.com/media/D9xgk2YXkAAd2ql.jpg")</f>
        <v>https://pbs.twimg.com/media/D9xgk2YXkAAd2ql.jpg</v>
      </c>
      <c r="AM1503" t="s">
        <v>52</v>
      </c>
      <c r="AN1503" t="s">
        <v>53</v>
      </c>
    </row>
    <row r="1504" spans="1:40">
      <c r="A1504" t="s">
        <v>2370</v>
      </c>
      <c r="B1504" t="s">
        <v>5471</v>
      </c>
      <c r="C1504" t="s">
        <v>5451</v>
      </c>
      <c r="D1504" t="s">
        <v>52</v>
      </c>
      <c r="E1504" t="s">
        <v>1194</v>
      </c>
      <c r="F1504" t="s">
        <v>131</v>
      </c>
      <c r="G1504" t="str">
        <f>HYPERLINK("https://twitter.com/605928704/status/1143205174703460354")</f>
        <v>https://twitter.com/605928704/status/1143205174703460354</v>
      </c>
      <c r="H1504" t="s">
        <v>46</v>
      </c>
      <c r="I1504" t="s">
        <v>5482</v>
      </c>
      <c r="J1504" t="str">
        <f>HYPERLINK("http://twitter.com/loie_cielo")</f>
        <v>http://twitter.com/loie_cielo</v>
      </c>
      <c r="K1504">
        <v>57</v>
      </c>
      <c r="L1504" t="s">
        <v>58</v>
      </c>
      <c r="N1504" t="s">
        <v>65</v>
      </c>
      <c r="R1504" t="s">
        <v>60</v>
      </c>
      <c r="W1504">
        <v>0</v>
      </c>
      <c r="X1504">
        <v>0</v>
      </c>
      <c r="AE1504">
        <v>0</v>
      </c>
      <c r="AI1504" t="s">
        <v>52</v>
      </c>
      <c r="AJ1504" t="s">
        <v>1196</v>
      </c>
      <c r="AK1504" t="s">
        <v>52</v>
      </c>
      <c r="AL1504" t="str">
        <f>HYPERLINK("https://pbs.twimg.com/media/D9xgk2YXkAAd2ql.jpg")</f>
        <v>https://pbs.twimg.com/media/D9xgk2YXkAAd2ql.jpg</v>
      </c>
      <c r="AM1504" t="s">
        <v>52</v>
      </c>
      <c r="AN1504" t="s">
        <v>53</v>
      </c>
    </row>
    <row r="1505" spans="1:40">
      <c r="A1505" t="s">
        <v>2370</v>
      </c>
      <c r="B1505" t="s">
        <v>5483</v>
      </c>
      <c r="C1505" t="s">
        <v>5456</v>
      </c>
      <c r="D1505" t="s">
        <v>52</v>
      </c>
      <c r="E1505" t="s">
        <v>5484</v>
      </c>
      <c r="F1505" t="s">
        <v>95</v>
      </c>
      <c r="G1505" t="str">
        <f>HYPERLINK("https://twitter.com/508858497/status/1143205125873291267")</f>
        <v>https://twitter.com/508858497/status/1143205125873291267</v>
      </c>
      <c r="H1505" t="s">
        <v>46</v>
      </c>
      <c r="I1505" t="s">
        <v>5485</v>
      </c>
      <c r="J1505" t="str">
        <f>HYPERLINK("http://twitter.com/dodondwiprastyo")</f>
        <v>http://twitter.com/dodondwiprastyo</v>
      </c>
      <c r="K1505">
        <v>117</v>
      </c>
      <c r="N1505" t="s">
        <v>65</v>
      </c>
      <c r="R1505" t="s">
        <v>60</v>
      </c>
      <c r="S1505" t="s">
        <v>1643</v>
      </c>
      <c r="T1505" t="s">
        <v>5486</v>
      </c>
      <c r="U1505" t="s">
        <v>5487</v>
      </c>
      <c r="W1505">
        <v>0</v>
      </c>
      <c r="X1505">
        <v>0</v>
      </c>
      <c r="AE1505">
        <v>0</v>
      </c>
      <c r="AF1505">
        <v>0</v>
      </c>
      <c r="AM1505" t="s">
        <v>52</v>
      </c>
      <c r="AN1505" t="s">
        <v>53</v>
      </c>
    </row>
    <row r="1506" spans="1:40">
      <c r="A1506" t="s">
        <v>2370</v>
      </c>
      <c r="B1506" t="s">
        <v>5483</v>
      </c>
      <c r="C1506" t="s">
        <v>5456</v>
      </c>
      <c r="D1506" t="s">
        <v>52</v>
      </c>
      <c r="E1506" t="s">
        <v>5488</v>
      </c>
      <c r="F1506" t="s">
        <v>95</v>
      </c>
      <c r="G1506" t="str">
        <f>HYPERLINK("https://twitter.com/1099020895346139136/status/1143205094734929920")</f>
        <v>https://twitter.com/1099020895346139136/status/1143205094734929920</v>
      </c>
      <c r="H1506" t="s">
        <v>91</v>
      </c>
      <c r="I1506" t="s">
        <v>5489</v>
      </c>
      <c r="J1506" t="str">
        <f>HYPERLINK("http://twitter.com/hahacIassmate")</f>
        <v>http://twitter.com/hahacIassmate</v>
      </c>
      <c r="K1506">
        <v>220</v>
      </c>
      <c r="L1506" t="s">
        <v>48</v>
      </c>
      <c r="N1506" t="s">
        <v>65</v>
      </c>
      <c r="R1506" t="s">
        <v>60</v>
      </c>
      <c r="S1506" t="s">
        <v>1452</v>
      </c>
      <c r="U1506" t="s">
        <v>5490</v>
      </c>
      <c r="W1506">
        <v>2</v>
      </c>
      <c r="X1506">
        <v>2</v>
      </c>
      <c r="AE1506">
        <v>1</v>
      </c>
      <c r="AF1506">
        <v>0</v>
      </c>
      <c r="AM1506" t="s">
        <v>52</v>
      </c>
      <c r="AN1506" t="s">
        <v>53</v>
      </c>
    </row>
    <row r="1507" spans="1:40">
      <c r="A1507" t="s">
        <v>2370</v>
      </c>
      <c r="B1507" t="s">
        <v>5491</v>
      </c>
      <c r="C1507" t="s">
        <v>5451</v>
      </c>
      <c r="D1507" t="s">
        <v>5492</v>
      </c>
      <c r="E1507" t="s">
        <v>5493</v>
      </c>
      <c r="F1507" t="s">
        <v>45</v>
      </c>
      <c r="G1507" t="str">
        <f>HYPERLINK("https://cryptocoinstribune.com/aon-plc-aon-reaches-193-95-high-on-jun-24-special-opportunities-fund-spes-sentiment-is-1")</f>
        <v>https://cryptocoinstribune.com/aon-plc-aon-reaches-193-95-high-on-jun-24-special-opportunities-fund-spes-sentiment-is-1</v>
      </c>
      <c r="H1507" t="s">
        <v>46</v>
      </c>
      <c r="I1507" t="s">
        <v>1028</v>
      </c>
      <c r="J1507" t="str">
        <f>HYPERLINK("https://cryptocoinstribune.com")</f>
        <v>https://cryptocoinstribune.com</v>
      </c>
      <c r="N1507" t="s">
        <v>960</v>
      </c>
      <c r="R1507" t="s">
        <v>357</v>
      </c>
      <c r="S1507" t="s">
        <v>51</v>
      </c>
      <c r="AI1507" t="s">
        <v>52</v>
      </c>
      <c r="AJ1507" t="s">
        <v>52</v>
      </c>
      <c r="AK1507" t="s">
        <v>52</v>
      </c>
      <c r="AL1507" t="str">
        <f>HYPERLINK("http://www.cryptocoinstribune.com/wp-content/uploads/logos/Logos/AON.png")</f>
        <v>http://www.cryptocoinstribune.com/wp-content/uploads/logos/Logos/AON.png</v>
      </c>
      <c r="AM1507" t="s">
        <v>52</v>
      </c>
      <c r="AN1507" t="s">
        <v>53</v>
      </c>
    </row>
    <row r="1508" spans="1:40">
      <c r="A1508" t="s">
        <v>2370</v>
      </c>
      <c r="B1508" t="s">
        <v>5494</v>
      </c>
      <c r="C1508" t="s">
        <v>5459</v>
      </c>
      <c r="D1508" t="s">
        <v>52</v>
      </c>
      <c r="E1508" t="s">
        <v>5495</v>
      </c>
      <c r="F1508" t="s">
        <v>45</v>
      </c>
      <c r="G1508" t="str">
        <f>HYPERLINK("https://www.instagram.com/p/BzGak6HA1zc")</f>
        <v>https://www.instagram.com/p/BzGak6HA1zc</v>
      </c>
      <c r="H1508" t="s">
        <v>46</v>
      </c>
      <c r="I1508" t="s">
        <v>5496</v>
      </c>
      <c r="J1508" t="str">
        <f>HYPERLINK("http://instagram.com/enpatii")</f>
        <v>http://instagram.com/enpatii</v>
      </c>
      <c r="K1508">
        <v>61</v>
      </c>
      <c r="N1508" t="s">
        <v>59</v>
      </c>
      <c r="O1508" t="s">
        <v>5496</v>
      </c>
      <c r="P1508" t="str">
        <f>HYPERLINK("http://instagram.com/enpatii")</f>
        <v>http://instagram.com/enpatii</v>
      </c>
      <c r="Q1508">
        <v>61</v>
      </c>
      <c r="R1508" t="s">
        <v>60</v>
      </c>
      <c r="W1508">
        <v>2</v>
      </c>
      <c r="X1508">
        <v>2</v>
      </c>
      <c r="AE1508">
        <v>0</v>
      </c>
      <c r="AG1508">
        <v>7</v>
      </c>
      <c r="AI1508" t="s">
        <v>52</v>
      </c>
      <c r="AJ1508" t="s">
        <v>52</v>
      </c>
      <c r="AK1508" t="s">
        <v>52</v>
      </c>
      <c r="AL1508" t="str">
        <f>HYPERLINK("https://www.instagram.com/p/BzGak6HA1zc/media/?size=l")</f>
        <v>https://www.instagram.com/p/BzGak6HA1zc/media/?size=l</v>
      </c>
      <c r="AM1508" t="s">
        <v>52</v>
      </c>
      <c r="AN1508" t="s">
        <v>53</v>
      </c>
    </row>
    <row r="1509" spans="1:40">
      <c r="A1509" t="s">
        <v>2370</v>
      </c>
      <c r="B1509" t="s">
        <v>5497</v>
      </c>
      <c r="C1509" t="s">
        <v>5498</v>
      </c>
      <c r="D1509" t="s">
        <v>5499</v>
      </c>
      <c r="E1509" t="s">
        <v>5499</v>
      </c>
      <c r="F1509" t="s">
        <v>45</v>
      </c>
      <c r="G1509" t="str">
        <f>HYPERLINK("https://www.youtube.com/watch?v=5oJ_4-J_RDY")</f>
        <v>https://www.youtube.com/watch?v=5oJ_4-J_RDY</v>
      </c>
      <c r="H1509" t="s">
        <v>46</v>
      </c>
      <c r="I1509" t="s">
        <v>5500</v>
      </c>
      <c r="J1509" t="str">
        <f>HYPERLINK("https://www.youtube.com/channel/UC5KkcARzdjpZpilUYmAVS4g")</f>
        <v>https://www.youtube.com/channel/UC5KkcARzdjpZpilUYmAVS4g</v>
      </c>
      <c r="K1509">
        <v>30</v>
      </c>
      <c r="L1509" t="s">
        <v>48</v>
      </c>
      <c r="N1509" t="s">
        <v>116</v>
      </c>
      <c r="O1509" t="s">
        <v>5500</v>
      </c>
      <c r="P1509" t="str">
        <f>HYPERLINK("https://www.youtube.com/channel/UC5KkcARzdjpZpilUYmAVS4g")</f>
        <v>https://www.youtube.com/channel/UC5KkcARzdjpZpilUYmAVS4g</v>
      </c>
      <c r="Q1509">
        <v>30</v>
      </c>
      <c r="R1509" t="s">
        <v>60</v>
      </c>
      <c r="W1509">
        <v>4</v>
      </c>
      <c r="X1509">
        <v>4</v>
      </c>
      <c r="AD1509">
        <v>1</v>
      </c>
      <c r="AE1509">
        <v>2</v>
      </c>
      <c r="AG1509">
        <v>11</v>
      </c>
      <c r="AI1509" t="s">
        <v>52</v>
      </c>
      <c r="AJ1509" t="s">
        <v>2277</v>
      </c>
      <c r="AK1509" t="s">
        <v>52</v>
      </c>
      <c r="AL1509" t="str">
        <f>HYPERLINK("https://i.ytimg.com/vi/5oJ_4-J_RDY/hqdefault.jpg")</f>
        <v>https://i.ytimg.com/vi/5oJ_4-J_RDY/hqdefault.jpg</v>
      </c>
      <c r="AM1509" t="s">
        <v>52</v>
      </c>
      <c r="AN1509" t="s">
        <v>53</v>
      </c>
    </row>
    <row r="1510" spans="1:40">
      <c r="A1510" t="s">
        <v>2370</v>
      </c>
      <c r="B1510" t="s">
        <v>5501</v>
      </c>
      <c r="C1510" t="s">
        <v>5498</v>
      </c>
      <c r="D1510" t="s">
        <v>52</v>
      </c>
      <c r="E1510" t="s">
        <v>1194</v>
      </c>
      <c r="F1510" t="s">
        <v>131</v>
      </c>
      <c r="G1510" t="str">
        <f>HYPERLINK("https://twitter.com/985946540/status/1143203047348195328")</f>
        <v>https://twitter.com/985946540/status/1143203047348195328</v>
      </c>
      <c r="H1510" t="s">
        <v>46</v>
      </c>
      <c r="I1510" t="s">
        <v>5502</v>
      </c>
      <c r="J1510" t="str">
        <f>HYPERLINK("http://twitter.com/leandatesfaye")</f>
        <v>http://twitter.com/leandatesfaye</v>
      </c>
      <c r="K1510">
        <v>510</v>
      </c>
      <c r="N1510" t="s">
        <v>65</v>
      </c>
      <c r="R1510" t="s">
        <v>60</v>
      </c>
      <c r="S1510" t="s">
        <v>51</v>
      </c>
      <c r="T1510" t="s">
        <v>173</v>
      </c>
      <c r="U1510" t="s">
        <v>1625</v>
      </c>
      <c r="W1510">
        <v>0</v>
      </c>
      <c r="X1510">
        <v>0</v>
      </c>
      <c r="AE1510">
        <v>0</v>
      </c>
      <c r="AI1510" t="s">
        <v>52</v>
      </c>
      <c r="AJ1510" t="s">
        <v>1196</v>
      </c>
      <c r="AK1510" t="s">
        <v>52</v>
      </c>
      <c r="AL1510" t="str">
        <f>HYPERLINK("https://pbs.twimg.com/media/D9xgk2YXkAAd2ql.jpg")</f>
        <v>https://pbs.twimg.com/media/D9xgk2YXkAAd2ql.jpg</v>
      </c>
      <c r="AM1510" t="s">
        <v>52</v>
      </c>
      <c r="AN1510" t="s">
        <v>53</v>
      </c>
    </row>
    <row r="1511" spans="1:40">
      <c r="A1511" t="s">
        <v>2370</v>
      </c>
      <c r="B1511" t="s">
        <v>5501</v>
      </c>
      <c r="C1511" t="s">
        <v>5498</v>
      </c>
      <c r="D1511" t="s">
        <v>52</v>
      </c>
      <c r="E1511" t="s">
        <v>1194</v>
      </c>
      <c r="F1511" t="s">
        <v>131</v>
      </c>
      <c r="G1511" t="str">
        <f>HYPERLINK("https://twitter.com/4365972196/status/1143203025005240321")</f>
        <v>https://twitter.com/4365972196/status/1143203025005240321</v>
      </c>
      <c r="H1511" t="s">
        <v>46</v>
      </c>
      <c r="I1511" t="s">
        <v>5503</v>
      </c>
      <c r="J1511" t="str">
        <f>HYPERLINK("http://twitter.com/svrubia")</f>
        <v>http://twitter.com/svrubia</v>
      </c>
      <c r="K1511">
        <v>405</v>
      </c>
      <c r="N1511" t="s">
        <v>65</v>
      </c>
      <c r="R1511" t="s">
        <v>60</v>
      </c>
      <c r="W1511">
        <v>0</v>
      </c>
      <c r="X1511">
        <v>0</v>
      </c>
      <c r="AE1511">
        <v>0</v>
      </c>
      <c r="AI1511" t="s">
        <v>52</v>
      </c>
      <c r="AJ1511" t="s">
        <v>1196</v>
      </c>
      <c r="AK1511" t="s">
        <v>52</v>
      </c>
      <c r="AL1511" t="str">
        <f>HYPERLINK("https://pbs.twimg.com/media/D9xgk2YXkAAd2ql.jpg")</f>
        <v>https://pbs.twimg.com/media/D9xgk2YXkAAd2ql.jpg</v>
      </c>
      <c r="AM1511" t="s">
        <v>52</v>
      </c>
      <c r="AN1511" t="s">
        <v>53</v>
      </c>
    </row>
    <row r="1512" spans="1:40">
      <c r="A1512" t="s">
        <v>2370</v>
      </c>
      <c r="B1512" t="s">
        <v>5501</v>
      </c>
      <c r="C1512" t="s">
        <v>5498</v>
      </c>
      <c r="D1512" t="s">
        <v>52</v>
      </c>
      <c r="E1512" t="s">
        <v>5504</v>
      </c>
      <c r="F1512" t="s">
        <v>71</v>
      </c>
      <c r="G1512" t="str">
        <f>HYPERLINK("https://twitter.com/1138994606924865536/status/1143203024585859073")</f>
        <v>https://twitter.com/1138994606924865536/status/1143203024585859073</v>
      </c>
      <c r="H1512" t="s">
        <v>46</v>
      </c>
      <c r="I1512" t="s">
        <v>5505</v>
      </c>
      <c r="J1512" t="str">
        <f>HYPERLINK("http://twitter.com/TeddyBiyela")</f>
        <v>http://twitter.com/TeddyBiyela</v>
      </c>
      <c r="K1512">
        <v>17</v>
      </c>
      <c r="N1512" t="s">
        <v>65</v>
      </c>
      <c r="R1512" t="s">
        <v>60</v>
      </c>
      <c r="S1512" t="s">
        <v>1071</v>
      </c>
      <c r="T1512" t="s">
        <v>5506</v>
      </c>
      <c r="U1512" t="s">
        <v>5507</v>
      </c>
      <c r="W1512">
        <v>1</v>
      </c>
      <c r="X1512">
        <v>1</v>
      </c>
      <c r="AE1512">
        <v>0</v>
      </c>
      <c r="AF1512">
        <v>1</v>
      </c>
      <c r="AI1512" t="s">
        <v>52</v>
      </c>
      <c r="AJ1512" t="s">
        <v>52</v>
      </c>
      <c r="AK1512" t="s">
        <v>2278</v>
      </c>
      <c r="AL1512" t="str">
        <f>HYPERLINK("https://pbs.twimg.com/media/D90Ty0DXkAAZYgL.jpg")</f>
        <v>https://pbs.twimg.com/media/D90Ty0DXkAAZYgL.jpg</v>
      </c>
      <c r="AM1512" t="s">
        <v>52</v>
      </c>
      <c r="AN1512" t="s">
        <v>53</v>
      </c>
    </row>
    <row r="1513" spans="1:40">
      <c r="A1513" t="s">
        <v>2370</v>
      </c>
      <c r="B1513" t="s">
        <v>5501</v>
      </c>
      <c r="C1513" t="s">
        <v>3117</v>
      </c>
      <c r="D1513" t="s">
        <v>5508</v>
      </c>
      <c r="E1513" t="s">
        <v>5508</v>
      </c>
      <c r="F1513" t="s">
        <v>45</v>
      </c>
      <c r="G1513" t="str">
        <f>HYPERLINK("https://www.youtube.com/watch?v=dB7xHzlzr2s")</f>
        <v>https://www.youtube.com/watch?v=dB7xHzlzr2s</v>
      </c>
      <c r="H1513" t="s">
        <v>46</v>
      </c>
      <c r="I1513" t="s">
        <v>5509</v>
      </c>
      <c r="J1513" t="str">
        <f>HYPERLINK("https://www.youtube.com/channel/UCVR2rBlzdH_ajfFTQjdvEsg")</f>
        <v>https://www.youtube.com/channel/UCVR2rBlzdH_ajfFTQjdvEsg</v>
      </c>
      <c r="K1513">
        <v>62</v>
      </c>
      <c r="N1513" t="s">
        <v>116</v>
      </c>
      <c r="O1513" t="s">
        <v>5509</v>
      </c>
      <c r="P1513" t="str">
        <f>HYPERLINK("https://www.youtube.com/channel/UCVR2rBlzdH_ajfFTQjdvEsg")</f>
        <v>https://www.youtube.com/channel/UCVR2rBlzdH_ajfFTQjdvEsg</v>
      </c>
      <c r="Q1513">
        <v>62</v>
      </c>
      <c r="R1513" t="s">
        <v>60</v>
      </c>
      <c r="S1513" t="s">
        <v>4293</v>
      </c>
      <c r="W1513">
        <v>1</v>
      </c>
      <c r="X1513">
        <v>1</v>
      </c>
      <c r="AD1513">
        <v>0</v>
      </c>
      <c r="AE1513">
        <v>2</v>
      </c>
      <c r="AG1513">
        <v>7</v>
      </c>
      <c r="AI1513" t="s">
        <v>108</v>
      </c>
      <c r="AJ1513" t="s">
        <v>52</v>
      </c>
      <c r="AK1513" t="s">
        <v>52</v>
      </c>
      <c r="AL1513" t="str">
        <f>HYPERLINK("https://i.ytimg.com/vi/dB7xHzlzr2s/hqdefault.jpg")</f>
        <v>https://i.ytimg.com/vi/dB7xHzlzr2s/hqdefault.jpg</v>
      </c>
      <c r="AM1513" t="s">
        <v>52</v>
      </c>
      <c r="AN1513" t="s">
        <v>53</v>
      </c>
    </row>
    <row r="1514" spans="1:40">
      <c r="A1514" t="s">
        <v>2370</v>
      </c>
      <c r="B1514" t="s">
        <v>5501</v>
      </c>
      <c r="C1514" t="s">
        <v>5510</v>
      </c>
      <c r="D1514" t="s">
        <v>52</v>
      </c>
      <c r="E1514" t="s">
        <v>5511</v>
      </c>
      <c r="F1514" t="s">
        <v>45</v>
      </c>
      <c r="G1514" t="str">
        <f>HYPERLINK("https://www.instagram.com/p/BzGaYs-p3X_")</f>
        <v>https://www.instagram.com/p/BzGaYs-p3X_</v>
      </c>
      <c r="H1514" t="s">
        <v>46</v>
      </c>
      <c r="I1514" t="s">
        <v>5512</v>
      </c>
      <c r="J1514" t="str">
        <f>HYPERLINK("http://instagram.com/69.420.exe")</f>
        <v>http://instagram.com/69.420.exe</v>
      </c>
      <c r="K1514">
        <v>892</v>
      </c>
      <c r="N1514" t="s">
        <v>59</v>
      </c>
      <c r="O1514" t="s">
        <v>5512</v>
      </c>
      <c r="P1514" t="str">
        <f>HYPERLINK("http://instagram.com/69.420.exe")</f>
        <v>http://instagram.com/69.420.exe</v>
      </c>
      <c r="Q1514">
        <v>892</v>
      </c>
      <c r="R1514" t="s">
        <v>60</v>
      </c>
      <c r="W1514">
        <v>85</v>
      </c>
      <c r="X1514">
        <v>85</v>
      </c>
      <c r="AE1514">
        <v>0</v>
      </c>
      <c r="AI1514" t="s">
        <v>52</v>
      </c>
      <c r="AJ1514" t="s">
        <v>52</v>
      </c>
      <c r="AK1514" t="s">
        <v>52</v>
      </c>
      <c r="AL1514" t="str">
        <f>HYPERLINK("https://www.instagram.com/p/BzGaYs-p3X_/media/?size=l")</f>
        <v>https://www.instagram.com/p/BzGaYs-p3X_/media/?size=l</v>
      </c>
      <c r="AM1514" t="s">
        <v>52</v>
      </c>
      <c r="AN1514" t="s">
        <v>53</v>
      </c>
    </row>
    <row r="1515" spans="1:40">
      <c r="A1515" t="s">
        <v>2370</v>
      </c>
      <c r="B1515" t="s">
        <v>5501</v>
      </c>
      <c r="C1515" t="s">
        <v>5513</v>
      </c>
      <c r="D1515" t="s">
        <v>52</v>
      </c>
      <c r="E1515" t="s">
        <v>5514</v>
      </c>
      <c r="F1515" t="s">
        <v>131</v>
      </c>
      <c r="G1515" t="str">
        <f>HYPERLINK("https://twitter.com/1141865931955740673/status/1143202900426002432")</f>
        <v>https://twitter.com/1141865931955740673/status/1143202900426002432</v>
      </c>
      <c r="H1515" t="s">
        <v>46</v>
      </c>
      <c r="I1515" t="s">
        <v>5515</v>
      </c>
      <c r="J1515" t="str">
        <f>HYPERLINK("http://twitter.com/Lara46404366")</f>
        <v>http://twitter.com/Lara46404366</v>
      </c>
      <c r="K1515">
        <v>0</v>
      </c>
      <c r="L1515" t="s">
        <v>58</v>
      </c>
      <c r="N1515" t="s">
        <v>65</v>
      </c>
      <c r="R1515" t="s">
        <v>60</v>
      </c>
      <c r="W1515">
        <v>0</v>
      </c>
      <c r="X1515">
        <v>0</v>
      </c>
      <c r="AE1515">
        <v>0</v>
      </c>
      <c r="AM1515" t="s">
        <v>52</v>
      </c>
      <c r="AN1515" t="s">
        <v>53</v>
      </c>
    </row>
    <row r="1516" spans="1:40">
      <c r="A1516" t="s">
        <v>2370</v>
      </c>
      <c r="B1516" t="s">
        <v>5501</v>
      </c>
      <c r="C1516" t="s">
        <v>5513</v>
      </c>
      <c r="D1516" t="s">
        <v>52</v>
      </c>
      <c r="E1516" t="s">
        <v>1194</v>
      </c>
      <c r="F1516" t="s">
        <v>131</v>
      </c>
      <c r="G1516" t="str">
        <f>HYPERLINK("https://twitter.com/1142164777768226816/status/1143202896806391809")</f>
        <v>https://twitter.com/1142164777768226816/status/1143202896806391809</v>
      </c>
      <c r="H1516" t="s">
        <v>46</v>
      </c>
      <c r="I1516" t="s">
        <v>5516</v>
      </c>
      <c r="J1516" t="str">
        <f>HYPERLINK("http://twitter.com/xHumblexX")</f>
        <v>http://twitter.com/xHumblexX</v>
      </c>
      <c r="K1516">
        <v>1</v>
      </c>
      <c r="N1516" t="s">
        <v>65</v>
      </c>
      <c r="R1516" t="s">
        <v>60</v>
      </c>
      <c r="W1516">
        <v>0</v>
      </c>
      <c r="X1516">
        <v>0</v>
      </c>
      <c r="AE1516">
        <v>0</v>
      </c>
      <c r="AI1516" t="s">
        <v>52</v>
      </c>
      <c r="AJ1516" t="s">
        <v>1196</v>
      </c>
      <c r="AK1516" t="s">
        <v>52</v>
      </c>
      <c r="AL1516" t="str">
        <f>HYPERLINK("https://pbs.twimg.com/media/D9xgk2YXkAAd2ql.jpg")</f>
        <v>https://pbs.twimg.com/media/D9xgk2YXkAAd2ql.jpg</v>
      </c>
      <c r="AM1516" t="s">
        <v>52</v>
      </c>
      <c r="AN1516" t="s">
        <v>53</v>
      </c>
    </row>
    <row r="1517" spans="1:40">
      <c r="A1517" t="s">
        <v>2370</v>
      </c>
      <c r="B1517" t="s">
        <v>5517</v>
      </c>
      <c r="C1517" t="s">
        <v>5518</v>
      </c>
      <c r="D1517" t="s">
        <v>5519</v>
      </c>
      <c r="E1517" t="s">
        <v>5520</v>
      </c>
      <c r="F1517" t="s">
        <v>95</v>
      </c>
      <c r="G1517" t="str">
        <f>HYPERLINK("http://spikedkoolaid.com/nav-presents-top-5-reasons-dub-is-afraid-of-the-2019-49ers/#comment-4514364880")</f>
        <v>http://spikedkoolaid.com/nav-presents-top-5-reasons-dub-is-afraid-of-the-2019-49ers/#comment-4514364880</v>
      </c>
      <c r="H1517" t="s">
        <v>46</v>
      </c>
      <c r="I1517" t="s">
        <v>5521</v>
      </c>
      <c r="J1517" t="str">
        <f>HYPERLINK("https://disqus.com/by/disqus_2i9n2aZQzI/")</f>
        <v>https://disqus.com/by/disqus_2i9n2aZQzI/</v>
      </c>
      <c r="K1517">
        <v>0</v>
      </c>
      <c r="N1517" t="s">
        <v>5522</v>
      </c>
      <c r="O1517" t="s">
        <v>5523</v>
      </c>
      <c r="P1517" t="str">
        <f>HYPERLINK("https://disqus.com/home/forum/spikedkoolaid/")</f>
        <v>https://disqus.com/home/forum/spikedkoolaid/</v>
      </c>
      <c r="R1517" t="s">
        <v>50</v>
      </c>
      <c r="W1517">
        <v>1</v>
      </c>
      <c r="X1517">
        <v>1</v>
      </c>
      <c r="AM1517" t="s">
        <v>52</v>
      </c>
      <c r="AN1517" t="s">
        <v>53</v>
      </c>
    </row>
    <row r="1518" spans="1:40">
      <c r="A1518" t="s">
        <v>2370</v>
      </c>
      <c r="B1518" t="s">
        <v>5524</v>
      </c>
      <c r="C1518" t="s">
        <v>5525</v>
      </c>
      <c r="D1518" t="s">
        <v>52</v>
      </c>
      <c r="E1518" t="s">
        <v>5526</v>
      </c>
      <c r="F1518" t="s">
        <v>45</v>
      </c>
      <c r="G1518" t="str">
        <f>HYPERLINK("https://www.instagram.com/p/BzGZ9rlJ633")</f>
        <v>https://www.instagram.com/p/BzGZ9rlJ633</v>
      </c>
      <c r="H1518" t="s">
        <v>46</v>
      </c>
      <c r="I1518" t="s">
        <v>5527</v>
      </c>
      <c r="J1518" t="str">
        <f>HYPERLINK("http://instagram.com/vgang_hope")</f>
        <v>http://instagram.com/vgang_hope</v>
      </c>
      <c r="K1518">
        <v>1122</v>
      </c>
      <c r="N1518" t="s">
        <v>59</v>
      </c>
      <c r="O1518" t="s">
        <v>5527</v>
      </c>
      <c r="P1518" t="str">
        <f>HYPERLINK("http://instagram.com/vgang_hope")</f>
        <v>http://instagram.com/vgang_hope</v>
      </c>
      <c r="Q1518">
        <v>1122</v>
      </c>
      <c r="R1518" t="s">
        <v>60</v>
      </c>
      <c r="S1518" t="s">
        <v>97</v>
      </c>
      <c r="T1518" t="s">
        <v>177</v>
      </c>
      <c r="U1518" t="s">
        <v>5528</v>
      </c>
      <c r="W1518">
        <v>46</v>
      </c>
      <c r="X1518">
        <v>46</v>
      </c>
      <c r="AE1518">
        <v>3</v>
      </c>
      <c r="AI1518" t="s">
        <v>52</v>
      </c>
      <c r="AJ1518" t="s">
        <v>1182</v>
      </c>
      <c r="AK1518" t="s">
        <v>52</v>
      </c>
      <c r="AL1518" t="str">
        <f>HYPERLINK("https://www.instagram.com/p/BzGZ9rlJ633/media/?size=l")</f>
        <v>https://www.instagram.com/p/BzGZ9rlJ633/media/?size=l</v>
      </c>
      <c r="AM1518" t="s">
        <v>52</v>
      </c>
      <c r="AN1518" t="s">
        <v>53</v>
      </c>
    </row>
    <row r="1519" spans="1:40">
      <c r="A1519" t="s">
        <v>2370</v>
      </c>
      <c r="B1519" t="s">
        <v>5524</v>
      </c>
      <c r="C1519" t="s">
        <v>5274</v>
      </c>
      <c r="D1519" t="s">
        <v>5529</v>
      </c>
      <c r="E1519" t="s">
        <v>5529</v>
      </c>
      <c r="F1519" t="s">
        <v>45</v>
      </c>
      <c r="G1519" t="str">
        <f>HYPERLINK("https://www.youtube.com/watch?v=gqsjF6Sqxjw")</f>
        <v>https://www.youtube.com/watch?v=gqsjF6Sqxjw</v>
      </c>
      <c r="H1519" t="s">
        <v>215</v>
      </c>
      <c r="I1519" t="s">
        <v>5530</v>
      </c>
      <c r="J1519" t="str">
        <f>HYPERLINK("https://www.youtube.com/channel/UCJk1YT9o0niO_BSpcyaV2xQ")</f>
        <v>https://www.youtube.com/channel/UCJk1YT9o0niO_BSpcyaV2xQ</v>
      </c>
      <c r="K1519">
        <v>5</v>
      </c>
      <c r="N1519" t="s">
        <v>116</v>
      </c>
      <c r="O1519" t="s">
        <v>5530</v>
      </c>
      <c r="P1519" t="str">
        <f>HYPERLINK("https://www.youtube.com/channel/UCJk1YT9o0niO_BSpcyaV2xQ")</f>
        <v>https://www.youtube.com/channel/UCJk1YT9o0niO_BSpcyaV2xQ</v>
      </c>
      <c r="Q1519">
        <v>5</v>
      </c>
      <c r="R1519" t="s">
        <v>60</v>
      </c>
      <c r="W1519">
        <v>1</v>
      </c>
      <c r="X1519">
        <v>1</v>
      </c>
      <c r="AD1519">
        <v>0</v>
      </c>
      <c r="AE1519">
        <v>2</v>
      </c>
      <c r="AG1519">
        <v>10</v>
      </c>
      <c r="AI1519" t="s">
        <v>52</v>
      </c>
      <c r="AJ1519" t="s">
        <v>52</v>
      </c>
      <c r="AK1519" t="s">
        <v>52</v>
      </c>
      <c r="AL1519" t="str">
        <f>HYPERLINK("https://i.ytimg.com/vi/gqsjF6Sqxjw/maxresdefault.jpg")</f>
        <v>https://i.ytimg.com/vi/gqsjF6Sqxjw/maxresdefault.jpg</v>
      </c>
      <c r="AM1519" t="s">
        <v>52</v>
      </c>
      <c r="AN1519" t="s">
        <v>53</v>
      </c>
    </row>
    <row r="1520" spans="1:40">
      <c r="A1520" t="s">
        <v>2370</v>
      </c>
      <c r="B1520" t="s">
        <v>5531</v>
      </c>
      <c r="C1520" t="s">
        <v>5532</v>
      </c>
      <c r="D1520" t="s">
        <v>52</v>
      </c>
      <c r="E1520" t="s">
        <v>5533</v>
      </c>
      <c r="F1520" t="s">
        <v>45</v>
      </c>
      <c r="G1520" t="str">
        <f>HYPERLINK("https://www.instagram.com/p/BzGZ4SUBorX")</f>
        <v>https://www.instagram.com/p/BzGZ4SUBorX</v>
      </c>
      <c r="H1520" t="s">
        <v>215</v>
      </c>
      <c r="I1520" t="s">
        <v>5534</v>
      </c>
      <c r="J1520" t="str">
        <f>HYPERLINK("http://instagram.com/ms.taffydavenport")</f>
        <v>http://instagram.com/ms.taffydavenport</v>
      </c>
      <c r="K1520">
        <v>202</v>
      </c>
      <c r="L1520" t="s">
        <v>58</v>
      </c>
      <c r="N1520" t="s">
        <v>59</v>
      </c>
      <c r="O1520" t="s">
        <v>5534</v>
      </c>
      <c r="P1520" t="str">
        <f>HYPERLINK("http://instagram.com/ms.taffydavenport")</f>
        <v>http://instagram.com/ms.taffydavenport</v>
      </c>
      <c r="Q1520">
        <v>202</v>
      </c>
      <c r="R1520" t="s">
        <v>60</v>
      </c>
      <c r="W1520">
        <v>21</v>
      </c>
      <c r="X1520">
        <v>21</v>
      </c>
      <c r="AE1520">
        <v>4</v>
      </c>
      <c r="AI1520" t="s">
        <v>52</v>
      </c>
      <c r="AJ1520" t="s">
        <v>5535</v>
      </c>
      <c r="AK1520" t="s">
        <v>52</v>
      </c>
      <c r="AL1520" t="str">
        <f>HYPERLINK("https://www.instagram.com/p/BzGZ4SUBorX/media/?size=l")</f>
        <v>https://www.instagram.com/p/BzGZ4SUBorX/media/?size=l</v>
      </c>
      <c r="AM1520" t="s">
        <v>52</v>
      </c>
      <c r="AN1520" t="s">
        <v>53</v>
      </c>
    </row>
    <row r="1521" spans="1:40">
      <c r="A1521" t="s">
        <v>2370</v>
      </c>
      <c r="B1521" t="s">
        <v>5531</v>
      </c>
      <c r="C1521" t="s">
        <v>5536</v>
      </c>
      <c r="D1521" t="s">
        <v>52</v>
      </c>
      <c r="E1521" t="s">
        <v>5537</v>
      </c>
      <c r="F1521" t="s">
        <v>45</v>
      </c>
      <c r="G1521" t="str">
        <f>HYPERLINK("https://twitter.com/2360649205/status/1143201721407066112")</f>
        <v>https://twitter.com/2360649205/status/1143201721407066112</v>
      </c>
      <c r="H1521" t="s">
        <v>46</v>
      </c>
      <c r="I1521" t="s">
        <v>5538</v>
      </c>
      <c r="J1521" t="str">
        <f>HYPERLINK("http://twitter.com/Chinchilla_773")</f>
        <v>http://twitter.com/Chinchilla_773</v>
      </c>
      <c r="K1521">
        <v>1927</v>
      </c>
      <c r="N1521" t="s">
        <v>65</v>
      </c>
      <c r="R1521" t="s">
        <v>60</v>
      </c>
      <c r="S1521" t="s">
        <v>51</v>
      </c>
      <c r="T1521" t="s">
        <v>84</v>
      </c>
      <c r="U1521" t="s">
        <v>85</v>
      </c>
      <c r="W1521">
        <v>0</v>
      </c>
      <c r="X1521">
        <v>0</v>
      </c>
      <c r="AE1521">
        <v>0</v>
      </c>
      <c r="AF1521">
        <v>0</v>
      </c>
      <c r="AI1521" t="s">
        <v>52</v>
      </c>
      <c r="AJ1521" t="s">
        <v>5539</v>
      </c>
      <c r="AK1521" t="s">
        <v>52</v>
      </c>
      <c r="AL1521" t="str">
        <f>HYPERLINK("https://pbs.twimg.com/media/D9134txXUAA7cRO.jpg")</f>
        <v>https://pbs.twimg.com/media/D9134txXUAA7cRO.jpg</v>
      </c>
      <c r="AM1521" t="s">
        <v>52</v>
      </c>
      <c r="AN1521" t="s">
        <v>53</v>
      </c>
    </row>
    <row r="1522" spans="1:40">
      <c r="A1522" t="s">
        <v>2370</v>
      </c>
      <c r="B1522" t="s">
        <v>5540</v>
      </c>
      <c r="C1522" t="s">
        <v>5532</v>
      </c>
      <c r="D1522" t="s">
        <v>52</v>
      </c>
      <c r="E1522" t="s">
        <v>5541</v>
      </c>
      <c r="F1522" t="s">
        <v>45</v>
      </c>
      <c r="G1522" t="str">
        <f>HYPERLINK("https://twitter.com/1142312831406301184/status/1143201305558736896")</f>
        <v>https://twitter.com/1142312831406301184/status/1143201305558736896</v>
      </c>
      <c r="H1522" t="s">
        <v>46</v>
      </c>
      <c r="I1522" t="s">
        <v>5542</v>
      </c>
      <c r="J1522" t="str">
        <f>HYPERLINK("http://twitter.com/Dobrochna6")</f>
        <v>http://twitter.com/Dobrochna6</v>
      </c>
      <c r="K1522">
        <v>1</v>
      </c>
      <c r="N1522" t="s">
        <v>65</v>
      </c>
      <c r="R1522" t="s">
        <v>60</v>
      </c>
      <c r="W1522">
        <v>0</v>
      </c>
      <c r="X1522">
        <v>0</v>
      </c>
      <c r="AE1522">
        <v>0</v>
      </c>
      <c r="AF1522">
        <v>0</v>
      </c>
      <c r="AM1522" t="s">
        <v>52</v>
      </c>
      <c r="AN1522" t="s">
        <v>53</v>
      </c>
    </row>
    <row r="1523" spans="1:40">
      <c r="A1523" t="s">
        <v>2370</v>
      </c>
      <c r="B1523" t="s">
        <v>5540</v>
      </c>
      <c r="C1523" t="s">
        <v>5532</v>
      </c>
      <c r="D1523" t="s">
        <v>52</v>
      </c>
      <c r="E1523" t="s">
        <v>5543</v>
      </c>
      <c r="F1523" t="s">
        <v>95</v>
      </c>
      <c r="G1523" t="str">
        <f>HYPERLINK("https://twitter.com/4108760293/status/1143201281319690240")</f>
        <v>https://twitter.com/4108760293/status/1143201281319690240</v>
      </c>
      <c r="H1523" t="s">
        <v>46</v>
      </c>
      <c r="I1523" t="s">
        <v>5544</v>
      </c>
      <c r="J1523" t="str">
        <f>HYPERLINK("http://twitter.com/dietrichbrah")</f>
        <v>http://twitter.com/dietrichbrah</v>
      </c>
      <c r="K1523">
        <v>162</v>
      </c>
      <c r="N1523" t="s">
        <v>65</v>
      </c>
      <c r="R1523" t="s">
        <v>60</v>
      </c>
      <c r="S1523" t="s">
        <v>51</v>
      </c>
      <c r="T1523" t="s">
        <v>173</v>
      </c>
      <c r="U1523" t="s">
        <v>4051</v>
      </c>
      <c r="W1523">
        <v>3</v>
      </c>
      <c r="X1523">
        <v>3</v>
      </c>
      <c r="AE1523">
        <v>0</v>
      </c>
      <c r="AF1523">
        <v>0</v>
      </c>
      <c r="AM1523" t="s">
        <v>52</v>
      </c>
      <c r="AN1523" t="s">
        <v>53</v>
      </c>
    </row>
    <row r="1524" spans="1:40">
      <c r="A1524" t="s">
        <v>2370</v>
      </c>
      <c r="B1524" t="s">
        <v>5540</v>
      </c>
      <c r="C1524" t="s">
        <v>5545</v>
      </c>
      <c r="D1524" t="s">
        <v>52</v>
      </c>
      <c r="E1524" t="s">
        <v>5546</v>
      </c>
      <c r="F1524" t="s">
        <v>131</v>
      </c>
      <c r="G1524" t="str">
        <f>HYPERLINK("https://twitter.com/241726782/status/1143201271224119301")</f>
        <v>https://twitter.com/241726782/status/1143201271224119301</v>
      </c>
      <c r="H1524" t="s">
        <v>46</v>
      </c>
      <c r="I1524" t="s">
        <v>5547</v>
      </c>
      <c r="J1524" t="str">
        <f>HYPERLINK("http://twitter.com/VSOPGANG_QUEET")</f>
        <v>http://twitter.com/VSOPGANG_QUEET</v>
      </c>
      <c r="K1524">
        <v>484</v>
      </c>
      <c r="N1524" t="s">
        <v>65</v>
      </c>
      <c r="R1524" t="s">
        <v>60</v>
      </c>
      <c r="S1524" t="s">
        <v>51</v>
      </c>
      <c r="T1524" t="s">
        <v>160</v>
      </c>
      <c r="U1524" t="s">
        <v>5548</v>
      </c>
      <c r="W1524">
        <v>0</v>
      </c>
      <c r="X1524">
        <v>0</v>
      </c>
      <c r="AE1524">
        <v>0</v>
      </c>
      <c r="AM1524" t="s">
        <v>52</v>
      </c>
      <c r="AN1524" t="s">
        <v>53</v>
      </c>
    </row>
    <row r="1525" spans="1:40">
      <c r="A1525" t="s">
        <v>2370</v>
      </c>
      <c r="B1525" t="s">
        <v>5549</v>
      </c>
      <c r="C1525" t="s">
        <v>5545</v>
      </c>
      <c r="D1525" t="s">
        <v>52</v>
      </c>
      <c r="E1525" t="s">
        <v>5550</v>
      </c>
      <c r="F1525" t="s">
        <v>95</v>
      </c>
      <c r="G1525" t="str">
        <f>HYPERLINK("https://twitter.com/14083468/status/1143200397349281793")</f>
        <v>https://twitter.com/14083468/status/1143200397349281793</v>
      </c>
      <c r="H1525" t="s">
        <v>46</v>
      </c>
      <c r="I1525" t="s">
        <v>5551</v>
      </c>
      <c r="J1525" t="str">
        <f>HYPERLINK("http://twitter.com/jbwharris")</f>
        <v>http://twitter.com/jbwharris</v>
      </c>
      <c r="K1525">
        <v>1846</v>
      </c>
      <c r="L1525" t="s">
        <v>48</v>
      </c>
      <c r="N1525" t="s">
        <v>65</v>
      </c>
      <c r="R1525" t="s">
        <v>60</v>
      </c>
      <c r="S1525" t="s">
        <v>444</v>
      </c>
      <c r="T1525" t="s">
        <v>1062</v>
      </c>
      <c r="U1525" t="s">
        <v>5552</v>
      </c>
      <c r="W1525">
        <v>1</v>
      </c>
      <c r="X1525">
        <v>1</v>
      </c>
      <c r="AE1525">
        <v>0</v>
      </c>
      <c r="AF1525">
        <v>0</v>
      </c>
      <c r="AM1525" t="s">
        <v>52</v>
      </c>
      <c r="AN1525" t="s">
        <v>53</v>
      </c>
    </row>
    <row r="1526" spans="1:40">
      <c r="A1526" t="s">
        <v>2370</v>
      </c>
      <c r="B1526" t="s">
        <v>5553</v>
      </c>
      <c r="C1526" t="s">
        <v>5554</v>
      </c>
      <c r="D1526" t="s">
        <v>52</v>
      </c>
      <c r="E1526" t="s">
        <v>5555</v>
      </c>
      <c r="F1526" t="s">
        <v>71</v>
      </c>
      <c r="G1526" t="str">
        <f>HYPERLINK("https://twitter.com/1896193832/status/1143200303216562177")</f>
        <v>https://twitter.com/1896193832/status/1143200303216562177</v>
      </c>
      <c r="H1526" t="s">
        <v>46</v>
      </c>
      <c r="I1526" t="s">
        <v>5556</v>
      </c>
      <c r="J1526" t="str">
        <f>HYPERLINK("http://twitter.com/AutumnMaeTV")</f>
        <v>http://twitter.com/AutumnMaeTV</v>
      </c>
      <c r="K1526">
        <v>2686</v>
      </c>
      <c r="N1526" t="s">
        <v>65</v>
      </c>
      <c r="R1526" t="s">
        <v>60</v>
      </c>
      <c r="S1526" t="s">
        <v>51</v>
      </c>
      <c r="T1526" t="s">
        <v>1669</v>
      </c>
      <c r="W1526">
        <v>24</v>
      </c>
      <c r="X1526">
        <v>24</v>
      </c>
      <c r="AE1526">
        <v>1</v>
      </c>
      <c r="AF1526">
        <v>0</v>
      </c>
      <c r="AI1526" t="s">
        <v>52</v>
      </c>
      <c r="AJ1526" t="s">
        <v>1196</v>
      </c>
      <c r="AK1526" t="s">
        <v>52</v>
      </c>
      <c r="AL1526" t="str">
        <f>HYPERLINK("https://pbs.twimg.com/media/D9xgk2YXkAAd2ql.jpg")</f>
        <v>https://pbs.twimg.com/media/D9xgk2YXkAAd2ql.jpg</v>
      </c>
      <c r="AM1526" t="s">
        <v>52</v>
      </c>
      <c r="AN1526" t="s">
        <v>53</v>
      </c>
    </row>
    <row r="1527" spans="1:40">
      <c r="A1527" t="s">
        <v>2370</v>
      </c>
      <c r="B1527" t="s">
        <v>5557</v>
      </c>
      <c r="C1527" t="s">
        <v>5558</v>
      </c>
      <c r="D1527" t="s">
        <v>52</v>
      </c>
      <c r="E1527" t="s">
        <v>5559</v>
      </c>
      <c r="F1527" t="s">
        <v>131</v>
      </c>
      <c r="G1527" t="str">
        <f>HYPERLINK("https://twitter.com/1036534076/status/1143199541598011393")</f>
        <v>https://twitter.com/1036534076/status/1143199541598011393</v>
      </c>
      <c r="H1527" t="s">
        <v>46</v>
      </c>
      <c r="I1527" t="s">
        <v>5560</v>
      </c>
      <c r="J1527" t="str">
        <f>HYPERLINK("http://twitter.com/AlisonBuki")</f>
        <v>http://twitter.com/AlisonBuki</v>
      </c>
      <c r="K1527">
        <v>1012</v>
      </c>
      <c r="N1527" t="s">
        <v>65</v>
      </c>
      <c r="R1527" t="s">
        <v>60</v>
      </c>
      <c r="S1527" t="s">
        <v>51</v>
      </c>
      <c r="T1527" t="s">
        <v>678</v>
      </c>
      <c r="U1527" t="s">
        <v>5561</v>
      </c>
      <c r="W1527">
        <v>0</v>
      </c>
      <c r="X1527">
        <v>0</v>
      </c>
      <c r="AE1527">
        <v>0</v>
      </c>
      <c r="AM1527" t="s">
        <v>52</v>
      </c>
      <c r="AN1527" t="s">
        <v>53</v>
      </c>
    </row>
    <row r="1528" spans="1:40">
      <c r="A1528" t="s">
        <v>2370</v>
      </c>
      <c r="B1528" t="s">
        <v>5562</v>
      </c>
      <c r="C1528" t="s">
        <v>5563</v>
      </c>
      <c r="D1528" t="s">
        <v>52</v>
      </c>
      <c r="E1528" t="s">
        <v>5564</v>
      </c>
      <c r="F1528" t="s">
        <v>45</v>
      </c>
      <c r="G1528" t="str">
        <f>HYPERLINK("https://twitter.com/926451627510419456/status/1143199098952179712")</f>
        <v>https://twitter.com/926451627510419456/status/1143199098952179712</v>
      </c>
      <c r="H1528" t="s">
        <v>46</v>
      </c>
      <c r="I1528" t="s">
        <v>5565</v>
      </c>
      <c r="J1528" t="str">
        <f>HYPERLINK("http://twitter.com/fancysope")</f>
        <v>http://twitter.com/fancysope</v>
      </c>
      <c r="K1528">
        <v>4014</v>
      </c>
      <c r="N1528" t="s">
        <v>65</v>
      </c>
      <c r="R1528" t="s">
        <v>60</v>
      </c>
      <c r="W1528">
        <v>4</v>
      </c>
      <c r="X1528">
        <v>4</v>
      </c>
      <c r="AE1528">
        <v>2</v>
      </c>
      <c r="AF1528">
        <v>0</v>
      </c>
      <c r="AM1528" t="s">
        <v>52</v>
      </c>
      <c r="AN1528" t="s">
        <v>53</v>
      </c>
    </row>
    <row r="1529" spans="1:40">
      <c r="A1529" t="s">
        <v>2370</v>
      </c>
      <c r="B1529" t="s">
        <v>5562</v>
      </c>
      <c r="C1529" t="s">
        <v>5563</v>
      </c>
      <c r="D1529" t="s">
        <v>52</v>
      </c>
      <c r="E1529" t="s">
        <v>1194</v>
      </c>
      <c r="F1529" t="s">
        <v>131</v>
      </c>
      <c r="G1529" t="str">
        <f>HYPERLINK("https://twitter.com/173263295/status/1143199088189562880")</f>
        <v>https://twitter.com/173263295/status/1143199088189562880</v>
      </c>
      <c r="H1529" t="s">
        <v>46</v>
      </c>
      <c r="I1529" t="s">
        <v>5566</v>
      </c>
      <c r="J1529" t="str">
        <f>HYPERLINK("http://twitter.com/joAsolis")</f>
        <v>http://twitter.com/joAsolis</v>
      </c>
      <c r="K1529">
        <v>306</v>
      </c>
      <c r="L1529" t="s">
        <v>58</v>
      </c>
      <c r="N1529" t="s">
        <v>65</v>
      </c>
      <c r="R1529" t="s">
        <v>60</v>
      </c>
      <c r="S1529" t="s">
        <v>51</v>
      </c>
      <c r="T1529" t="s">
        <v>152</v>
      </c>
      <c r="U1529" t="s">
        <v>1958</v>
      </c>
      <c r="W1529">
        <v>0</v>
      </c>
      <c r="X1529">
        <v>0</v>
      </c>
      <c r="AE1529">
        <v>0</v>
      </c>
      <c r="AI1529" t="s">
        <v>52</v>
      </c>
      <c r="AJ1529" t="s">
        <v>1196</v>
      </c>
      <c r="AK1529" t="s">
        <v>52</v>
      </c>
      <c r="AL1529" t="str">
        <f>HYPERLINK("https://pbs.twimg.com/media/D9xgk2YXkAAd2ql.jpg")</f>
        <v>https://pbs.twimg.com/media/D9xgk2YXkAAd2ql.jpg</v>
      </c>
      <c r="AM1529" t="s">
        <v>52</v>
      </c>
      <c r="AN1529" t="s">
        <v>53</v>
      </c>
    </row>
    <row r="1530" spans="1:40">
      <c r="A1530" t="s">
        <v>2370</v>
      </c>
      <c r="B1530" t="s">
        <v>5562</v>
      </c>
      <c r="C1530" t="s">
        <v>5558</v>
      </c>
      <c r="D1530" t="s">
        <v>52</v>
      </c>
      <c r="E1530" t="s">
        <v>1194</v>
      </c>
      <c r="F1530" t="s">
        <v>131</v>
      </c>
      <c r="G1530" t="str">
        <f>HYPERLINK("https://twitter.com/1095286398398021633/status/1143199054236569607")</f>
        <v>https://twitter.com/1095286398398021633/status/1143199054236569607</v>
      </c>
      <c r="H1530" t="s">
        <v>46</v>
      </c>
      <c r="I1530" t="s">
        <v>5567</v>
      </c>
      <c r="J1530" t="str">
        <f>HYPERLINK("http://twitter.com/nrldayahhh")</f>
        <v>http://twitter.com/nrldayahhh</v>
      </c>
      <c r="K1530">
        <v>21</v>
      </c>
      <c r="N1530" t="s">
        <v>65</v>
      </c>
      <c r="R1530" t="s">
        <v>60</v>
      </c>
      <c r="W1530">
        <v>0</v>
      </c>
      <c r="X1530">
        <v>0</v>
      </c>
      <c r="AE1530">
        <v>0</v>
      </c>
      <c r="AI1530" t="s">
        <v>52</v>
      </c>
      <c r="AJ1530" t="s">
        <v>1196</v>
      </c>
      <c r="AK1530" t="s">
        <v>52</v>
      </c>
      <c r="AL1530" t="str">
        <f>HYPERLINK("https://pbs.twimg.com/media/D9xgk2YXkAAd2ql.jpg")</f>
        <v>https://pbs.twimg.com/media/D9xgk2YXkAAd2ql.jpg</v>
      </c>
      <c r="AM1530" t="s">
        <v>52</v>
      </c>
      <c r="AN1530" t="s">
        <v>53</v>
      </c>
    </row>
    <row r="1531" spans="1:40">
      <c r="A1531" t="s">
        <v>2370</v>
      </c>
      <c r="B1531" t="s">
        <v>5562</v>
      </c>
      <c r="C1531" t="s">
        <v>5568</v>
      </c>
      <c r="D1531" t="s">
        <v>52</v>
      </c>
      <c r="E1531" t="s">
        <v>5569</v>
      </c>
      <c r="F1531" t="s">
        <v>45</v>
      </c>
      <c r="G1531" t="str">
        <f>HYPERLINK("https://www.instagram.com/p/BzGYmfRBFBF")</f>
        <v>https://www.instagram.com/p/BzGYmfRBFBF</v>
      </c>
      <c r="H1531" t="s">
        <v>215</v>
      </c>
      <c r="I1531" t="s">
        <v>5570</v>
      </c>
      <c r="J1531" t="str">
        <f>HYPERLINK("http://instagram.com/snack_genie")</f>
        <v>http://instagram.com/snack_genie</v>
      </c>
      <c r="K1531">
        <v>0</v>
      </c>
      <c r="N1531" t="s">
        <v>59</v>
      </c>
      <c r="O1531" t="s">
        <v>5570</v>
      </c>
      <c r="P1531" t="str">
        <f>HYPERLINK("http://instagram.com/snack_genie")</f>
        <v>http://instagram.com/snack_genie</v>
      </c>
      <c r="Q1531">
        <v>0</v>
      </c>
      <c r="R1531" t="s">
        <v>60</v>
      </c>
      <c r="W1531">
        <v>0</v>
      </c>
      <c r="X1531">
        <v>0</v>
      </c>
      <c r="AE1531">
        <v>0</v>
      </c>
      <c r="AI1531" t="s">
        <v>108</v>
      </c>
      <c r="AJ1531" t="s">
        <v>942</v>
      </c>
      <c r="AK1531" t="s">
        <v>52</v>
      </c>
      <c r="AL1531" t="str">
        <f>HYPERLINK("https://www.instagram.com/p/BzGYmfRBFBF/media/?size=l")</f>
        <v>https://www.instagram.com/p/BzGYmfRBFBF/media/?size=l</v>
      </c>
      <c r="AM1531" t="s">
        <v>52</v>
      </c>
      <c r="AN1531" t="s">
        <v>53</v>
      </c>
    </row>
    <row r="1532" spans="1:40">
      <c r="A1532" t="s">
        <v>2370</v>
      </c>
      <c r="B1532" t="s">
        <v>5562</v>
      </c>
      <c r="C1532" t="s">
        <v>5571</v>
      </c>
      <c r="D1532" t="s">
        <v>52</v>
      </c>
      <c r="E1532" t="s">
        <v>5572</v>
      </c>
      <c r="F1532" t="s">
        <v>45</v>
      </c>
      <c r="G1532" t="str">
        <f>HYPERLINK("https://twitter.com/1112665042858713089/status/1143199039112040453")</f>
        <v>https://twitter.com/1112665042858713089/status/1143199039112040453</v>
      </c>
      <c r="H1532" t="s">
        <v>46</v>
      </c>
      <c r="I1532" t="s">
        <v>5573</v>
      </c>
      <c r="J1532" t="str">
        <f>HYPERLINK("http://twitter.com/exwhyzed5")</f>
        <v>http://twitter.com/exwhyzed5</v>
      </c>
      <c r="K1532">
        <v>12</v>
      </c>
      <c r="N1532" t="s">
        <v>65</v>
      </c>
      <c r="R1532" t="s">
        <v>60</v>
      </c>
      <c r="W1532">
        <v>0</v>
      </c>
      <c r="X1532">
        <v>0</v>
      </c>
      <c r="AE1532">
        <v>0</v>
      </c>
      <c r="AF1532">
        <v>0</v>
      </c>
      <c r="AM1532" t="s">
        <v>52</v>
      </c>
      <c r="AN1532" t="s">
        <v>53</v>
      </c>
    </row>
    <row r="1533" spans="1:40">
      <c r="A1533" t="s">
        <v>2370</v>
      </c>
      <c r="B1533" t="s">
        <v>5562</v>
      </c>
      <c r="C1533" t="s">
        <v>5571</v>
      </c>
      <c r="D1533" t="s">
        <v>52</v>
      </c>
      <c r="E1533" t="s">
        <v>1194</v>
      </c>
      <c r="F1533" t="s">
        <v>131</v>
      </c>
      <c r="G1533" t="str">
        <f>HYPERLINK("https://twitter.com/3307300853/status/1143199025979637760")</f>
        <v>https://twitter.com/3307300853/status/1143199025979637760</v>
      </c>
      <c r="H1533" t="s">
        <v>46</v>
      </c>
      <c r="I1533" t="s">
        <v>5574</v>
      </c>
      <c r="J1533" t="str">
        <f>HYPERLINK("http://twitter.com/NicoleZalar")</f>
        <v>http://twitter.com/NicoleZalar</v>
      </c>
      <c r="K1533">
        <v>143</v>
      </c>
      <c r="L1533" t="s">
        <v>58</v>
      </c>
      <c r="N1533" t="s">
        <v>65</v>
      </c>
      <c r="R1533" t="s">
        <v>60</v>
      </c>
      <c r="W1533">
        <v>0</v>
      </c>
      <c r="X1533">
        <v>0</v>
      </c>
      <c r="AE1533">
        <v>0</v>
      </c>
      <c r="AI1533" t="s">
        <v>52</v>
      </c>
      <c r="AJ1533" t="s">
        <v>1196</v>
      </c>
      <c r="AK1533" t="s">
        <v>52</v>
      </c>
      <c r="AL1533" t="str">
        <f>HYPERLINK("https://pbs.twimg.com/media/D9xgk2YXkAAd2ql.jpg")</f>
        <v>https://pbs.twimg.com/media/D9xgk2YXkAAd2ql.jpg</v>
      </c>
      <c r="AM1533" t="s">
        <v>52</v>
      </c>
      <c r="AN1533" t="s">
        <v>53</v>
      </c>
    </row>
    <row r="1534" spans="1:40">
      <c r="A1534" t="s">
        <v>2370</v>
      </c>
      <c r="B1534" t="s">
        <v>5562</v>
      </c>
      <c r="C1534" t="s">
        <v>5571</v>
      </c>
      <c r="D1534" t="s">
        <v>52</v>
      </c>
      <c r="E1534" t="s">
        <v>5575</v>
      </c>
      <c r="F1534" t="s">
        <v>71</v>
      </c>
      <c r="G1534" t="str">
        <f>HYPERLINK("https://twitter.com/973264884073926656/status/1143199015909171201")</f>
        <v>https://twitter.com/973264884073926656/status/1143199015909171201</v>
      </c>
      <c r="H1534" t="s">
        <v>46</v>
      </c>
      <c r="I1534" t="s">
        <v>5576</v>
      </c>
      <c r="J1534" t="str">
        <f>HYPERLINK("http://twitter.com/DevittReignss")</f>
        <v>http://twitter.com/DevittReignss</v>
      </c>
      <c r="K1534">
        <v>492</v>
      </c>
      <c r="N1534" t="s">
        <v>65</v>
      </c>
      <c r="R1534" t="s">
        <v>60</v>
      </c>
      <c r="W1534">
        <v>0</v>
      </c>
      <c r="X1534">
        <v>0</v>
      </c>
      <c r="AE1534">
        <v>0</v>
      </c>
      <c r="AF1534">
        <v>0</v>
      </c>
      <c r="AM1534" t="s">
        <v>52</v>
      </c>
      <c r="AN1534" t="s">
        <v>53</v>
      </c>
    </row>
    <row r="1535" spans="1:40">
      <c r="A1535" t="s">
        <v>2370</v>
      </c>
      <c r="B1535" t="s">
        <v>5562</v>
      </c>
      <c r="C1535" t="s">
        <v>5568</v>
      </c>
      <c r="D1535" t="s">
        <v>52</v>
      </c>
      <c r="E1535" t="s">
        <v>5577</v>
      </c>
      <c r="F1535" t="s">
        <v>95</v>
      </c>
      <c r="G1535" t="str">
        <f>HYPERLINK("https://twitter.com/415100734/status/1143198965246177282")</f>
        <v>https://twitter.com/415100734/status/1143198965246177282</v>
      </c>
      <c r="H1535" t="s">
        <v>91</v>
      </c>
      <c r="I1535" t="s">
        <v>5578</v>
      </c>
      <c r="J1535" t="str">
        <f>HYPERLINK("http://twitter.com/merneek")</f>
        <v>http://twitter.com/merneek</v>
      </c>
      <c r="K1535">
        <v>164</v>
      </c>
      <c r="N1535" t="s">
        <v>65</v>
      </c>
      <c r="R1535" t="s">
        <v>60</v>
      </c>
      <c r="W1535">
        <v>1</v>
      </c>
      <c r="X1535">
        <v>1</v>
      </c>
      <c r="AE1535">
        <v>1</v>
      </c>
      <c r="AF1535">
        <v>0</v>
      </c>
      <c r="AM1535" t="s">
        <v>52</v>
      </c>
      <c r="AN1535" t="s">
        <v>53</v>
      </c>
    </row>
    <row r="1536" spans="1:40">
      <c r="A1536" t="s">
        <v>2370</v>
      </c>
      <c r="B1536" t="s">
        <v>5562</v>
      </c>
      <c r="C1536" t="s">
        <v>5579</v>
      </c>
      <c r="D1536" t="s">
        <v>52</v>
      </c>
      <c r="E1536" t="s">
        <v>1194</v>
      </c>
      <c r="F1536" t="s">
        <v>131</v>
      </c>
      <c r="G1536" t="str">
        <f>HYPERLINK("https://twitter.com/5535142/status/1143198916965543936")</f>
        <v>https://twitter.com/5535142/status/1143198916965543936</v>
      </c>
      <c r="H1536" t="s">
        <v>46</v>
      </c>
      <c r="I1536" t="s">
        <v>5580</v>
      </c>
      <c r="J1536" t="str">
        <f>HYPERLINK("http://twitter.com/jamesgraham")</f>
        <v>http://twitter.com/jamesgraham</v>
      </c>
      <c r="K1536">
        <v>1901</v>
      </c>
      <c r="N1536" t="s">
        <v>65</v>
      </c>
      <c r="R1536" t="s">
        <v>60</v>
      </c>
      <c r="W1536">
        <v>0</v>
      </c>
      <c r="X1536">
        <v>0</v>
      </c>
      <c r="AE1536">
        <v>0</v>
      </c>
      <c r="AI1536" t="s">
        <v>52</v>
      </c>
      <c r="AJ1536" t="s">
        <v>1196</v>
      </c>
      <c r="AK1536" t="s">
        <v>52</v>
      </c>
      <c r="AL1536" t="str">
        <f>HYPERLINK("https://pbs.twimg.com/media/D9xgk2YXkAAd2ql.jpg")</f>
        <v>https://pbs.twimg.com/media/D9xgk2YXkAAd2ql.jpg</v>
      </c>
      <c r="AM1536" t="s">
        <v>52</v>
      </c>
      <c r="AN1536" t="s">
        <v>53</v>
      </c>
    </row>
    <row r="1537" spans="1:40">
      <c r="A1537" t="s">
        <v>2370</v>
      </c>
      <c r="B1537" t="s">
        <v>5581</v>
      </c>
      <c r="C1537" t="s">
        <v>5582</v>
      </c>
      <c r="D1537" t="s">
        <v>52</v>
      </c>
      <c r="E1537" t="s">
        <v>5583</v>
      </c>
      <c r="F1537" t="s">
        <v>95</v>
      </c>
      <c r="G1537" t="str">
        <f>HYPERLINK("https://twitter.com/43773537/status/1143198708047237120")</f>
        <v>https://twitter.com/43773537/status/1143198708047237120</v>
      </c>
      <c r="H1537" t="s">
        <v>46</v>
      </c>
      <c r="I1537" t="s">
        <v>5584</v>
      </c>
      <c r="J1537" t="str">
        <f>HYPERLINK("http://twitter.com/ptaguilera")</f>
        <v>http://twitter.com/ptaguilera</v>
      </c>
      <c r="K1537">
        <v>2193</v>
      </c>
      <c r="L1537" t="s">
        <v>48</v>
      </c>
      <c r="N1537" t="s">
        <v>65</v>
      </c>
      <c r="R1537" t="s">
        <v>60</v>
      </c>
      <c r="S1537" t="s">
        <v>437</v>
      </c>
      <c r="T1537" t="s">
        <v>528</v>
      </c>
      <c r="U1537" t="s">
        <v>529</v>
      </c>
      <c r="W1537">
        <v>2</v>
      </c>
      <c r="X1537">
        <v>2</v>
      </c>
      <c r="AE1537">
        <v>1</v>
      </c>
      <c r="AF1537">
        <v>1</v>
      </c>
      <c r="AM1537" t="s">
        <v>52</v>
      </c>
      <c r="AN1537" t="s">
        <v>53</v>
      </c>
    </row>
    <row r="1538" spans="1:40">
      <c r="A1538" t="s">
        <v>2370</v>
      </c>
      <c r="B1538" t="s">
        <v>5585</v>
      </c>
      <c r="C1538" t="s">
        <v>5586</v>
      </c>
      <c r="D1538" t="s">
        <v>5587</v>
      </c>
      <c r="E1538" t="s">
        <v>5588</v>
      </c>
      <c r="F1538" t="s">
        <v>45</v>
      </c>
      <c r="G1538" t="str">
        <f>HYPERLINK("https://nbonews.com/ball-bll-touches-67-64-high-on-jun-24-special-opportunities-fund-spe-has-1-sentiment")</f>
        <v>https://nbonews.com/ball-bll-touches-67-64-high-on-jun-24-special-opportunities-fund-spe-has-1-sentiment</v>
      </c>
      <c r="H1538" t="s">
        <v>46</v>
      </c>
      <c r="I1538" t="s">
        <v>5589</v>
      </c>
      <c r="J1538" t="str">
        <f>HYPERLINK("https://nbonews.com/ball-bll-touches-67-64-high-on-jun-24-special-opportunities-fund-spe-has-1-sentiment/")</f>
        <v>https://nbonews.com/ball-bll-touches-67-64-high-on-jun-24-special-opportunities-fund-spe-has-1-sentiment/</v>
      </c>
      <c r="L1538" t="s">
        <v>48</v>
      </c>
      <c r="N1538" t="s">
        <v>5590</v>
      </c>
      <c r="R1538" t="s">
        <v>357</v>
      </c>
      <c r="S1538" t="s">
        <v>51</v>
      </c>
      <c r="AL1538" t="str">
        <f>HYPERLINK("https://nbonews.com//wp-content/uploads/logos/Logos/BLL.png")</f>
        <v>https://nbonews.com//wp-content/uploads/logos/Logos/BLL.png</v>
      </c>
      <c r="AM1538" t="s">
        <v>52</v>
      </c>
      <c r="AN1538" t="s">
        <v>53</v>
      </c>
    </row>
    <row r="1539" spans="1:40">
      <c r="A1539" t="s">
        <v>2370</v>
      </c>
      <c r="B1539" t="s">
        <v>5585</v>
      </c>
      <c r="C1539" t="s">
        <v>5591</v>
      </c>
      <c r="D1539" t="s">
        <v>5592</v>
      </c>
      <c r="E1539" t="s">
        <v>5593</v>
      </c>
      <c r="F1539" t="s">
        <v>45</v>
      </c>
      <c r="G1539" t="str">
        <f>HYPERLINK("https://www.reddit.com/r/StupidFood/comments/c4m9pg/nacho_cheese_doritos_sausage/?sort=new")</f>
        <v>https://www.reddit.com/r/StupidFood/comments/c4m9pg/nacho_cheese_doritos_sausage/?sort=new</v>
      </c>
      <c r="H1539" t="s">
        <v>46</v>
      </c>
      <c r="I1539" t="s">
        <v>5594</v>
      </c>
      <c r="J1539" t="str">
        <f>HYPERLINK("https://www.reddit.com/r/StupidFood/comments/c4m9pg/nacho_cheese_doritos_sausage/?sort=new")</f>
        <v>https://www.reddit.com/r/StupidFood/comments/c4m9pg/nacho_cheese_doritos_sausage/?sort=new</v>
      </c>
      <c r="N1539" t="s">
        <v>545</v>
      </c>
      <c r="O1539" t="s">
        <v>5595</v>
      </c>
      <c r="P1539" t="str">
        <f>HYPERLINK("https://www.reddit.com/r/StupidFood/")</f>
        <v>https://www.reddit.com/r/StupidFood/</v>
      </c>
      <c r="R1539" t="s">
        <v>516</v>
      </c>
      <c r="S1539" t="s">
        <v>51</v>
      </c>
      <c r="AM1539" t="s">
        <v>52</v>
      </c>
      <c r="AN1539" t="s">
        <v>53</v>
      </c>
    </row>
    <row r="1540" spans="1:40">
      <c r="A1540" t="s">
        <v>2370</v>
      </c>
      <c r="B1540" t="s">
        <v>5596</v>
      </c>
      <c r="C1540" t="s">
        <v>5597</v>
      </c>
      <c r="D1540" t="s">
        <v>52</v>
      </c>
      <c r="E1540" t="s">
        <v>5598</v>
      </c>
      <c r="F1540" t="s">
        <v>131</v>
      </c>
      <c r="G1540" t="str">
        <f>HYPERLINK("https://twitter.com/2465520416/status/1143198138896797696")</f>
        <v>https://twitter.com/2465520416/status/1143198138896797696</v>
      </c>
      <c r="H1540" t="s">
        <v>46</v>
      </c>
      <c r="I1540" t="s">
        <v>5599</v>
      </c>
      <c r="J1540" t="str">
        <f>HYPERLINK("http://twitter.com/bbqmabelslv")</f>
        <v>http://twitter.com/bbqmabelslv</v>
      </c>
      <c r="K1540">
        <v>51</v>
      </c>
      <c r="N1540" t="s">
        <v>65</v>
      </c>
      <c r="R1540" t="s">
        <v>60</v>
      </c>
      <c r="W1540">
        <v>0</v>
      </c>
      <c r="X1540">
        <v>0</v>
      </c>
      <c r="AE1540">
        <v>0</v>
      </c>
      <c r="AI1540" t="s">
        <v>52</v>
      </c>
      <c r="AJ1540" t="s">
        <v>5600</v>
      </c>
      <c r="AK1540" t="s">
        <v>52</v>
      </c>
      <c r="AL1540" t="str">
        <f>HYPERLINK("https://pbs.twimg.com/media/D9ixTxbUwAEFPKV.jpg")</f>
        <v>https://pbs.twimg.com/media/D9ixTxbUwAEFPKV.jpg</v>
      </c>
      <c r="AM1540" t="s">
        <v>52</v>
      </c>
      <c r="AN1540" t="s">
        <v>53</v>
      </c>
    </row>
    <row r="1541" spans="1:40">
      <c r="A1541" t="s">
        <v>2370</v>
      </c>
      <c r="B1541" t="s">
        <v>5601</v>
      </c>
      <c r="C1541" t="s">
        <v>5602</v>
      </c>
      <c r="D1541" t="s">
        <v>52</v>
      </c>
      <c r="E1541" t="s">
        <v>5603</v>
      </c>
      <c r="F1541" t="s">
        <v>95</v>
      </c>
      <c r="G1541" t="str">
        <f>HYPERLINK("https://twitter.com/1032943927781781506/status/1143197754350456835")</f>
        <v>https://twitter.com/1032943927781781506/status/1143197754350456835</v>
      </c>
      <c r="H1541" t="s">
        <v>46</v>
      </c>
      <c r="I1541" t="s">
        <v>5604</v>
      </c>
      <c r="J1541" t="str">
        <f>HYPERLINK("http://twitter.com/dongkhyuc")</f>
        <v>http://twitter.com/dongkhyuc</v>
      </c>
      <c r="K1541">
        <v>824</v>
      </c>
      <c r="N1541" t="s">
        <v>65</v>
      </c>
      <c r="R1541" t="s">
        <v>60</v>
      </c>
      <c r="W1541">
        <v>0</v>
      </c>
      <c r="X1541">
        <v>0</v>
      </c>
      <c r="AE1541">
        <v>0</v>
      </c>
      <c r="AF1541">
        <v>0</v>
      </c>
      <c r="AM1541" t="s">
        <v>52</v>
      </c>
      <c r="AN1541" t="s">
        <v>53</v>
      </c>
    </row>
    <row r="1542" spans="1:40">
      <c r="A1542" t="s">
        <v>2370</v>
      </c>
      <c r="B1542" t="s">
        <v>5605</v>
      </c>
      <c r="C1542" t="s">
        <v>5606</v>
      </c>
      <c r="D1542" t="s">
        <v>52</v>
      </c>
      <c r="E1542" t="s">
        <v>5607</v>
      </c>
      <c r="F1542" t="s">
        <v>45</v>
      </c>
      <c r="G1542" t="str">
        <f>HYPERLINK("https://www.instagram.com/p/BzGX1yLA51k")</f>
        <v>https://www.instagram.com/p/BzGX1yLA51k</v>
      </c>
      <c r="H1542" t="s">
        <v>46</v>
      </c>
      <c r="I1542" t="s">
        <v>5608</v>
      </c>
      <c r="J1542" t="str">
        <f>HYPERLINK("http://instagram.com/vsccleankitchen")</f>
        <v>http://instagram.com/vsccleankitchen</v>
      </c>
      <c r="K1542">
        <v>6810</v>
      </c>
      <c r="N1542" t="s">
        <v>59</v>
      </c>
      <c r="O1542" t="s">
        <v>5608</v>
      </c>
      <c r="P1542" t="str">
        <f>HYPERLINK("http://instagram.com/vsccleankitchen")</f>
        <v>http://instagram.com/vsccleankitchen</v>
      </c>
      <c r="Q1542">
        <v>6810</v>
      </c>
      <c r="R1542" t="s">
        <v>60</v>
      </c>
      <c r="W1542">
        <v>63</v>
      </c>
      <c r="X1542">
        <v>63</v>
      </c>
      <c r="AE1542">
        <v>2</v>
      </c>
      <c r="AI1542" t="s">
        <v>52</v>
      </c>
      <c r="AJ1542" t="s">
        <v>3777</v>
      </c>
      <c r="AK1542" t="s">
        <v>5609</v>
      </c>
      <c r="AL1542" t="str">
        <f>HYPERLINK("https://www.instagram.com/p/BzGX1yLA51k/media/?size=l")</f>
        <v>https://www.instagram.com/p/BzGX1yLA51k/media/?size=l</v>
      </c>
      <c r="AM1542" t="s">
        <v>52</v>
      </c>
      <c r="AN1542" t="s">
        <v>53</v>
      </c>
    </row>
    <row r="1543" spans="1:40">
      <c r="A1543" t="s">
        <v>2370</v>
      </c>
      <c r="B1543" t="s">
        <v>5610</v>
      </c>
      <c r="C1543" t="s">
        <v>5597</v>
      </c>
      <c r="D1543" t="s">
        <v>52</v>
      </c>
      <c r="E1543" t="s">
        <v>5611</v>
      </c>
      <c r="F1543" t="s">
        <v>45</v>
      </c>
      <c r="G1543" t="str">
        <f>HYPERLINK("https://twitter.com/206758053/status/1143196704033800192")</f>
        <v>https://twitter.com/206758053/status/1143196704033800192</v>
      </c>
      <c r="H1543" t="s">
        <v>46</v>
      </c>
      <c r="I1543" t="s">
        <v>5612</v>
      </c>
      <c r="J1543" t="str">
        <f>HYPERLINK("http://twitter.com/KarBCorrea")</f>
        <v>http://twitter.com/KarBCorrea</v>
      </c>
      <c r="K1543">
        <v>219</v>
      </c>
      <c r="N1543" t="s">
        <v>65</v>
      </c>
      <c r="R1543" t="s">
        <v>60</v>
      </c>
      <c r="S1543" t="s">
        <v>437</v>
      </c>
      <c r="T1543" t="s">
        <v>528</v>
      </c>
      <c r="U1543" t="s">
        <v>529</v>
      </c>
      <c r="W1543">
        <v>0</v>
      </c>
      <c r="X1543">
        <v>0</v>
      </c>
      <c r="AE1543">
        <v>0</v>
      </c>
      <c r="AF1543">
        <v>0</v>
      </c>
      <c r="AM1543" t="s">
        <v>52</v>
      </c>
      <c r="AN1543" t="s">
        <v>53</v>
      </c>
    </row>
    <row r="1544" spans="1:40">
      <c r="A1544" t="s">
        <v>2370</v>
      </c>
      <c r="B1544" t="s">
        <v>5610</v>
      </c>
      <c r="C1544" t="s">
        <v>5597</v>
      </c>
      <c r="D1544" t="s">
        <v>52</v>
      </c>
      <c r="E1544" t="s">
        <v>5613</v>
      </c>
      <c r="F1544" t="s">
        <v>95</v>
      </c>
      <c r="G1544" t="str">
        <f>HYPERLINK("https://twitter.com/35306378/status/1143196699940327424")</f>
        <v>https://twitter.com/35306378/status/1143196699940327424</v>
      </c>
      <c r="H1544" t="s">
        <v>215</v>
      </c>
      <c r="I1544" t="s">
        <v>5614</v>
      </c>
      <c r="J1544" t="str">
        <f>HYPERLINK("http://twitter.com/ani_brac")</f>
        <v>http://twitter.com/ani_brac</v>
      </c>
      <c r="K1544">
        <v>388</v>
      </c>
      <c r="N1544" t="s">
        <v>65</v>
      </c>
      <c r="R1544" t="s">
        <v>60</v>
      </c>
      <c r="W1544">
        <v>1</v>
      </c>
      <c r="X1544">
        <v>1</v>
      </c>
      <c r="AE1544">
        <v>1</v>
      </c>
      <c r="AF1544">
        <v>0</v>
      </c>
      <c r="AM1544" t="s">
        <v>52</v>
      </c>
      <c r="AN1544" t="s">
        <v>53</v>
      </c>
    </row>
    <row r="1545" spans="1:40">
      <c r="A1545" t="s">
        <v>2370</v>
      </c>
      <c r="B1545" t="s">
        <v>5610</v>
      </c>
      <c r="C1545" t="s">
        <v>5615</v>
      </c>
      <c r="D1545" t="s">
        <v>52</v>
      </c>
      <c r="E1545" t="s">
        <v>5616</v>
      </c>
      <c r="F1545" t="s">
        <v>95</v>
      </c>
      <c r="G1545" t="str">
        <f>HYPERLINK("https://twitter.com/2540591713/status/1143196608474992640")</f>
        <v>https://twitter.com/2540591713/status/1143196608474992640</v>
      </c>
      <c r="H1545" t="s">
        <v>46</v>
      </c>
      <c r="I1545" t="s">
        <v>5617</v>
      </c>
      <c r="J1545" t="str">
        <f>HYPERLINK("http://twitter.com/Valolanda")</f>
        <v>http://twitter.com/Valolanda</v>
      </c>
      <c r="K1545">
        <v>37</v>
      </c>
      <c r="L1545" t="s">
        <v>48</v>
      </c>
      <c r="N1545" t="s">
        <v>65</v>
      </c>
      <c r="R1545" t="s">
        <v>60</v>
      </c>
      <c r="S1545" t="s">
        <v>437</v>
      </c>
      <c r="T1545" t="s">
        <v>1374</v>
      </c>
      <c r="U1545" t="s">
        <v>5618</v>
      </c>
      <c r="W1545">
        <v>0</v>
      </c>
      <c r="X1545">
        <v>0</v>
      </c>
      <c r="AE1545">
        <v>0</v>
      </c>
      <c r="AF1545">
        <v>0</v>
      </c>
      <c r="AM1545" t="s">
        <v>52</v>
      </c>
      <c r="AN1545" t="s">
        <v>53</v>
      </c>
    </row>
    <row r="1546" spans="1:40">
      <c r="A1546" t="s">
        <v>2370</v>
      </c>
      <c r="B1546" t="s">
        <v>5619</v>
      </c>
      <c r="C1546" t="s">
        <v>5582</v>
      </c>
      <c r="D1546" t="s">
        <v>5620</v>
      </c>
      <c r="E1546" t="s">
        <v>5621</v>
      </c>
      <c r="F1546" t="s">
        <v>45</v>
      </c>
      <c r="G1546" t="str">
        <f>HYPERLINK("https://in.blouinartinfo.com/node/3689287")</f>
        <v>https://in.blouinartinfo.com/node/3689287</v>
      </c>
      <c r="H1546" t="s">
        <v>46</v>
      </c>
      <c r="I1546" t="s">
        <v>5622</v>
      </c>
      <c r="J1546" t="str">
        <f>HYPERLINK("http://in.blouinartinfo.com")</f>
        <v>http://in.blouinartinfo.com</v>
      </c>
      <c r="N1546" t="s">
        <v>5623</v>
      </c>
      <c r="R1546" t="s">
        <v>357</v>
      </c>
      <c r="S1546" t="s">
        <v>51</v>
      </c>
      <c r="AI1546" t="s">
        <v>108</v>
      </c>
      <c r="AJ1546" t="s">
        <v>3626</v>
      </c>
      <c r="AK1546" t="s">
        <v>52</v>
      </c>
      <c r="AL1546" t="str">
        <f>HYPERLINK("https://www.blouinartinfo.com/sites/default/files/styles/1050w615h/public/1561103762-aefbe.jpg?itok=ShiS8NQ4")</f>
        <v>https://www.blouinartinfo.com/sites/default/files/styles/1050w615h/public/1561103762-aefbe.jpg?itok=ShiS8NQ4</v>
      </c>
      <c r="AM1546" t="s">
        <v>52</v>
      </c>
      <c r="AN1546" t="s">
        <v>53</v>
      </c>
    </row>
    <row r="1547" spans="1:40">
      <c r="A1547" t="s">
        <v>2370</v>
      </c>
      <c r="B1547" t="s">
        <v>5619</v>
      </c>
      <c r="C1547" t="s">
        <v>5624</v>
      </c>
      <c r="D1547" t="s">
        <v>52</v>
      </c>
      <c r="E1547" t="s">
        <v>5625</v>
      </c>
      <c r="F1547" t="s">
        <v>95</v>
      </c>
      <c r="G1547" t="str">
        <f>HYPERLINK("https://twitter.com/182965449/status/1143196518461169665")</f>
        <v>https://twitter.com/182965449/status/1143196518461169665</v>
      </c>
      <c r="H1547" t="s">
        <v>46</v>
      </c>
      <c r="I1547" t="s">
        <v>5626</v>
      </c>
      <c r="J1547" t="str">
        <f>HYPERLINK("http://twitter.com/lisanunnx")</f>
        <v>http://twitter.com/lisanunnx</v>
      </c>
      <c r="K1547">
        <v>1864</v>
      </c>
      <c r="L1547" t="s">
        <v>58</v>
      </c>
      <c r="N1547" t="s">
        <v>65</v>
      </c>
      <c r="R1547" t="s">
        <v>60</v>
      </c>
      <c r="S1547" t="s">
        <v>51</v>
      </c>
      <c r="T1547" t="s">
        <v>137</v>
      </c>
      <c r="U1547" t="s">
        <v>1015</v>
      </c>
      <c r="W1547">
        <v>2</v>
      </c>
      <c r="X1547">
        <v>2</v>
      </c>
      <c r="AE1547">
        <v>1</v>
      </c>
      <c r="AF1547">
        <v>0</v>
      </c>
      <c r="AM1547" t="s">
        <v>52</v>
      </c>
      <c r="AN1547" t="s">
        <v>53</v>
      </c>
    </row>
    <row r="1548" spans="1:40">
      <c r="A1548" t="s">
        <v>2370</v>
      </c>
      <c r="B1548" t="s">
        <v>5627</v>
      </c>
      <c r="C1548" t="s">
        <v>3117</v>
      </c>
      <c r="D1548" t="s">
        <v>1278</v>
      </c>
      <c r="E1548" t="s">
        <v>5628</v>
      </c>
      <c r="F1548" t="s">
        <v>45</v>
      </c>
      <c r="G1548" t="str">
        <f>HYPERLINK("https://www.idahostatesman.com/living/pets/article231896668.html")</f>
        <v>https://www.idahostatesman.com/living/pets/article231896668.html</v>
      </c>
      <c r="H1548" t="s">
        <v>46</v>
      </c>
      <c r="I1548" t="s">
        <v>1280</v>
      </c>
      <c r="J1548" t="str">
        <f>HYPERLINK("https://www.idahostatesman.com/living/pets/article231896668.html")</f>
        <v>https://www.idahostatesman.com/living/pets/article231896668.html</v>
      </c>
      <c r="L1548" t="s">
        <v>58</v>
      </c>
      <c r="N1548" t="s">
        <v>5629</v>
      </c>
      <c r="R1548" t="s">
        <v>357</v>
      </c>
      <c r="S1548" t="s">
        <v>51</v>
      </c>
      <c r="AM1548" t="s">
        <v>52</v>
      </c>
      <c r="AN1548" t="s">
        <v>53</v>
      </c>
    </row>
    <row r="1549" spans="1:40">
      <c r="A1549" t="s">
        <v>2370</v>
      </c>
      <c r="B1549" t="s">
        <v>5630</v>
      </c>
      <c r="C1549" t="s">
        <v>5631</v>
      </c>
      <c r="D1549" t="s">
        <v>52</v>
      </c>
      <c r="E1549" t="s">
        <v>5632</v>
      </c>
      <c r="F1549" t="s">
        <v>95</v>
      </c>
      <c r="G1549" t="str">
        <f>HYPERLINK("https://twitter.com/1128748408141963265/status/1143194499608391680")</f>
        <v>https://twitter.com/1128748408141963265/status/1143194499608391680</v>
      </c>
      <c r="H1549" t="s">
        <v>91</v>
      </c>
      <c r="I1549" t="s">
        <v>5633</v>
      </c>
      <c r="J1549" t="str">
        <f>HYPERLINK("http://twitter.com/pp_pringles")</f>
        <v>http://twitter.com/pp_pringles</v>
      </c>
      <c r="K1549">
        <v>173</v>
      </c>
      <c r="N1549" t="s">
        <v>65</v>
      </c>
      <c r="R1549" t="s">
        <v>60</v>
      </c>
      <c r="W1549">
        <v>3</v>
      </c>
      <c r="X1549">
        <v>3</v>
      </c>
      <c r="AE1549">
        <v>0</v>
      </c>
      <c r="AF1549">
        <v>0</v>
      </c>
      <c r="AM1549" t="s">
        <v>52</v>
      </c>
      <c r="AN1549" t="s">
        <v>53</v>
      </c>
    </row>
    <row r="1550" spans="1:40">
      <c r="A1550" t="s">
        <v>2370</v>
      </c>
      <c r="B1550" t="s">
        <v>5630</v>
      </c>
      <c r="C1550" t="s">
        <v>5634</v>
      </c>
      <c r="D1550" t="s">
        <v>52</v>
      </c>
      <c r="E1550" t="s">
        <v>1194</v>
      </c>
      <c r="F1550" t="s">
        <v>131</v>
      </c>
      <c r="G1550" t="str">
        <f>HYPERLINK("https://twitter.com/2445996138/status/1143194466188218372")</f>
        <v>https://twitter.com/2445996138/status/1143194466188218372</v>
      </c>
      <c r="H1550" t="s">
        <v>46</v>
      </c>
      <c r="I1550" t="s">
        <v>5635</v>
      </c>
      <c r="J1550" t="str">
        <f>HYPERLINK("http://twitter.com/Margoolok")</f>
        <v>http://twitter.com/Margoolok</v>
      </c>
      <c r="K1550">
        <v>327</v>
      </c>
      <c r="N1550" t="s">
        <v>65</v>
      </c>
      <c r="R1550" t="s">
        <v>60</v>
      </c>
      <c r="S1550" t="s">
        <v>1530</v>
      </c>
      <c r="T1550" t="s">
        <v>5184</v>
      </c>
      <c r="U1550" t="s">
        <v>5185</v>
      </c>
      <c r="W1550">
        <v>0</v>
      </c>
      <c r="X1550">
        <v>0</v>
      </c>
      <c r="AE1550">
        <v>0</v>
      </c>
      <c r="AI1550" t="s">
        <v>52</v>
      </c>
      <c r="AJ1550" t="s">
        <v>1196</v>
      </c>
      <c r="AK1550" t="s">
        <v>52</v>
      </c>
      <c r="AL1550" t="str">
        <f>HYPERLINK("https://pbs.twimg.com/media/D9xgk2YXkAAd2ql.jpg")</f>
        <v>https://pbs.twimg.com/media/D9xgk2YXkAAd2ql.jpg</v>
      </c>
      <c r="AM1550" t="s">
        <v>52</v>
      </c>
      <c r="AN1550" t="s">
        <v>53</v>
      </c>
    </row>
    <row r="1551" spans="1:40">
      <c r="A1551" t="s">
        <v>2370</v>
      </c>
      <c r="B1551" t="s">
        <v>5636</v>
      </c>
      <c r="C1551" t="s">
        <v>5637</v>
      </c>
      <c r="D1551" t="s">
        <v>52</v>
      </c>
      <c r="E1551" t="s">
        <v>5638</v>
      </c>
      <c r="F1551" t="s">
        <v>95</v>
      </c>
      <c r="G1551" t="str">
        <f>HYPERLINK("https://twitter.com/1262116632/status/1143194097999499266")</f>
        <v>https://twitter.com/1262116632/status/1143194097999499266</v>
      </c>
      <c r="H1551" t="s">
        <v>215</v>
      </c>
      <c r="I1551" t="s">
        <v>5639</v>
      </c>
      <c r="J1551" t="str">
        <f>HYPERLINK("http://twitter.com/GwenBenaway")</f>
        <v>http://twitter.com/GwenBenaway</v>
      </c>
      <c r="K1551">
        <v>7640</v>
      </c>
      <c r="N1551" t="s">
        <v>65</v>
      </c>
      <c r="R1551" t="s">
        <v>60</v>
      </c>
      <c r="S1551" t="s">
        <v>444</v>
      </c>
      <c r="T1551" t="s">
        <v>1062</v>
      </c>
      <c r="U1551" t="s">
        <v>3442</v>
      </c>
      <c r="W1551">
        <v>1</v>
      </c>
      <c r="X1551">
        <v>1</v>
      </c>
      <c r="AE1551">
        <v>0</v>
      </c>
      <c r="AF1551">
        <v>0</v>
      </c>
      <c r="AM1551" t="s">
        <v>52</v>
      </c>
      <c r="AN1551" t="s">
        <v>53</v>
      </c>
    </row>
    <row r="1552" spans="1:40">
      <c r="A1552" t="s">
        <v>2370</v>
      </c>
      <c r="B1552" t="s">
        <v>5640</v>
      </c>
      <c r="C1552" t="s">
        <v>5641</v>
      </c>
      <c r="D1552" t="s">
        <v>52</v>
      </c>
      <c r="E1552" t="s">
        <v>5642</v>
      </c>
      <c r="F1552" t="s">
        <v>45</v>
      </c>
      <c r="G1552" t="str">
        <f>HYPERLINK("https://www.instagram.com/p/BzGWUg3Aq6X")</f>
        <v>https://www.instagram.com/p/BzGWUg3Aq6X</v>
      </c>
      <c r="H1552" t="s">
        <v>46</v>
      </c>
      <c r="I1552" t="s">
        <v>5643</v>
      </c>
      <c r="J1552" t="str">
        <f>HYPERLINK("http://instagram.com/amorytacos")</f>
        <v>http://instagram.com/amorytacos</v>
      </c>
      <c r="K1552">
        <v>13098</v>
      </c>
      <c r="N1552" t="s">
        <v>59</v>
      </c>
      <c r="O1552" t="s">
        <v>5643</v>
      </c>
      <c r="P1552" t="str">
        <f>HYPERLINK("http://instagram.com/amorytacos")</f>
        <v>http://instagram.com/amorytacos</v>
      </c>
      <c r="Q1552">
        <v>13098</v>
      </c>
      <c r="R1552" t="s">
        <v>60</v>
      </c>
      <c r="S1552" t="s">
        <v>51</v>
      </c>
      <c r="T1552" t="s">
        <v>173</v>
      </c>
      <c r="U1552" t="s">
        <v>5644</v>
      </c>
      <c r="W1552">
        <v>224</v>
      </c>
      <c r="X1552">
        <v>224</v>
      </c>
      <c r="AE1552">
        <v>9</v>
      </c>
      <c r="AL1552" t="str">
        <f>HYPERLINK("https://www.instagram.com/p/BzGWUg3Aq6X/media/?size=l")</f>
        <v>https://www.instagram.com/p/BzGWUg3Aq6X/media/?size=l</v>
      </c>
      <c r="AM1552" t="s">
        <v>52</v>
      </c>
      <c r="AN1552" t="s">
        <v>53</v>
      </c>
    </row>
    <row r="1553" spans="1:40">
      <c r="A1553" t="s">
        <v>2370</v>
      </c>
      <c r="B1553" t="s">
        <v>5645</v>
      </c>
      <c r="C1553" t="s">
        <v>5646</v>
      </c>
      <c r="D1553" t="s">
        <v>52</v>
      </c>
      <c r="E1553" t="s">
        <v>5647</v>
      </c>
      <c r="F1553" t="s">
        <v>45</v>
      </c>
      <c r="G1553" t="str">
        <f>HYPERLINK("https://www.instagram.com/p/BzGWFBaHaJF")</f>
        <v>https://www.instagram.com/p/BzGWFBaHaJF</v>
      </c>
      <c r="H1553" t="s">
        <v>46</v>
      </c>
      <c r="I1553" t="s">
        <v>5648</v>
      </c>
      <c r="J1553" t="str">
        <f>HYPERLINK("http://instagram.com/distorted.lens")</f>
        <v>http://instagram.com/distorted.lens</v>
      </c>
      <c r="K1553">
        <v>32636</v>
      </c>
      <c r="N1553" t="s">
        <v>59</v>
      </c>
      <c r="O1553" t="s">
        <v>5648</v>
      </c>
      <c r="P1553" t="str">
        <f>HYPERLINK("http://instagram.com/distorted.lens")</f>
        <v>http://instagram.com/distorted.lens</v>
      </c>
      <c r="Q1553">
        <v>32636</v>
      </c>
      <c r="R1553" t="s">
        <v>60</v>
      </c>
      <c r="S1553" t="s">
        <v>444</v>
      </c>
      <c r="T1553" t="s">
        <v>1062</v>
      </c>
      <c r="U1553" t="s">
        <v>3442</v>
      </c>
      <c r="W1553">
        <v>418</v>
      </c>
      <c r="X1553">
        <v>418</v>
      </c>
      <c r="AE1553">
        <v>28</v>
      </c>
      <c r="AL1553" t="str">
        <f>HYPERLINK("https://www.instagram.com/p/BzGWFBaHaJF/media/?size=l")</f>
        <v>https://www.instagram.com/p/BzGWFBaHaJF/media/?size=l</v>
      </c>
      <c r="AM1553" t="s">
        <v>52</v>
      </c>
      <c r="AN1553" t="s">
        <v>53</v>
      </c>
    </row>
    <row r="1554" spans="1:40">
      <c r="A1554" t="s">
        <v>2370</v>
      </c>
      <c r="B1554" t="s">
        <v>5649</v>
      </c>
      <c r="C1554" t="s">
        <v>5650</v>
      </c>
      <c r="D1554" t="s">
        <v>52</v>
      </c>
      <c r="E1554" t="s">
        <v>5651</v>
      </c>
      <c r="F1554" t="s">
        <v>45</v>
      </c>
      <c r="G1554" t="str">
        <f>HYPERLINK("https://www.instagram.com/p/BzGV_jZhgkE")</f>
        <v>https://www.instagram.com/p/BzGV_jZhgkE</v>
      </c>
      <c r="H1554" t="s">
        <v>46</v>
      </c>
      <c r="I1554" t="s">
        <v>5652</v>
      </c>
      <c r="J1554" t="str">
        <f>HYPERLINK("http://instagram.com/natthom87_fit")</f>
        <v>http://instagram.com/natthom87_fit</v>
      </c>
      <c r="K1554">
        <v>10028</v>
      </c>
      <c r="L1554" t="s">
        <v>58</v>
      </c>
      <c r="N1554" t="s">
        <v>59</v>
      </c>
      <c r="O1554" t="s">
        <v>5652</v>
      </c>
      <c r="P1554" t="str">
        <f>HYPERLINK("http://instagram.com/natthom87_fit")</f>
        <v>http://instagram.com/natthom87_fit</v>
      </c>
      <c r="Q1554">
        <v>10028</v>
      </c>
      <c r="R1554" t="s">
        <v>60</v>
      </c>
      <c r="W1554">
        <v>22</v>
      </c>
      <c r="X1554">
        <v>22</v>
      </c>
      <c r="AE1554">
        <v>0</v>
      </c>
      <c r="AI1554" t="s">
        <v>52</v>
      </c>
      <c r="AJ1554" t="s">
        <v>268</v>
      </c>
      <c r="AK1554" t="s">
        <v>52</v>
      </c>
      <c r="AL1554" t="str">
        <f>HYPERLINK("https://www.instagram.com/p/BzGV_jZhgkE/media/?size=l")</f>
        <v>https://www.instagram.com/p/BzGV_jZhgkE/media/?size=l</v>
      </c>
      <c r="AM1554" t="s">
        <v>52</v>
      </c>
      <c r="AN1554" t="s">
        <v>53</v>
      </c>
    </row>
    <row r="1555" spans="1:40">
      <c r="A1555" t="s">
        <v>2370</v>
      </c>
      <c r="B1555" t="s">
        <v>5649</v>
      </c>
      <c r="C1555" t="s">
        <v>5653</v>
      </c>
      <c r="D1555" t="s">
        <v>52</v>
      </c>
      <c r="E1555" t="s">
        <v>5654</v>
      </c>
      <c r="F1555" t="s">
        <v>45</v>
      </c>
      <c r="G1555" t="str">
        <f>HYPERLINK("https://www.instagram.com/p/BzGV9B9H9ME")</f>
        <v>https://www.instagram.com/p/BzGV9B9H9ME</v>
      </c>
      <c r="H1555" t="s">
        <v>46</v>
      </c>
      <c r="I1555" t="s">
        <v>5655</v>
      </c>
      <c r="J1555" t="str">
        <f>HYPERLINK("http://instagram.com/drigomenchao")</f>
        <v>http://instagram.com/drigomenchao</v>
      </c>
      <c r="K1555">
        <v>3164</v>
      </c>
      <c r="L1555" t="s">
        <v>48</v>
      </c>
      <c r="N1555" t="s">
        <v>59</v>
      </c>
      <c r="O1555" t="s">
        <v>5655</v>
      </c>
      <c r="P1555" t="str">
        <f>HYPERLINK("http://instagram.com/drigomenchao")</f>
        <v>http://instagram.com/drigomenchao</v>
      </c>
      <c r="Q1555">
        <v>3164</v>
      </c>
      <c r="R1555" t="s">
        <v>60</v>
      </c>
      <c r="S1555" t="s">
        <v>432</v>
      </c>
      <c r="T1555" t="s">
        <v>433</v>
      </c>
      <c r="W1555">
        <v>64</v>
      </c>
      <c r="X1555">
        <v>64</v>
      </c>
      <c r="AE1555">
        <v>1</v>
      </c>
      <c r="AI1555" t="s">
        <v>108</v>
      </c>
      <c r="AJ1555" t="s">
        <v>5656</v>
      </c>
      <c r="AK1555" t="s">
        <v>5465</v>
      </c>
      <c r="AL1555" t="str">
        <f>HYPERLINK("https://www.instagram.com/p/BzGV9B9H9ME/media/?size=l")</f>
        <v>https://www.instagram.com/p/BzGV9B9H9ME/media/?size=l</v>
      </c>
      <c r="AM1555" t="s">
        <v>52</v>
      </c>
      <c r="AN1555" t="s">
        <v>53</v>
      </c>
    </row>
    <row r="1556" spans="1:40">
      <c r="A1556" t="s">
        <v>2370</v>
      </c>
      <c r="B1556" t="s">
        <v>5649</v>
      </c>
      <c r="C1556" t="s">
        <v>3278</v>
      </c>
      <c r="D1556" t="s">
        <v>52</v>
      </c>
      <c r="E1556" t="s">
        <v>5657</v>
      </c>
      <c r="F1556" t="s">
        <v>45</v>
      </c>
      <c r="G1556" t="str">
        <f>HYPERLINK("https://www.instagram.com/p/BzGV8xyg4M0")</f>
        <v>https://www.instagram.com/p/BzGV8xyg4M0</v>
      </c>
      <c r="H1556" t="s">
        <v>46</v>
      </c>
      <c r="I1556" t="s">
        <v>5658</v>
      </c>
      <c r="J1556" t="str">
        <f>HYPERLINK("http://instagram.com/royal_mekhma")</f>
        <v>http://instagram.com/royal_mekhma</v>
      </c>
      <c r="K1556">
        <v>515</v>
      </c>
      <c r="L1556" t="s">
        <v>651</v>
      </c>
      <c r="N1556" t="s">
        <v>59</v>
      </c>
      <c r="O1556" t="s">
        <v>5658</v>
      </c>
      <c r="P1556" t="str">
        <f>HYPERLINK("http://instagram.com/royal_mekhma")</f>
        <v>http://instagram.com/royal_mekhma</v>
      </c>
      <c r="Q1556">
        <v>515</v>
      </c>
      <c r="R1556" t="s">
        <v>60</v>
      </c>
      <c r="W1556">
        <v>7</v>
      </c>
      <c r="X1556">
        <v>7</v>
      </c>
      <c r="AE1556">
        <v>1</v>
      </c>
      <c r="AI1556" t="s">
        <v>108</v>
      </c>
      <c r="AJ1556" t="s">
        <v>5659</v>
      </c>
      <c r="AK1556" t="s">
        <v>5660</v>
      </c>
      <c r="AL1556" t="str">
        <f>HYPERLINK("https://www.instagram.com/p/BzGV8xyg4M0/media/?size=l")</f>
        <v>https://www.instagram.com/p/BzGV8xyg4M0/media/?size=l</v>
      </c>
      <c r="AM1556" t="s">
        <v>52</v>
      </c>
      <c r="AN1556" t="s">
        <v>53</v>
      </c>
    </row>
    <row r="1557" spans="1:40">
      <c r="A1557" t="s">
        <v>2370</v>
      </c>
      <c r="B1557" t="s">
        <v>5661</v>
      </c>
      <c r="C1557" t="s">
        <v>5637</v>
      </c>
      <c r="D1557" t="s">
        <v>52</v>
      </c>
      <c r="E1557" t="s">
        <v>5662</v>
      </c>
      <c r="F1557" t="s">
        <v>45</v>
      </c>
      <c r="G1557" t="str">
        <f>HYPERLINK("https://www.instagram.com/p/BzGVxRqgSS6")</f>
        <v>https://www.instagram.com/p/BzGVxRqgSS6</v>
      </c>
      <c r="H1557" t="s">
        <v>46</v>
      </c>
      <c r="I1557" t="s">
        <v>5663</v>
      </c>
      <c r="J1557" t="str">
        <f>HYPERLINK("http://instagram.com/adamfranchise")</f>
        <v>http://instagram.com/adamfranchise</v>
      </c>
      <c r="K1557">
        <v>433</v>
      </c>
      <c r="L1557" t="s">
        <v>48</v>
      </c>
      <c r="N1557" t="s">
        <v>59</v>
      </c>
      <c r="O1557" t="s">
        <v>5663</v>
      </c>
      <c r="P1557" t="str">
        <f>HYPERLINK("http://instagram.com/adamfranchise")</f>
        <v>http://instagram.com/adamfranchise</v>
      </c>
      <c r="Q1557">
        <v>433</v>
      </c>
      <c r="R1557" t="s">
        <v>60</v>
      </c>
      <c r="W1557">
        <v>82</v>
      </c>
      <c r="X1557">
        <v>82</v>
      </c>
      <c r="AE1557">
        <v>4</v>
      </c>
      <c r="AL1557" t="str">
        <f>HYPERLINK("https://www.instagram.com/p/BzGVxRqgSS6/media/?size=l")</f>
        <v>https://www.instagram.com/p/BzGVxRqgSS6/media/?size=l</v>
      </c>
      <c r="AM1557" t="s">
        <v>52</v>
      </c>
      <c r="AN1557" t="s">
        <v>53</v>
      </c>
    </row>
    <row r="1558" spans="1:40">
      <c r="A1558" t="s">
        <v>2370</v>
      </c>
      <c r="B1558" t="s">
        <v>54</v>
      </c>
      <c r="C1558" t="s">
        <v>5664</v>
      </c>
      <c r="D1558" t="s">
        <v>52</v>
      </c>
      <c r="E1558" t="s">
        <v>5665</v>
      </c>
      <c r="F1558" t="s">
        <v>71</v>
      </c>
      <c r="G1558" t="str">
        <f>HYPERLINK("https://twitter.com/1264366687/status/1143192699706728449")</f>
        <v>https://twitter.com/1264366687/status/1143192699706728449</v>
      </c>
      <c r="H1558" t="s">
        <v>46</v>
      </c>
      <c r="I1558" t="s">
        <v>3389</v>
      </c>
      <c r="J1558" t="str">
        <f>HYPERLINK("http://twitter.com/asvpxangelI")</f>
        <v>http://twitter.com/asvpxangelI</v>
      </c>
      <c r="K1558">
        <v>625</v>
      </c>
      <c r="N1558" t="s">
        <v>65</v>
      </c>
      <c r="R1558" t="s">
        <v>60</v>
      </c>
      <c r="W1558">
        <v>1</v>
      </c>
      <c r="X1558">
        <v>1</v>
      </c>
      <c r="AE1558">
        <v>0</v>
      </c>
      <c r="AF1558">
        <v>0</v>
      </c>
      <c r="AM1558" t="s">
        <v>52</v>
      </c>
      <c r="AN1558" t="s">
        <v>53</v>
      </c>
    </row>
    <row r="1559" spans="1:40">
      <c r="A1559" t="s">
        <v>2370</v>
      </c>
      <c r="B1559" t="s">
        <v>5666</v>
      </c>
      <c r="C1559" t="s">
        <v>5667</v>
      </c>
      <c r="D1559" t="s">
        <v>52</v>
      </c>
      <c r="E1559" t="s">
        <v>1605</v>
      </c>
      <c r="F1559" t="s">
        <v>71</v>
      </c>
      <c r="G1559" t="str">
        <f>HYPERLINK("https://twitter.com/1719046796/status/1143192385582764032")</f>
        <v>https://twitter.com/1719046796/status/1143192385582764032</v>
      </c>
      <c r="H1559" t="s">
        <v>215</v>
      </c>
      <c r="I1559" t="s">
        <v>5668</v>
      </c>
      <c r="J1559" t="str">
        <f>HYPERLINK("http://twitter.com/theleratobelow")</f>
        <v>http://twitter.com/theleratobelow</v>
      </c>
      <c r="K1559">
        <v>5519</v>
      </c>
      <c r="N1559" t="s">
        <v>65</v>
      </c>
      <c r="R1559" t="s">
        <v>60</v>
      </c>
      <c r="S1559" t="s">
        <v>1071</v>
      </c>
      <c r="W1559">
        <v>0</v>
      </c>
      <c r="X1559">
        <v>0</v>
      </c>
      <c r="AE1559">
        <v>0</v>
      </c>
      <c r="AF1559">
        <v>0</v>
      </c>
      <c r="AM1559" t="s">
        <v>52</v>
      </c>
      <c r="AN1559" t="s">
        <v>53</v>
      </c>
    </row>
    <row r="1560" spans="1:40">
      <c r="A1560" t="s">
        <v>2370</v>
      </c>
      <c r="B1560" t="s">
        <v>5669</v>
      </c>
      <c r="C1560" t="s">
        <v>5670</v>
      </c>
      <c r="D1560" t="s">
        <v>52</v>
      </c>
      <c r="E1560" t="s">
        <v>5671</v>
      </c>
      <c r="F1560" t="s">
        <v>95</v>
      </c>
      <c r="G1560" t="str">
        <f>HYPERLINK("https://twitter.com/41319858/status/1143191872996814848")</f>
        <v>https://twitter.com/41319858/status/1143191872996814848</v>
      </c>
      <c r="H1560" t="s">
        <v>91</v>
      </c>
      <c r="I1560" t="s">
        <v>5672</v>
      </c>
      <c r="J1560" t="str">
        <f>HYPERLINK("http://twitter.com/FoxBilder")</f>
        <v>http://twitter.com/FoxBilder</v>
      </c>
      <c r="K1560">
        <v>15</v>
      </c>
      <c r="N1560" t="s">
        <v>65</v>
      </c>
      <c r="R1560" t="s">
        <v>60</v>
      </c>
      <c r="W1560">
        <v>1</v>
      </c>
      <c r="X1560">
        <v>1</v>
      </c>
      <c r="AE1560">
        <v>3</v>
      </c>
      <c r="AF1560">
        <v>0</v>
      </c>
      <c r="AM1560" t="s">
        <v>52</v>
      </c>
      <c r="AN1560" t="s">
        <v>53</v>
      </c>
    </row>
    <row r="1561" spans="1:40">
      <c r="A1561" t="s">
        <v>2370</v>
      </c>
      <c r="B1561" t="s">
        <v>68</v>
      </c>
      <c r="C1561" t="s">
        <v>5670</v>
      </c>
      <c r="D1561" t="s">
        <v>52</v>
      </c>
      <c r="E1561" t="s">
        <v>5673</v>
      </c>
      <c r="F1561" t="s">
        <v>95</v>
      </c>
      <c r="G1561" t="str">
        <f>HYPERLINK("https://twitter.com/1075941391811850240/status/1143191754071347200")</f>
        <v>https://twitter.com/1075941391811850240/status/1143191754071347200</v>
      </c>
      <c r="H1561" t="s">
        <v>46</v>
      </c>
      <c r="I1561" t="s">
        <v>5674</v>
      </c>
      <c r="J1561" t="str">
        <f>HYPERLINK("http://twitter.com/antimatterX0")</f>
        <v>http://twitter.com/antimatterX0</v>
      </c>
      <c r="K1561">
        <v>523</v>
      </c>
      <c r="N1561" t="s">
        <v>65</v>
      </c>
      <c r="R1561" t="s">
        <v>60</v>
      </c>
      <c r="W1561">
        <v>0</v>
      </c>
      <c r="X1561">
        <v>0</v>
      </c>
      <c r="AE1561">
        <v>0</v>
      </c>
      <c r="AF1561">
        <v>0</v>
      </c>
      <c r="AM1561" t="s">
        <v>52</v>
      </c>
      <c r="AN1561" t="s">
        <v>53</v>
      </c>
    </row>
    <row r="1562" spans="1:40">
      <c r="A1562" t="s">
        <v>2370</v>
      </c>
      <c r="B1562" t="s">
        <v>68</v>
      </c>
      <c r="C1562" t="s">
        <v>5637</v>
      </c>
      <c r="D1562" t="s">
        <v>52</v>
      </c>
      <c r="E1562" t="s">
        <v>5128</v>
      </c>
      <c r="F1562" t="s">
        <v>131</v>
      </c>
      <c r="G1562" t="str">
        <f>HYPERLINK("https://twitter.com/1085605754055335936/status/1143191650862272513")</f>
        <v>https://twitter.com/1085605754055335936/status/1143191650862272513</v>
      </c>
      <c r="H1562" t="s">
        <v>46</v>
      </c>
      <c r="I1562" t="s">
        <v>5675</v>
      </c>
      <c r="J1562" t="str">
        <f>HYPERLINK("http://twitter.com/mmakwena_99")</f>
        <v>http://twitter.com/mmakwena_99</v>
      </c>
      <c r="K1562">
        <v>1752</v>
      </c>
      <c r="N1562" t="s">
        <v>65</v>
      </c>
      <c r="R1562" t="s">
        <v>60</v>
      </c>
      <c r="S1562" t="s">
        <v>1071</v>
      </c>
      <c r="T1562" t="s">
        <v>1072</v>
      </c>
      <c r="U1562" t="s">
        <v>1295</v>
      </c>
      <c r="W1562">
        <v>0</v>
      </c>
      <c r="X1562">
        <v>0</v>
      </c>
      <c r="AE1562">
        <v>0</v>
      </c>
      <c r="AI1562" t="s">
        <v>52</v>
      </c>
      <c r="AJ1562" t="s">
        <v>5130</v>
      </c>
      <c r="AK1562" t="s">
        <v>52</v>
      </c>
      <c r="AL1562" t="str">
        <f>HYPERLINK("https://pbs.twimg.com/media/D91AXfmXoAE6StK.jpg")</f>
        <v>https://pbs.twimg.com/media/D91AXfmXoAE6StK.jpg</v>
      </c>
      <c r="AM1562" t="s">
        <v>52</v>
      </c>
      <c r="AN1562" t="s">
        <v>53</v>
      </c>
    </row>
    <row r="1563" spans="1:40">
      <c r="A1563" t="s">
        <v>2370</v>
      </c>
      <c r="B1563" t="s">
        <v>5676</v>
      </c>
      <c r="C1563" t="s">
        <v>5677</v>
      </c>
      <c r="D1563" t="s">
        <v>52</v>
      </c>
      <c r="E1563" t="s">
        <v>1194</v>
      </c>
      <c r="F1563" t="s">
        <v>131</v>
      </c>
      <c r="G1563" t="str">
        <f>HYPERLINK("https://twitter.com/2959317345/status/1143191477432045568")</f>
        <v>https://twitter.com/2959317345/status/1143191477432045568</v>
      </c>
      <c r="H1563" t="s">
        <v>46</v>
      </c>
      <c r="I1563" t="s">
        <v>5678</v>
      </c>
      <c r="J1563" t="str">
        <f>HYPERLINK("http://twitter.com/treedah")</f>
        <v>http://twitter.com/treedah</v>
      </c>
      <c r="K1563">
        <v>148</v>
      </c>
      <c r="N1563" t="s">
        <v>65</v>
      </c>
      <c r="R1563" t="s">
        <v>60</v>
      </c>
      <c r="S1563" t="s">
        <v>97</v>
      </c>
      <c r="T1563" t="s">
        <v>177</v>
      </c>
      <c r="U1563" t="s">
        <v>395</v>
      </c>
      <c r="W1563">
        <v>0</v>
      </c>
      <c r="X1563">
        <v>0</v>
      </c>
      <c r="AE1563">
        <v>0</v>
      </c>
      <c r="AI1563" t="s">
        <v>52</v>
      </c>
      <c r="AJ1563" t="s">
        <v>1196</v>
      </c>
      <c r="AK1563" t="s">
        <v>52</v>
      </c>
      <c r="AL1563" t="str">
        <f>HYPERLINK("https://pbs.twimg.com/media/D9xgk2YXkAAd2ql.jpg")</f>
        <v>https://pbs.twimg.com/media/D9xgk2YXkAAd2ql.jpg</v>
      </c>
      <c r="AM1563" t="s">
        <v>52</v>
      </c>
      <c r="AN1563" t="s">
        <v>53</v>
      </c>
    </row>
    <row r="1564" spans="1:40">
      <c r="A1564" t="s">
        <v>2370</v>
      </c>
      <c r="B1564" t="s">
        <v>5676</v>
      </c>
      <c r="C1564" t="s">
        <v>5679</v>
      </c>
      <c r="D1564" t="s">
        <v>52</v>
      </c>
      <c r="E1564" t="s">
        <v>4514</v>
      </c>
      <c r="F1564" t="s">
        <v>71</v>
      </c>
      <c r="G1564" t="str">
        <f>HYPERLINK("https://twitter.com/249455515/status/1143191413703577600")</f>
        <v>https://twitter.com/249455515/status/1143191413703577600</v>
      </c>
      <c r="H1564" t="s">
        <v>46</v>
      </c>
      <c r="I1564" t="s">
        <v>5680</v>
      </c>
      <c r="J1564" t="str">
        <f>HYPERLINK("http://twitter.com/tebebeete")</f>
        <v>http://twitter.com/tebebeete</v>
      </c>
      <c r="K1564">
        <v>399</v>
      </c>
      <c r="N1564" t="s">
        <v>65</v>
      </c>
      <c r="R1564" t="s">
        <v>60</v>
      </c>
      <c r="S1564" t="s">
        <v>1643</v>
      </c>
      <c r="T1564" t="s">
        <v>5681</v>
      </c>
      <c r="U1564" t="s">
        <v>5682</v>
      </c>
      <c r="W1564">
        <v>0</v>
      </c>
      <c r="X1564">
        <v>0</v>
      </c>
      <c r="AE1564">
        <v>0</v>
      </c>
      <c r="AF1564">
        <v>0</v>
      </c>
      <c r="AI1564" t="s">
        <v>108</v>
      </c>
      <c r="AJ1564" t="s">
        <v>52</v>
      </c>
      <c r="AK1564" t="s">
        <v>52</v>
      </c>
      <c r="AL1564" t="str">
        <f>HYPERLINK("https://pbs.twimg.com/tweet_video_thumb/D9hvNNzXUAATAS3.jpg")</f>
        <v>https://pbs.twimg.com/tweet_video_thumb/D9hvNNzXUAATAS3.jpg</v>
      </c>
      <c r="AM1564" t="s">
        <v>52</v>
      </c>
      <c r="AN1564" t="s">
        <v>53</v>
      </c>
    </row>
    <row r="1565" spans="1:40">
      <c r="A1565" t="s">
        <v>2370</v>
      </c>
      <c r="B1565" t="s">
        <v>5683</v>
      </c>
      <c r="C1565" t="s">
        <v>5684</v>
      </c>
      <c r="D1565" t="s">
        <v>52</v>
      </c>
      <c r="E1565" t="s">
        <v>1194</v>
      </c>
      <c r="F1565" t="s">
        <v>131</v>
      </c>
      <c r="G1565" t="str">
        <f>HYPERLINK("https://twitter.com/1030446159251222528/status/1143191295944323072")</f>
        <v>https://twitter.com/1030446159251222528/status/1143191295944323072</v>
      </c>
      <c r="H1565" t="s">
        <v>46</v>
      </c>
      <c r="I1565" t="s">
        <v>5685</v>
      </c>
      <c r="J1565" t="str">
        <f>HYPERLINK("http://twitter.com/imambma")</f>
        <v>http://twitter.com/imambma</v>
      </c>
      <c r="K1565">
        <v>141</v>
      </c>
      <c r="N1565" t="s">
        <v>65</v>
      </c>
      <c r="R1565" t="s">
        <v>60</v>
      </c>
      <c r="S1565" t="s">
        <v>1741</v>
      </c>
      <c r="W1565">
        <v>0</v>
      </c>
      <c r="X1565">
        <v>0</v>
      </c>
      <c r="AE1565">
        <v>0</v>
      </c>
      <c r="AI1565" t="s">
        <v>52</v>
      </c>
      <c r="AJ1565" t="s">
        <v>1196</v>
      </c>
      <c r="AK1565" t="s">
        <v>52</v>
      </c>
      <c r="AL1565" t="str">
        <f>HYPERLINK("https://pbs.twimg.com/media/D9xgk2YXkAAd2ql.jpg")</f>
        <v>https://pbs.twimg.com/media/D9xgk2YXkAAd2ql.jpg</v>
      </c>
      <c r="AM1565" t="s">
        <v>52</v>
      </c>
      <c r="AN1565" t="s">
        <v>53</v>
      </c>
    </row>
    <row r="1566" spans="1:40">
      <c r="A1566" t="s">
        <v>2370</v>
      </c>
      <c r="B1566" t="s">
        <v>5683</v>
      </c>
      <c r="C1566" t="s">
        <v>5646</v>
      </c>
      <c r="D1566" t="s">
        <v>52</v>
      </c>
      <c r="E1566" t="s">
        <v>5686</v>
      </c>
      <c r="F1566" t="s">
        <v>131</v>
      </c>
      <c r="G1566" t="str">
        <f>HYPERLINK("https://twitter.com/732604177/status/1143191115945918464")</f>
        <v>https://twitter.com/732604177/status/1143191115945918464</v>
      </c>
      <c r="H1566" t="s">
        <v>46</v>
      </c>
      <c r="I1566" t="s">
        <v>5687</v>
      </c>
      <c r="J1566" t="str">
        <f>HYPERLINK("http://twitter.com/PR_nXce")</f>
        <v>http://twitter.com/PR_nXce</v>
      </c>
      <c r="K1566">
        <v>2282</v>
      </c>
      <c r="N1566" t="s">
        <v>65</v>
      </c>
      <c r="R1566" t="s">
        <v>60</v>
      </c>
      <c r="S1566" t="s">
        <v>1071</v>
      </c>
      <c r="T1566" t="s">
        <v>1072</v>
      </c>
      <c r="U1566" t="s">
        <v>5688</v>
      </c>
      <c r="W1566">
        <v>0</v>
      </c>
      <c r="X1566">
        <v>0</v>
      </c>
      <c r="AE1566">
        <v>0</v>
      </c>
      <c r="AI1566" t="s">
        <v>52</v>
      </c>
      <c r="AJ1566" t="s">
        <v>52</v>
      </c>
      <c r="AK1566" t="s">
        <v>2278</v>
      </c>
      <c r="AL1566" t="str">
        <f>HYPERLINK("https://pbs.twimg.com/media/D90Ty0DXkAAZYgL.jpg")</f>
        <v>https://pbs.twimg.com/media/D90Ty0DXkAAZYgL.jpg</v>
      </c>
      <c r="AM1566" t="s">
        <v>52</v>
      </c>
      <c r="AN1566" t="s">
        <v>53</v>
      </c>
    </row>
    <row r="1567" spans="1:40">
      <c r="A1567" t="s">
        <v>2370</v>
      </c>
      <c r="B1567" t="s">
        <v>5689</v>
      </c>
      <c r="C1567" t="s">
        <v>5568</v>
      </c>
      <c r="D1567" t="s">
        <v>52</v>
      </c>
      <c r="E1567" t="s">
        <v>5690</v>
      </c>
      <c r="F1567" t="s">
        <v>45</v>
      </c>
      <c r="G1567" t="str">
        <f>HYPERLINK("https://www.instagram.com/p/BzGU6E9jv44")</f>
        <v>https://www.instagram.com/p/BzGU6E9jv44</v>
      </c>
      <c r="H1567" t="s">
        <v>46</v>
      </c>
      <c r="I1567" t="s">
        <v>5691</v>
      </c>
      <c r="J1567" t="str">
        <f>HYPERLINK("http://instagram.com/epicdeli")</f>
        <v>http://instagram.com/epicdeli</v>
      </c>
      <c r="K1567">
        <v>8220</v>
      </c>
      <c r="N1567" t="s">
        <v>59</v>
      </c>
      <c r="O1567" t="s">
        <v>5691</v>
      </c>
      <c r="P1567" t="str">
        <f>HYPERLINK("http://instagram.com/epicdeli")</f>
        <v>http://instagram.com/epicdeli</v>
      </c>
      <c r="Q1567">
        <v>8220</v>
      </c>
      <c r="R1567" t="s">
        <v>60</v>
      </c>
      <c r="S1567" t="s">
        <v>51</v>
      </c>
      <c r="T1567" t="s">
        <v>84</v>
      </c>
      <c r="U1567" t="s">
        <v>5692</v>
      </c>
      <c r="W1567">
        <v>69</v>
      </c>
      <c r="X1567">
        <v>69</v>
      </c>
      <c r="AE1567">
        <v>2</v>
      </c>
      <c r="AL1567" t="str">
        <f>HYPERLINK("https://www.instagram.com/p/BzGU6E9jv44/media/?size=l")</f>
        <v>https://www.instagram.com/p/BzGU6E9jv44/media/?size=l</v>
      </c>
      <c r="AM1567" t="s">
        <v>52</v>
      </c>
      <c r="AN1567" t="s">
        <v>53</v>
      </c>
    </row>
    <row r="1568" spans="1:40">
      <c r="A1568" t="s">
        <v>2370</v>
      </c>
      <c r="B1568" t="s">
        <v>5693</v>
      </c>
      <c r="C1568" t="s">
        <v>5694</v>
      </c>
      <c r="D1568" t="s">
        <v>52</v>
      </c>
      <c r="E1568" t="s">
        <v>4514</v>
      </c>
      <c r="F1568" t="s">
        <v>71</v>
      </c>
      <c r="G1568" t="str">
        <f>HYPERLINK("https://twitter.com/965452939719520257/status/1143190577330044929")</f>
        <v>https://twitter.com/965452939719520257/status/1143190577330044929</v>
      </c>
      <c r="H1568" t="s">
        <v>46</v>
      </c>
      <c r="I1568" t="s">
        <v>5695</v>
      </c>
      <c r="J1568" t="str">
        <f>HYPERLINK("http://twitter.com/ConnixsYT")</f>
        <v>http://twitter.com/ConnixsYT</v>
      </c>
      <c r="K1568">
        <v>26</v>
      </c>
      <c r="N1568" t="s">
        <v>65</v>
      </c>
      <c r="R1568" t="s">
        <v>60</v>
      </c>
      <c r="S1568" t="s">
        <v>1774</v>
      </c>
      <c r="T1568" t="s">
        <v>5696</v>
      </c>
      <c r="U1568" t="s">
        <v>5697</v>
      </c>
      <c r="W1568">
        <v>0</v>
      </c>
      <c r="X1568">
        <v>0</v>
      </c>
      <c r="AE1568">
        <v>0</v>
      </c>
      <c r="AF1568">
        <v>0</v>
      </c>
      <c r="AI1568" t="s">
        <v>108</v>
      </c>
      <c r="AJ1568" t="s">
        <v>52</v>
      </c>
      <c r="AK1568" t="s">
        <v>52</v>
      </c>
      <c r="AL1568" t="str">
        <f>HYPERLINK("https://pbs.twimg.com/tweet_video_thumb/D9hvNNzXUAATAS3.jpg")</f>
        <v>https://pbs.twimg.com/tweet_video_thumb/D9hvNNzXUAATAS3.jpg</v>
      </c>
      <c r="AM1568" t="s">
        <v>52</v>
      </c>
      <c r="AN1568" t="s">
        <v>53</v>
      </c>
    </row>
    <row r="1569" spans="1:40">
      <c r="A1569" t="s">
        <v>2370</v>
      </c>
      <c r="B1569" t="s">
        <v>75</v>
      </c>
      <c r="C1569" t="s">
        <v>5694</v>
      </c>
      <c r="D1569" t="s">
        <v>52</v>
      </c>
      <c r="E1569" t="s">
        <v>5698</v>
      </c>
      <c r="F1569" t="s">
        <v>45</v>
      </c>
      <c r="G1569" t="str">
        <f>HYPERLINK("https://twitter.com/17347577/status/1143190517271973888")</f>
        <v>https://twitter.com/17347577/status/1143190517271973888</v>
      </c>
      <c r="H1569" t="s">
        <v>46</v>
      </c>
      <c r="I1569" t="s">
        <v>5699</v>
      </c>
      <c r="J1569" t="str">
        <f>HYPERLINK("http://twitter.com/bweikle")</f>
        <v>http://twitter.com/bweikle</v>
      </c>
      <c r="K1569">
        <v>10236</v>
      </c>
      <c r="N1569" t="s">
        <v>65</v>
      </c>
      <c r="R1569" t="s">
        <v>60</v>
      </c>
      <c r="S1569" t="s">
        <v>444</v>
      </c>
      <c r="T1569" t="s">
        <v>1062</v>
      </c>
      <c r="U1569" t="s">
        <v>3442</v>
      </c>
      <c r="W1569">
        <v>0</v>
      </c>
      <c r="X1569">
        <v>0</v>
      </c>
      <c r="AE1569">
        <v>0</v>
      </c>
      <c r="AF1569">
        <v>0</v>
      </c>
      <c r="AI1569" t="s">
        <v>52</v>
      </c>
      <c r="AJ1569" t="s">
        <v>5700</v>
      </c>
      <c r="AK1569" t="s">
        <v>52</v>
      </c>
      <c r="AL1569" t="str">
        <f>HYPERLINK("https://pbs.twimg.com/tweet_video_thumb/D91tg1xX4AE2Bd4.jpg")</f>
        <v>https://pbs.twimg.com/tweet_video_thumb/D91tg1xX4AE2Bd4.jpg</v>
      </c>
      <c r="AM1569" t="s">
        <v>52</v>
      </c>
      <c r="AN1569" t="s">
        <v>53</v>
      </c>
    </row>
    <row r="1570" spans="1:40">
      <c r="A1570" t="s">
        <v>2370</v>
      </c>
      <c r="B1570" t="s">
        <v>88</v>
      </c>
      <c r="C1570" t="s">
        <v>5701</v>
      </c>
      <c r="D1570" t="s">
        <v>52</v>
      </c>
      <c r="E1570" t="s">
        <v>5702</v>
      </c>
      <c r="F1570" t="s">
        <v>131</v>
      </c>
      <c r="G1570" t="str">
        <f>HYPERLINK("https://twitter.com/4785482059/status/1143190019550486528")</f>
        <v>https://twitter.com/4785482059/status/1143190019550486528</v>
      </c>
      <c r="H1570" t="s">
        <v>46</v>
      </c>
      <c r="I1570" t="s">
        <v>5703</v>
      </c>
      <c r="J1570" t="str">
        <f>HYPERLINK("http://twitter.com/Luminousoul_")</f>
        <v>http://twitter.com/Luminousoul_</v>
      </c>
      <c r="K1570">
        <v>8080</v>
      </c>
      <c r="N1570" t="s">
        <v>65</v>
      </c>
      <c r="R1570" t="s">
        <v>60</v>
      </c>
      <c r="S1570" t="s">
        <v>51</v>
      </c>
      <c r="T1570" t="s">
        <v>79</v>
      </c>
      <c r="U1570" t="s">
        <v>80</v>
      </c>
      <c r="W1570">
        <v>0</v>
      </c>
      <c r="X1570">
        <v>0</v>
      </c>
      <c r="AE1570">
        <v>0</v>
      </c>
      <c r="AM1570" t="s">
        <v>52</v>
      </c>
      <c r="AN1570" t="s">
        <v>53</v>
      </c>
    </row>
    <row r="1571" spans="1:40">
      <c r="A1571" t="s">
        <v>2370</v>
      </c>
      <c r="B1571" t="s">
        <v>100</v>
      </c>
      <c r="C1571" t="s">
        <v>3416</v>
      </c>
      <c r="D1571" t="s">
        <v>52</v>
      </c>
      <c r="E1571" t="s">
        <v>5704</v>
      </c>
      <c r="F1571" t="s">
        <v>45</v>
      </c>
      <c r="G1571" t="str">
        <f>HYPERLINK("https://www.instagram.com/p/BzGUWPqBLcj")</f>
        <v>https://www.instagram.com/p/BzGUWPqBLcj</v>
      </c>
      <c r="H1571" t="s">
        <v>46</v>
      </c>
      <c r="I1571" t="s">
        <v>5705</v>
      </c>
      <c r="J1571" t="str">
        <f>HYPERLINK("http://instagram.com/babyy.nicheee")</f>
        <v>http://instagram.com/babyy.nicheee</v>
      </c>
      <c r="K1571">
        <v>0</v>
      </c>
      <c r="N1571" t="s">
        <v>59</v>
      </c>
      <c r="O1571" t="s">
        <v>5705</v>
      </c>
      <c r="P1571" t="str">
        <f>HYPERLINK("http://instagram.com/babyy.nicheee")</f>
        <v>http://instagram.com/babyy.nicheee</v>
      </c>
      <c r="Q1571">
        <v>0</v>
      </c>
      <c r="R1571" t="s">
        <v>60</v>
      </c>
      <c r="W1571">
        <v>16</v>
      </c>
      <c r="X1571">
        <v>16</v>
      </c>
      <c r="AE1571">
        <v>5</v>
      </c>
      <c r="AI1571" t="s">
        <v>108</v>
      </c>
      <c r="AJ1571" t="s">
        <v>659</v>
      </c>
      <c r="AK1571" t="s">
        <v>52</v>
      </c>
      <c r="AL1571" t="str">
        <f>HYPERLINK("https://www.instagram.com/p/BzGUWPqBLcj/media/?size=l")</f>
        <v>https://www.instagram.com/p/BzGUWPqBLcj/media/?size=l</v>
      </c>
      <c r="AM1571" t="s">
        <v>52</v>
      </c>
      <c r="AN1571" t="s">
        <v>53</v>
      </c>
    </row>
    <row r="1572" spans="1:40">
      <c r="A1572" t="s">
        <v>2370</v>
      </c>
      <c r="B1572" t="s">
        <v>5706</v>
      </c>
      <c r="C1572" t="s">
        <v>5707</v>
      </c>
      <c r="D1572" t="s">
        <v>52</v>
      </c>
      <c r="E1572" t="s">
        <v>4347</v>
      </c>
      <c r="F1572" t="s">
        <v>45</v>
      </c>
      <c r="G1572" t="str">
        <f>HYPERLINK("https://twitter.com/2396861988/status/1143188745837060097")</f>
        <v>https://twitter.com/2396861988/status/1143188745837060097</v>
      </c>
      <c r="H1572" t="s">
        <v>46</v>
      </c>
      <c r="I1572" t="s">
        <v>5708</v>
      </c>
      <c r="J1572" t="str">
        <f>HYPERLINK("http://twitter.com/caastielle")</f>
        <v>http://twitter.com/caastielle</v>
      </c>
      <c r="K1572">
        <v>186</v>
      </c>
      <c r="N1572" t="s">
        <v>65</v>
      </c>
      <c r="R1572" t="s">
        <v>60</v>
      </c>
      <c r="S1572" t="s">
        <v>51</v>
      </c>
      <c r="T1572" t="s">
        <v>263</v>
      </c>
      <c r="U1572" t="s">
        <v>352</v>
      </c>
      <c r="W1572">
        <v>8</v>
      </c>
      <c r="X1572">
        <v>8</v>
      </c>
      <c r="AE1572">
        <v>7</v>
      </c>
      <c r="AF1572">
        <v>1</v>
      </c>
      <c r="AM1572" t="s">
        <v>52</v>
      </c>
      <c r="AN1572" t="s">
        <v>53</v>
      </c>
    </row>
    <row r="1573" spans="1:40">
      <c r="A1573" t="s">
        <v>2370</v>
      </c>
      <c r="B1573" t="s">
        <v>5706</v>
      </c>
      <c r="C1573" t="s">
        <v>3240</v>
      </c>
      <c r="D1573" t="s">
        <v>5709</v>
      </c>
      <c r="E1573" t="s">
        <v>5710</v>
      </c>
      <c r="F1573" t="s">
        <v>45</v>
      </c>
      <c r="G1573" t="str">
        <f>HYPERLINK("https://forums.sherdog.com/threads/paulie-got-paid-7-figures-for-bkfc-fight-vs-artem.3976369/page-3#post-10")</f>
        <v>https://forums.sherdog.com/threads/paulie-got-paid-7-figures-for-bkfc-fight-vs-artem.3976369/page-3#post-10</v>
      </c>
      <c r="H1573" t="s">
        <v>46</v>
      </c>
      <c r="I1573" t="s">
        <v>5711</v>
      </c>
      <c r="J1573" t="str">
        <f>HYPERLINK("https://forums.sherdog.com/threads/paulie-got-paid-7-figures-for-bkfc-fight-vs-artem.3976369/page-3#post-10")</f>
        <v>https://forums.sherdog.com/threads/paulie-got-paid-7-figures-for-bkfc-fight-vs-artem.3976369/page-3#post-10</v>
      </c>
      <c r="N1573" t="s">
        <v>1810</v>
      </c>
      <c r="O1573" t="s">
        <v>5712</v>
      </c>
      <c r="P1573" t="str">
        <f>HYPERLINK("https://forums.sherdog.com/forums/ufc-discussion.2/")</f>
        <v>https://forums.sherdog.com/forums/ufc-discussion.2/</v>
      </c>
      <c r="R1573" t="s">
        <v>516</v>
      </c>
      <c r="S1573" t="s">
        <v>51</v>
      </c>
      <c r="AM1573" t="s">
        <v>52</v>
      </c>
      <c r="AN1573" t="s">
        <v>53</v>
      </c>
    </row>
    <row r="1574" spans="1:40">
      <c r="A1574" t="s">
        <v>2370</v>
      </c>
      <c r="B1574" t="s">
        <v>5706</v>
      </c>
      <c r="C1574" t="s">
        <v>3515</v>
      </c>
      <c r="D1574" t="s">
        <v>5713</v>
      </c>
      <c r="E1574" t="s">
        <v>5714</v>
      </c>
      <c r="F1574" t="s">
        <v>45</v>
      </c>
      <c r="G1574" t="str">
        <f>HYPERLINK("https://apkhook.com/pen-for-women.html")</f>
        <v>https://apkhook.com/pen-for-women.html</v>
      </c>
      <c r="H1574" t="s">
        <v>46</v>
      </c>
      <c r="N1574" t="s">
        <v>1633</v>
      </c>
      <c r="R1574" t="s">
        <v>50</v>
      </c>
      <c r="S1574" t="s">
        <v>51</v>
      </c>
      <c r="AM1574" t="s">
        <v>52</v>
      </c>
      <c r="AN1574" t="s">
        <v>53</v>
      </c>
    </row>
    <row r="1575" spans="1:40">
      <c r="A1575" t="s">
        <v>2370</v>
      </c>
      <c r="B1575" t="s">
        <v>125</v>
      </c>
      <c r="C1575" t="s">
        <v>5715</v>
      </c>
      <c r="D1575" t="s">
        <v>52</v>
      </c>
      <c r="E1575" t="s">
        <v>5716</v>
      </c>
      <c r="F1575" t="s">
        <v>45</v>
      </c>
      <c r="G1575" t="str">
        <f>HYPERLINK("https://www.instagram.com/p/BzGTyvIB2hw")</f>
        <v>https://www.instagram.com/p/BzGTyvIB2hw</v>
      </c>
      <c r="H1575" t="s">
        <v>46</v>
      </c>
      <c r="I1575" t="s">
        <v>5717</v>
      </c>
      <c r="J1575" t="str">
        <f>HYPERLINK("http://instagram.com/mariel.olp.photography")</f>
        <v>http://instagram.com/mariel.olp.photography</v>
      </c>
      <c r="K1575">
        <v>242</v>
      </c>
      <c r="N1575" t="s">
        <v>59</v>
      </c>
      <c r="O1575" t="s">
        <v>5717</v>
      </c>
      <c r="P1575" t="str">
        <f>HYPERLINK("http://instagram.com/mariel.olp.photography")</f>
        <v>http://instagram.com/mariel.olp.photography</v>
      </c>
      <c r="Q1575">
        <v>242</v>
      </c>
      <c r="R1575" t="s">
        <v>60</v>
      </c>
      <c r="S1575" t="s">
        <v>51</v>
      </c>
      <c r="T1575" t="s">
        <v>79</v>
      </c>
      <c r="U1575" t="s">
        <v>5718</v>
      </c>
      <c r="W1575">
        <v>16</v>
      </c>
      <c r="X1575">
        <v>16</v>
      </c>
      <c r="AE1575">
        <v>0</v>
      </c>
      <c r="AI1575" t="s">
        <v>52</v>
      </c>
      <c r="AJ1575" t="s">
        <v>52</v>
      </c>
      <c r="AK1575" t="s">
        <v>52</v>
      </c>
      <c r="AL1575" t="str">
        <f>HYPERLINK("https://www.instagram.com/p/BzGTyvIB2hw/media/?size=l")</f>
        <v>https://www.instagram.com/p/BzGTyvIB2hw/media/?size=l</v>
      </c>
      <c r="AM1575" t="s">
        <v>52</v>
      </c>
      <c r="AN1575" t="s">
        <v>53</v>
      </c>
    </row>
    <row r="1576" spans="1:40">
      <c r="A1576" t="s">
        <v>2370</v>
      </c>
      <c r="B1576" t="s">
        <v>125</v>
      </c>
      <c r="C1576" t="s">
        <v>5719</v>
      </c>
      <c r="D1576" t="s">
        <v>52</v>
      </c>
      <c r="E1576" t="s">
        <v>5720</v>
      </c>
      <c r="F1576" t="s">
        <v>45</v>
      </c>
      <c r="G1576" t="str">
        <f>HYPERLINK("https://twitter.com/1126440842/status/1143188356337156096")</f>
        <v>https://twitter.com/1126440842/status/1143188356337156096</v>
      </c>
      <c r="H1576" t="s">
        <v>46</v>
      </c>
      <c r="I1576" t="s">
        <v>5721</v>
      </c>
      <c r="J1576" t="str">
        <f>HYPERLINK("http://twitter.com/Prof_NoFace")</f>
        <v>http://twitter.com/Prof_NoFace</v>
      </c>
      <c r="K1576">
        <v>69</v>
      </c>
      <c r="N1576" t="s">
        <v>65</v>
      </c>
      <c r="R1576" t="s">
        <v>60</v>
      </c>
      <c r="W1576">
        <v>0</v>
      </c>
      <c r="X1576">
        <v>0</v>
      </c>
      <c r="AE1576">
        <v>0</v>
      </c>
      <c r="AF1576">
        <v>0</v>
      </c>
      <c r="AM1576" t="s">
        <v>52</v>
      </c>
      <c r="AN1576" t="s">
        <v>53</v>
      </c>
    </row>
    <row r="1577" spans="1:40">
      <c r="A1577" t="s">
        <v>2370</v>
      </c>
      <c r="B1577" t="s">
        <v>128</v>
      </c>
      <c r="C1577" t="s">
        <v>5274</v>
      </c>
      <c r="D1577" t="s">
        <v>5722</v>
      </c>
      <c r="E1577" t="s">
        <v>5723</v>
      </c>
      <c r="F1577" t="s">
        <v>45</v>
      </c>
      <c r="G1577" t="str">
        <f>HYPERLINK("https://www.youtube.com/watch?v=v1s0jtv5Gnw")</f>
        <v>https://www.youtube.com/watch?v=v1s0jtv5Gnw</v>
      </c>
      <c r="H1577" t="s">
        <v>46</v>
      </c>
      <c r="I1577" t="s">
        <v>5724</v>
      </c>
      <c r="J1577" t="str">
        <f>HYPERLINK("https://www.youtube.com/channel/UCp0N0vJDxf2eeiJaqgMn1BA")</f>
        <v>https://www.youtube.com/channel/UCp0N0vJDxf2eeiJaqgMn1BA</v>
      </c>
      <c r="K1577">
        <v>6</v>
      </c>
      <c r="N1577" t="s">
        <v>116</v>
      </c>
      <c r="O1577" t="s">
        <v>5724</v>
      </c>
      <c r="P1577" t="str">
        <f>HYPERLINK("https://www.youtube.com/channel/UCp0N0vJDxf2eeiJaqgMn1BA")</f>
        <v>https://www.youtube.com/channel/UCp0N0vJDxf2eeiJaqgMn1BA</v>
      </c>
      <c r="Q1577">
        <v>6</v>
      </c>
      <c r="R1577" t="s">
        <v>60</v>
      </c>
      <c r="W1577">
        <v>0</v>
      </c>
      <c r="X1577">
        <v>0</v>
      </c>
      <c r="AD1577">
        <v>0</v>
      </c>
      <c r="AE1577">
        <v>0</v>
      </c>
      <c r="AG1577">
        <v>2</v>
      </c>
      <c r="AI1577" t="s">
        <v>52</v>
      </c>
      <c r="AJ1577" t="s">
        <v>52</v>
      </c>
      <c r="AK1577" t="s">
        <v>680</v>
      </c>
      <c r="AL1577" t="str">
        <f>HYPERLINK("https://i.ytimg.com/vi/v1s0jtv5Gnw/sddefault.jpg")</f>
        <v>https://i.ytimg.com/vi/v1s0jtv5Gnw/sddefault.jpg</v>
      </c>
      <c r="AM1577" t="s">
        <v>52</v>
      </c>
      <c r="AN1577" t="s">
        <v>53</v>
      </c>
    </row>
    <row r="1578" spans="1:40">
      <c r="A1578" t="s">
        <v>2370</v>
      </c>
      <c r="B1578" t="s">
        <v>5725</v>
      </c>
      <c r="C1578" t="s">
        <v>5726</v>
      </c>
      <c r="D1578" t="s">
        <v>52</v>
      </c>
      <c r="E1578" t="s">
        <v>5128</v>
      </c>
      <c r="F1578" t="s">
        <v>131</v>
      </c>
      <c r="G1578" t="str">
        <f>HYPERLINK("https://twitter.com/895672070683717636/status/1143187378393296896")</f>
        <v>https://twitter.com/895672070683717636/status/1143187378393296896</v>
      </c>
      <c r="H1578" t="s">
        <v>46</v>
      </c>
      <c r="I1578" t="s">
        <v>5727</v>
      </c>
      <c r="J1578" t="str">
        <f>HYPERLINK("http://twitter.com/Jafta_ML")</f>
        <v>http://twitter.com/Jafta_ML</v>
      </c>
      <c r="K1578">
        <v>16695</v>
      </c>
      <c r="N1578" t="s">
        <v>65</v>
      </c>
      <c r="R1578" t="s">
        <v>60</v>
      </c>
      <c r="W1578">
        <v>0</v>
      </c>
      <c r="X1578">
        <v>0</v>
      </c>
      <c r="AE1578">
        <v>0</v>
      </c>
      <c r="AI1578" t="s">
        <v>52</v>
      </c>
      <c r="AJ1578" t="s">
        <v>5130</v>
      </c>
      <c r="AK1578" t="s">
        <v>52</v>
      </c>
      <c r="AL1578" t="str">
        <f>HYPERLINK("https://pbs.twimg.com/media/D91AXfmXoAE6StK.jpg")</f>
        <v>https://pbs.twimg.com/media/D91AXfmXoAE6StK.jpg</v>
      </c>
      <c r="AM1578" t="s">
        <v>52</v>
      </c>
      <c r="AN1578" t="s">
        <v>53</v>
      </c>
    </row>
    <row r="1579" spans="1:40">
      <c r="A1579" t="s">
        <v>2370</v>
      </c>
      <c r="B1579" t="s">
        <v>5725</v>
      </c>
      <c r="C1579" t="s">
        <v>5728</v>
      </c>
      <c r="D1579" t="s">
        <v>52</v>
      </c>
      <c r="E1579" t="s">
        <v>5729</v>
      </c>
      <c r="F1579" t="s">
        <v>95</v>
      </c>
      <c r="G1579" t="str">
        <f>HYPERLINK("https://twitter.com/2257107310/status/1143187356859752448")</f>
        <v>https://twitter.com/2257107310/status/1143187356859752448</v>
      </c>
      <c r="H1579" t="s">
        <v>46</v>
      </c>
      <c r="I1579" t="s">
        <v>5730</v>
      </c>
      <c r="J1579" t="str">
        <f>HYPERLINK("http://twitter.com/CaraLisette")</f>
        <v>http://twitter.com/CaraLisette</v>
      </c>
      <c r="K1579">
        <v>9847</v>
      </c>
      <c r="N1579" t="s">
        <v>65</v>
      </c>
      <c r="R1579" t="s">
        <v>60</v>
      </c>
      <c r="S1579" t="s">
        <v>97</v>
      </c>
      <c r="T1579" t="s">
        <v>177</v>
      </c>
      <c r="W1579">
        <v>2</v>
      </c>
      <c r="X1579">
        <v>2</v>
      </c>
      <c r="AE1579">
        <v>0</v>
      </c>
      <c r="AF1579">
        <v>0</v>
      </c>
      <c r="AM1579" t="s">
        <v>52</v>
      </c>
      <c r="AN1579" t="s">
        <v>53</v>
      </c>
    </row>
    <row r="1580" spans="1:40">
      <c r="A1580" t="s">
        <v>2370</v>
      </c>
      <c r="B1580" t="s">
        <v>5731</v>
      </c>
      <c r="C1580" t="s">
        <v>5732</v>
      </c>
      <c r="D1580" t="s">
        <v>52</v>
      </c>
      <c r="E1580" t="s">
        <v>5733</v>
      </c>
      <c r="F1580" t="s">
        <v>95</v>
      </c>
      <c r="G1580" t="str">
        <f>HYPERLINK("https://twitter.com/1137771081773867008/status/1143187270926835713")</f>
        <v>https://twitter.com/1137771081773867008/status/1143187270926835713</v>
      </c>
      <c r="H1580" t="s">
        <v>46</v>
      </c>
      <c r="I1580" t="s">
        <v>5734</v>
      </c>
      <c r="J1580" t="str">
        <f>HYPERLINK("http://twitter.com/KAMP86755688")</f>
        <v>http://twitter.com/KAMP86755688</v>
      </c>
      <c r="K1580">
        <v>3</v>
      </c>
      <c r="N1580" t="s">
        <v>65</v>
      </c>
      <c r="R1580" t="s">
        <v>60</v>
      </c>
      <c r="W1580">
        <v>5</v>
      </c>
      <c r="X1580">
        <v>5</v>
      </c>
      <c r="AE1580">
        <v>0</v>
      </c>
      <c r="AF1580">
        <v>1</v>
      </c>
      <c r="AM1580" t="s">
        <v>52</v>
      </c>
      <c r="AN1580" t="s">
        <v>53</v>
      </c>
    </row>
    <row r="1581" spans="1:40">
      <c r="A1581" t="s">
        <v>2370</v>
      </c>
      <c r="B1581" t="s">
        <v>5731</v>
      </c>
      <c r="C1581" t="s">
        <v>5735</v>
      </c>
      <c r="D1581" t="s">
        <v>52</v>
      </c>
      <c r="E1581" t="s">
        <v>5736</v>
      </c>
      <c r="F1581" t="s">
        <v>95</v>
      </c>
      <c r="G1581" t="str">
        <f>HYPERLINK("https://twitter.com/20265549/status/1143187196167512064")</f>
        <v>https://twitter.com/20265549/status/1143187196167512064</v>
      </c>
      <c r="H1581" t="s">
        <v>215</v>
      </c>
      <c r="I1581" t="s">
        <v>5737</v>
      </c>
      <c r="J1581" t="str">
        <f>HYPERLINK("http://twitter.com/immarkmartin")</f>
        <v>http://twitter.com/immarkmartin</v>
      </c>
      <c r="K1581">
        <v>8810</v>
      </c>
      <c r="L1581" t="s">
        <v>48</v>
      </c>
      <c r="N1581" t="s">
        <v>65</v>
      </c>
      <c r="R1581" t="s">
        <v>60</v>
      </c>
      <c r="S1581" t="s">
        <v>97</v>
      </c>
      <c r="T1581" t="s">
        <v>98</v>
      </c>
      <c r="U1581" t="s">
        <v>1677</v>
      </c>
      <c r="W1581">
        <v>0</v>
      </c>
      <c r="X1581">
        <v>0</v>
      </c>
      <c r="AE1581">
        <v>0</v>
      </c>
      <c r="AF1581">
        <v>0</v>
      </c>
      <c r="AM1581" t="s">
        <v>52</v>
      </c>
      <c r="AN1581" t="s">
        <v>53</v>
      </c>
    </row>
    <row r="1582" spans="1:40">
      <c r="A1582" t="s">
        <v>2370</v>
      </c>
      <c r="B1582" t="s">
        <v>5731</v>
      </c>
      <c r="C1582" t="s">
        <v>5738</v>
      </c>
      <c r="D1582" t="s">
        <v>52</v>
      </c>
      <c r="E1582" t="s">
        <v>5128</v>
      </c>
      <c r="F1582" t="s">
        <v>131</v>
      </c>
      <c r="G1582" t="str">
        <f>HYPERLINK("https://twitter.com/985559369386483712/status/1143187160474050560")</f>
        <v>https://twitter.com/985559369386483712/status/1143187160474050560</v>
      </c>
      <c r="H1582" t="s">
        <v>46</v>
      </c>
      <c r="I1582" t="s">
        <v>5739</v>
      </c>
      <c r="J1582" t="str">
        <f>HYPERLINK("http://twitter.com/SBuddha_Kaze")</f>
        <v>http://twitter.com/SBuddha_Kaze</v>
      </c>
      <c r="K1582">
        <v>8711</v>
      </c>
      <c r="N1582" t="s">
        <v>65</v>
      </c>
      <c r="R1582" t="s">
        <v>60</v>
      </c>
      <c r="S1582" t="s">
        <v>521</v>
      </c>
      <c r="T1582" t="s">
        <v>522</v>
      </c>
      <c r="U1582" t="s">
        <v>2043</v>
      </c>
      <c r="W1582">
        <v>0</v>
      </c>
      <c r="X1582">
        <v>0</v>
      </c>
      <c r="AE1582">
        <v>0</v>
      </c>
      <c r="AI1582" t="s">
        <v>52</v>
      </c>
      <c r="AJ1582" t="s">
        <v>5130</v>
      </c>
      <c r="AK1582" t="s">
        <v>52</v>
      </c>
      <c r="AL1582" t="str">
        <f>HYPERLINK("https://pbs.twimg.com/media/D91AXfmXoAE6StK.jpg")</f>
        <v>https://pbs.twimg.com/media/D91AXfmXoAE6StK.jpg</v>
      </c>
      <c r="AM1582" t="s">
        <v>52</v>
      </c>
      <c r="AN1582" t="s">
        <v>53</v>
      </c>
    </row>
    <row r="1583" spans="1:40">
      <c r="A1583" t="s">
        <v>2370</v>
      </c>
      <c r="B1583" t="s">
        <v>5731</v>
      </c>
      <c r="C1583" t="s">
        <v>5684</v>
      </c>
      <c r="D1583" t="s">
        <v>52</v>
      </c>
      <c r="E1583" t="s">
        <v>5740</v>
      </c>
      <c r="F1583" t="s">
        <v>45</v>
      </c>
      <c r="G1583" t="str">
        <f>HYPERLINK("https://www.instagram.com/p/BzGTJmqnRoH")</f>
        <v>https://www.instagram.com/p/BzGTJmqnRoH</v>
      </c>
      <c r="H1583" t="s">
        <v>215</v>
      </c>
      <c r="I1583" t="s">
        <v>5741</v>
      </c>
      <c r="J1583" t="str">
        <f>HYPERLINK("http://instagram.com/blogft.ahs")</f>
        <v>http://instagram.com/blogft.ahs</v>
      </c>
      <c r="K1583">
        <v>71</v>
      </c>
      <c r="N1583" t="s">
        <v>59</v>
      </c>
      <c r="O1583" t="s">
        <v>5741</v>
      </c>
      <c r="P1583" t="str">
        <f>HYPERLINK("http://instagram.com/blogft.ahs")</f>
        <v>http://instagram.com/blogft.ahs</v>
      </c>
      <c r="Q1583">
        <v>71</v>
      </c>
      <c r="R1583" t="s">
        <v>60</v>
      </c>
      <c r="W1583">
        <v>11</v>
      </c>
      <c r="X1583">
        <v>11</v>
      </c>
      <c r="AE1583">
        <v>0</v>
      </c>
      <c r="AI1583" t="s">
        <v>52</v>
      </c>
      <c r="AJ1583" t="s">
        <v>659</v>
      </c>
      <c r="AK1583" t="s">
        <v>52</v>
      </c>
      <c r="AL1583" t="str">
        <f>HYPERLINK("https://www.instagram.com/p/BzGTJmqnRoH/media/?size=l")</f>
        <v>https://www.instagram.com/p/BzGTJmqnRoH/media/?size=l</v>
      </c>
      <c r="AM1583" t="s">
        <v>52</v>
      </c>
      <c r="AN1583" t="s">
        <v>53</v>
      </c>
    </row>
    <row r="1584" spans="1:40">
      <c r="A1584" t="s">
        <v>2370</v>
      </c>
      <c r="B1584" t="s">
        <v>153</v>
      </c>
      <c r="C1584" t="s">
        <v>5742</v>
      </c>
      <c r="D1584" t="s">
        <v>52</v>
      </c>
      <c r="E1584" t="s">
        <v>5743</v>
      </c>
      <c r="F1584" t="s">
        <v>131</v>
      </c>
      <c r="G1584" t="str">
        <f>HYPERLINK("https://twitter.com/1142509090599526401/status/1143185996193894400")</f>
        <v>https://twitter.com/1142509090599526401/status/1143185996193894400</v>
      </c>
      <c r="H1584" t="s">
        <v>46</v>
      </c>
      <c r="I1584" t="s">
        <v>5744</v>
      </c>
      <c r="J1584" t="str">
        <f>HYPERLINK("http://twitter.com/AbuSukria")</f>
        <v>http://twitter.com/AbuSukria</v>
      </c>
      <c r="K1584">
        <v>0</v>
      </c>
      <c r="N1584" t="s">
        <v>65</v>
      </c>
      <c r="R1584" t="s">
        <v>60</v>
      </c>
      <c r="W1584">
        <v>0</v>
      </c>
      <c r="X1584">
        <v>0</v>
      </c>
      <c r="AE1584">
        <v>0</v>
      </c>
      <c r="AM1584" t="s">
        <v>52</v>
      </c>
      <c r="AN1584" t="s">
        <v>53</v>
      </c>
    </row>
    <row r="1585" spans="1:40">
      <c r="A1585" t="s">
        <v>2370</v>
      </c>
      <c r="B1585" t="s">
        <v>153</v>
      </c>
      <c r="C1585" t="s">
        <v>5742</v>
      </c>
      <c r="D1585" t="s">
        <v>52</v>
      </c>
      <c r="E1585" t="s">
        <v>5745</v>
      </c>
      <c r="F1585" t="s">
        <v>95</v>
      </c>
      <c r="G1585" t="str">
        <f>HYPERLINK("https://twitter.com/883368183742300160/status/1143185992339394562")</f>
        <v>https://twitter.com/883368183742300160/status/1143185992339394562</v>
      </c>
      <c r="H1585" t="s">
        <v>46</v>
      </c>
      <c r="I1585" t="s">
        <v>5746</v>
      </c>
      <c r="J1585" t="str">
        <f>HYPERLINK("http://twitter.com/Ka0s_Beastmode")</f>
        <v>http://twitter.com/Ka0s_Beastmode</v>
      </c>
      <c r="K1585">
        <v>10</v>
      </c>
      <c r="N1585" t="s">
        <v>65</v>
      </c>
      <c r="R1585" t="s">
        <v>60</v>
      </c>
      <c r="W1585">
        <v>0</v>
      </c>
      <c r="X1585">
        <v>0</v>
      </c>
      <c r="AE1585">
        <v>0</v>
      </c>
      <c r="AF1585">
        <v>0</v>
      </c>
      <c r="AM1585" t="s">
        <v>52</v>
      </c>
      <c r="AN1585" t="s">
        <v>53</v>
      </c>
    </row>
    <row r="1586" spans="1:40">
      <c r="A1586" t="s">
        <v>2370</v>
      </c>
      <c r="B1586" t="s">
        <v>153</v>
      </c>
      <c r="C1586" t="s">
        <v>5742</v>
      </c>
      <c r="D1586" t="s">
        <v>52</v>
      </c>
      <c r="E1586" t="s">
        <v>1194</v>
      </c>
      <c r="F1586" t="s">
        <v>131</v>
      </c>
      <c r="G1586" t="str">
        <f>HYPERLINK("https://twitter.com/951471330460803072/status/1143185986001575936")</f>
        <v>https://twitter.com/951471330460803072/status/1143185986001575936</v>
      </c>
      <c r="H1586" t="s">
        <v>46</v>
      </c>
      <c r="I1586" t="s">
        <v>5747</v>
      </c>
      <c r="J1586" t="str">
        <f>HYPERLINK("http://twitter.com/kamilplato")</f>
        <v>http://twitter.com/kamilplato</v>
      </c>
      <c r="K1586">
        <v>87</v>
      </c>
      <c r="N1586" t="s">
        <v>65</v>
      </c>
      <c r="R1586" t="s">
        <v>60</v>
      </c>
      <c r="S1586" t="s">
        <v>1643</v>
      </c>
      <c r="T1586" t="s">
        <v>5748</v>
      </c>
      <c r="U1586" t="s">
        <v>5749</v>
      </c>
      <c r="W1586">
        <v>0</v>
      </c>
      <c r="X1586">
        <v>0</v>
      </c>
      <c r="AE1586">
        <v>0</v>
      </c>
      <c r="AI1586" t="s">
        <v>52</v>
      </c>
      <c r="AJ1586" t="s">
        <v>1196</v>
      </c>
      <c r="AK1586" t="s">
        <v>52</v>
      </c>
      <c r="AL1586" t="str">
        <f>HYPERLINK("https://pbs.twimg.com/media/D9xgk2YXkAAd2ql.jpg")</f>
        <v>https://pbs.twimg.com/media/D9xgk2YXkAAd2ql.jpg</v>
      </c>
      <c r="AM1586" t="s">
        <v>52</v>
      </c>
      <c r="AN1586" t="s">
        <v>53</v>
      </c>
    </row>
    <row r="1587" spans="1:40">
      <c r="A1587" t="s">
        <v>2370</v>
      </c>
      <c r="B1587" t="s">
        <v>153</v>
      </c>
      <c r="C1587" t="s">
        <v>5750</v>
      </c>
      <c r="D1587" t="s">
        <v>52</v>
      </c>
      <c r="E1587" t="s">
        <v>130</v>
      </c>
      <c r="F1587" t="s">
        <v>131</v>
      </c>
      <c r="G1587" t="str">
        <f>HYPERLINK("https://twitter.com/26066493/status/1143185950908047361")</f>
        <v>https://twitter.com/26066493/status/1143185950908047361</v>
      </c>
      <c r="H1587" t="s">
        <v>46</v>
      </c>
      <c r="I1587" t="s">
        <v>5751</v>
      </c>
      <c r="J1587" t="str">
        <f>HYPERLINK("http://twitter.com/cme13")</f>
        <v>http://twitter.com/cme13</v>
      </c>
      <c r="K1587">
        <v>529</v>
      </c>
      <c r="N1587" t="s">
        <v>65</v>
      </c>
      <c r="R1587" t="s">
        <v>60</v>
      </c>
      <c r="S1587" t="s">
        <v>97</v>
      </c>
      <c r="T1587" t="s">
        <v>177</v>
      </c>
      <c r="U1587" t="s">
        <v>5752</v>
      </c>
      <c r="W1587">
        <v>0</v>
      </c>
      <c r="X1587">
        <v>0</v>
      </c>
      <c r="AE1587">
        <v>0</v>
      </c>
      <c r="AI1587" t="s">
        <v>108</v>
      </c>
      <c r="AJ1587" t="s">
        <v>52</v>
      </c>
      <c r="AK1587" t="s">
        <v>52</v>
      </c>
      <c r="AL1587" t="str">
        <f>HYPERLINK("https://pbs.twimg.com/media/D9XTkLWW4AAOYnJ.jpg")</f>
        <v>https://pbs.twimg.com/media/D9XTkLWW4AAOYnJ.jpg</v>
      </c>
      <c r="AM1587" t="s">
        <v>52</v>
      </c>
      <c r="AN1587" t="s">
        <v>53</v>
      </c>
    </row>
    <row r="1588" spans="1:40">
      <c r="A1588" t="s">
        <v>2370</v>
      </c>
      <c r="B1588" t="s">
        <v>153</v>
      </c>
      <c r="C1588" t="s">
        <v>5330</v>
      </c>
      <c r="D1588" t="s">
        <v>5753</v>
      </c>
      <c r="E1588" t="s">
        <v>5753</v>
      </c>
      <c r="F1588" t="s">
        <v>45</v>
      </c>
      <c r="G1588" t="str">
        <f>HYPERLINK("https://www.youtube.com/watch?v=Wo6RYF-xjmg")</f>
        <v>https://www.youtube.com/watch?v=Wo6RYF-xjmg</v>
      </c>
      <c r="H1588" t="s">
        <v>46</v>
      </c>
      <c r="I1588" t="s">
        <v>5754</v>
      </c>
      <c r="J1588" t="str">
        <f>HYPERLINK("https://www.youtube.com/channel/UCDjhbY5mDfYZkfUrzTHxgrw")</f>
        <v>https://www.youtube.com/channel/UCDjhbY5mDfYZkfUrzTHxgrw</v>
      </c>
      <c r="K1588">
        <v>72</v>
      </c>
      <c r="N1588" t="s">
        <v>116</v>
      </c>
      <c r="O1588" t="s">
        <v>5754</v>
      </c>
      <c r="P1588" t="str">
        <f>HYPERLINK("https://www.youtube.com/channel/UCDjhbY5mDfYZkfUrzTHxgrw")</f>
        <v>https://www.youtube.com/channel/UCDjhbY5mDfYZkfUrzTHxgrw</v>
      </c>
      <c r="Q1588">
        <v>72</v>
      </c>
      <c r="R1588" t="s">
        <v>60</v>
      </c>
      <c r="W1588">
        <v>4</v>
      </c>
      <c r="X1588">
        <v>4</v>
      </c>
      <c r="AD1588">
        <v>0</v>
      </c>
      <c r="AE1588">
        <v>5</v>
      </c>
      <c r="AG1588">
        <v>9</v>
      </c>
      <c r="AI1588" t="s">
        <v>108</v>
      </c>
      <c r="AJ1588" t="s">
        <v>52</v>
      </c>
      <c r="AK1588" t="s">
        <v>52</v>
      </c>
      <c r="AL1588" t="str">
        <f>HYPERLINK("https://i.ytimg.com/vi/Wo6RYF-xjmg/hqdefault.jpg")</f>
        <v>https://i.ytimg.com/vi/Wo6RYF-xjmg/hqdefault.jpg</v>
      </c>
      <c r="AM1588" t="s">
        <v>52</v>
      </c>
      <c r="AN1588" t="s">
        <v>53</v>
      </c>
    </row>
    <row r="1589" spans="1:40">
      <c r="A1589" t="s">
        <v>2370</v>
      </c>
      <c r="B1589" t="s">
        <v>153</v>
      </c>
      <c r="C1589" t="s">
        <v>5735</v>
      </c>
      <c r="D1589" t="s">
        <v>52</v>
      </c>
      <c r="E1589" t="s">
        <v>5755</v>
      </c>
      <c r="F1589" t="s">
        <v>95</v>
      </c>
      <c r="G1589" t="str">
        <f>HYPERLINK("https://twitter.com/1261722422/status/1143185841717678080")</f>
        <v>https://twitter.com/1261722422/status/1143185841717678080</v>
      </c>
      <c r="H1589" t="s">
        <v>46</v>
      </c>
      <c r="I1589" t="s">
        <v>5756</v>
      </c>
      <c r="J1589" t="str">
        <f>HYPERLINK("http://twitter.com/oldelpaso")</f>
        <v>http://twitter.com/oldelpaso</v>
      </c>
      <c r="K1589">
        <v>4182</v>
      </c>
      <c r="N1589" t="s">
        <v>65</v>
      </c>
      <c r="R1589" t="s">
        <v>60</v>
      </c>
      <c r="S1589" t="s">
        <v>51</v>
      </c>
      <c r="T1589" t="s">
        <v>199</v>
      </c>
      <c r="U1589" t="s">
        <v>848</v>
      </c>
      <c r="W1589">
        <v>0</v>
      </c>
      <c r="X1589">
        <v>0</v>
      </c>
      <c r="AE1589">
        <v>0</v>
      </c>
      <c r="AF1589">
        <v>0</v>
      </c>
      <c r="AM1589" t="s">
        <v>52</v>
      </c>
      <c r="AN1589" t="s">
        <v>53</v>
      </c>
    </row>
    <row r="1590" spans="1:40">
      <c r="A1590" t="s">
        <v>2370</v>
      </c>
      <c r="B1590" t="s">
        <v>165</v>
      </c>
      <c r="C1590" t="s">
        <v>5757</v>
      </c>
      <c r="D1590" t="s">
        <v>52</v>
      </c>
      <c r="E1590" t="s">
        <v>5758</v>
      </c>
      <c r="F1590" t="s">
        <v>95</v>
      </c>
      <c r="G1590" t="str">
        <f>HYPERLINK("https://twitter.com/1112905756230148096/status/1143185632983842816")</f>
        <v>https://twitter.com/1112905756230148096/status/1143185632983842816</v>
      </c>
      <c r="H1590" t="s">
        <v>46</v>
      </c>
      <c r="I1590" t="s">
        <v>5759</v>
      </c>
      <c r="J1590" t="str">
        <f>HYPERLINK("http://twitter.com/jensyre_xo")</f>
        <v>http://twitter.com/jensyre_xo</v>
      </c>
      <c r="K1590">
        <v>175</v>
      </c>
      <c r="N1590" t="s">
        <v>65</v>
      </c>
      <c r="R1590" t="s">
        <v>60</v>
      </c>
      <c r="W1590">
        <v>0</v>
      </c>
      <c r="X1590">
        <v>0</v>
      </c>
      <c r="AE1590">
        <v>0</v>
      </c>
      <c r="AF1590">
        <v>0</v>
      </c>
      <c r="AM1590" t="s">
        <v>52</v>
      </c>
      <c r="AN1590" t="s">
        <v>53</v>
      </c>
    </row>
    <row r="1591" spans="1:40">
      <c r="A1591" t="s">
        <v>2370</v>
      </c>
      <c r="B1591" t="s">
        <v>165</v>
      </c>
      <c r="C1591" t="s">
        <v>3717</v>
      </c>
      <c r="D1591" t="s">
        <v>5760</v>
      </c>
      <c r="E1591" t="s">
        <v>5761</v>
      </c>
      <c r="F1591" t="s">
        <v>45</v>
      </c>
      <c r="G1591" t="str">
        <f>HYPERLINK("https://mayfieldrecorder.com/2019/06/24/pepsico-inc-nasdaqpep-holdings-trimmed-by-zwj-investment-counsel-inc.html")</f>
        <v>https://mayfieldrecorder.com/2019/06/24/pepsico-inc-nasdaqpep-holdings-trimmed-by-zwj-investment-counsel-inc.html</v>
      </c>
      <c r="H1591" t="s">
        <v>91</v>
      </c>
      <c r="I1591" t="s">
        <v>5762</v>
      </c>
      <c r="J1591" t="str">
        <f>HYPERLINK("https://mayfieldrecorder.com/2019/06/24/pepsico-inc-nasdaqpep-holdings-trimmed-by-zwj-investment-counsel-inc.html")</f>
        <v>https://mayfieldrecorder.com/2019/06/24/pepsico-inc-nasdaqpep-holdings-trimmed-by-zwj-investment-counsel-inc.html</v>
      </c>
      <c r="L1591" t="s">
        <v>58</v>
      </c>
      <c r="N1591" t="s">
        <v>356</v>
      </c>
      <c r="R1591" t="s">
        <v>357</v>
      </c>
      <c r="S1591" t="s">
        <v>51</v>
      </c>
      <c r="AM1591" t="s">
        <v>52</v>
      </c>
      <c r="AN1591" t="s">
        <v>53</v>
      </c>
    </row>
    <row r="1592" spans="1:40">
      <c r="A1592" t="s">
        <v>2370</v>
      </c>
      <c r="B1592" t="s">
        <v>165</v>
      </c>
      <c r="C1592" t="s">
        <v>3717</v>
      </c>
      <c r="D1592" t="s">
        <v>5763</v>
      </c>
      <c r="E1592" t="s">
        <v>5764</v>
      </c>
      <c r="F1592" t="s">
        <v>45</v>
      </c>
      <c r="G1592" t="str">
        <f>HYPERLINK("https://mayfieldrecorder.com/2019/06/24/pepsico-inc-nasdaqpep-shares-sold-by-ep-wealth-advisors-llc.html")</f>
        <v>https://mayfieldrecorder.com/2019/06/24/pepsico-inc-nasdaqpep-shares-sold-by-ep-wealth-advisors-llc.html</v>
      </c>
      <c r="H1592" t="s">
        <v>46</v>
      </c>
      <c r="I1592" t="s">
        <v>5762</v>
      </c>
      <c r="J1592" t="str">
        <f>HYPERLINK("https://mayfieldrecorder.com/2019/06/24/pepsico-inc-nasdaqpep-shares-sold-by-ep-wealth-advisors-llc.html")</f>
        <v>https://mayfieldrecorder.com/2019/06/24/pepsico-inc-nasdaqpep-shares-sold-by-ep-wealth-advisors-llc.html</v>
      </c>
      <c r="L1592" t="s">
        <v>58</v>
      </c>
      <c r="N1592" t="s">
        <v>356</v>
      </c>
      <c r="R1592" t="s">
        <v>357</v>
      </c>
      <c r="S1592" t="s">
        <v>51</v>
      </c>
      <c r="AM1592" t="s">
        <v>52</v>
      </c>
      <c r="AN1592" t="s">
        <v>53</v>
      </c>
    </row>
    <row r="1593" spans="1:40">
      <c r="A1593" t="s">
        <v>2370</v>
      </c>
      <c r="B1593" t="s">
        <v>170</v>
      </c>
      <c r="C1593" t="s">
        <v>5735</v>
      </c>
      <c r="D1593" t="s">
        <v>52</v>
      </c>
      <c r="E1593" t="s">
        <v>5765</v>
      </c>
      <c r="F1593" t="s">
        <v>95</v>
      </c>
      <c r="G1593" t="str">
        <f>HYPERLINK("https://twitter.com/435996967/status/1143185370043097090")</f>
        <v>https://twitter.com/435996967/status/1143185370043097090</v>
      </c>
      <c r="H1593" t="s">
        <v>46</v>
      </c>
      <c r="I1593" t="s">
        <v>5766</v>
      </c>
      <c r="J1593" t="str">
        <f>HYPERLINK("http://twitter.com/noma_hlubi_")</f>
        <v>http://twitter.com/noma_hlubi_</v>
      </c>
      <c r="K1593">
        <v>169</v>
      </c>
      <c r="N1593" t="s">
        <v>65</v>
      </c>
      <c r="R1593" t="s">
        <v>60</v>
      </c>
      <c r="S1593" t="s">
        <v>1071</v>
      </c>
      <c r="W1593">
        <v>0</v>
      </c>
      <c r="X1593">
        <v>0</v>
      </c>
      <c r="AE1593">
        <v>0</v>
      </c>
      <c r="AF1593">
        <v>0</v>
      </c>
      <c r="AM1593" t="s">
        <v>52</v>
      </c>
      <c r="AN1593" t="s">
        <v>53</v>
      </c>
    </row>
    <row r="1594" spans="1:40">
      <c r="A1594" t="s">
        <v>2370</v>
      </c>
      <c r="B1594" t="s">
        <v>174</v>
      </c>
      <c r="C1594" t="s">
        <v>5677</v>
      </c>
      <c r="D1594" t="s">
        <v>5767</v>
      </c>
      <c r="E1594" t="s">
        <v>5768</v>
      </c>
      <c r="F1594" t="s">
        <v>95</v>
      </c>
      <c r="G1594" t="str">
        <f>HYPERLINK("https://disqus.com/home/discussion/channel-rianulkingdom/best_catering_in_washington_dc_13/#comment-4514275584")</f>
        <v>https://disqus.com/home/discussion/channel-rianulkingdom/best_catering_in_washington_dc_13/#comment-4514275584</v>
      </c>
      <c r="H1594" t="s">
        <v>46</v>
      </c>
      <c r="I1594" t="s">
        <v>5769</v>
      </c>
      <c r="J1594" t="str">
        <f>HYPERLINK("https://disqus.com/by/jef6688/")</f>
        <v>https://disqus.com/by/jef6688/</v>
      </c>
      <c r="K1594">
        <v>175</v>
      </c>
      <c r="N1594" t="s">
        <v>5770</v>
      </c>
      <c r="O1594" t="s">
        <v>5771</v>
      </c>
      <c r="P1594" t="str">
        <f>HYPERLINK("https://disqus.com/home/channel/rianulkingdom/")</f>
        <v>https://disqus.com/home/channel/rianulkingdom/</v>
      </c>
      <c r="Q1594">
        <v>316796</v>
      </c>
      <c r="R1594" t="s">
        <v>50</v>
      </c>
      <c r="W1594">
        <v>4</v>
      </c>
      <c r="X1594">
        <v>4</v>
      </c>
      <c r="AM1594" t="s">
        <v>52</v>
      </c>
      <c r="AN1594" t="s">
        <v>53</v>
      </c>
    </row>
    <row r="1595" spans="1:40">
      <c r="A1595" t="s">
        <v>2370</v>
      </c>
      <c r="B1595" t="s">
        <v>185</v>
      </c>
      <c r="C1595" t="s">
        <v>5772</v>
      </c>
      <c r="D1595" t="s">
        <v>52</v>
      </c>
      <c r="E1595" t="s">
        <v>5773</v>
      </c>
      <c r="F1595" t="s">
        <v>45</v>
      </c>
      <c r="G1595" t="str">
        <f>HYPERLINK("https://www.instagram.com/p/BzGSEW_n01N")</f>
        <v>https://www.instagram.com/p/BzGSEW_n01N</v>
      </c>
      <c r="H1595" t="s">
        <v>46</v>
      </c>
      <c r="I1595" t="s">
        <v>5774</v>
      </c>
      <c r="J1595" t="str">
        <f>HYPERLINK("http://instagram.com/tstarx7")</f>
        <v>http://instagram.com/tstarx7</v>
      </c>
      <c r="K1595">
        <v>1877</v>
      </c>
      <c r="L1595" t="s">
        <v>48</v>
      </c>
      <c r="N1595" t="s">
        <v>59</v>
      </c>
      <c r="O1595" t="s">
        <v>5774</v>
      </c>
      <c r="P1595" t="str">
        <f>HYPERLINK("http://instagram.com/tstarx7")</f>
        <v>http://instagram.com/tstarx7</v>
      </c>
      <c r="Q1595">
        <v>1877</v>
      </c>
      <c r="R1595" t="s">
        <v>60</v>
      </c>
      <c r="W1595">
        <v>46</v>
      </c>
      <c r="X1595">
        <v>46</v>
      </c>
      <c r="AE1595">
        <v>3</v>
      </c>
      <c r="AI1595" t="s">
        <v>52</v>
      </c>
      <c r="AJ1595" t="s">
        <v>52</v>
      </c>
      <c r="AK1595" t="s">
        <v>52</v>
      </c>
      <c r="AL1595" t="str">
        <f>HYPERLINK("https://www.instagram.com/p/BzGSEW_n01N/media/?size=l")</f>
        <v>https://www.instagram.com/p/BzGSEW_n01N/media/?size=l</v>
      </c>
      <c r="AM1595" t="s">
        <v>52</v>
      </c>
      <c r="AN1595" t="s">
        <v>53</v>
      </c>
    </row>
    <row r="1596" spans="1:40">
      <c r="A1596" t="s">
        <v>2370</v>
      </c>
      <c r="B1596" t="s">
        <v>191</v>
      </c>
      <c r="C1596" t="s">
        <v>5775</v>
      </c>
      <c r="D1596" t="s">
        <v>52</v>
      </c>
      <c r="E1596" t="s">
        <v>5776</v>
      </c>
      <c r="F1596" t="s">
        <v>45</v>
      </c>
      <c r="G1596" t="str">
        <f>HYPERLINK("https://www.instagram.com/p/BzGR8EVhBiL")</f>
        <v>https://www.instagram.com/p/BzGR8EVhBiL</v>
      </c>
      <c r="H1596" t="s">
        <v>215</v>
      </c>
      <c r="I1596" t="s">
        <v>5777</v>
      </c>
      <c r="J1596" t="str">
        <f>HYPERLINK("http://instagram.com/rapha_paiiva")</f>
        <v>http://instagram.com/rapha_paiiva</v>
      </c>
      <c r="K1596">
        <v>112</v>
      </c>
      <c r="N1596" t="s">
        <v>59</v>
      </c>
      <c r="O1596" t="s">
        <v>5777</v>
      </c>
      <c r="P1596" t="str">
        <f>HYPERLINK("http://instagram.com/rapha_paiiva")</f>
        <v>http://instagram.com/rapha_paiiva</v>
      </c>
      <c r="Q1596">
        <v>112</v>
      </c>
      <c r="R1596" t="s">
        <v>60</v>
      </c>
      <c r="W1596">
        <v>0</v>
      </c>
      <c r="X1596">
        <v>0</v>
      </c>
      <c r="AE1596">
        <v>0</v>
      </c>
      <c r="AG1596">
        <v>1</v>
      </c>
      <c r="AI1596" t="s">
        <v>52</v>
      </c>
      <c r="AJ1596" t="s">
        <v>52</v>
      </c>
      <c r="AK1596" t="s">
        <v>52</v>
      </c>
      <c r="AL1596" t="str">
        <f>HYPERLINK("https://www.instagram.com/p/BzGR8EVhBiL/media/?size=l")</f>
        <v>https://www.instagram.com/p/BzGR8EVhBiL/media/?size=l</v>
      </c>
      <c r="AM1596" t="s">
        <v>52</v>
      </c>
      <c r="AN1596" t="s">
        <v>53</v>
      </c>
    </row>
    <row r="1597" spans="1:40">
      <c r="A1597" t="s">
        <v>2370</v>
      </c>
      <c r="B1597" t="s">
        <v>202</v>
      </c>
      <c r="C1597" t="s">
        <v>5757</v>
      </c>
      <c r="D1597" t="s">
        <v>52</v>
      </c>
      <c r="E1597" t="s">
        <v>5778</v>
      </c>
      <c r="F1597" t="s">
        <v>45</v>
      </c>
      <c r="G1597" t="str">
        <f>HYPERLINK("https://www.instagram.com/p/BzGRtCGncXB")</f>
        <v>https://www.instagram.com/p/BzGRtCGncXB</v>
      </c>
      <c r="H1597" t="s">
        <v>46</v>
      </c>
      <c r="I1597" t="s">
        <v>5779</v>
      </c>
      <c r="J1597" t="str">
        <f>HYPERLINK("http://instagram.com/airesaxel")</f>
        <v>http://instagram.com/airesaxel</v>
      </c>
      <c r="K1597">
        <v>317</v>
      </c>
      <c r="L1597" t="s">
        <v>48</v>
      </c>
      <c r="N1597" t="s">
        <v>59</v>
      </c>
      <c r="O1597" t="s">
        <v>5779</v>
      </c>
      <c r="P1597" t="str">
        <f>HYPERLINK("http://instagram.com/airesaxel")</f>
        <v>http://instagram.com/airesaxel</v>
      </c>
      <c r="Q1597">
        <v>317</v>
      </c>
      <c r="R1597" t="s">
        <v>60</v>
      </c>
      <c r="W1597">
        <v>50</v>
      </c>
      <c r="X1597">
        <v>50</v>
      </c>
      <c r="AE1597">
        <v>3</v>
      </c>
      <c r="AI1597" t="s">
        <v>52</v>
      </c>
      <c r="AJ1597" t="s">
        <v>5780</v>
      </c>
      <c r="AK1597" t="s">
        <v>5781</v>
      </c>
      <c r="AL1597" t="str">
        <f>HYPERLINK("https://www.instagram.com/p/BzGRtCGncXB/media/?size=l")</f>
        <v>https://www.instagram.com/p/BzGRtCGncXB/media/?size=l</v>
      </c>
      <c r="AM1597" t="s">
        <v>52</v>
      </c>
      <c r="AN1597" t="s">
        <v>53</v>
      </c>
    </row>
    <row r="1598" spans="1:40">
      <c r="A1598" t="s">
        <v>2370</v>
      </c>
      <c r="B1598" t="s">
        <v>202</v>
      </c>
      <c r="C1598" t="s">
        <v>5750</v>
      </c>
      <c r="D1598" t="s">
        <v>1278</v>
      </c>
      <c r="E1598" t="s">
        <v>5782</v>
      </c>
      <c r="F1598" t="s">
        <v>45</v>
      </c>
      <c r="G1598" t="str">
        <f>HYPERLINK("https://www.myrtlebeachonline.com/living/pets/article231896668.html")</f>
        <v>https://www.myrtlebeachonline.com/living/pets/article231896668.html</v>
      </c>
      <c r="H1598" t="s">
        <v>46</v>
      </c>
      <c r="I1598" t="s">
        <v>1280</v>
      </c>
      <c r="J1598" t="str">
        <f>HYPERLINK("https://www.myrtlebeachonline.com/living/pets/article231896668.html")</f>
        <v>https://www.myrtlebeachonline.com/living/pets/article231896668.html</v>
      </c>
      <c r="L1598" t="s">
        <v>58</v>
      </c>
      <c r="N1598" t="s">
        <v>5783</v>
      </c>
      <c r="R1598" t="s">
        <v>357</v>
      </c>
      <c r="S1598" t="s">
        <v>51</v>
      </c>
      <c r="AM1598" t="s">
        <v>52</v>
      </c>
      <c r="AN1598" t="s">
        <v>53</v>
      </c>
    </row>
    <row r="1599" spans="1:40">
      <c r="A1599" t="s">
        <v>2370</v>
      </c>
      <c r="B1599" t="s">
        <v>5784</v>
      </c>
      <c r="C1599" t="s">
        <v>5785</v>
      </c>
      <c r="D1599" t="s">
        <v>52</v>
      </c>
      <c r="E1599" t="s">
        <v>5786</v>
      </c>
      <c r="F1599" t="s">
        <v>45</v>
      </c>
      <c r="G1599" t="str">
        <f>HYPERLINK("https://www.instagram.com/p/BzGRddRgpxf")</f>
        <v>https://www.instagram.com/p/BzGRddRgpxf</v>
      </c>
      <c r="H1599" t="s">
        <v>46</v>
      </c>
      <c r="I1599" t="s">
        <v>5787</v>
      </c>
      <c r="J1599" t="str">
        <f>HYPERLINK("http://instagram.com/patrickhastie")</f>
        <v>http://instagram.com/patrickhastie</v>
      </c>
      <c r="K1599">
        <v>1226</v>
      </c>
      <c r="N1599" t="s">
        <v>59</v>
      </c>
      <c r="O1599" t="s">
        <v>5787</v>
      </c>
      <c r="P1599" t="str">
        <f>HYPERLINK("http://instagram.com/patrickhastie")</f>
        <v>http://instagram.com/patrickhastie</v>
      </c>
      <c r="Q1599">
        <v>1226</v>
      </c>
      <c r="R1599" t="s">
        <v>60</v>
      </c>
      <c r="W1599">
        <v>13</v>
      </c>
      <c r="X1599">
        <v>13</v>
      </c>
      <c r="AE1599">
        <v>0</v>
      </c>
      <c r="AG1599">
        <v>37</v>
      </c>
      <c r="AI1599" t="s">
        <v>52</v>
      </c>
      <c r="AJ1599" t="s">
        <v>52</v>
      </c>
      <c r="AK1599" t="s">
        <v>52</v>
      </c>
      <c r="AL1599" t="str">
        <f>HYPERLINK("https://www.instagram.com/p/BzGRddRgpxf/media/?size=l")</f>
        <v>https://www.instagram.com/p/BzGRddRgpxf/media/?size=l</v>
      </c>
      <c r="AM1599" t="s">
        <v>52</v>
      </c>
      <c r="AN1599" t="s">
        <v>53</v>
      </c>
    </row>
    <row r="1600" spans="1:40">
      <c r="A1600" t="s">
        <v>2370</v>
      </c>
      <c r="B1600" t="s">
        <v>5788</v>
      </c>
      <c r="C1600" t="s">
        <v>5789</v>
      </c>
      <c r="D1600" t="s">
        <v>52</v>
      </c>
      <c r="E1600" t="s">
        <v>1194</v>
      </c>
      <c r="F1600" t="s">
        <v>131</v>
      </c>
      <c r="G1600" t="str">
        <f>HYPERLINK("https://twitter.com/3797111537/status/1143183014010269696")</f>
        <v>https://twitter.com/3797111537/status/1143183014010269696</v>
      </c>
      <c r="H1600" t="s">
        <v>46</v>
      </c>
      <c r="I1600" t="s">
        <v>5790</v>
      </c>
      <c r="J1600" t="str">
        <f>HYPERLINK("http://twitter.com/burkheart_")</f>
        <v>http://twitter.com/burkheart_</v>
      </c>
      <c r="K1600">
        <v>643</v>
      </c>
      <c r="N1600" t="s">
        <v>65</v>
      </c>
      <c r="R1600" t="s">
        <v>60</v>
      </c>
      <c r="W1600">
        <v>0</v>
      </c>
      <c r="X1600">
        <v>0</v>
      </c>
      <c r="AE1600">
        <v>0</v>
      </c>
      <c r="AI1600" t="s">
        <v>52</v>
      </c>
      <c r="AJ1600" t="s">
        <v>1196</v>
      </c>
      <c r="AK1600" t="s">
        <v>52</v>
      </c>
      <c r="AL1600" t="str">
        <f>HYPERLINK("https://pbs.twimg.com/media/D9xgk2YXkAAd2ql.jpg")</f>
        <v>https://pbs.twimg.com/media/D9xgk2YXkAAd2ql.jpg</v>
      </c>
      <c r="AM1600" t="s">
        <v>52</v>
      </c>
      <c r="AN1600" t="s">
        <v>53</v>
      </c>
    </row>
    <row r="1601" spans="1:40">
      <c r="A1601" t="s">
        <v>2370</v>
      </c>
      <c r="B1601" t="s">
        <v>5791</v>
      </c>
      <c r="C1601" t="s">
        <v>5792</v>
      </c>
      <c r="D1601" t="s">
        <v>52</v>
      </c>
      <c r="E1601" t="s">
        <v>5793</v>
      </c>
      <c r="F1601" t="s">
        <v>45</v>
      </c>
      <c r="G1601" t="str">
        <f>HYPERLINK("https://twitter.com/20492000/status/1143182973291966467")</f>
        <v>https://twitter.com/20492000/status/1143182973291966467</v>
      </c>
      <c r="H1601" t="s">
        <v>46</v>
      </c>
      <c r="I1601" t="s">
        <v>5794</v>
      </c>
      <c r="J1601" t="str">
        <f>HYPERLINK("http://twitter.com/SeniorMcfluff")</f>
        <v>http://twitter.com/SeniorMcfluff</v>
      </c>
      <c r="K1601">
        <v>13</v>
      </c>
      <c r="N1601" t="s">
        <v>65</v>
      </c>
      <c r="R1601" t="s">
        <v>60</v>
      </c>
      <c r="S1601" t="s">
        <v>51</v>
      </c>
      <c r="T1601" t="s">
        <v>2200</v>
      </c>
      <c r="U1601" t="s">
        <v>5795</v>
      </c>
      <c r="W1601">
        <v>0</v>
      </c>
      <c r="X1601">
        <v>0</v>
      </c>
      <c r="AE1601">
        <v>0</v>
      </c>
      <c r="AF1601">
        <v>0</v>
      </c>
      <c r="AM1601" t="s">
        <v>52</v>
      </c>
      <c r="AN1601" t="s">
        <v>53</v>
      </c>
    </row>
    <row r="1602" spans="1:40">
      <c r="A1602" t="s">
        <v>2370</v>
      </c>
      <c r="B1602" t="s">
        <v>5791</v>
      </c>
      <c r="C1602" t="s">
        <v>5792</v>
      </c>
      <c r="D1602" t="s">
        <v>52</v>
      </c>
      <c r="E1602" t="s">
        <v>3385</v>
      </c>
      <c r="F1602" t="s">
        <v>131</v>
      </c>
      <c r="G1602" t="str">
        <f>HYPERLINK("https://twitter.com/468852567/status/1143182953985531904")</f>
        <v>https://twitter.com/468852567/status/1143182953985531904</v>
      </c>
      <c r="H1602" t="s">
        <v>46</v>
      </c>
      <c r="I1602" t="s">
        <v>5796</v>
      </c>
      <c r="J1602" t="str">
        <f>HYPERLINK("http://twitter.com/JimmerThatisAll")</f>
        <v>http://twitter.com/JimmerThatisAll</v>
      </c>
      <c r="K1602">
        <v>24139</v>
      </c>
      <c r="N1602" t="s">
        <v>65</v>
      </c>
      <c r="R1602" t="s">
        <v>60</v>
      </c>
      <c r="S1602" t="s">
        <v>444</v>
      </c>
      <c r="T1602" t="s">
        <v>1062</v>
      </c>
      <c r="U1602" t="s">
        <v>5797</v>
      </c>
      <c r="W1602">
        <v>0</v>
      </c>
      <c r="X1602">
        <v>0</v>
      </c>
      <c r="AE1602">
        <v>0</v>
      </c>
      <c r="AM1602" t="s">
        <v>52</v>
      </c>
      <c r="AN1602" t="s">
        <v>53</v>
      </c>
    </row>
    <row r="1603" spans="1:40">
      <c r="A1603" t="s">
        <v>2370</v>
      </c>
      <c r="B1603" t="s">
        <v>5791</v>
      </c>
      <c r="C1603" t="s">
        <v>5798</v>
      </c>
      <c r="D1603" t="s">
        <v>52</v>
      </c>
      <c r="E1603" t="s">
        <v>1194</v>
      </c>
      <c r="F1603" t="s">
        <v>131</v>
      </c>
      <c r="G1603" t="str">
        <f>HYPERLINK("https://twitter.com/803916000223723520/status/1143182902160764929")</f>
        <v>https://twitter.com/803916000223723520/status/1143182902160764929</v>
      </c>
      <c r="H1603" t="s">
        <v>46</v>
      </c>
      <c r="I1603" t="s">
        <v>5799</v>
      </c>
      <c r="J1603" t="str">
        <f>HYPERLINK("http://twitter.com/hilooloolo")</f>
        <v>http://twitter.com/hilooloolo</v>
      </c>
      <c r="K1603">
        <v>39</v>
      </c>
      <c r="N1603" t="s">
        <v>65</v>
      </c>
      <c r="R1603" t="s">
        <v>60</v>
      </c>
      <c r="S1603" t="s">
        <v>592</v>
      </c>
      <c r="T1603" t="s">
        <v>5800</v>
      </c>
      <c r="U1603" t="s">
        <v>5800</v>
      </c>
      <c r="W1603">
        <v>0</v>
      </c>
      <c r="X1603">
        <v>0</v>
      </c>
      <c r="AE1603">
        <v>0</v>
      </c>
      <c r="AI1603" t="s">
        <v>52</v>
      </c>
      <c r="AJ1603" t="s">
        <v>1196</v>
      </c>
      <c r="AK1603" t="s">
        <v>52</v>
      </c>
      <c r="AL1603" t="str">
        <f>HYPERLINK("https://pbs.twimg.com/media/D9xgk2YXkAAd2ql.jpg")</f>
        <v>https://pbs.twimg.com/media/D9xgk2YXkAAd2ql.jpg</v>
      </c>
      <c r="AM1603" t="s">
        <v>52</v>
      </c>
      <c r="AN1603" t="s">
        <v>53</v>
      </c>
    </row>
    <row r="1604" spans="1:40">
      <c r="A1604" t="s">
        <v>2370</v>
      </c>
      <c r="B1604" t="s">
        <v>5791</v>
      </c>
      <c r="C1604" t="s">
        <v>5798</v>
      </c>
      <c r="D1604" t="s">
        <v>52</v>
      </c>
      <c r="E1604" t="s">
        <v>1194</v>
      </c>
      <c r="F1604" t="s">
        <v>131</v>
      </c>
      <c r="G1604" t="str">
        <f>HYPERLINK("https://twitter.com/3342820293/status/1143182894413832192")</f>
        <v>https://twitter.com/3342820293/status/1143182894413832192</v>
      </c>
      <c r="H1604" t="s">
        <v>46</v>
      </c>
      <c r="I1604" t="s">
        <v>5801</v>
      </c>
      <c r="J1604" t="str">
        <f>HYPERLINK("http://twitter.com/Madboy284")</f>
        <v>http://twitter.com/Madboy284</v>
      </c>
      <c r="K1604">
        <v>26</v>
      </c>
      <c r="N1604" t="s">
        <v>65</v>
      </c>
      <c r="R1604" t="s">
        <v>60</v>
      </c>
      <c r="S1604" t="s">
        <v>51</v>
      </c>
      <c r="T1604" t="s">
        <v>756</v>
      </c>
      <c r="U1604" t="s">
        <v>2276</v>
      </c>
      <c r="W1604">
        <v>0</v>
      </c>
      <c r="X1604">
        <v>0</v>
      </c>
      <c r="AE1604">
        <v>0</v>
      </c>
      <c r="AI1604" t="s">
        <v>52</v>
      </c>
      <c r="AJ1604" t="s">
        <v>1196</v>
      </c>
      <c r="AK1604" t="s">
        <v>52</v>
      </c>
      <c r="AL1604" t="str">
        <f>HYPERLINK("https://pbs.twimg.com/media/D9xgk2YXkAAd2ql.jpg")</f>
        <v>https://pbs.twimg.com/media/D9xgk2YXkAAd2ql.jpg</v>
      </c>
      <c r="AM1604" t="s">
        <v>52</v>
      </c>
      <c r="AN1604" t="s">
        <v>53</v>
      </c>
    </row>
    <row r="1605" spans="1:40">
      <c r="A1605" t="s">
        <v>2370</v>
      </c>
      <c r="B1605" t="s">
        <v>5791</v>
      </c>
      <c r="C1605" t="s">
        <v>5798</v>
      </c>
      <c r="D1605" t="s">
        <v>52</v>
      </c>
      <c r="E1605" t="s">
        <v>1194</v>
      </c>
      <c r="F1605" t="s">
        <v>131</v>
      </c>
      <c r="G1605" t="str">
        <f>HYPERLINK("https://twitter.com/358952966/status/1143182889728827392")</f>
        <v>https://twitter.com/358952966/status/1143182889728827392</v>
      </c>
      <c r="H1605" t="s">
        <v>46</v>
      </c>
      <c r="I1605" t="s">
        <v>52</v>
      </c>
      <c r="J1605" t="str">
        <f>HYPERLINK("http://twitter.com/gianlxs")</f>
        <v>http://twitter.com/gianlxs</v>
      </c>
      <c r="K1605">
        <v>1620</v>
      </c>
      <c r="N1605" t="s">
        <v>65</v>
      </c>
      <c r="R1605" t="s">
        <v>60</v>
      </c>
      <c r="S1605" t="s">
        <v>210</v>
      </c>
      <c r="T1605" t="s">
        <v>5802</v>
      </c>
      <c r="W1605">
        <v>0</v>
      </c>
      <c r="X1605">
        <v>0</v>
      </c>
      <c r="AE1605">
        <v>0</v>
      </c>
      <c r="AI1605" t="s">
        <v>52</v>
      </c>
      <c r="AJ1605" t="s">
        <v>1196</v>
      </c>
      <c r="AK1605" t="s">
        <v>52</v>
      </c>
      <c r="AL1605" t="str">
        <f>HYPERLINK("https://pbs.twimg.com/media/D9xgk2YXkAAd2ql.jpg")</f>
        <v>https://pbs.twimg.com/media/D9xgk2YXkAAd2ql.jpg</v>
      </c>
      <c r="AM1605" t="s">
        <v>52</v>
      </c>
      <c r="AN1605" t="s">
        <v>53</v>
      </c>
    </row>
    <row r="1606" spans="1:40">
      <c r="A1606" t="s">
        <v>2370</v>
      </c>
      <c r="B1606" t="s">
        <v>5791</v>
      </c>
      <c r="C1606" t="s">
        <v>5798</v>
      </c>
      <c r="D1606" t="s">
        <v>52</v>
      </c>
      <c r="E1606" t="s">
        <v>1194</v>
      </c>
      <c r="F1606" t="s">
        <v>131</v>
      </c>
      <c r="G1606" t="str">
        <f>HYPERLINK("https://twitter.com/1050478085768908803/status/1143182879377305601")</f>
        <v>https://twitter.com/1050478085768908803/status/1143182879377305601</v>
      </c>
      <c r="H1606" t="s">
        <v>46</v>
      </c>
      <c r="I1606" t="s">
        <v>2282</v>
      </c>
      <c r="J1606" t="str">
        <f>HYPERLINK("http://twitter.com/_maddxn")</f>
        <v>http://twitter.com/_maddxn</v>
      </c>
      <c r="K1606">
        <v>260</v>
      </c>
      <c r="N1606" t="s">
        <v>65</v>
      </c>
      <c r="R1606" t="s">
        <v>60</v>
      </c>
      <c r="S1606" t="s">
        <v>432</v>
      </c>
      <c r="T1606" t="s">
        <v>433</v>
      </c>
      <c r="W1606">
        <v>0</v>
      </c>
      <c r="X1606">
        <v>0</v>
      </c>
      <c r="AE1606">
        <v>0</v>
      </c>
      <c r="AI1606" t="s">
        <v>52</v>
      </c>
      <c r="AJ1606" t="s">
        <v>1196</v>
      </c>
      <c r="AK1606" t="s">
        <v>52</v>
      </c>
      <c r="AL1606" t="str">
        <f>HYPERLINK("https://pbs.twimg.com/media/D9xgk2YXkAAd2ql.jpg")</f>
        <v>https://pbs.twimg.com/media/D9xgk2YXkAAd2ql.jpg</v>
      </c>
      <c r="AM1606" t="s">
        <v>52</v>
      </c>
      <c r="AN1606" t="s">
        <v>53</v>
      </c>
    </row>
    <row r="1607" spans="1:40">
      <c r="A1607" t="s">
        <v>2370</v>
      </c>
      <c r="B1607" t="s">
        <v>5791</v>
      </c>
      <c r="C1607" t="s">
        <v>5803</v>
      </c>
      <c r="D1607" t="s">
        <v>52</v>
      </c>
      <c r="E1607" t="s">
        <v>1557</v>
      </c>
      <c r="F1607" t="s">
        <v>95</v>
      </c>
      <c r="G1607" t="str">
        <f>HYPERLINK("https://twitter.com/1132243568712658945/status/1143182807214284800")</f>
        <v>https://twitter.com/1132243568712658945/status/1143182807214284800</v>
      </c>
      <c r="H1607" t="s">
        <v>46</v>
      </c>
      <c r="I1607" t="s">
        <v>5804</v>
      </c>
      <c r="J1607" t="str">
        <f>HYPERLINK("http://twitter.com/jenkins_angus")</f>
        <v>http://twitter.com/jenkins_angus</v>
      </c>
      <c r="K1607">
        <v>6</v>
      </c>
      <c r="L1607" t="s">
        <v>48</v>
      </c>
      <c r="N1607" t="s">
        <v>65</v>
      </c>
      <c r="R1607" t="s">
        <v>60</v>
      </c>
      <c r="W1607">
        <v>0</v>
      </c>
      <c r="X1607">
        <v>0</v>
      </c>
      <c r="AE1607">
        <v>0</v>
      </c>
      <c r="AF1607">
        <v>0</v>
      </c>
      <c r="AM1607" t="s">
        <v>52</v>
      </c>
      <c r="AN1607" t="s">
        <v>53</v>
      </c>
    </row>
    <row r="1608" spans="1:40">
      <c r="A1608" t="s">
        <v>2370</v>
      </c>
      <c r="B1608" t="s">
        <v>5791</v>
      </c>
      <c r="C1608" t="s">
        <v>3612</v>
      </c>
      <c r="D1608" t="s">
        <v>5805</v>
      </c>
      <c r="E1608" t="s">
        <v>5806</v>
      </c>
      <c r="F1608" t="s">
        <v>45</v>
      </c>
      <c r="G1608" t="str">
        <f>HYPERLINK("https://www.youtube.com/watch?v=Ng15LkGh0vM")</f>
        <v>https://www.youtube.com/watch?v=Ng15LkGh0vM</v>
      </c>
      <c r="H1608" t="s">
        <v>46</v>
      </c>
      <c r="I1608" t="s">
        <v>5807</v>
      </c>
      <c r="J1608" t="str">
        <f>HYPERLINK("https://www.youtube.com/channel/UCUUnf3xoA7GFGE5QTQR_NXg")</f>
        <v>https://www.youtube.com/channel/UCUUnf3xoA7GFGE5QTQR_NXg</v>
      </c>
      <c r="K1608">
        <v>30</v>
      </c>
      <c r="L1608" t="s">
        <v>48</v>
      </c>
      <c r="N1608" t="s">
        <v>116</v>
      </c>
      <c r="O1608" t="s">
        <v>5807</v>
      </c>
      <c r="P1608" t="str">
        <f>HYPERLINK("https://www.youtube.com/channel/UCUUnf3xoA7GFGE5QTQR_NXg")</f>
        <v>https://www.youtube.com/channel/UCUUnf3xoA7GFGE5QTQR_NXg</v>
      </c>
      <c r="Q1608">
        <v>30</v>
      </c>
      <c r="R1608" t="s">
        <v>60</v>
      </c>
      <c r="W1608">
        <v>3</v>
      </c>
      <c r="X1608">
        <v>3</v>
      </c>
      <c r="AD1608">
        <v>1</v>
      </c>
      <c r="AE1608">
        <v>0</v>
      </c>
      <c r="AG1608">
        <v>13</v>
      </c>
      <c r="AI1608" t="s">
        <v>108</v>
      </c>
      <c r="AJ1608" t="s">
        <v>2277</v>
      </c>
      <c r="AK1608" t="s">
        <v>52</v>
      </c>
      <c r="AL1608" t="str">
        <f>HYPERLINK("https://i.ytimg.com/vi/Ng15LkGh0vM/hqdefault.jpg")</f>
        <v>https://i.ytimg.com/vi/Ng15LkGh0vM/hqdefault.jpg</v>
      </c>
      <c r="AM1608" t="s">
        <v>52</v>
      </c>
      <c r="AN1608" t="s">
        <v>53</v>
      </c>
    </row>
    <row r="1609" spans="1:40">
      <c r="A1609" t="s">
        <v>2370</v>
      </c>
      <c r="B1609" t="s">
        <v>206</v>
      </c>
      <c r="C1609" t="s">
        <v>5808</v>
      </c>
      <c r="D1609" t="s">
        <v>52</v>
      </c>
      <c r="E1609" t="s">
        <v>5809</v>
      </c>
      <c r="F1609" t="s">
        <v>95</v>
      </c>
      <c r="G1609" t="str">
        <f>HYPERLINK("https://twitter.com/955965408749740038/status/1143182385833553921")</f>
        <v>https://twitter.com/955965408749740038/status/1143182385833553921</v>
      </c>
      <c r="H1609" t="s">
        <v>46</v>
      </c>
      <c r="I1609" t="s">
        <v>5810</v>
      </c>
      <c r="J1609" t="str">
        <f>HYPERLINK("http://twitter.com/bruisedbarnes")</f>
        <v>http://twitter.com/bruisedbarnes</v>
      </c>
      <c r="K1609">
        <v>443</v>
      </c>
      <c r="N1609" t="s">
        <v>65</v>
      </c>
      <c r="R1609" t="s">
        <v>60</v>
      </c>
      <c r="W1609">
        <v>2</v>
      </c>
      <c r="X1609">
        <v>2</v>
      </c>
      <c r="AE1609">
        <v>1</v>
      </c>
      <c r="AF1609">
        <v>0</v>
      </c>
      <c r="AM1609" t="s">
        <v>52</v>
      </c>
      <c r="AN1609" t="s">
        <v>53</v>
      </c>
    </row>
    <row r="1610" spans="1:40">
      <c r="A1610" t="s">
        <v>2370</v>
      </c>
      <c r="B1610" t="s">
        <v>206</v>
      </c>
      <c r="C1610" t="s">
        <v>5811</v>
      </c>
      <c r="D1610" t="s">
        <v>52</v>
      </c>
      <c r="E1610" t="s">
        <v>5812</v>
      </c>
      <c r="F1610" t="s">
        <v>71</v>
      </c>
      <c r="G1610" t="str">
        <f>HYPERLINK("https://twitter.com/3161817865/status/1143182355068157953")</f>
        <v>https://twitter.com/3161817865/status/1143182355068157953</v>
      </c>
      <c r="H1610" t="s">
        <v>46</v>
      </c>
      <c r="I1610" t="s">
        <v>5813</v>
      </c>
      <c r="J1610" t="str">
        <f>HYPERLINK("http://twitter.com/iamthetruthyo")</f>
        <v>http://twitter.com/iamthetruthyo</v>
      </c>
      <c r="K1610">
        <v>920</v>
      </c>
      <c r="N1610" t="s">
        <v>65</v>
      </c>
      <c r="R1610" t="s">
        <v>60</v>
      </c>
      <c r="W1610">
        <v>0</v>
      </c>
      <c r="X1610">
        <v>0</v>
      </c>
      <c r="AE1610">
        <v>0</v>
      </c>
      <c r="AF1610">
        <v>0</v>
      </c>
      <c r="AI1610" t="s">
        <v>52</v>
      </c>
      <c r="AJ1610" t="s">
        <v>52</v>
      </c>
      <c r="AK1610" t="s">
        <v>52</v>
      </c>
      <c r="AL1610" t="str">
        <f>HYPERLINK("https://pbs.twimg.com/ext_tw_video_thumb/1143034423064944641/pu/img/HH3Wf0g4bIRSBbbo.jpg")</f>
        <v>https://pbs.twimg.com/ext_tw_video_thumb/1143034423064944641/pu/img/HH3Wf0g4bIRSBbbo.jpg</v>
      </c>
      <c r="AM1610" t="s">
        <v>52</v>
      </c>
      <c r="AN1610" t="s">
        <v>53</v>
      </c>
    </row>
    <row r="1611" spans="1:40">
      <c r="A1611" t="s">
        <v>2370</v>
      </c>
      <c r="B1611" t="s">
        <v>223</v>
      </c>
      <c r="C1611" t="s">
        <v>5814</v>
      </c>
      <c r="D1611" t="s">
        <v>52</v>
      </c>
      <c r="E1611" t="s">
        <v>5815</v>
      </c>
      <c r="F1611" t="s">
        <v>71</v>
      </c>
      <c r="G1611" t="str">
        <f>HYPERLINK("https://twitter.com/1047546077984030725/status/1143182144635887616")</f>
        <v>https://twitter.com/1047546077984030725/status/1143182144635887616</v>
      </c>
      <c r="H1611" t="s">
        <v>46</v>
      </c>
      <c r="I1611" t="s">
        <v>5816</v>
      </c>
      <c r="J1611" t="str">
        <f>HYPERLINK("http://twitter.com/Dollar_1998")</f>
        <v>http://twitter.com/Dollar_1998</v>
      </c>
      <c r="K1611">
        <v>98</v>
      </c>
      <c r="N1611" t="s">
        <v>65</v>
      </c>
      <c r="R1611" t="s">
        <v>60</v>
      </c>
      <c r="S1611" t="s">
        <v>5817</v>
      </c>
      <c r="T1611" t="s">
        <v>5818</v>
      </c>
      <c r="U1611" t="s">
        <v>5819</v>
      </c>
      <c r="W1611">
        <v>0</v>
      </c>
      <c r="X1611">
        <v>0</v>
      </c>
      <c r="AE1611">
        <v>0</v>
      </c>
      <c r="AF1611">
        <v>0</v>
      </c>
      <c r="AM1611" t="s">
        <v>52</v>
      </c>
      <c r="AN1611" t="s">
        <v>53</v>
      </c>
    </row>
    <row r="1612" spans="1:40">
      <c r="A1612" t="s">
        <v>2370</v>
      </c>
      <c r="B1612" t="s">
        <v>5820</v>
      </c>
      <c r="C1612" t="s">
        <v>5821</v>
      </c>
      <c r="D1612" t="s">
        <v>52</v>
      </c>
      <c r="E1612" t="s">
        <v>5822</v>
      </c>
      <c r="F1612" t="s">
        <v>45</v>
      </c>
      <c r="G1612" t="str">
        <f>HYPERLINK("https://www.instagram.com/p/BzGQzv7ncHM")</f>
        <v>https://www.instagram.com/p/BzGQzv7ncHM</v>
      </c>
      <c r="H1612" t="s">
        <v>46</v>
      </c>
      <c r="I1612" t="s">
        <v>5823</v>
      </c>
      <c r="J1612" t="str">
        <f>HYPERLINK("http://instagram.com/trl_therotarylife")</f>
        <v>http://instagram.com/trl_therotarylife</v>
      </c>
      <c r="K1612">
        <v>2033</v>
      </c>
      <c r="N1612" t="s">
        <v>59</v>
      </c>
      <c r="O1612" t="s">
        <v>5823</v>
      </c>
      <c r="P1612" t="str">
        <f>HYPERLINK("http://instagram.com/trl_therotarylife")</f>
        <v>http://instagram.com/trl_therotarylife</v>
      </c>
      <c r="Q1612">
        <v>2033</v>
      </c>
      <c r="R1612" t="s">
        <v>60</v>
      </c>
      <c r="W1612">
        <v>42</v>
      </c>
      <c r="X1612">
        <v>42</v>
      </c>
      <c r="AE1612">
        <v>2</v>
      </c>
      <c r="AG1612">
        <v>417</v>
      </c>
      <c r="AI1612" t="s">
        <v>52</v>
      </c>
      <c r="AJ1612" t="s">
        <v>52</v>
      </c>
      <c r="AK1612" t="s">
        <v>52</v>
      </c>
      <c r="AL1612" t="str">
        <f>HYPERLINK("https://www.instagram.com/p/BzGQzv7ncHM/media/?size=l")</f>
        <v>https://www.instagram.com/p/BzGQzv7ncHM/media/?size=l</v>
      </c>
      <c r="AM1612" t="s">
        <v>52</v>
      </c>
      <c r="AN1612" t="s">
        <v>53</v>
      </c>
    </row>
    <row r="1613" spans="1:40">
      <c r="A1613" t="s">
        <v>2370</v>
      </c>
      <c r="B1613" t="s">
        <v>5820</v>
      </c>
      <c r="C1613" t="s">
        <v>5824</v>
      </c>
      <c r="D1613" t="s">
        <v>52</v>
      </c>
      <c r="E1613" t="s">
        <v>5825</v>
      </c>
      <c r="F1613" t="s">
        <v>45</v>
      </c>
      <c r="G1613" t="str">
        <f>HYPERLINK("https://www.instagram.com/p/BzGQ0n1jMvA")</f>
        <v>https://www.instagram.com/p/BzGQ0n1jMvA</v>
      </c>
      <c r="H1613" t="s">
        <v>46</v>
      </c>
      <c r="I1613" t="s">
        <v>5826</v>
      </c>
      <c r="J1613" t="str">
        <f>HYPERLINK("http://instagram.com/max.amick")</f>
        <v>http://instagram.com/max.amick</v>
      </c>
      <c r="K1613">
        <v>1279</v>
      </c>
      <c r="L1613" t="s">
        <v>48</v>
      </c>
      <c r="N1613" t="s">
        <v>59</v>
      </c>
      <c r="O1613" t="s">
        <v>5826</v>
      </c>
      <c r="P1613" t="str">
        <f>HYPERLINK("http://instagram.com/max.amick")</f>
        <v>http://instagram.com/max.amick</v>
      </c>
      <c r="Q1613">
        <v>1279</v>
      </c>
      <c r="R1613" t="s">
        <v>60</v>
      </c>
      <c r="S1613" t="s">
        <v>51</v>
      </c>
      <c r="T1613" t="s">
        <v>66</v>
      </c>
      <c r="U1613" t="s">
        <v>5827</v>
      </c>
      <c r="W1613">
        <v>110</v>
      </c>
      <c r="X1613">
        <v>110</v>
      </c>
      <c r="AE1613">
        <v>0</v>
      </c>
      <c r="AI1613" t="s">
        <v>52</v>
      </c>
      <c r="AJ1613" t="s">
        <v>5828</v>
      </c>
      <c r="AK1613" t="s">
        <v>5829</v>
      </c>
      <c r="AL1613" t="str">
        <f>HYPERLINK("https://www.instagram.com/p/BzGQ0n1jMvA/media/?size=l")</f>
        <v>https://www.instagram.com/p/BzGQ0n1jMvA/media/?size=l</v>
      </c>
      <c r="AM1613" t="s">
        <v>52</v>
      </c>
      <c r="AN1613" t="s">
        <v>53</v>
      </c>
    </row>
    <row r="1614" spans="1:40">
      <c r="A1614" t="s">
        <v>2370</v>
      </c>
      <c r="B1614" t="s">
        <v>5820</v>
      </c>
      <c r="C1614" t="s">
        <v>5775</v>
      </c>
      <c r="D1614" t="s">
        <v>52</v>
      </c>
      <c r="E1614" t="s">
        <v>5830</v>
      </c>
      <c r="F1614" t="s">
        <v>45</v>
      </c>
      <c r="G1614" t="str">
        <f>HYPERLINK("https://www.instagram.com/p/BzGQxB7HBdy")</f>
        <v>https://www.instagram.com/p/BzGQxB7HBdy</v>
      </c>
      <c r="H1614" t="s">
        <v>46</v>
      </c>
      <c r="I1614" t="s">
        <v>5831</v>
      </c>
      <c r="J1614" t="str">
        <f>HYPERLINK("http://instagram.com/cavalera_mari")</f>
        <v>http://instagram.com/cavalera_mari</v>
      </c>
      <c r="K1614">
        <v>791</v>
      </c>
      <c r="N1614" t="s">
        <v>59</v>
      </c>
      <c r="O1614" t="s">
        <v>5831</v>
      </c>
      <c r="P1614" t="str">
        <f>HYPERLINK("http://instagram.com/cavalera_mari")</f>
        <v>http://instagram.com/cavalera_mari</v>
      </c>
      <c r="Q1614">
        <v>791</v>
      </c>
      <c r="R1614" t="s">
        <v>60</v>
      </c>
      <c r="W1614">
        <v>64</v>
      </c>
      <c r="X1614">
        <v>64</v>
      </c>
      <c r="AE1614">
        <v>0</v>
      </c>
      <c r="AI1614" t="s">
        <v>52</v>
      </c>
      <c r="AJ1614" t="s">
        <v>52</v>
      </c>
      <c r="AK1614" t="s">
        <v>680</v>
      </c>
      <c r="AL1614" t="str">
        <f>HYPERLINK("https://www.instagram.com/p/BzGQxB7HBdy/media/?size=l")</f>
        <v>https://www.instagram.com/p/BzGQxB7HBdy/media/?size=l</v>
      </c>
      <c r="AM1614" t="s">
        <v>52</v>
      </c>
      <c r="AN1614" t="s">
        <v>53</v>
      </c>
    </row>
    <row r="1615" spans="1:40">
      <c r="A1615" t="s">
        <v>2370</v>
      </c>
      <c r="B1615" t="s">
        <v>229</v>
      </c>
      <c r="C1615" t="s">
        <v>5775</v>
      </c>
      <c r="D1615" t="s">
        <v>52</v>
      </c>
      <c r="E1615" t="s">
        <v>5832</v>
      </c>
      <c r="F1615" t="s">
        <v>45</v>
      </c>
      <c r="G1615" t="str">
        <f>HYPERLINK("https://www.instagram.com/p/BzGQp1_hJbt")</f>
        <v>https://www.instagram.com/p/BzGQp1_hJbt</v>
      </c>
      <c r="H1615" t="s">
        <v>46</v>
      </c>
      <c r="I1615" t="s">
        <v>2964</v>
      </c>
      <c r="J1615" t="str">
        <f>HYPERLINK("http://instagram.com/curious_snax")</f>
        <v>http://instagram.com/curious_snax</v>
      </c>
      <c r="K1615">
        <v>471</v>
      </c>
      <c r="L1615" t="s">
        <v>651</v>
      </c>
      <c r="N1615" t="s">
        <v>59</v>
      </c>
      <c r="O1615" t="s">
        <v>2964</v>
      </c>
      <c r="P1615" t="str">
        <f>HYPERLINK("http://instagram.com/curious_snax")</f>
        <v>http://instagram.com/curious_snax</v>
      </c>
      <c r="Q1615">
        <v>471</v>
      </c>
      <c r="R1615" t="s">
        <v>60</v>
      </c>
      <c r="S1615" t="s">
        <v>51</v>
      </c>
      <c r="T1615" t="s">
        <v>73</v>
      </c>
      <c r="U1615" t="s">
        <v>2965</v>
      </c>
      <c r="W1615">
        <v>21</v>
      </c>
      <c r="X1615">
        <v>21</v>
      </c>
      <c r="AE1615">
        <v>0</v>
      </c>
      <c r="AI1615" t="s">
        <v>108</v>
      </c>
      <c r="AJ1615" t="s">
        <v>1894</v>
      </c>
      <c r="AK1615" t="s">
        <v>52</v>
      </c>
      <c r="AL1615" t="str">
        <f>HYPERLINK("https://www.instagram.com/p/BzGQp1_hJbt/media/?size=l")</f>
        <v>https://www.instagram.com/p/BzGQp1_hJbt/media/?size=l</v>
      </c>
      <c r="AM1615" t="s">
        <v>52</v>
      </c>
      <c r="AN1615" t="s">
        <v>53</v>
      </c>
    </row>
    <row r="1616" spans="1:40">
      <c r="A1616" t="s">
        <v>2370</v>
      </c>
      <c r="B1616" t="s">
        <v>242</v>
      </c>
      <c r="C1616" t="s">
        <v>5833</v>
      </c>
      <c r="D1616" t="s">
        <v>5834</v>
      </c>
      <c r="E1616" t="s">
        <v>5835</v>
      </c>
      <c r="F1616" t="s">
        <v>95</v>
      </c>
      <c r="G1616" t="str">
        <f>HYPERLINK("https://www.youtube.com/watch?v=Xz7rvCJYqUY&amp;lc=UgzBt88PplCv_t_WGnt4AaABAg")</f>
        <v>https://www.youtube.com/watch?v=Xz7rvCJYqUY&amp;lc=UgzBt88PplCv_t_WGnt4AaABAg</v>
      </c>
      <c r="H1616" t="s">
        <v>46</v>
      </c>
      <c r="I1616" t="s">
        <v>5836</v>
      </c>
      <c r="J1616" t="str">
        <f>HYPERLINK("https://www.youtube.com/channel/UCniixHituVs3Y8KYOTezWzA")</f>
        <v>https://www.youtube.com/channel/UCniixHituVs3Y8KYOTezWzA</v>
      </c>
      <c r="K1616">
        <v>0</v>
      </c>
      <c r="L1616" t="s">
        <v>48</v>
      </c>
      <c r="N1616" t="s">
        <v>116</v>
      </c>
      <c r="O1616" t="s">
        <v>5837</v>
      </c>
      <c r="P1616" t="str">
        <f>HYPERLINK("https://www.youtube.com/channel/UCsuaQOOAfK9wf3DN5pga7cA")</f>
        <v>https://www.youtube.com/channel/UCsuaQOOAfK9wf3DN5pga7cA</v>
      </c>
      <c r="Q1616">
        <v>639761</v>
      </c>
      <c r="R1616" t="s">
        <v>60</v>
      </c>
      <c r="W1616">
        <v>0</v>
      </c>
      <c r="X1616">
        <v>0</v>
      </c>
      <c r="AE1616">
        <v>0</v>
      </c>
      <c r="AM1616" t="s">
        <v>52</v>
      </c>
      <c r="AN1616" t="s">
        <v>53</v>
      </c>
    </row>
    <row r="1617" spans="1:40">
      <c r="A1617" t="s">
        <v>2370</v>
      </c>
      <c r="B1617" t="s">
        <v>242</v>
      </c>
      <c r="C1617" t="s">
        <v>5833</v>
      </c>
      <c r="D1617" t="s">
        <v>5834</v>
      </c>
      <c r="E1617" t="s">
        <v>5838</v>
      </c>
      <c r="F1617" t="s">
        <v>95</v>
      </c>
      <c r="G1617" t="str">
        <f>HYPERLINK("https://www.youtube.com/watch?v=Xz7rvCJYqUY&amp;lc=UgyBjn7DKaK7kzVq7A14AaABAg")</f>
        <v>https://www.youtube.com/watch?v=Xz7rvCJYqUY&amp;lc=UgyBjn7DKaK7kzVq7A14AaABAg</v>
      </c>
      <c r="H1617" t="s">
        <v>46</v>
      </c>
      <c r="I1617" t="s">
        <v>5839</v>
      </c>
      <c r="J1617" t="str">
        <f>HYPERLINK("https://www.youtube.com/channel/UCHdigdZAmbqe5wVdM3TlUAg")</f>
        <v>https://www.youtube.com/channel/UCHdigdZAmbqe5wVdM3TlUAg</v>
      </c>
      <c r="K1617">
        <v>1</v>
      </c>
      <c r="N1617" t="s">
        <v>116</v>
      </c>
      <c r="O1617" t="s">
        <v>5837</v>
      </c>
      <c r="P1617" t="str">
        <f>HYPERLINK("https://www.youtube.com/channel/UCsuaQOOAfK9wf3DN5pga7cA")</f>
        <v>https://www.youtube.com/channel/UCsuaQOOAfK9wf3DN5pga7cA</v>
      </c>
      <c r="Q1617">
        <v>639761</v>
      </c>
      <c r="R1617" t="s">
        <v>60</v>
      </c>
      <c r="W1617">
        <v>0</v>
      </c>
      <c r="X1617">
        <v>0</v>
      </c>
      <c r="AE1617">
        <v>0</v>
      </c>
      <c r="AM1617" t="s">
        <v>52</v>
      </c>
      <c r="AN1617" t="s">
        <v>53</v>
      </c>
    </row>
    <row r="1618" spans="1:40">
      <c r="A1618" t="s">
        <v>2370</v>
      </c>
      <c r="B1618" t="s">
        <v>242</v>
      </c>
      <c r="C1618" t="s">
        <v>3712</v>
      </c>
      <c r="D1618" t="s">
        <v>52</v>
      </c>
      <c r="E1618" t="s">
        <v>5840</v>
      </c>
      <c r="F1618" t="s">
        <v>45</v>
      </c>
      <c r="G1618" t="str">
        <f>HYPERLINK("https://www.instagram.com/p/BzGQkO_pemD")</f>
        <v>https://www.instagram.com/p/BzGQkO_pemD</v>
      </c>
      <c r="H1618" t="s">
        <v>46</v>
      </c>
      <c r="I1618" t="s">
        <v>5841</v>
      </c>
      <c r="J1618" t="str">
        <f>HYPERLINK("http://instagram.com/multibaddies.spam")</f>
        <v>http://instagram.com/multibaddies.spam</v>
      </c>
      <c r="K1618">
        <v>1</v>
      </c>
      <c r="N1618" t="s">
        <v>59</v>
      </c>
      <c r="O1618" t="s">
        <v>5841</v>
      </c>
      <c r="P1618" t="str">
        <f>HYPERLINK("http://instagram.com/multibaddies.spam")</f>
        <v>http://instagram.com/multibaddies.spam</v>
      </c>
      <c r="Q1618">
        <v>1</v>
      </c>
      <c r="R1618" t="s">
        <v>60</v>
      </c>
      <c r="W1618">
        <v>12</v>
      </c>
      <c r="X1618">
        <v>12</v>
      </c>
      <c r="AE1618">
        <v>3</v>
      </c>
      <c r="AI1618" t="s">
        <v>108</v>
      </c>
      <c r="AJ1618" t="s">
        <v>942</v>
      </c>
      <c r="AK1618" t="s">
        <v>52</v>
      </c>
      <c r="AL1618" t="str">
        <f>HYPERLINK("https://www.instagram.com/p/BzGQkO_pemD/media/?size=l")</f>
        <v>https://www.instagram.com/p/BzGQkO_pemD/media/?size=l</v>
      </c>
      <c r="AM1618" t="s">
        <v>52</v>
      </c>
      <c r="AN1618" t="s">
        <v>53</v>
      </c>
    </row>
    <row r="1619" spans="1:40">
      <c r="A1619" t="s">
        <v>2370</v>
      </c>
      <c r="B1619" t="s">
        <v>242</v>
      </c>
      <c r="C1619" t="s">
        <v>5833</v>
      </c>
      <c r="D1619" t="s">
        <v>5834</v>
      </c>
      <c r="E1619" t="s">
        <v>5842</v>
      </c>
      <c r="F1619" t="s">
        <v>95</v>
      </c>
      <c r="G1619" t="str">
        <f>HYPERLINK("https://www.youtube.com/watch?v=Xz7rvCJYqUY&amp;lc=Ugwv5r8fTvwgjxtXC654AaABAg")</f>
        <v>https://www.youtube.com/watch?v=Xz7rvCJYqUY&amp;lc=Ugwv5r8fTvwgjxtXC654AaABAg</v>
      </c>
      <c r="H1619" t="s">
        <v>46</v>
      </c>
      <c r="I1619" t="s">
        <v>5843</v>
      </c>
      <c r="J1619" t="str">
        <f>HYPERLINK("https://www.youtube.com/channel/UCPCU1aZmWsSjhrCJl6pWkUQ")</f>
        <v>https://www.youtube.com/channel/UCPCU1aZmWsSjhrCJl6pWkUQ</v>
      </c>
      <c r="K1619">
        <v>61</v>
      </c>
      <c r="N1619" t="s">
        <v>116</v>
      </c>
      <c r="O1619" t="s">
        <v>5837</v>
      </c>
      <c r="P1619" t="str">
        <f>HYPERLINK("https://www.youtube.com/channel/UCsuaQOOAfK9wf3DN5pga7cA")</f>
        <v>https://www.youtube.com/channel/UCsuaQOOAfK9wf3DN5pga7cA</v>
      </c>
      <c r="Q1619">
        <v>639761</v>
      </c>
      <c r="R1619" t="s">
        <v>60</v>
      </c>
      <c r="W1619">
        <v>0</v>
      </c>
      <c r="X1619">
        <v>0</v>
      </c>
      <c r="AE1619">
        <v>0</v>
      </c>
      <c r="AM1619" t="s">
        <v>52</v>
      </c>
      <c r="AN1619" t="s">
        <v>53</v>
      </c>
    </row>
    <row r="1620" spans="1:40">
      <c r="A1620" t="s">
        <v>2370</v>
      </c>
      <c r="B1620" t="s">
        <v>242</v>
      </c>
      <c r="C1620" t="s">
        <v>5833</v>
      </c>
      <c r="D1620" t="s">
        <v>5834</v>
      </c>
      <c r="E1620" t="s">
        <v>5844</v>
      </c>
      <c r="F1620" t="s">
        <v>95</v>
      </c>
      <c r="G1620" t="str">
        <f>HYPERLINK("https://www.youtube.com/watch?v=Xz7rvCJYqUY&amp;lc=UgwvnplhX6RdVnpXLrF4AaABAg")</f>
        <v>https://www.youtube.com/watch?v=Xz7rvCJYqUY&amp;lc=UgwvnplhX6RdVnpXLrF4AaABAg</v>
      </c>
      <c r="H1620" t="s">
        <v>46</v>
      </c>
      <c r="I1620" t="s">
        <v>5845</v>
      </c>
      <c r="J1620" t="str">
        <f>HYPERLINK("https://www.youtube.com/channel/UC_PSqiYaFcnnaXNsIoGIXaQ")</f>
        <v>https://www.youtube.com/channel/UC_PSqiYaFcnnaXNsIoGIXaQ</v>
      </c>
      <c r="K1620">
        <v>9</v>
      </c>
      <c r="L1620" t="s">
        <v>48</v>
      </c>
      <c r="N1620" t="s">
        <v>116</v>
      </c>
      <c r="O1620" t="s">
        <v>5837</v>
      </c>
      <c r="P1620" t="str">
        <f>HYPERLINK("https://www.youtube.com/channel/UCsuaQOOAfK9wf3DN5pga7cA")</f>
        <v>https://www.youtube.com/channel/UCsuaQOOAfK9wf3DN5pga7cA</v>
      </c>
      <c r="Q1620">
        <v>639761</v>
      </c>
      <c r="R1620" t="s">
        <v>60</v>
      </c>
      <c r="W1620">
        <v>0</v>
      </c>
      <c r="X1620">
        <v>0</v>
      </c>
      <c r="AE1620">
        <v>0</v>
      </c>
      <c r="AM1620" t="s">
        <v>52</v>
      </c>
      <c r="AN1620" t="s">
        <v>53</v>
      </c>
    </row>
    <row r="1621" spans="1:40">
      <c r="A1621" t="s">
        <v>2370</v>
      </c>
      <c r="B1621" t="s">
        <v>246</v>
      </c>
      <c r="C1621" t="s">
        <v>5833</v>
      </c>
      <c r="D1621" t="s">
        <v>5834</v>
      </c>
      <c r="E1621" t="s">
        <v>5846</v>
      </c>
      <c r="F1621" t="s">
        <v>95</v>
      </c>
      <c r="G1621" t="str">
        <f>HYPERLINK("https://www.youtube.com/watch?v=Xz7rvCJYqUY&amp;lc=Ugw7ogXZummDZzd9IL94AaABAg")</f>
        <v>https://www.youtube.com/watch?v=Xz7rvCJYqUY&amp;lc=Ugw7ogXZummDZzd9IL94AaABAg</v>
      </c>
      <c r="H1621" t="s">
        <v>46</v>
      </c>
      <c r="I1621" t="s">
        <v>5847</v>
      </c>
      <c r="J1621" t="str">
        <f>HYPERLINK("https://www.youtube.com/channel/UCMYIimSGpOYgTZxr9Mo4coA")</f>
        <v>https://www.youtube.com/channel/UCMYIimSGpOYgTZxr9Mo4coA</v>
      </c>
      <c r="K1621">
        <v>30</v>
      </c>
      <c r="L1621" t="s">
        <v>48</v>
      </c>
      <c r="N1621" t="s">
        <v>116</v>
      </c>
      <c r="O1621" t="s">
        <v>5837</v>
      </c>
      <c r="P1621" t="str">
        <f>HYPERLINK("https://www.youtube.com/channel/UCsuaQOOAfK9wf3DN5pga7cA")</f>
        <v>https://www.youtube.com/channel/UCsuaQOOAfK9wf3DN5pga7cA</v>
      </c>
      <c r="Q1621">
        <v>639761</v>
      </c>
      <c r="R1621" t="s">
        <v>60</v>
      </c>
      <c r="W1621">
        <v>0</v>
      </c>
      <c r="X1621">
        <v>0</v>
      </c>
      <c r="AE1621">
        <v>0</v>
      </c>
      <c r="AM1621" t="s">
        <v>52</v>
      </c>
      <c r="AN1621" t="s">
        <v>53</v>
      </c>
    </row>
    <row r="1622" spans="1:40">
      <c r="A1622" t="s">
        <v>2370</v>
      </c>
      <c r="B1622" t="s">
        <v>5848</v>
      </c>
      <c r="C1622" t="s">
        <v>5833</v>
      </c>
      <c r="D1622" t="s">
        <v>5834</v>
      </c>
      <c r="E1622" t="s">
        <v>5849</v>
      </c>
      <c r="F1622" t="s">
        <v>95</v>
      </c>
      <c r="G1622" t="str">
        <f>HYPERLINK("https://www.youtube.com/watch?v=Xz7rvCJYqUY&amp;lc=UgwKWJPNu7URl_oG5GJ4AaABAg")</f>
        <v>https://www.youtube.com/watch?v=Xz7rvCJYqUY&amp;lc=UgwKWJPNu7URl_oG5GJ4AaABAg</v>
      </c>
      <c r="H1622" t="s">
        <v>46</v>
      </c>
      <c r="I1622" t="s">
        <v>5850</v>
      </c>
      <c r="J1622" t="str">
        <f>HYPERLINK("https://www.youtube.com/channel/UCJkY1rgt7nPgCITR8DzkNTg")</f>
        <v>https://www.youtube.com/channel/UCJkY1rgt7nPgCITR8DzkNTg</v>
      </c>
      <c r="K1622">
        <v>0</v>
      </c>
      <c r="N1622" t="s">
        <v>116</v>
      </c>
      <c r="O1622" t="s">
        <v>5837</v>
      </c>
      <c r="P1622" t="str">
        <f>HYPERLINK("https://www.youtube.com/channel/UCsuaQOOAfK9wf3DN5pga7cA")</f>
        <v>https://www.youtube.com/channel/UCsuaQOOAfK9wf3DN5pga7cA</v>
      </c>
      <c r="Q1622">
        <v>639761</v>
      </c>
      <c r="R1622" t="s">
        <v>60</v>
      </c>
      <c r="W1622">
        <v>0</v>
      </c>
      <c r="X1622">
        <v>0</v>
      </c>
      <c r="AE1622">
        <v>0</v>
      </c>
      <c r="AM1622" t="s">
        <v>52</v>
      </c>
      <c r="AN1622" t="s">
        <v>53</v>
      </c>
    </row>
    <row r="1623" spans="1:40">
      <c r="A1623" t="s">
        <v>2370</v>
      </c>
      <c r="B1623" t="s">
        <v>5848</v>
      </c>
      <c r="C1623" t="s">
        <v>5821</v>
      </c>
      <c r="D1623" t="s">
        <v>1278</v>
      </c>
      <c r="E1623" t="s">
        <v>5851</v>
      </c>
      <c r="F1623" t="s">
        <v>45</v>
      </c>
      <c r="G1623" t="str">
        <f>HYPERLINK("https://www.kansascity.com/living/pets/article231896668.html#storylink=mainstage")</f>
        <v>https://www.kansascity.com/living/pets/article231896668.html#storylink=mainstage</v>
      </c>
      <c r="H1623" t="s">
        <v>46</v>
      </c>
      <c r="I1623" t="s">
        <v>1280</v>
      </c>
      <c r="J1623" t="str">
        <f>HYPERLINK("https://www.kansascity.com/living/pets/article231896668.html#storylink=mainstage")</f>
        <v>https://www.kansascity.com/living/pets/article231896668.html#storylink=mainstage</v>
      </c>
      <c r="L1623" t="s">
        <v>58</v>
      </c>
      <c r="N1623" t="s">
        <v>5852</v>
      </c>
      <c r="R1623" t="s">
        <v>357</v>
      </c>
      <c r="S1623" t="s">
        <v>51</v>
      </c>
      <c r="AM1623" t="s">
        <v>52</v>
      </c>
      <c r="AN1623" t="s">
        <v>53</v>
      </c>
    </row>
    <row r="1624" spans="1:40">
      <c r="A1624" t="s">
        <v>2370</v>
      </c>
      <c r="B1624" t="s">
        <v>5848</v>
      </c>
      <c r="C1624" t="s">
        <v>5853</v>
      </c>
      <c r="D1624" t="s">
        <v>52</v>
      </c>
      <c r="E1624" t="s">
        <v>130</v>
      </c>
      <c r="F1624" t="s">
        <v>131</v>
      </c>
      <c r="G1624" t="str">
        <f>HYPERLINK("https://twitter.com/2762378700/status/1143180938937081856")</f>
        <v>https://twitter.com/2762378700/status/1143180938937081856</v>
      </c>
      <c r="H1624" t="s">
        <v>46</v>
      </c>
      <c r="I1624" t="s">
        <v>5854</v>
      </c>
      <c r="J1624" t="str">
        <f>HYPERLINK("http://twitter.com/emzybabes123")</f>
        <v>http://twitter.com/emzybabes123</v>
      </c>
      <c r="K1624">
        <v>179</v>
      </c>
      <c r="L1624" t="s">
        <v>58</v>
      </c>
      <c r="N1624" t="s">
        <v>65</v>
      </c>
      <c r="R1624" t="s">
        <v>60</v>
      </c>
      <c r="S1624" t="s">
        <v>97</v>
      </c>
      <c r="T1624" t="s">
        <v>177</v>
      </c>
      <c r="U1624" t="s">
        <v>5855</v>
      </c>
      <c r="W1624">
        <v>0</v>
      </c>
      <c r="X1624">
        <v>0</v>
      </c>
      <c r="AE1624">
        <v>0</v>
      </c>
      <c r="AI1624" t="s">
        <v>108</v>
      </c>
      <c r="AJ1624" t="s">
        <v>52</v>
      </c>
      <c r="AK1624" t="s">
        <v>52</v>
      </c>
      <c r="AL1624" t="str">
        <f>HYPERLINK("https://pbs.twimg.com/media/D9XTkLWW4AAOYnJ.jpg")</f>
        <v>https://pbs.twimg.com/media/D9XTkLWW4AAOYnJ.jpg</v>
      </c>
      <c r="AM1624" t="s">
        <v>52</v>
      </c>
      <c r="AN1624" t="s">
        <v>53</v>
      </c>
    </row>
    <row r="1625" spans="1:40">
      <c r="A1625" t="s">
        <v>2370</v>
      </c>
      <c r="B1625" t="s">
        <v>5848</v>
      </c>
      <c r="C1625" t="s">
        <v>5833</v>
      </c>
      <c r="D1625" t="s">
        <v>5834</v>
      </c>
      <c r="E1625" t="s">
        <v>5856</v>
      </c>
      <c r="F1625" t="s">
        <v>95</v>
      </c>
      <c r="G1625" t="str">
        <f>HYPERLINK("https://www.youtube.com/watch?v=Xz7rvCJYqUY&amp;lc=Ugy4HJv08e1ga92YJRN4AaABAg")</f>
        <v>https://www.youtube.com/watch?v=Xz7rvCJYqUY&amp;lc=Ugy4HJv08e1ga92YJRN4AaABAg</v>
      </c>
      <c r="H1625" t="s">
        <v>46</v>
      </c>
      <c r="I1625" t="s">
        <v>5857</v>
      </c>
      <c r="J1625" t="str">
        <f>HYPERLINK("https://www.youtube.com/channel/UCBct9u2LD62Ox81UJzaPNAw")</f>
        <v>https://www.youtube.com/channel/UCBct9u2LD62Ox81UJzaPNAw</v>
      </c>
      <c r="K1625">
        <v>1</v>
      </c>
      <c r="N1625" t="s">
        <v>116</v>
      </c>
      <c r="O1625" t="s">
        <v>5837</v>
      </c>
      <c r="P1625" t="str">
        <f>HYPERLINK("https://www.youtube.com/channel/UCsuaQOOAfK9wf3DN5pga7cA")</f>
        <v>https://www.youtube.com/channel/UCsuaQOOAfK9wf3DN5pga7cA</v>
      </c>
      <c r="Q1625">
        <v>639761</v>
      </c>
      <c r="R1625" t="s">
        <v>60</v>
      </c>
      <c r="W1625">
        <v>0</v>
      </c>
      <c r="X1625">
        <v>0</v>
      </c>
      <c r="AE1625">
        <v>0</v>
      </c>
      <c r="AM1625" t="s">
        <v>52</v>
      </c>
      <c r="AN1625" t="s">
        <v>53</v>
      </c>
    </row>
    <row r="1626" spans="1:40">
      <c r="A1626" t="s">
        <v>2370</v>
      </c>
      <c r="B1626" t="s">
        <v>5858</v>
      </c>
      <c r="C1626" t="s">
        <v>5833</v>
      </c>
      <c r="D1626" t="s">
        <v>5834</v>
      </c>
      <c r="E1626" t="s">
        <v>5859</v>
      </c>
      <c r="F1626" t="s">
        <v>95</v>
      </c>
      <c r="G1626" t="str">
        <f>HYPERLINK("https://www.youtube.com/watch?v=Xz7rvCJYqUY&amp;lc=UgwuVQlity7HWLFakgt4AaABAg")</f>
        <v>https://www.youtube.com/watch?v=Xz7rvCJYqUY&amp;lc=UgwuVQlity7HWLFakgt4AaABAg</v>
      </c>
      <c r="H1626" t="s">
        <v>46</v>
      </c>
      <c r="I1626" t="s">
        <v>5860</v>
      </c>
      <c r="J1626" t="str">
        <f>HYPERLINK("https://www.youtube.com/channel/UCQO_6S7hVvoExLnIOUtpdGw")</f>
        <v>https://www.youtube.com/channel/UCQO_6S7hVvoExLnIOUtpdGw</v>
      </c>
      <c r="K1626">
        <v>143</v>
      </c>
      <c r="N1626" t="s">
        <v>116</v>
      </c>
      <c r="O1626" t="s">
        <v>5837</v>
      </c>
      <c r="P1626" t="str">
        <f>HYPERLINK("https://www.youtube.com/channel/UCsuaQOOAfK9wf3DN5pga7cA")</f>
        <v>https://www.youtube.com/channel/UCsuaQOOAfK9wf3DN5pga7cA</v>
      </c>
      <c r="Q1626">
        <v>639761</v>
      </c>
      <c r="R1626" t="s">
        <v>60</v>
      </c>
      <c r="S1626" t="s">
        <v>432</v>
      </c>
      <c r="W1626">
        <v>0</v>
      </c>
      <c r="X1626">
        <v>0</v>
      </c>
      <c r="AE1626">
        <v>0</v>
      </c>
      <c r="AM1626" t="s">
        <v>52</v>
      </c>
      <c r="AN1626" t="s">
        <v>53</v>
      </c>
    </row>
    <row r="1627" spans="1:40">
      <c r="A1627" t="s">
        <v>2370</v>
      </c>
      <c r="B1627" t="s">
        <v>5858</v>
      </c>
      <c r="C1627" t="s">
        <v>5833</v>
      </c>
      <c r="D1627" t="s">
        <v>5834</v>
      </c>
      <c r="E1627" t="s">
        <v>5861</v>
      </c>
      <c r="F1627" t="s">
        <v>95</v>
      </c>
      <c r="G1627" t="str">
        <f>HYPERLINK("https://www.youtube.com/watch?v=Xz7rvCJYqUY&amp;lc=Ugwl2OIIAAhk-F6o5Yl4AaABAg")</f>
        <v>https://www.youtube.com/watch?v=Xz7rvCJYqUY&amp;lc=Ugwl2OIIAAhk-F6o5Yl4AaABAg</v>
      </c>
      <c r="H1627" t="s">
        <v>46</v>
      </c>
      <c r="I1627" t="s">
        <v>5862</v>
      </c>
      <c r="J1627" t="str">
        <f>HYPERLINK("https://www.youtube.com/channel/UCAxz_E4HB7uj2OCYNgoiBfw")</f>
        <v>https://www.youtube.com/channel/UCAxz_E4HB7uj2OCYNgoiBfw</v>
      </c>
      <c r="K1627">
        <v>0</v>
      </c>
      <c r="L1627" t="s">
        <v>48</v>
      </c>
      <c r="N1627" t="s">
        <v>116</v>
      </c>
      <c r="O1627" t="s">
        <v>5837</v>
      </c>
      <c r="P1627" t="str">
        <f>HYPERLINK("https://www.youtube.com/channel/UCsuaQOOAfK9wf3DN5pga7cA")</f>
        <v>https://www.youtube.com/channel/UCsuaQOOAfK9wf3DN5pga7cA</v>
      </c>
      <c r="Q1627">
        <v>639761</v>
      </c>
      <c r="R1627" t="s">
        <v>60</v>
      </c>
      <c r="W1627">
        <v>0</v>
      </c>
      <c r="X1627">
        <v>0</v>
      </c>
      <c r="AE1627">
        <v>0</v>
      </c>
      <c r="AM1627" t="s">
        <v>52</v>
      </c>
      <c r="AN1627" t="s">
        <v>53</v>
      </c>
    </row>
    <row r="1628" spans="1:40">
      <c r="A1628" t="s">
        <v>2370</v>
      </c>
      <c r="B1628" t="s">
        <v>5858</v>
      </c>
      <c r="C1628" t="s">
        <v>5833</v>
      </c>
      <c r="D1628" t="s">
        <v>5834</v>
      </c>
      <c r="E1628" t="s">
        <v>5863</v>
      </c>
      <c r="F1628" t="s">
        <v>95</v>
      </c>
      <c r="G1628" t="str">
        <f>HYPERLINK("https://www.youtube.com/watch?v=Xz7rvCJYqUY&amp;lc=UgxPHdrC0Fdg23tCrtt4AaABAg")</f>
        <v>https://www.youtube.com/watch?v=Xz7rvCJYqUY&amp;lc=UgxPHdrC0Fdg23tCrtt4AaABAg</v>
      </c>
      <c r="H1628" t="s">
        <v>46</v>
      </c>
      <c r="I1628" t="s">
        <v>5864</v>
      </c>
      <c r="J1628" t="str">
        <f>HYPERLINK("https://www.youtube.com/channel/UCphjkyiGeewg65u6nP6TTrw")</f>
        <v>https://www.youtube.com/channel/UCphjkyiGeewg65u6nP6TTrw</v>
      </c>
      <c r="K1628">
        <v>15</v>
      </c>
      <c r="N1628" t="s">
        <v>116</v>
      </c>
      <c r="O1628" t="s">
        <v>5837</v>
      </c>
      <c r="P1628" t="str">
        <f>HYPERLINK("https://www.youtube.com/channel/UCsuaQOOAfK9wf3DN5pga7cA")</f>
        <v>https://www.youtube.com/channel/UCsuaQOOAfK9wf3DN5pga7cA</v>
      </c>
      <c r="Q1628">
        <v>639761</v>
      </c>
      <c r="R1628" t="s">
        <v>60</v>
      </c>
      <c r="W1628">
        <v>0</v>
      </c>
      <c r="X1628">
        <v>0</v>
      </c>
      <c r="AE1628">
        <v>0</v>
      </c>
      <c r="AM1628" t="s">
        <v>52</v>
      </c>
      <c r="AN1628" t="s">
        <v>53</v>
      </c>
    </row>
    <row r="1629" spans="1:40">
      <c r="A1629" t="s">
        <v>2370</v>
      </c>
      <c r="B1629" t="s">
        <v>5858</v>
      </c>
      <c r="C1629" t="s">
        <v>5833</v>
      </c>
      <c r="D1629" t="s">
        <v>5834</v>
      </c>
      <c r="E1629" t="s">
        <v>5865</v>
      </c>
      <c r="F1629" t="s">
        <v>95</v>
      </c>
      <c r="G1629" t="str">
        <f>HYPERLINK("https://www.youtube.com/watch?v=Xz7rvCJYqUY&amp;lc=UgxnSt6nhQvfWOeDLql4AaABAg")</f>
        <v>https://www.youtube.com/watch?v=Xz7rvCJYqUY&amp;lc=UgxnSt6nhQvfWOeDLql4AaABAg</v>
      </c>
      <c r="H1629" t="s">
        <v>46</v>
      </c>
      <c r="I1629" t="s">
        <v>5866</v>
      </c>
      <c r="J1629" t="str">
        <f>HYPERLINK("https://www.youtube.com/channel/UCAiH0hHG6w8-7XMOS3bmASQ")</f>
        <v>https://www.youtube.com/channel/UCAiH0hHG6w8-7XMOS3bmASQ</v>
      </c>
      <c r="K1629">
        <v>252</v>
      </c>
      <c r="N1629" t="s">
        <v>116</v>
      </c>
      <c r="O1629" t="s">
        <v>5837</v>
      </c>
      <c r="P1629" t="str">
        <f>HYPERLINK("https://www.youtube.com/channel/UCsuaQOOAfK9wf3DN5pga7cA")</f>
        <v>https://www.youtube.com/channel/UCsuaQOOAfK9wf3DN5pga7cA</v>
      </c>
      <c r="Q1629">
        <v>639761</v>
      </c>
      <c r="R1629" t="s">
        <v>60</v>
      </c>
      <c r="S1629" t="s">
        <v>432</v>
      </c>
      <c r="W1629">
        <v>0</v>
      </c>
      <c r="X1629">
        <v>0</v>
      </c>
      <c r="AE1629">
        <v>0</v>
      </c>
      <c r="AM1629" t="s">
        <v>52</v>
      </c>
      <c r="AN1629" t="s">
        <v>53</v>
      </c>
    </row>
    <row r="1630" spans="1:40">
      <c r="A1630" t="s">
        <v>2370</v>
      </c>
      <c r="B1630" t="s">
        <v>5867</v>
      </c>
      <c r="C1630" t="s">
        <v>5868</v>
      </c>
      <c r="D1630" t="s">
        <v>52</v>
      </c>
      <c r="E1630" t="s">
        <v>5869</v>
      </c>
      <c r="F1630" t="s">
        <v>71</v>
      </c>
      <c r="G1630" t="str">
        <f>HYPERLINK("https://twitter.com/736698546/status/1143180474438881281")</f>
        <v>https://twitter.com/736698546/status/1143180474438881281</v>
      </c>
      <c r="H1630" t="s">
        <v>46</v>
      </c>
      <c r="I1630" t="s">
        <v>5870</v>
      </c>
      <c r="J1630" t="str">
        <f>HYPERLINK("http://twitter.com/taralew51233003")</f>
        <v>http://twitter.com/taralew51233003</v>
      </c>
      <c r="K1630">
        <v>63</v>
      </c>
      <c r="N1630" t="s">
        <v>65</v>
      </c>
      <c r="R1630" t="s">
        <v>60</v>
      </c>
      <c r="S1630" t="s">
        <v>51</v>
      </c>
      <c r="T1630" t="s">
        <v>73</v>
      </c>
      <c r="U1630" t="s">
        <v>5871</v>
      </c>
      <c r="W1630">
        <v>0</v>
      </c>
      <c r="X1630">
        <v>0</v>
      </c>
      <c r="AE1630">
        <v>0</v>
      </c>
      <c r="AF1630">
        <v>0</v>
      </c>
      <c r="AI1630" t="s">
        <v>108</v>
      </c>
      <c r="AJ1630" t="s">
        <v>52</v>
      </c>
      <c r="AK1630" t="s">
        <v>52</v>
      </c>
      <c r="AL1630" t="str">
        <f>HYPERLINK("https://pbs.twimg.com/tweet_video_thumb/D9cjm2HUYAAJ9R9.jpg")</f>
        <v>https://pbs.twimg.com/tweet_video_thumb/D9cjm2HUYAAJ9R9.jpg</v>
      </c>
      <c r="AM1630" t="s">
        <v>52</v>
      </c>
      <c r="AN1630" t="s">
        <v>53</v>
      </c>
    </row>
    <row r="1631" spans="1:40">
      <c r="A1631" t="s">
        <v>2370</v>
      </c>
      <c r="B1631" t="s">
        <v>5867</v>
      </c>
      <c r="C1631" t="s">
        <v>5872</v>
      </c>
      <c r="D1631" t="s">
        <v>52</v>
      </c>
      <c r="E1631" t="s">
        <v>5873</v>
      </c>
      <c r="F1631" t="s">
        <v>45</v>
      </c>
      <c r="G1631" t="str">
        <f>HYPERLINK("https://www.instagram.com/p/BzGQJxpJABw")</f>
        <v>https://www.instagram.com/p/BzGQJxpJABw</v>
      </c>
      <c r="H1631" t="s">
        <v>215</v>
      </c>
      <c r="I1631" t="s">
        <v>5874</v>
      </c>
      <c r="J1631" t="str">
        <f>HYPERLINK("http://instagram.com/mysnoozyworld")</f>
        <v>http://instagram.com/mysnoozyworld</v>
      </c>
      <c r="K1631">
        <v>480</v>
      </c>
      <c r="L1631" t="s">
        <v>58</v>
      </c>
      <c r="N1631" t="s">
        <v>59</v>
      </c>
      <c r="O1631" t="s">
        <v>5874</v>
      </c>
      <c r="P1631" t="str">
        <f>HYPERLINK("http://instagram.com/mysnoozyworld")</f>
        <v>http://instagram.com/mysnoozyworld</v>
      </c>
      <c r="Q1631">
        <v>480</v>
      </c>
      <c r="R1631" t="s">
        <v>60</v>
      </c>
      <c r="W1631">
        <v>13</v>
      </c>
      <c r="X1631">
        <v>13</v>
      </c>
      <c r="AE1631">
        <v>0</v>
      </c>
      <c r="AI1631" t="s">
        <v>108</v>
      </c>
      <c r="AJ1631" t="s">
        <v>5875</v>
      </c>
      <c r="AK1631" t="s">
        <v>52</v>
      </c>
      <c r="AL1631" t="str">
        <f>HYPERLINK("https://www.instagram.com/p/BzGQJxpJABw/media/?size=l")</f>
        <v>https://www.instagram.com/p/BzGQJxpJABw/media/?size=l</v>
      </c>
      <c r="AM1631" t="s">
        <v>52</v>
      </c>
      <c r="AN1631" t="s">
        <v>53</v>
      </c>
    </row>
    <row r="1632" spans="1:40">
      <c r="A1632" t="s">
        <v>2370</v>
      </c>
      <c r="B1632" t="s">
        <v>5867</v>
      </c>
      <c r="C1632" t="s">
        <v>5833</v>
      </c>
      <c r="D1632" t="s">
        <v>5834</v>
      </c>
      <c r="E1632" t="s">
        <v>5876</v>
      </c>
      <c r="F1632" t="s">
        <v>95</v>
      </c>
      <c r="G1632" t="str">
        <f>HYPERLINK("https://www.youtube.com/watch?v=Xz7rvCJYqUY&amp;lc=Ugzv89XvVl6qHWki22h4AaABAg")</f>
        <v>https://www.youtube.com/watch?v=Xz7rvCJYqUY&amp;lc=Ugzv89XvVl6qHWki22h4AaABAg</v>
      </c>
      <c r="H1632" t="s">
        <v>46</v>
      </c>
      <c r="I1632" t="s">
        <v>5877</v>
      </c>
      <c r="J1632" t="str">
        <f>HYPERLINK("https://www.youtube.com/channel/UC3DoWDlTKbdZ1x7_qguST8Q")</f>
        <v>https://www.youtube.com/channel/UC3DoWDlTKbdZ1x7_qguST8Q</v>
      </c>
      <c r="K1632">
        <v>25</v>
      </c>
      <c r="N1632" t="s">
        <v>116</v>
      </c>
      <c r="O1632" t="s">
        <v>5837</v>
      </c>
      <c r="P1632" t="str">
        <f>HYPERLINK("https://www.youtube.com/channel/UCsuaQOOAfK9wf3DN5pga7cA")</f>
        <v>https://www.youtube.com/channel/UCsuaQOOAfK9wf3DN5pga7cA</v>
      </c>
      <c r="Q1632">
        <v>639761</v>
      </c>
      <c r="R1632" t="s">
        <v>60</v>
      </c>
      <c r="W1632">
        <v>0</v>
      </c>
      <c r="X1632">
        <v>0</v>
      </c>
      <c r="AE1632">
        <v>0</v>
      </c>
      <c r="AM1632" t="s">
        <v>52</v>
      </c>
      <c r="AN1632" t="s">
        <v>53</v>
      </c>
    </row>
    <row r="1633" spans="1:40">
      <c r="A1633" t="s">
        <v>2370</v>
      </c>
      <c r="B1633" t="s">
        <v>5867</v>
      </c>
      <c r="C1633" t="s">
        <v>5878</v>
      </c>
      <c r="D1633" t="s">
        <v>52</v>
      </c>
      <c r="E1633" t="s">
        <v>1194</v>
      </c>
      <c r="F1633" t="s">
        <v>131</v>
      </c>
      <c r="G1633" t="str">
        <f>HYPERLINK("https://twitter.com/326840937/status/1143180446731317248")</f>
        <v>https://twitter.com/326840937/status/1143180446731317248</v>
      </c>
      <c r="H1633" t="s">
        <v>46</v>
      </c>
      <c r="I1633" t="s">
        <v>5879</v>
      </c>
      <c r="J1633" t="str">
        <f>HYPERLINK("http://twitter.com/DanteXX92")</f>
        <v>http://twitter.com/DanteXX92</v>
      </c>
      <c r="K1633">
        <v>129</v>
      </c>
      <c r="N1633" t="s">
        <v>65</v>
      </c>
      <c r="R1633" t="s">
        <v>60</v>
      </c>
      <c r="S1633" t="s">
        <v>142</v>
      </c>
      <c r="T1633" t="s">
        <v>5880</v>
      </c>
      <c r="U1633" t="s">
        <v>5881</v>
      </c>
      <c r="W1633">
        <v>0</v>
      </c>
      <c r="X1633">
        <v>0</v>
      </c>
      <c r="AE1633">
        <v>0</v>
      </c>
      <c r="AI1633" t="s">
        <v>52</v>
      </c>
      <c r="AJ1633" t="s">
        <v>1196</v>
      </c>
      <c r="AK1633" t="s">
        <v>52</v>
      </c>
      <c r="AL1633" t="str">
        <f>HYPERLINK("https://pbs.twimg.com/media/D9xgk2YXkAAd2ql.jpg")</f>
        <v>https://pbs.twimg.com/media/D9xgk2YXkAAd2ql.jpg</v>
      </c>
      <c r="AM1633" t="s">
        <v>52</v>
      </c>
      <c r="AN1633" t="s">
        <v>53</v>
      </c>
    </row>
    <row r="1634" spans="1:40">
      <c r="A1634" t="s">
        <v>2370</v>
      </c>
      <c r="B1634" t="s">
        <v>5867</v>
      </c>
      <c r="C1634" t="s">
        <v>5833</v>
      </c>
      <c r="D1634" t="s">
        <v>5834</v>
      </c>
      <c r="E1634" t="s">
        <v>5882</v>
      </c>
      <c r="F1634" t="s">
        <v>95</v>
      </c>
      <c r="G1634" t="str">
        <f>HYPERLINK("https://www.youtube.com/watch?v=Xz7rvCJYqUY&amp;lc=UgxjCd2jpH5Y9qup83h4AaABAg")</f>
        <v>https://www.youtube.com/watch?v=Xz7rvCJYqUY&amp;lc=UgxjCd2jpH5Y9qup83h4AaABAg</v>
      </c>
      <c r="H1634" t="s">
        <v>46</v>
      </c>
      <c r="I1634" t="s">
        <v>5883</v>
      </c>
      <c r="J1634" t="str">
        <f>HYPERLINK("https://www.youtube.com/channel/UCetpktPZ4Np8kRUKtqkoFwA")</f>
        <v>https://www.youtube.com/channel/UCetpktPZ4Np8kRUKtqkoFwA</v>
      </c>
      <c r="K1634">
        <v>0</v>
      </c>
      <c r="L1634" t="s">
        <v>48</v>
      </c>
      <c r="N1634" t="s">
        <v>116</v>
      </c>
      <c r="O1634" t="s">
        <v>5837</v>
      </c>
      <c r="P1634" t="str">
        <f>HYPERLINK("https://www.youtube.com/channel/UCsuaQOOAfK9wf3DN5pga7cA")</f>
        <v>https://www.youtube.com/channel/UCsuaQOOAfK9wf3DN5pga7cA</v>
      </c>
      <c r="Q1634">
        <v>639761</v>
      </c>
      <c r="R1634" t="s">
        <v>60</v>
      </c>
      <c r="W1634">
        <v>0</v>
      </c>
      <c r="X1634">
        <v>0</v>
      </c>
      <c r="AE1634">
        <v>0</v>
      </c>
      <c r="AM1634" t="s">
        <v>52</v>
      </c>
      <c r="AN1634" t="s">
        <v>53</v>
      </c>
    </row>
    <row r="1635" spans="1:40">
      <c r="A1635" t="s">
        <v>2370</v>
      </c>
      <c r="B1635" t="s">
        <v>5867</v>
      </c>
      <c r="C1635" t="s">
        <v>5833</v>
      </c>
      <c r="D1635" t="s">
        <v>5834</v>
      </c>
      <c r="E1635" t="s">
        <v>5884</v>
      </c>
      <c r="F1635" t="s">
        <v>95</v>
      </c>
      <c r="G1635" t="str">
        <f>HYPERLINK("https://www.youtube.com/watch?v=Xz7rvCJYqUY&amp;lc=UgxIqsf_g3u1AEigHXR4AaABAg")</f>
        <v>https://www.youtube.com/watch?v=Xz7rvCJYqUY&amp;lc=UgxIqsf_g3u1AEigHXR4AaABAg</v>
      </c>
      <c r="H1635" t="s">
        <v>46</v>
      </c>
      <c r="I1635" t="s">
        <v>5885</v>
      </c>
      <c r="J1635" t="str">
        <f>HYPERLINK("https://www.youtube.com/channel/UCq5XL6iGfOae9FZFUaF5AvA")</f>
        <v>https://www.youtube.com/channel/UCq5XL6iGfOae9FZFUaF5AvA</v>
      </c>
      <c r="K1635">
        <v>0</v>
      </c>
      <c r="L1635" t="s">
        <v>48</v>
      </c>
      <c r="N1635" t="s">
        <v>116</v>
      </c>
      <c r="O1635" t="s">
        <v>5837</v>
      </c>
      <c r="P1635" t="str">
        <f>HYPERLINK("https://www.youtube.com/channel/UCsuaQOOAfK9wf3DN5pga7cA")</f>
        <v>https://www.youtube.com/channel/UCsuaQOOAfK9wf3DN5pga7cA</v>
      </c>
      <c r="Q1635">
        <v>639761</v>
      </c>
      <c r="R1635" t="s">
        <v>60</v>
      </c>
      <c r="W1635">
        <v>1</v>
      </c>
      <c r="X1635">
        <v>1</v>
      </c>
      <c r="AE1635">
        <v>0</v>
      </c>
      <c r="AM1635" t="s">
        <v>52</v>
      </c>
      <c r="AN1635" t="s">
        <v>53</v>
      </c>
    </row>
    <row r="1636" spans="1:40">
      <c r="A1636" t="s">
        <v>2370</v>
      </c>
      <c r="B1636" t="s">
        <v>5867</v>
      </c>
      <c r="C1636" t="s">
        <v>5886</v>
      </c>
      <c r="D1636" t="s">
        <v>5887</v>
      </c>
      <c r="E1636" t="s">
        <v>5887</v>
      </c>
      <c r="F1636" t="s">
        <v>45</v>
      </c>
      <c r="G1636" t="str">
        <f>HYPERLINK("https://www.youtube.com/watch?v=96lP2AYmwsM")</f>
        <v>https://www.youtube.com/watch?v=96lP2AYmwsM</v>
      </c>
      <c r="H1636" t="s">
        <v>46</v>
      </c>
      <c r="I1636" t="s">
        <v>5888</v>
      </c>
      <c r="J1636" t="str">
        <f>HYPERLINK("https://www.youtube.com/channel/UCZcALwzUgrkKvtJvWgTpTyQ")</f>
        <v>https://www.youtube.com/channel/UCZcALwzUgrkKvtJvWgTpTyQ</v>
      </c>
      <c r="K1636">
        <v>196</v>
      </c>
      <c r="N1636" t="s">
        <v>116</v>
      </c>
      <c r="O1636" t="s">
        <v>5888</v>
      </c>
      <c r="P1636" t="str">
        <f>HYPERLINK("https://www.youtube.com/channel/UCZcALwzUgrkKvtJvWgTpTyQ")</f>
        <v>https://www.youtube.com/channel/UCZcALwzUgrkKvtJvWgTpTyQ</v>
      </c>
      <c r="Q1636">
        <v>196</v>
      </c>
      <c r="R1636" t="s">
        <v>60</v>
      </c>
      <c r="W1636">
        <v>0</v>
      </c>
      <c r="X1636">
        <v>0</v>
      </c>
      <c r="AD1636">
        <v>2</v>
      </c>
      <c r="AE1636">
        <v>3</v>
      </c>
      <c r="AG1636">
        <v>12</v>
      </c>
      <c r="AI1636" t="s">
        <v>52</v>
      </c>
      <c r="AJ1636" t="s">
        <v>5889</v>
      </c>
      <c r="AK1636" t="s">
        <v>52</v>
      </c>
      <c r="AL1636" t="str">
        <f>HYPERLINK("https://i.ytimg.com/vi/96lP2AYmwsM/hqdefault.jpg")</f>
        <v>https://i.ytimg.com/vi/96lP2AYmwsM/hqdefault.jpg</v>
      </c>
      <c r="AM1636" t="s">
        <v>52</v>
      </c>
      <c r="AN1636" t="s">
        <v>53</v>
      </c>
    </row>
    <row r="1637" spans="1:40">
      <c r="A1637" t="s">
        <v>2370</v>
      </c>
      <c r="B1637" t="s">
        <v>5867</v>
      </c>
      <c r="C1637" t="s">
        <v>5833</v>
      </c>
      <c r="D1637" t="s">
        <v>5834</v>
      </c>
      <c r="E1637" t="s">
        <v>5890</v>
      </c>
      <c r="F1637" t="s">
        <v>95</v>
      </c>
      <c r="G1637" t="str">
        <f>HYPERLINK("https://www.youtube.com/watch?v=Xz7rvCJYqUY&amp;lc=Ugz0hdpQSFODn7RoIdZ4AaABAg")</f>
        <v>https://www.youtube.com/watch?v=Xz7rvCJYqUY&amp;lc=Ugz0hdpQSFODn7RoIdZ4AaABAg</v>
      </c>
      <c r="H1637" t="s">
        <v>46</v>
      </c>
      <c r="I1637" t="s">
        <v>5891</v>
      </c>
      <c r="J1637" t="str">
        <f>HYPERLINK("https://www.youtube.com/channel/UCaoSyahP3mcxg5ZkCqC8F2g")</f>
        <v>https://www.youtube.com/channel/UCaoSyahP3mcxg5ZkCqC8F2g</v>
      </c>
      <c r="K1637">
        <v>1</v>
      </c>
      <c r="N1637" t="s">
        <v>116</v>
      </c>
      <c r="O1637" t="s">
        <v>5837</v>
      </c>
      <c r="P1637" t="str">
        <f>HYPERLINK("https://www.youtube.com/channel/UCsuaQOOAfK9wf3DN5pga7cA")</f>
        <v>https://www.youtube.com/channel/UCsuaQOOAfK9wf3DN5pga7cA</v>
      </c>
      <c r="Q1637">
        <v>639761</v>
      </c>
      <c r="R1637" t="s">
        <v>60</v>
      </c>
      <c r="W1637">
        <v>0</v>
      </c>
      <c r="X1637">
        <v>0</v>
      </c>
      <c r="AE1637">
        <v>2</v>
      </c>
      <c r="AM1637" t="s">
        <v>52</v>
      </c>
      <c r="AN1637" t="s">
        <v>53</v>
      </c>
    </row>
    <row r="1638" spans="1:40">
      <c r="A1638" t="s">
        <v>2370</v>
      </c>
      <c r="B1638" t="s">
        <v>5892</v>
      </c>
      <c r="C1638" t="s">
        <v>5833</v>
      </c>
      <c r="D1638" t="s">
        <v>5834</v>
      </c>
      <c r="E1638" t="s">
        <v>5893</v>
      </c>
      <c r="F1638" t="s">
        <v>95</v>
      </c>
      <c r="G1638" t="str">
        <f>HYPERLINK("https://www.youtube.com/watch?v=Xz7rvCJYqUY&amp;lc=UgxOXF_repP_tq2l7nZ4AaABAg")</f>
        <v>https://www.youtube.com/watch?v=Xz7rvCJYqUY&amp;lc=UgxOXF_repP_tq2l7nZ4AaABAg</v>
      </c>
      <c r="H1638" t="s">
        <v>46</v>
      </c>
      <c r="I1638" t="s">
        <v>5894</v>
      </c>
      <c r="J1638" t="str">
        <f>HYPERLINK("https://www.youtube.com/channel/UC87B2RtsV2MUC3nJhuYjPhA")</f>
        <v>https://www.youtube.com/channel/UC87B2RtsV2MUC3nJhuYjPhA</v>
      </c>
      <c r="K1638">
        <v>1</v>
      </c>
      <c r="N1638" t="s">
        <v>116</v>
      </c>
      <c r="O1638" t="s">
        <v>5837</v>
      </c>
      <c r="P1638" t="str">
        <f>HYPERLINK("https://www.youtube.com/channel/UCsuaQOOAfK9wf3DN5pga7cA")</f>
        <v>https://www.youtube.com/channel/UCsuaQOOAfK9wf3DN5pga7cA</v>
      </c>
      <c r="Q1638">
        <v>639761</v>
      </c>
      <c r="R1638" t="s">
        <v>60</v>
      </c>
      <c r="W1638">
        <v>0</v>
      </c>
      <c r="X1638">
        <v>0</v>
      </c>
      <c r="AE1638">
        <v>0</v>
      </c>
      <c r="AM1638" t="s">
        <v>52</v>
      </c>
      <c r="AN1638" t="s">
        <v>53</v>
      </c>
    </row>
    <row r="1639" spans="1:40">
      <c r="A1639" t="s">
        <v>2370</v>
      </c>
      <c r="B1639" t="s">
        <v>5892</v>
      </c>
      <c r="C1639" t="s">
        <v>5833</v>
      </c>
      <c r="D1639" t="s">
        <v>5834</v>
      </c>
      <c r="E1639" t="s">
        <v>5895</v>
      </c>
      <c r="F1639" t="s">
        <v>95</v>
      </c>
      <c r="G1639" t="str">
        <f>HYPERLINK("https://www.youtube.com/watch?v=Xz7rvCJYqUY&amp;lc=UgygKYZpin-iCUDFTTR4AaABAg")</f>
        <v>https://www.youtube.com/watch?v=Xz7rvCJYqUY&amp;lc=UgygKYZpin-iCUDFTTR4AaABAg</v>
      </c>
      <c r="H1639" t="s">
        <v>46</v>
      </c>
      <c r="I1639" t="s">
        <v>5896</v>
      </c>
      <c r="J1639" t="str">
        <f>HYPERLINK("https://www.youtube.com/channel/UCuXGEEpVjCme0ZUIaHujLkg")</f>
        <v>https://www.youtube.com/channel/UCuXGEEpVjCme0ZUIaHujLkg</v>
      </c>
      <c r="K1639">
        <v>1</v>
      </c>
      <c r="L1639" t="s">
        <v>48</v>
      </c>
      <c r="N1639" t="s">
        <v>116</v>
      </c>
      <c r="O1639" t="s">
        <v>5837</v>
      </c>
      <c r="P1639" t="str">
        <f>HYPERLINK("https://www.youtube.com/channel/UCsuaQOOAfK9wf3DN5pga7cA")</f>
        <v>https://www.youtube.com/channel/UCsuaQOOAfK9wf3DN5pga7cA</v>
      </c>
      <c r="Q1639">
        <v>639761</v>
      </c>
      <c r="R1639" t="s">
        <v>60</v>
      </c>
      <c r="W1639">
        <v>0</v>
      </c>
      <c r="X1639">
        <v>0</v>
      </c>
      <c r="AE1639">
        <v>0</v>
      </c>
      <c r="AM1639" t="s">
        <v>52</v>
      </c>
      <c r="AN1639" t="s">
        <v>53</v>
      </c>
    </row>
    <row r="1640" spans="1:40">
      <c r="A1640" t="s">
        <v>2370</v>
      </c>
      <c r="B1640" t="s">
        <v>5892</v>
      </c>
      <c r="C1640" t="s">
        <v>5833</v>
      </c>
      <c r="D1640" t="s">
        <v>5834</v>
      </c>
      <c r="E1640" t="s">
        <v>5897</v>
      </c>
      <c r="F1640" t="s">
        <v>95</v>
      </c>
      <c r="G1640" t="str">
        <f>HYPERLINK("https://www.youtube.com/watch?v=Xz7rvCJYqUY&amp;lc=UgzrOZMyG6uaB6VMyK54AaABAg")</f>
        <v>https://www.youtube.com/watch?v=Xz7rvCJYqUY&amp;lc=UgzrOZMyG6uaB6VMyK54AaABAg</v>
      </c>
      <c r="H1640" t="s">
        <v>46</v>
      </c>
      <c r="I1640" t="s">
        <v>5898</v>
      </c>
      <c r="J1640" t="str">
        <f>HYPERLINK("https://www.youtube.com/channel/UCobZpQo1LZMvOLzh196WZyQ")</f>
        <v>https://www.youtube.com/channel/UCobZpQo1LZMvOLzh196WZyQ</v>
      </c>
      <c r="K1640">
        <v>2</v>
      </c>
      <c r="N1640" t="s">
        <v>116</v>
      </c>
      <c r="O1640" t="s">
        <v>5837</v>
      </c>
      <c r="P1640" t="str">
        <f>HYPERLINK("https://www.youtube.com/channel/UCsuaQOOAfK9wf3DN5pga7cA")</f>
        <v>https://www.youtube.com/channel/UCsuaQOOAfK9wf3DN5pga7cA</v>
      </c>
      <c r="Q1640">
        <v>639761</v>
      </c>
      <c r="R1640" t="s">
        <v>60</v>
      </c>
      <c r="W1640">
        <v>0</v>
      </c>
      <c r="X1640">
        <v>0</v>
      </c>
      <c r="AE1640">
        <v>0</v>
      </c>
      <c r="AM1640" t="s">
        <v>52</v>
      </c>
      <c r="AN1640" t="s">
        <v>53</v>
      </c>
    </row>
    <row r="1641" spans="1:40">
      <c r="A1641" t="s">
        <v>2370</v>
      </c>
      <c r="B1641" t="s">
        <v>5892</v>
      </c>
      <c r="C1641" t="s">
        <v>5833</v>
      </c>
      <c r="D1641" t="s">
        <v>5834</v>
      </c>
      <c r="E1641" t="s">
        <v>5899</v>
      </c>
      <c r="F1641" t="s">
        <v>95</v>
      </c>
      <c r="G1641" t="str">
        <f>HYPERLINK("https://www.youtube.com/watch?v=Xz7rvCJYqUY&amp;lc=UgwIit4MIadcx106qsR4AaABAg")</f>
        <v>https://www.youtube.com/watch?v=Xz7rvCJYqUY&amp;lc=UgwIit4MIadcx106qsR4AaABAg</v>
      </c>
      <c r="H1641" t="s">
        <v>46</v>
      </c>
      <c r="I1641" t="s">
        <v>5896</v>
      </c>
      <c r="J1641" t="str">
        <f>HYPERLINK("https://www.youtube.com/channel/UCuXGEEpVjCme0ZUIaHujLkg")</f>
        <v>https://www.youtube.com/channel/UCuXGEEpVjCme0ZUIaHujLkg</v>
      </c>
      <c r="K1641">
        <v>1</v>
      </c>
      <c r="L1641" t="s">
        <v>48</v>
      </c>
      <c r="N1641" t="s">
        <v>116</v>
      </c>
      <c r="O1641" t="s">
        <v>5837</v>
      </c>
      <c r="P1641" t="str">
        <f>HYPERLINK("https://www.youtube.com/channel/UCsuaQOOAfK9wf3DN5pga7cA")</f>
        <v>https://www.youtube.com/channel/UCsuaQOOAfK9wf3DN5pga7cA</v>
      </c>
      <c r="Q1641">
        <v>639761</v>
      </c>
      <c r="R1641" t="s">
        <v>60</v>
      </c>
      <c r="W1641">
        <v>1</v>
      </c>
      <c r="X1641">
        <v>1</v>
      </c>
      <c r="AE1641">
        <v>0</v>
      </c>
      <c r="AM1641" t="s">
        <v>52</v>
      </c>
      <c r="AN1641" t="s">
        <v>53</v>
      </c>
    </row>
    <row r="1642" spans="1:40">
      <c r="A1642" t="s">
        <v>2370</v>
      </c>
      <c r="B1642" t="s">
        <v>5892</v>
      </c>
      <c r="C1642" t="s">
        <v>5900</v>
      </c>
      <c r="D1642" t="s">
        <v>52</v>
      </c>
      <c r="E1642" t="s">
        <v>5901</v>
      </c>
      <c r="F1642" t="s">
        <v>45</v>
      </c>
      <c r="G1642" t="str">
        <f>HYPERLINK("https://www.instagram.com/p/BzGPyoFFAu3")</f>
        <v>https://www.instagram.com/p/BzGPyoFFAu3</v>
      </c>
      <c r="H1642" t="s">
        <v>46</v>
      </c>
      <c r="I1642" t="s">
        <v>5902</v>
      </c>
      <c r="J1642" t="str">
        <f>HYPERLINK("http://instagram.com/juczyymakesedits")</f>
        <v>http://instagram.com/juczyymakesedits</v>
      </c>
      <c r="K1642">
        <v>7</v>
      </c>
      <c r="N1642" t="s">
        <v>59</v>
      </c>
      <c r="O1642" t="s">
        <v>5902</v>
      </c>
      <c r="P1642" t="str">
        <f>HYPERLINK("http://instagram.com/juczyymakesedits")</f>
        <v>http://instagram.com/juczyymakesedits</v>
      </c>
      <c r="Q1642">
        <v>7</v>
      </c>
      <c r="R1642" t="s">
        <v>60</v>
      </c>
      <c r="W1642">
        <v>8</v>
      </c>
      <c r="X1642">
        <v>8</v>
      </c>
      <c r="AE1642">
        <v>0</v>
      </c>
      <c r="AG1642">
        <v>21</v>
      </c>
      <c r="AI1642" t="s">
        <v>108</v>
      </c>
      <c r="AJ1642" t="s">
        <v>52</v>
      </c>
      <c r="AK1642" t="s">
        <v>52</v>
      </c>
      <c r="AL1642" t="str">
        <f>HYPERLINK("https://www.instagram.com/p/BzGPyoFFAu3/media/?size=l")</f>
        <v>https://www.instagram.com/p/BzGPyoFFAu3/media/?size=l</v>
      </c>
      <c r="AM1642" t="s">
        <v>52</v>
      </c>
      <c r="AN1642" t="s">
        <v>53</v>
      </c>
    </row>
    <row r="1643" spans="1:40">
      <c r="A1643" t="s">
        <v>2370</v>
      </c>
      <c r="B1643" t="s">
        <v>5892</v>
      </c>
      <c r="C1643" t="s">
        <v>5833</v>
      </c>
      <c r="D1643" t="s">
        <v>5834</v>
      </c>
      <c r="E1643" t="s">
        <v>5903</v>
      </c>
      <c r="F1643" t="s">
        <v>95</v>
      </c>
      <c r="G1643" t="str">
        <f>HYPERLINK("https://www.youtube.com/watch?v=Xz7rvCJYqUY&amp;lc=Ugx3p1BLbNYEVgjvYk94AaABAg")</f>
        <v>https://www.youtube.com/watch?v=Xz7rvCJYqUY&amp;lc=Ugx3p1BLbNYEVgjvYk94AaABAg</v>
      </c>
      <c r="H1643" t="s">
        <v>46</v>
      </c>
      <c r="I1643" t="s">
        <v>5904</v>
      </c>
      <c r="J1643" t="str">
        <f>HYPERLINK("https://www.youtube.com/channel/UCPS-Cd-9dsndgG9tB7iIVDQ")</f>
        <v>https://www.youtube.com/channel/UCPS-Cd-9dsndgG9tB7iIVDQ</v>
      </c>
      <c r="K1643">
        <v>47</v>
      </c>
      <c r="N1643" t="s">
        <v>116</v>
      </c>
      <c r="O1643" t="s">
        <v>5837</v>
      </c>
      <c r="P1643" t="str">
        <f>HYPERLINK("https://www.youtube.com/channel/UCsuaQOOAfK9wf3DN5pga7cA")</f>
        <v>https://www.youtube.com/channel/UCsuaQOOAfK9wf3DN5pga7cA</v>
      </c>
      <c r="Q1643">
        <v>639761</v>
      </c>
      <c r="R1643" t="s">
        <v>60</v>
      </c>
      <c r="W1643">
        <v>0</v>
      </c>
      <c r="X1643">
        <v>0</v>
      </c>
      <c r="AE1643">
        <v>0</v>
      </c>
      <c r="AM1643" t="s">
        <v>52</v>
      </c>
      <c r="AN1643" t="s">
        <v>53</v>
      </c>
    </row>
    <row r="1644" spans="1:40">
      <c r="A1644" t="s">
        <v>2370</v>
      </c>
      <c r="B1644" t="s">
        <v>5892</v>
      </c>
      <c r="C1644" t="s">
        <v>5905</v>
      </c>
      <c r="D1644" t="s">
        <v>5906</v>
      </c>
      <c r="E1644" t="s">
        <v>5907</v>
      </c>
      <c r="F1644" t="s">
        <v>45</v>
      </c>
      <c r="G1644" t="str">
        <f>HYPERLINK("http://sextomariotienda.com/blog/halo-4-matchmaking-update-adds-a-bunch-of-fan-made-maps-to-playlists")</f>
        <v>http://sextomariotienda.com/blog/halo-4-matchmaking-update-adds-a-bunch-of-fan-made-maps-to-playlists</v>
      </c>
      <c r="H1644" t="s">
        <v>46</v>
      </c>
      <c r="I1644" t="s">
        <v>5908</v>
      </c>
      <c r="J1644" t="str">
        <f>HYPERLINK("http://sextomariotienda.com/blog/halo-4-matchmaking-update-adds-a-bunch-of-fan-made-maps-to-playlists/")</f>
        <v>http://sextomariotienda.com/blog/halo-4-matchmaking-update-adds-a-bunch-of-fan-made-maps-to-playlists/</v>
      </c>
      <c r="N1644" t="s">
        <v>5909</v>
      </c>
      <c r="R1644" t="s">
        <v>50</v>
      </c>
      <c r="S1644" t="s">
        <v>156</v>
      </c>
      <c r="AM1644" t="s">
        <v>52</v>
      </c>
      <c r="AN1644" t="s">
        <v>53</v>
      </c>
    </row>
    <row r="1645" spans="1:40">
      <c r="A1645" t="s">
        <v>2370</v>
      </c>
      <c r="B1645" t="s">
        <v>249</v>
      </c>
      <c r="C1645" t="s">
        <v>5833</v>
      </c>
      <c r="D1645" t="s">
        <v>5834</v>
      </c>
      <c r="E1645" t="s">
        <v>5910</v>
      </c>
      <c r="F1645" t="s">
        <v>95</v>
      </c>
      <c r="G1645" t="str">
        <f>HYPERLINK("https://www.youtube.com/watch?v=Xz7rvCJYqUY&amp;lc=Ugx7H-EnMIZ93uk-NBh4AaABAg")</f>
        <v>https://www.youtube.com/watch?v=Xz7rvCJYqUY&amp;lc=Ugx7H-EnMIZ93uk-NBh4AaABAg</v>
      </c>
      <c r="H1645" t="s">
        <v>46</v>
      </c>
      <c r="I1645" t="s">
        <v>5911</v>
      </c>
      <c r="J1645" t="str">
        <f>HYPERLINK("https://www.youtube.com/channel/UCSd8TCBR1xWoHlr6mhnBnQA")</f>
        <v>https://www.youtube.com/channel/UCSd8TCBR1xWoHlr6mhnBnQA</v>
      </c>
      <c r="K1645">
        <v>34</v>
      </c>
      <c r="N1645" t="s">
        <v>116</v>
      </c>
      <c r="O1645" t="s">
        <v>5837</v>
      </c>
      <c r="P1645" t="str">
        <f>HYPERLINK("https://www.youtube.com/channel/UCsuaQOOAfK9wf3DN5pga7cA")</f>
        <v>https://www.youtube.com/channel/UCsuaQOOAfK9wf3DN5pga7cA</v>
      </c>
      <c r="Q1645">
        <v>639761</v>
      </c>
      <c r="R1645" t="s">
        <v>60</v>
      </c>
      <c r="W1645">
        <v>1</v>
      </c>
      <c r="X1645">
        <v>1</v>
      </c>
      <c r="AE1645">
        <v>0</v>
      </c>
      <c r="AM1645" t="s">
        <v>52</v>
      </c>
      <c r="AN1645" t="s">
        <v>53</v>
      </c>
    </row>
    <row r="1646" spans="1:40">
      <c r="A1646" t="s">
        <v>2370</v>
      </c>
      <c r="B1646" t="s">
        <v>249</v>
      </c>
      <c r="C1646" t="s">
        <v>5833</v>
      </c>
      <c r="D1646" t="s">
        <v>5834</v>
      </c>
      <c r="E1646" t="s">
        <v>5912</v>
      </c>
      <c r="F1646" t="s">
        <v>45</v>
      </c>
      <c r="G1646" t="str">
        <f>HYPERLINK("https://www.youtube.com/watch?v=Xz7rvCJYqUY")</f>
        <v>https://www.youtube.com/watch?v=Xz7rvCJYqUY</v>
      </c>
      <c r="H1646" t="s">
        <v>46</v>
      </c>
      <c r="I1646" t="s">
        <v>5837</v>
      </c>
      <c r="J1646" t="str">
        <f>HYPERLINK("https://www.youtube.com/channel/UCsuaQOOAfK9wf3DN5pga7cA")</f>
        <v>https://www.youtube.com/channel/UCsuaQOOAfK9wf3DN5pga7cA</v>
      </c>
      <c r="K1646">
        <v>639761</v>
      </c>
      <c r="N1646" t="s">
        <v>116</v>
      </c>
      <c r="O1646" t="s">
        <v>5837</v>
      </c>
      <c r="P1646" t="str">
        <f>HYPERLINK("https://www.youtube.com/channel/UCsuaQOOAfK9wf3DN5pga7cA")</f>
        <v>https://www.youtube.com/channel/UCsuaQOOAfK9wf3DN5pga7cA</v>
      </c>
      <c r="Q1646">
        <v>639761</v>
      </c>
      <c r="R1646" t="s">
        <v>60</v>
      </c>
      <c r="W1646">
        <v>17407</v>
      </c>
      <c r="X1646">
        <v>17407</v>
      </c>
      <c r="AD1646">
        <v>43</v>
      </c>
      <c r="AE1646">
        <v>349</v>
      </c>
      <c r="AG1646">
        <v>68066</v>
      </c>
      <c r="AI1646" t="s">
        <v>52</v>
      </c>
      <c r="AJ1646" t="s">
        <v>52</v>
      </c>
      <c r="AK1646" t="s">
        <v>52</v>
      </c>
      <c r="AL1646" t="str">
        <f>HYPERLINK("https://i.ytimg.com/vi/Xz7rvCJYqUY/maxresdefault.jpg")</f>
        <v>https://i.ytimg.com/vi/Xz7rvCJYqUY/maxresdefault.jpg</v>
      </c>
      <c r="AM1646" t="s">
        <v>52</v>
      </c>
      <c r="AN1646" t="s">
        <v>53</v>
      </c>
    </row>
    <row r="1647" spans="1:40">
      <c r="A1647" t="s">
        <v>2370</v>
      </c>
      <c r="B1647" t="s">
        <v>5913</v>
      </c>
      <c r="C1647" t="s">
        <v>5914</v>
      </c>
      <c r="D1647" t="s">
        <v>52</v>
      </c>
      <c r="E1647" t="s">
        <v>5915</v>
      </c>
      <c r="F1647" t="s">
        <v>131</v>
      </c>
      <c r="G1647" t="str">
        <f>HYPERLINK("https://twitter.com/1139435142517334016/status/1143179595727986688")</f>
        <v>https://twitter.com/1139435142517334016/status/1143179595727986688</v>
      </c>
      <c r="H1647" t="s">
        <v>46</v>
      </c>
      <c r="I1647" t="s">
        <v>5916</v>
      </c>
      <c r="J1647" t="str">
        <f>HYPERLINK("http://twitter.com/Ni28_Tec")</f>
        <v>http://twitter.com/Ni28_Tec</v>
      </c>
      <c r="K1647">
        <v>2</v>
      </c>
      <c r="N1647" t="s">
        <v>65</v>
      </c>
      <c r="R1647" t="s">
        <v>60</v>
      </c>
      <c r="W1647">
        <v>0</v>
      </c>
      <c r="X1647">
        <v>0</v>
      </c>
      <c r="AE1647">
        <v>0</v>
      </c>
      <c r="AM1647" t="s">
        <v>52</v>
      </c>
      <c r="AN1647" t="s">
        <v>53</v>
      </c>
    </row>
    <row r="1648" spans="1:40">
      <c r="A1648" t="s">
        <v>2370</v>
      </c>
      <c r="B1648" t="s">
        <v>259</v>
      </c>
      <c r="C1648" t="s">
        <v>5917</v>
      </c>
      <c r="D1648" t="s">
        <v>52</v>
      </c>
      <c r="E1648" t="s">
        <v>5918</v>
      </c>
      <c r="F1648" t="s">
        <v>45</v>
      </c>
      <c r="G1648" t="str">
        <f>HYPERLINK("https://www.instagram.com/p/BzGPiw8AdJy")</f>
        <v>https://www.instagram.com/p/BzGPiw8AdJy</v>
      </c>
      <c r="H1648" t="s">
        <v>46</v>
      </c>
      <c r="I1648" t="s">
        <v>5919</v>
      </c>
      <c r="J1648" t="str">
        <f>HYPERLINK("http://instagram.com/jeonmwah")</f>
        <v>http://instagram.com/jeonmwah</v>
      </c>
      <c r="K1648">
        <v>23044</v>
      </c>
      <c r="N1648" t="s">
        <v>59</v>
      </c>
      <c r="O1648" t="s">
        <v>5919</v>
      </c>
      <c r="P1648" t="str">
        <f>HYPERLINK("http://instagram.com/jeonmwah")</f>
        <v>http://instagram.com/jeonmwah</v>
      </c>
      <c r="Q1648">
        <v>23044</v>
      </c>
      <c r="R1648" t="s">
        <v>60</v>
      </c>
      <c r="W1648">
        <v>12230</v>
      </c>
      <c r="X1648">
        <v>12230</v>
      </c>
      <c r="AE1648">
        <v>21</v>
      </c>
      <c r="AG1648">
        <v>39929</v>
      </c>
      <c r="AI1648" t="s">
        <v>52</v>
      </c>
      <c r="AJ1648" t="s">
        <v>52</v>
      </c>
      <c r="AK1648" t="s">
        <v>52</v>
      </c>
      <c r="AL1648" t="str">
        <f>HYPERLINK("https://www.instagram.com/p/BzGPiw8AdJy/media/?size=l")</f>
        <v>https://www.instagram.com/p/BzGPiw8AdJy/media/?size=l</v>
      </c>
      <c r="AM1648" t="s">
        <v>52</v>
      </c>
      <c r="AN1648" t="s">
        <v>53</v>
      </c>
    </row>
    <row r="1649" spans="1:40">
      <c r="A1649" t="s">
        <v>2370</v>
      </c>
      <c r="B1649" t="s">
        <v>259</v>
      </c>
      <c r="C1649" t="s">
        <v>5920</v>
      </c>
      <c r="D1649" t="s">
        <v>52</v>
      </c>
      <c r="E1649" t="s">
        <v>5921</v>
      </c>
      <c r="F1649" t="s">
        <v>95</v>
      </c>
      <c r="G1649" t="str">
        <f>HYPERLINK("https://twitter.com/1602068869/status/1143179202205757440")</f>
        <v>https://twitter.com/1602068869/status/1143179202205757440</v>
      </c>
      <c r="H1649" t="s">
        <v>215</v>
      </c>
      <c r="I1649" t="s">
        <v>5922</v>
      </c>
      <c r="J1649" t="str">
        <f>HYPERLINK("http://twitter.com/friendoomed")</f>
        <v>http://twitter.com/friendoomed</v>
      </c>
      <c r="K1649">
        <v>13</v>
      </c>
      <c r="N1649" t="s">
        <v>65</v>
      </c>
      <c r="R1649" t="s">
        <v>60</v>
      </c>
      <c r="W1649">
        <v>0</v>
      </c>
      <c r="X1649">
        <v>0</v>
      </c>
      <c r="AE1649">
        <v>0</v>
      </c>
      <c r="AF1649">
        <v>0</v>
      </c>
      <c r="AM1649" t="s">
        <v>52</v>
      </c>
      <c r="AN1649" t="s">
        <v>53</v>
      </c>
    </row>
    <row r="1650" spans="1:40">
      <c r="A1650" t="s">
        <v>2370</v>
      </c>
      <c r="B1650" t="s">
        <v>259</v>
      </c>
      <c r="C1650" t="s">
        <v>5811</v>
      </c>
      <c r="D1650" t="s">
        <v>52</v>
      </c>
      <c r="E1650" t="s">
        <v>5923</v>
      </c>
      <c r="F1650" t="s">
        <v>45</v>
      </c>
      <c r="G1650" t="str">
        <f>HYPERLINK("https://twitter.com/2654498884/status/1143179039076732928")</f>
        <v>https://twitter.com/2654498884/status/1143179039076732928</v>
      </c>
      <c r="H1650" t="s">
        <v>46</v>
      </c>
      <c r="I1650" t="s">
        <v>5924</v>
      </c>
      <c r="J1650" t="str">
        <f>HYPERLINK("http://twitter.com/_bmillian")</f>
        <v>http://twitter.com/_bmillian</v>
      </c>
      <c r="K1650">
        <v>2537</v>
      </c>
      <c r="N1650" t="s">
        <v>65</v>
      </c>
      <c r="R1650" t="s">
        <v>60</v>
      </c>
      <c r="W1650">
        <v>2</v>
      </c>
      <c r="X1650">
        <v>2</v>
      </c>
      <c r="AE1650">
        <v>0</v>
      </c>
      <c r="AF1650">
        <v>1</v>
      </c>
      <c r="AM1650" t="s">
        <v>52</v>
      </c>
      <c r="AN1650" t="s">
        <v>53</v>
      </c>
    </row>
    <row r="1651" spans="1:40">
      <c r="A1651" t="s">
        <v>2370</v>
      </c>
      <c r="B1651" t="s">
        <v>274</v>
      </c>
      <c r="C1651" t="s">
        <v>5925</v>
      </c>
      <c r="D1651" t="s">
        <v>52</v>
      </c>
      <c r="E1651" t="s">
        <v>3411</v>
      </c>
      <c r="F1651" t="s">
        <v>131</v>
      </c>
      <c r="G1651" t="str">
        <f>HYPERLINK("https://twitter.com/2791653672/status/1143178703977025536")</f>
        <v>https://twitter.com/2791653672/status/1143178703977025536</v>
      </c>
      <c r="H1651" t="s">
        <v>46</v>
      </c>
      <c r="I1651" t="s">
        <v>5926</v>
      </c>
      <c r="J1651" t="str">
        <f>HYPERLINK("http://twitter.com/1fragmentedmind")</f>
        <v>http://twitter.com/1fragmentedmind</v>
      </c>
      <c r="K1651">
        <v>14163</v>
      </c>
      <c r="N1651" t="s">
        <v>65</v>
      </c>
      <c r="R1651" t="s">
        <v>60</v>
      </c>
      <c r="W1651">
        <v>0</v>
      </c>
      <c r="X1651">
        <v>0</v>
      </c>
      <c r="AE1651">
        <v>0</v>
      </c>
      <c r="AM1651" t="s">
        <v>52</v>
      </c>
      <c r="AN1651" t="s">
        <v>53</v>
      </c>
    </row>
    <row r="1652" spans="1:40">
      <c r="A1652" t="s">
        <v>2370</v>
      </c>
      <c r="B1652" t="s">
        <v>274</v>
      </c>
      <c r="C1652" t="s">
        <v>5914</v>
      </c>
      <c r="D1652" t="s">
        <v>52</v>
      </c>
      <c r="E1652" t="s">
        <v>5927</v>
      </c>
      <c r="F1652" t="s">
        <v>131</v>
      </c>
      <c r="G1652" t="str">
        <f>HYPERLINK("https://twitter.com/1055186623070117889/status/1143178615657586688")</f>
        <v>https://twitter.com/1055186623070117889/status/1143178615657586688</v>
      </c>
      <c r="H1652" t="s">
        <v>46</v>
      </c>
      <c r="I1652" t="s">
        <v>5928</v>
      </c>
      <c r="J1652" t="str">
        <f>HYPERLINK("http://twitter.com/Autumnfallsalo1")</f>
        <v>http://twitter.com/Autumnfallsalo1</v>
      </c>
      <c r="K1652">
        <v>34</v>
      </c>
      <c r="N1652" t="s">
        <v>65</v>
      </c>
      <c r="R1652" t="s">
        <v>60</v>
      </c>
      <c r="S1652" t="s">
        <v>51</v>
      </c>
      <c r="T1652" t="s">
        <v>3136</v>
      </c>
      <c r="U1652" t="s">
        <v>5929</v>
      </c>
      <c r="W1652">
        <v>0</v>
      </c>
      <c r="X1652">
        <v>0</v>
      </c>
      <c r="AE1652">
        <v>0</v>
      </c>
      <c r="AM1652" t="s">
        <v>52</v>
      </c>
      <c r="AN1652" t="s">
        <v>53</v>
      </c>
    </row>
    <row r="1653" spans="1:40">
      <c r="A1653" t="s">
        <v>2370</v>
      </c>
      <c r="B1653" t="s">
        <v>5930</v>
      </c>
      <c r="C1653" t="s">
        <v>5931</v>
      </c>
      <c r="D1653" t="s">
        <v>52</v>
      </c>
      <c r="E1653" t="s">
        <v>5932</v>
      </c>
      <c r="F1653" t="s">
        <v>45</v>
      </c>
      <c r="G1653" t="str">
        <f>HYPERLINK("https://www.instagram.com/p/BzGPAVJnL--")</f>
        <v>https://www.instagram.com/p/BzGPAVJnL--</v>
      </c>
      <c r="H1653" t="s">
        <v>91</v>
      </c>
      <c r="I1653" t="s">
        <v>5933</v>
      </c>
      <c r="J1653" t="str">
        <f>HYPERLINK("http://instagram.com/angelkittyslimes")</f>
        <v>http://instagram.com/angelkittyslimes</v>
      </c>
      <c r="K1653">
        <v>992</v>
      </c>
      <c r="N1653" t="s">
        <v>59</v>
      </c>
      <c r="O1653" t="s">
        <v>5933</v>
      </c>
      <c r="P1653" t="str">
        <f>HYPERLINK("http://instagram.com/angelkittyslimes")</f>
        <v>http://instagram.com/angelkittyslimes</v>
      </c>
      <c r="Q1653">
        <v>992</v>
      </c>
      <c r="R1653" t="s">
        <v>60</v>
      </c>
      <c r="W1653">
        <v>31</v>
      </c>
      <c r="X1653">
        <v>31</v>
      </c>
      <c r="AE1653">
        <v>0</v>
      </c>
      <c r="AG1653">
        <v>46</v>
      </c>
      <c r="AL1653" t="str">
        <f>HYPERLINK("https://www.instagram.com/p/BzGPAVJnL--/media/?size=l")</f>
        <v>https://www.instagram.com/p/BzGPAVJnL--/media/?size=l</v>
      </c>
      <c r="AM1653" t="s">
        <v>52</v>
      </c>
      <c r="AN1653" t="s">
        <v>53</v>
      </c>
    </row>
    <row r="1654" spans="1:40">
      <c r="A1654" t="s">
        <v>2370</v>
      </c>
      <c r="B1654" t="s">
        <v>283</v>
      </c>
      <c r="C1654" t="s">
        <v>5914</v>
      </c>
      <c r="D1654" t="s">
        <v>52</v>
      </c>
      <c r="E1654" t="s">
        <v>5934</v>
      </c>
      <c r="F1654" t="s">
        <v>45</v>
      </c>
      <c r="G1654" t="str">
        <f>HYPERLINK("https://www.instagram.com/p/BzGPH7PByKK")</f>
        <v>https://www.instagram.com/p/BzGPH7PByKK</v>
      </c>
      <c r="H1654" t="s">
        <v>46</v>
      </c>
      <c r="I1654" t="s">
        <v>5935</v>
      </c>
      <c r="J1654" t="str">
        <f>HYPERLINK("http://instagram.com/_milenemimi")</f>
        <v>http://instagram.com/_milenemimi</v>
      </c>
      <c r="K1654">
        <v>220</v>
      </c>
      <c r="N1654" t="s">
        <v>59</v>
      </c>
      <c r="O1654" t="s">
        <v>5935</v>
      </c>
      <c r="P1654" t="str">
        <f>HYPERLINK("http://instagram.com/_milenemimi")</f>
        <v>http://instagram.com/_milenemimi</v>
      </c>
      <c r="Q1654">
        <v>220</v>
      </c>
      <c r="R1654" t="s">
        <v>60</v>
      </c>
      <c r="S1654" t="s">
        <v>432</v>
      </c>
      <c r="T1654" t="s">
        <v>433</v>
      </c>
      <c r="W1654">
        <v>10</v>
      </c>
      <c r="X1654">
        <v>10</v>
      </c>
      <c r="AE1654">
        <v>0</v>
      </c>
      <c r="AI1654" t="s">
        <v>108</v>
      </c>
      <c r="AJ1654" t="s">
        <v>321</v>
      </c>
      <c r="AK1654" t="s">
        <v>52</v>
      </c>
      <c r="AL1654" t="str">
        <f>HYPERLINK("https://www.instagram.com/p/BzGPH7PByKK/media/?size=l")</f>
        <v>https://www.instagram.com/p/BzGPH7PByKK/media/?size=l</v>
      </c>
      <c r="AM1654" t="s">
        <v>52</v>
      </c>
      <c r="AN1654" t="s">
        <v>53</v>
      </c>
    </row>
    <row r="1655" spans="1:40">
      <c r="A1655" t="s">
        <v>2370</v>
      </c>
      <c r="B1655" t="s">
        <v>283</v>
      </c>
      <c r="C1655" t="s">
        <v>5917</v>
      </c>
      <c r="D1655" t="s">
        <v>52</v>
      </c>
      <c r="E1655" t="s">
        <v>4737</v>
      </c>
      <c r="F1655" t="s">
        <v>131</v>
      </c>
      <c r="G1655" t="str">
        <f>HYPERLINK("https://twitter.com/2933885781/status/1143178022444568576")</f>
        <v>https://twitter.com/2933885781/status/1143178022444568576</v>
      </c>
      <c r="H1655" t="s">
        <v>46</v>
      </c>
      <c r="I1655" t="s">
        <v>5936</v>
      </c>
      <c r="J1655" t="str">
        <f>HYPERLINK("http://twitter.com/pablo_paro")</f>
        <v>http://twitter.com/pablo_paro</v>
      </c>
      <c r="K1655">
        <v>283</v>
      </c>
      <c r="N1655" t="s">
        <v>65</v>
      </c>
      <c r="R1655" t="s">
        <v>60</v>
      </c>
      <c r="S1655" t="s">
        <v>701</v>
      </c>
      <c r="T1655" t="s">
        <v>2528</v>
      </c>
      <c r="U1655" t="s">
        <v>2816</v>
      </c>
      <c r="W1655">
        <v>0</v>
      </c>
      <c r="X1655">
        <v>0</v>
      </c>
      <c r="AE1655">
        <v>0</v>
      </c>
      <c r="AM1655" t="s">
        <v>52</v>
      </c>
      <c r="AN1655" t="s">
        <v>53</v>
      </c>
    </row>
    <row r="1656" spans="1:40">
      <c r="A1656" t="s">
        <v>2370</v>
      </c>
      <c r="B1656" t="s">
        <v>5937</v>
      </c>
      <c r="C1656" t="s">
        <v>3030</v>
      </c>
      <c r="D1656" t="s">
        <v>1278</v>
      </c>
      <c r="E1656" t="s">
        <v>5851</v>
      </c>
      <c r="F1656" t="s">
        <v>45</v>
      </c>
      <c r="G1656" t="str">
        <f>HYPERLINK("https://www.newsobserver.com/living/article231896668.html")</f>
        <v>https://www.newsobserver.com/living/article231896668.html</v>
      </c>
      <c r="H1656" t="s">
        <v>46</v>
      </c>
      <c r="I1656" t="s">
        <v>1280</v>
      </c>
      <c r="J1656" t="str">
        <f>HYPERLINK("https://www.newsobserver.com/living/article231896668.html")</f>
        <v>https://www.newsobserver.com/living/article231896668.html</v>
      </c>
      <c r="L1656" t="s">
        <v>58</v>
      </c>
      <c r="N1656" t="s">
        <v>5938</v>
      </c>
      <c r="R1656" t="s">
        <v>357</v>
      </c>
      <c r="S1656" t="s">
        <v>51</v>
      </c>
      <c r="AM1656" t="s">
        <v>52</v>
      </c>
      <c r="AN1656" t="s">
        <v>53</v>
      </c>
    </row>
    <row r="1657" spans="1:40">
      <c r="A1657" t="s">
        <v>2370</v>
      </c>
      <c r="B1657" t="s">
        <v>286</v>
      </c>
      <c r="C1657" t="s">
        <v>5939</v>
      </c>
      <c r="D1657" t="s">
        <v>52</v>
      </c>
      <c r="E1657" t="s">
        <v>5940</v>
      </c>
      <c r="F1657" t="s">
        <v>71</v>
      </c>
      <c r="G1657" t="str">
        <f>HYPERLINK("https://twitter.com/714818384874053632/status/1143177555111010304")</f>
        <v>https://twitter.com/714818384874053632/status/1143177555111010304</v>
      </c>
      <c r="H1657" t="s">
        <v>46</v>
      </c>
      <c r="I1657" t="s">
        <v>5941</v>
      </c>
      <c r="J1657" t="str">
        <f>HYPERLINK("http://twitter.com/nnastaxo")</f>
        <v>http://twitter.com/nnastaxo</v>
      </c>
      <c r="K1657">
        <v>301</v>
      </c>
      <c r="N1657" t="s">
        <v>65</v>
      </c>
      <c r="R1657" t="s">
        <v>60</v>
      </c>
      <c r="S1657" t="s">
        <v>444</v>
      </c>
      <c r="T1657" t="s">
        <v>1062</v>
      </c>
      <c r="U1657" t="s">
        <v>3442</v>
      </c>
      <c r="W1657">
        <v>0</v>
      </c>
      <c r="X1657">
        <v>0</v>
      </c>
      <c r="AE1657">
        <v>0</v>
      </c>
      <c r="AF1657">
        <v>0</v>
      </c>
      <c r="AM1657" t="s">
        <v>52</v>
      </c>
      <c r="AN1657" t="s">
        <v>53</v>
      </c>
    </row>
    <row r="1658" spans="1:40">
      <c r="A1658" t="s">
        <v>2370</v>
      </c>
      <c r="B1658" t="s">
        <v>290</v>
      </c>
      <c r="C1658" t="s">
        <v>3148</v>
      </c>
      <c r="D1658" t="s">
        <v>5942</v>
      </c>
      <c r="E1658" t="s">
        <v>5943</v>
      </c>
      <c r="F1658" t="s">
        <v>45</v>
      </c>
      <c r="G1658" t="str">
        <f>HYPERLINK("https://www.fark.com/comments/10459454/Finally-in-Maine-a-challenger-appears-FFVII-Battle-Music?cpp=1#121919112")</f>
        <v>https://www.fark.com/comments/10459454/Finally-in-Maine-a-challenger-appears-FFVII-Battle-Music?cpp=1#121919112</v>
      </c>
      <c r="H1658" t="s">
        <v>46</v>
      </c>
      <c r="I1658" t="s">
        <v>5944</v>
      </c>
      <c r="J1658" t="str">
        <f>HYPERLINK("https://www.fark.com/comments/10459454/Finally-in-Maine-a-challenger-appears-FFVII-Battle-Music?cpp=1#121919112")</f>
        <v>https://www.fark.com/comments/10459454/Finally-in-Maine-a-challenger-appears-FFVII-Battle-Music?cpp=1#121919112</v>
      </c>
      <c r="N1658" t="s">
        <v>5945</v>
      </c>
      <c r="O1658" t="s">
        <v>5946</v>
      </c>
      <c r="P1658" t="str">
        <f>HYPERLINK("http://www.fark.com/politics/")</f>
        <v>http://www.fark.com/politics/</v>
      </c>
      <c r="R1658" t="s">
        <v>516</v>
      </c>
      <c r="S1658" t="s">
        <v>51</v>
      </c>
      <c r="AM1658" t="s">
        <v>52</v>
      </c>
      <c r="AN1658" t="s">
        <v>53</v>
      </c>
    </row>
    <row r="1659" spans="1:40">
      <c r="A1659" t="s">
        <v>2370</v>
      </c>
      <c r="B1659" t="s">
        <v>294</v>
      </c>
      <c r="C1659" t="s">
        <v>5947</v>
      </c>
      <c r="D1659" t="s">
        <v>52</v>
      </c>
      <c r="E1659" t="s">
        <v>5948</v>
      </c>
      <c r="F1659" t="s">
        <v>71</v>
      </c>
      <c r="G1659" t="str">
        <f>HYPERLINK("https://twitter.com/970040802/status/1143177193247453184")</f>
        <v>https://twitter.com/970040802/status/1143177193247453184</v>
      </c>
      <c r="H1659" t="s">
        <v>46</v>
      </c>
      <c r="I1659" t="s">
        <v>5949</v>
      </c>
      <c r="J1659" t="str">
        <f>HYPERLINK("http://twitter.com/Phenyo_S")</f>
        <v>http://twitter.com/Phenyo_S</v>
      </c>
      <c r="K1659">
        <v>5168</v>
      </c>
      <c r="N1659" t="s">
        <v>65</v>
      </c>
      <c r="R1659" t="s">
        <v>60</v>
      </c>
      <c r="S1659" t="s">
        <v>1071</v>
      </c>
      <c r="T1659" t="s">
        <v>1072</v>
      </c>
      <c r="U1659" t="s">
        <v>1073</v>
      </c>
      <c r="W1659">
        <v>4</v>
      </c>
      <c r="X1659">
        <v>4</v>
      </c>
      <c r="AE1659">
        <v>2</v>
      </c>
      <c r="AF1659">
        <v>2</v>
      </c>
      <c r="AM1659" t="s">
        <v>52</v>
      </c>
      <c r="AN1659" t="s">
        <v>53</v>
      </c>
    </row>
    <row r="1660" spans="1:40">
      <c r="A1660" t="s">
        <v>2370</v>
      </c>
      <c r="B1660" t="s">
        <v>294</v>
      </c>
      <c r="C1660" t="s">
        <v>5950</v>
      </c>
      <c r="D1660" t="s">
        <v>5951</v>
      </c>
      <c r="E1660" t="s">
        <v>5782</v>
      </c>
      <c r="F1660" t="s">
        <v>45</v>
      </c>
      <c r="G1660" t="str">
        <f>HYPERLINK("https://www.miamiherald.com/living/pets/article231896668.html")</f>
        <v>https://www.miamiherald.com/living/pets/article231896668.html</v>
      </c>
      <c r="H1660" t="s">
        <v>46</v>
      </c>
      <c r="I1660" t="s">
        <v>1280</v>
      </c>
      <c r="J1660" t="str">
        <f>HYPERLINK("https://www.miamiherald.com/living/pets/article231896668.html")</f>
        <v>https://www.miamiherald.com/living/pets/article231896668.html</v>
      </c>
      <c r="L1660" t="s">
        <v>58</v>
      </c>
      <c r="N1660" t="s">
        <v>5952</v>
      </c>
      <c r="R1660" t="s">
        <v>357</v>
      </c>
      <c r="S1660" t="s">
        <v>51</v>
      </c>
      <c r="AM1660" t="s">
        <v>52</v>
      </c>
      <c r="AN1660" t="s">
        <v>53</v>
      </c>
    </row>
    <row r="1661" spans="1:40">
      <c r="A1661" t="s">
        <v>2370</v>
      </c>
      <c r="B1661" t="s">
        <v>304</v>
      </c>
      <c r="C1661" t="s">
        <v>5950</v>
      </c>
      <c r="D1661" t="s">
        <v>5953</v>
      </c>
      <c r="E1661" t="s">
        <v>5954</v>
      </c>
      <c r="F1661" t="s">
        <v>45</v>
      </c>
      <c r="G1661" t="str">
        <f>HYPERLINK("https://www.youtube.com/watch?v=tL_siR83kUU")</f>
        <v>https://www.youtube.com/watch?v=tL_siR83kUU</v>
      </c>
      <c r="H1661" t="s">
        <v>46</v>
      </c>
      <c r="I1661" t="s">
        <v>5955</v>
      </c>
      <c r="J1661" t="str">
        <f>HYPERLINK("https://www.youtube.com/channel/UCUk2W5e3swJUtnTvQ4thzBw")</f>
        <v>https://www.youtube.com/channel/UCUk2W5e3swJUtnTvQ4thzBw</v>
      </c>
      <c r="K1661">
        <v>2</v>
      </c>
      <c r="N1661" t="s">
        <v>116</v>
      </c>
      <c r="O1661" t="s">
        <v>5955</v>
      </c>
      <c r="P1661" t="str">
        <f>HYPERLINK("https://www.youtube.com/channel/UCUk2W5e3swJUtnTvQ4thzBw")</f>
        <v>https://www.youtube.com/channel/UCUk2W5e3swJUtnTvQ4thzBw</v>
      </c>
      <c r="Q1661">
        <v>2</v>
      </c>
      <c r="R1661" t="s">
        <v>60</v>
      </c>
      <c r="W1661">
        <v>0</v>
      </c>
      <c r="X1661">
        <v>0</v>
      </c>
      <c r="AD1661">
        <v>0</v>
      </c>
      <c r="AE1661">
        <v>0</v>
      </c>
      <c r="AG1661">
        <v>2</v>
      </c>
      <c r="AI1661" t="s">
        <v>52</v>
      </c>
      <c r="AJ1661" t="s">
        <v>52</v>
      </c>
      <c r="AK1661" t="s">
        <v>52</v>
      </c>
      <c r="AL1661" t="str">
        <f>HYPERLINK("https://i.ytimg.com/vi/tL_siR83kUU/sddefault.jpg")</f>
        <v>https://i.ytimg.com/vi/tL_siR83kUU/sddefault.jpg</v>
      </c>
      <c r="AM1661" t="s">
        <v>52</v>
      </c>
      <c r="AN1661" t="s">
        <v>53</v>
      </c>
    </row>
    <row r="1662" spans="1:40">
      <c r="A1662" t="s">
        <v>2370</v>
      </c>
      <c r="B1662" t="s">
        <v>5956</v>
      </c>
      <c r="C1662" t="s">
        <v>5957</v>
      </c>
      <c r="D1662" t="s">
        <v>1278</v>
      </c>
      <c r="E1662" t="s">
        <v>5851</v>
      </c>
      <c r="F1662" t="s">
        <v>45</v>
      </c>
      <c r="G1662" t="str">
        <f>HYPERLINK("https://www.modbee.com/living/pets/article231896668.html")</f>
        <v>https://www.modbee.com/living/pets/article231896668.html</v>
      </c>
      <c r="H1662" t="s">
        <v>46</v>
      </c>
      <c r="I1662" t="s">
        <v>1280</v>
      </c>
      <c r="J1662" t="str">
        <f>HYPERLINK("https://www.modbee.com/living/pets/article231896668.html")</f>
        <v>https://www.modbee.com/living/pets/article231896668.html</v>
      </c>
      <c r="L1662" t="s">
        <v>58</v>
      </c>
      <c r="N1662" t="s">
        <v>5958</v>
      </c>
      <c r="R1662" t="s">
        <v>357</v>
      </c>
      <c r="S1662" t="s">
        <v>51</v>
      </c>
      <c r="AM1662" t="s">
        <v>52</v>
      </c>
      <c r="AN1662" t="s">
        <v>53</v>
      </c>
    </row>
    <row r="1663" spans="1:40">
      <c r="A1663" t="s">
        <v>2370</v>
      </c>
      <c r="B1663" t="s">
        <v>5959</v>
      </c>
      <c r="C1663" t="s">
        <v>5960</v>
      </c>
      <c r="D1663" t="s">
        <v>52</v>
      </c>
      <c r="E1663" t="s">
        <v>5961</v>
      </c>
      <c r="F1663" t="s">
        <v>45</v>
      </c>
      <c r="G1663" t="str">
        <f>HYPERLINK("https://twitter.com/1008732744870866944/status/1143176451971256322")</f>
        <v>https://twitter.com/1008732744870866944/status/1143176451971256322</v>
      </c>
      <c r="H1663" t="s">
        <v>46</v>
      </c>
      <c r="I1663" t="s">
        <v>5962</v>
      </c>
      <c r="J1663" t="str">
        <f>HYPERLINK("http://twitter.com/shanklives")</f>
        <v>http://twitter.com/shanklives</v>
      </c>
      <c r="K1663">
        <v>81</v>
      </c>
      <c r="N1663" t="s">
        <v>65</v>
      </c>
      <c r="R1663" t="s">
        <v>60</v>
      </c>
      <c r="S1663" t="s">
        <v>5963</v>
      </c>
      <c r="T1663" t="s">
        <v>5964</v>
      </c>
      <c r="U1663" t="s">
        <v>5965</v>
      </c>
      <c r="W1663">
        <v>3</v>
      </c>
      <c r="X1663">
        <v>3</v>
      </c>
      <c r="AE1663">
        <v>0</v>
      </c>
      <c r="AF1663">
        <v>0</v>
      </c>
      <c r="AM1663" t="s">
        <v>52</v>
      </c>
      <c r="AN1663" t="s">
        <v>53</v>
      </c>
    </row>
    <row r="1664" spans="1:40">
      <c r="A1664" t="s">
        <v>2370</v>
      </c>
      <c r="B1664" t="s">
        <v>5959</v>
      </c>
      <c r="C1664" t="s">
        <v>5966</v>
      </c>
      <c r="D1664" t="s">
        <v>52</v>
      </c>
      <c r="E1664" t="s">
        <v>5967</v>
      </c>
      <c r="F1664" t="s">
        <v>45</v>
      </c>
      <c r="G1664" t="str">
        <f>HYPERLINK("https://twitter.com/1090780848817872901/status/1143176438213959680")</f>
        <v>https://twitter.com/1090780848817872901/status/1143176438213959680</v>
      </c>
      <c r="H1664" t="s">
        <v>46</v>
      </c>
      <c r="I1664" t="s">
        <v>5968</v>
      </c>
      <c r="J1664" t="str">
        <f>HYPERLINK("http://twitter.com/tweet4cheetos")</f>
        <v>http://twitter.com/tweet4cheetos</v>
      </c>
      <c r="K1664">
        <v>22</v>
      </c>
      <c r="L1664" t="s">
        <v>48</v>
      </c>
      <c r="N1664" t="s">
        <v>65</v>
      </c>
      <c r="R1664" t="s">
        <v>60</v>
      </c>
      <c r="W1664">
        <v>0</v>
      </c>
      <c r="X1664">
        <v>0</v>
      </c>
      <c r="AE1664">
        <v>0</v>
      </c>
      <c r="AF1664">
        <v>0</v>
      </c>
      <c r="AM1664" t="s">
        <v>52</v>
      </c>
      <c r="AN1664" t="s">
        <v>53</v>
      </c>
    </row>
    <row r="1665" spans="1:40">
      <c r="A1665" t="s">
        <v>2370</v>
      </c>
      <c r="B1665" t="s">
        <v>5959</v>
      </c>
      <c r="C1665" t="s">
        <v>5969</v>
      </c>
      <c r="D1665" t="s">
        <v>52</v>
      </c>
      <c r="E1665" t="s">
        <v>5128</v>
      </c>
      <c r="F1665" t="s">
        <v>131</v>
      </c>
      <c r="G1665" t="str">
        <f>HYPERLINK("https://twitter.com/137900963/status/1143176352239144961")</f>
        <v>https://twitter.com/137900963/status/1143176352239144961</v>
      </c>
      <c r="H1665" t="s">
        <v>46</v>
      </c>
      <c r="I1665" t="s">
        <v>5970</v>
      </c>
      <c r="J1665" t="str">
        <f>HYPERLINK("http://twitter.com/Maniac_Prime")</f>
        <v>http://twitter.com/Maniac_Prime</v>
      </c>
      <c r="K1665">
        <v>14349</v>
      </c>
      <c r="N1665" t="s">
        <v>65</v>
      </c>
      <c r="R1665" t="s">
        <v>60</v>
      </c>
      <c r="S1665" t="s">
        <v>1071</v>
      </c>
      <c r="T1665" t="s">
        <v>5971</v>
      </c>
      <c r="U1665" t="s">
        <v>5972</v>
      </c>
      <c r="W1665">
        <v>0</v>
      </c>
      <c r="X1665">
        <v>0</v>
      </c>
      <c r="AE1665">
        <v>0</v>
      </c>
      <c r="AI1665" t="s">
        <v>52</v>
      </c>
      <c r="AJ1665" t="s">
        <v>5130</v>
      </c>
      <c r="AK1665" t="s">
        <v>52</v>
      </c>
      <c r="AL1665" t="str">
        <f>HYPERLINK("https://pbs.twimg.com/media/D91AXfmXoAE6StK.jpg")</f>
        <v>https://pbs.twimg.com/media/D91AXfmXoAE6StK.jpg</v>
      </c>
      <c r="AM1665" t="s">
        <v>52</v>
      </c>
      <c r="AN1665" t="s">
        <v>53</v>
      </c>
    </row>
    <row r="1666" spans="1:40">
      <c r="A1666" t="s">
        <v>2370</v>
      </c>
      <c r="B1666" t="s">
        <v>5959</v>
      </c>
      <c r="C1666" t="s">
        <v>5973</v>
      </c>
      <c r="D1666" t="s">
        <v>52</v>
      </c>
      <c r="E1666" t="s">
        <v>5974</v>
      </c>
      <c r="F1666" t="s">
        <v>45</v>
      </c>
      <c r="G1666" t="str">
        <f>HYPERLINK("https://twitter.com/706242765521330176/status/1143176333364801536")</f>
        <v>https://twitter.com/706242765521330176/status/1143176333364801536</v>
      </c>
      <c r="H1666" t="s">
        <v>46</v>
      </c>
      <c r="I1666" t="s">
        <v>5975</v>
      </c>
      <c r="J1666" t="str">
        <f>HYPERLINK("http://twitter.com/900memories")</f>
        <v>http://twitter.com/900memories</v>
      </c>
      <c r="K1666">
        <v>648</v>
      </c>
      <c r="N1666" t="s">
        <v>65</v>
      </c>
      <c r="R1666" t="s">
        <v>60</v>
      </c>
      <c r="W1666">
        <v>0</v>
      </c>
      <c r="X1666">
        <v>0</v>
      </c>
      <c r="AE1666">
        <v>0</v>
      </c>
      <c r="AF1666">
        <v>0</v>
      </c>
      <c r="AM1666" t="s">
        <v>52</v>
      </c>
      <c r="AN1666" t="s">
        <v>53</v>
      </c>
    </row>
    <row r="1667" spans="1:40">
      <c r="A1667" t="s">
        <v>2370</v>
      </c>
      <c r="B1667" t="s">
        <v>5959</v>
      </c>
      <c r="C1667" t="s">
        <v>5966</v>
      </c>
      <c r="D1667" t="s">
        <v>52</v>
      </c>
      <c r="E1667" t="s">
        <v>1194</v>
      </c>
      <c r="F1667" t="s">
        <v>131</v>
      </c>
      <c r="G1667" t="str">
        <f>HYPERLINK("https://twitter.com/1026303166638419968/status/1143176327899570176")</f>
        <v>https://twitter.com/1026303166638419968/status/1143176327899570176</v>
      </c>
      <c r="H1667" t="s">
        <v>46</v>
      </c>
      <c r="I1667" t="s">
        <v>2759</v>
      </c>
      <c r="J1667" t="str">
        <f>HYPERLINK("http://twitter.com/hehodges_")</f>
        <v>http://twitter.com/hehodges_</v>
      </c>
      <c r="K1667">
        <v>137</v>
      </c>
      <c r="N1667" t="s">
        <v>65</v>
      </c>
      <c r="R1667" t="s">
        <v>60</v>
      </c>
      <c r="S1667" t="s">
        <v>51</v>
      </c>
      <c r="T1667" t="s">
        <v>66</v>
      </c>
      <c r="U1667" t="s">
        <v>5976</v>
      </c>
      <c r="W1667">
        <v>0</v>
      </c>
      <c r="X1667">
        <v>0</v>
      </c>
      <c r="AE1667">
        <v>0</v>
      </c>
      <c r="AI1667" t="s">
        <v>52</v>
      </c>
      <c r="AJ1667" t="s">
        <v>1196</v>
      </c>
      <c r="AK1667" t="s">
        <v>52</v>
      </c>
      <c r="AL1667" t="str">
        <f>HYPERLINK("https://pbs.twimg.com/media/D9xgk2YXkAAd2ql.jpg")</f>
        <v>https://pbs.twimg.com/media/D9xgk2YXkAAd2ql.jpg</v>
      </c>
      <c r="AM1667" t="s">
        <v>52</v>
      </c>
      <c r="AN1667" t="s">
        <v>53</v>
      </c>
    </row>
    <row r="1668" spans="1:40">
      <c r="A1668" t="s">
        <v>2370</v>
      </c>
      <c r="B1668" t="s">
        <v>5959</v>
      </c>
      <c r="C1668" t="s">
        <v>3148</v>
      </c>
      <c r="D1668" t="s">
        <v>5942</v>
      </c>
      <c r="E1668" t="s">
        <v>5977</v>
      </c>
      <c r="F1668" t="s">
        <v>45</v>
      </c>
      <c r="G1668" t="str">
        <f>HYPERLINK("https://www.fark.com/comments/10459454/Finally-in-Maine-a-challenger-appears-FFVII-Battle-Music?cpp=1#121919030")</f>
        <v>https://www.fark.com/comments/10459454/Finally-in-Maine-a-challenger-appears-FFVII-Battle-Music?cpp=1#121919030</v>
      </c>
      <c r="H1668" t="s">
        <v>46</v>
      </c>
      <c r="I1668" t="s">
        <v>5978</v>
      </c>
      <c r="J1668" t="str">
        <f>HYPERLINK("https://www.fark.com/comments/10459454/Finally-in-Maine-a-challenger-appears-FFVII-Battle-Music?cpp=1#121919030")</f>
        <v>https://www.fark.com/comments/10459454/Finally-in-Maine-a-challenger-appears-FFVII-Battle-Music?cpp=1#121919030</v>
      </c>
      <c r="N1668" t="s">
        <v>5945</v>
      </c>
      <c r="O1668" t="s">
        <v>5946</v>
      </c>
      <c r="P1668" t="str">
        <f>HYPERLINK("http://www.fark.com/politics/")</f>
        <v>http://www.fark.com/politics/</v>
      </c>
      <c r="R1668" t="s">
        <v>516</v>
      </c>
      <c r="S1668" t="s">
        <v>51</v>
      </c>
      <c r="AM1668" t="s">
        <v>52</v>
      </c>
      <c r="AN1668" t="s">
        <v>53</v>
      </c>
    </row>
    <row r="1669" spans="1:40">
      <c r="A1669" t="s">
        <v>2370</v>
      </c>
      <c r="B1669" t="s">
        <v>5979</v>
      </c>
      <c r="C1669" t="s">
        <v>5980</v>
      </c>
      <c r="D1669" t="s">
        <v>1278</v>
      </c>
      <c r="E1669" t="s">
        <v>5851</v>
      </c>
      <c r="F1669" t="s">
        <v>45</v>
      </c>
      <c r="G1669" t="str">
        <f>HYPERLINK("https://www.bellinghamherald.com/living/article231896668.html")</f>
        <v>https://www.bellinghamherald.com/living/article231896668.html</v>
      </c>
      <c r="H1669" t="s">
        <v>46</v>
      </c>
      <c r="I1669" t="s">
        <v>1280</v>
      </c>
      <c r="J1669" t="str">
        <f>HYPERLINK("https://www.bellinghamherald.com/living/article231896668.html")</f>
        <v>https://www.bellinghamherald.com/living/article231896668.html</v>
      </c>
      <c r="L1669" t="s">
        <v>58</v>
      </c>
      <c r="N1669" t="s">
        <v>5981</v>
      </c>
      <c r="R1669" t="s">
        <v>357</v>
      </c>
      <c r="S1669" t="s">
        <v>51</v>
      </c>
      <c r="AM1669" t="s">
        <v>52</v>
      </c>
      <c r="AN1669" t="s">
        <v>53</v>
      </c>
    </row>
    <row r="1670" spans="1:40">
      <c r="A1670" t="s">
        <v>2370</v>
      </c>
      <c r="B1670" t="s">
        <v>5979</v>
      </c>
      <c r="C1670" t="s">
        <v>3646</v>
      </c>
      <c r="D1670" t="s">
        <v>5982</v>
      </c>
      <c r="E1670" t="s">
        <v>5983</v>
      </c>
      <c r="F1670" t="s">
        <v>45</v>
      </c>
      <c r="G1670" t="str">
        <f>HYPERLINK("https://techknowbits.com/2019/06/24/pepsico-nasdaqpep-sets-new-1-year-high-at-135-24.html")</f>
        <v>https://techknowbits.com/2019/06/24/pepsico-nasdaqpep-sets-new-1-year-high-at-135-24.html</v>
      </c>
      <c r="H1670" t="s">
        <v>46</v>
      </c>
      <c r="I1670" t="s">
        <v>5984</v>
      </c>
      <c r="J1670" t="str">
        <f>HYPERLINK("https://techknowbits.com/2019/06/24/pepsico-nasdaqpep-sets-new-1-year-high-at-135-24.html")</f>
        <v>https://techknowbits.com/2019/06/24/pepsico-nasdaqpep-sets-new-1-year-high-at-135-24.html</v>
      </c>
      <c r="L1670" t="s">
        <v>48</v>
      </c>
      <c r="N1670" t="s">
        <v>49</v>
      </c>
      <c r="R1670" t="s">
        <v>50</v>
      </c>
      <c r="S1670" t="s">
        <v>51</v>
      </c>
      <c r="AM1670" t="s">
        <v>52</v>
      </c>
      <c r="AN1670" t="s">
        <v>53</v>
      </c>
    </row>
    <row r="1671" spans="1:40">
      <c r="A1671" t="s">
        <v>2370</v>
      </c>
      <c r="B1671" t="s">
        <v>5979</v>
      </c>
      <c r="C1671" t="s">
        <v>3807</v>
      </c>
      <c r="D1671" t="s">
        <v>5985</v>
      </c>
      <c r="E1671" t="s">
        <v>5986</v>
      </c>
      <c r="F1671" t="s">
        <v>45</v>
      </c>
      <c r="G1671" t="str">
        <f>HYPERLINK("https://mayfieldrecorder.com/2019/06/24/pepsico-nasdaqpep-sets-new-12-month-high-at-135-24.html")</f>
        <v>https://mayfieldrecorder.com/2019/06/24/pepsico-nasdaqpep-sets-new-12-month-high-at-135-24.html</v>
      </c>
      <c r="H1671" t="s">
        <v>46</v>
      </c>
      <c r="I1671" t="s">
        <v>4706</v>
      </c>
      <c r="J1671" t="str">
        <f>HYPERLINK("https://mayfieldrecorder.com/2019/06/24/pepsico-nasdaqpep-sets-new-12-month-high-at-135-24.html")</f>
        <v>https://mayfieldrecorder.com/2019/06/24/pepsico-nasdaqpep-sets-new-12-month-high-at-135-24.html</v>
      </c>
      <c r="N1671" t="s">
        <v>356</v>
      </c>
      <c r="R1671" t="s">
        <v>357</v>
      </c>
      <c r="S1671" t="s">
        <v>51</v>
      </c>
      <c r="AM1671" t="s">
        <v>52</v>
      </c>
      <c r="AN1671" t="s">
        <v>53</v>
      </c>
    </row>
    <row r="1672" spans="1:40">
      <c r="A1672" t="s">
        <v>2370</v>
      </c>
      <c r="B1672" t="s">
        <v>322</v>
      </c>
      <c r="C1672" t="s">
        <v>4904</v>
      </c>
      <c r="D1672" t="s">
        <v>1278</v>
      </c>
      <c r="E1672" t="s">
        <v>5851</v>
      </c>
      <c r="F1672" t="s">
        <v>45</v>
      </c>
      <c r="G1672" t="str">
        <f>HYPERLINK("https://www.ledger-enquirer.com/living/article231896668.html")</f>
        <v>https://www.ledger-enquirer.com/living/article231896668.html</v>
      </c>
      <c r="H1672" t="s">
        <v>46</v>
      </c>
      <c r="I1672" t="s">
        <v>1280</v>
      </c>
      <c r="J1672" t="str">
        <f>HYPERLINK("https://www.ledger-enquirer.com/living/article231896668.html")</f>
        <v>https://www.ledger-enquirer.com/living/article231896668.html</v>
      </c>
      <c r="L1672" t="s">
        <v>58</v>
      </c>
      <c r="N1672" t="s">
        <v>5987</v>
      </c>
      <c r="R1672" t="s">
        <v>357</v>
      </c>
      <c r="S1672" t="s">
        <v>51</v>
      </c>
      <c r="AM1672" t="s">
        <v>52</v>
      </c>
      <c r="AN1672" t="s">
        <v>53</v>
      </c>
    </row>
    <row r="1673" spans="1:40">
      <c r="A1673" t="s">
        <v>2370</v>
      </c>
      <c r="B1673" t="s">
        <v>322</v>
      </c>
      <c r="C1673" t="s">
        <v>5939</v>
      </c>
      <c r="D1673" t="s">
        <v>5988</v>
      </c>
      <c r="E1673" t="s">
        <v>5989</v>
      </c>
      <c r="F1673" t="s">
        <v>45</v>
      </c>
      <c r="G1673" t="str">
        <f>HYPERLINK("https://investtribune.com/whats-pepsico-inc-pep-upside-after-reaching-all-time-high")</f>
        <v>https://investtribune.com/whats-pepsico-inc-pep-upside-after-reaching-all-time-high</v>
      </c>
      <c r="H1673" t="s">
        <v>46</v>
      </c>
      <c r="I1673" t="s">
        <v>5990</v>
      </c>
      <c r="J1673" t="str">
        <f>HYPERLINK("https://investtribune.com/whats-pepsico-inc-pep-upside-after-reaching-all-time-high/")</f>
        <v>https://investtribune.com/whats-pepsico-inc-pep-upside-after-reaching-all-time-high/</v>
      </c>
      <c r="L1673" t="s">
        <v>48</v>
      </c>
      <c r="N1673" t="s">
        <v>1046</v>
      </c>
      <c r="R1673" t="s">
        <v>357</v>
      </c>
      <c r="S1673" t="s">
        <v>51</v>
      </c>
      <c r="AI1673" t="s">
        <v>52</v>
      </c>
      <c r="AJ1673" t="s">
        <v>52</v>
      </c>
      <c r="AK1673" t="s">
        <v>52</v>
      </c>
      <c r="AL1673" t="str">
        <f>HYPERLINK("https://investtribune.com/wp-content/uploads/logos/Logos/PEP.png")</f>
        <v>https://investtribune.com/wp-content/uploads/logos/Logos/PEP.png</v>
      </c>
      <c r="AM1673" t="s">
        <v>52</v>
      </c>
      <c r="AN1673" t="s">
        <v>53</v>
      </c>
    </row>
    <row r="1674" spans="1:40">
      <c r="A1674" t="s">
        <v>2370</v>
      </c>
      <c r="B1674" t="s">
        <v>5991</v>
      </c>
      <c r="C1674" t="s">
        <v>4983</v>
      </c>
      <c r="D1674" t="s">
        <v>1278</v>
      </c>
      <c r="E1674" t="s">
        <v>5851</v>
      </c>
      <c r="F1674" t="s">
        <v>45</v>
      </c>
      <c r="G1674" t="str">
        <f>HYPERLINK("https://www.islandpacket.com/living/article231896668.html")</f>
        <v>https://www.islandpacket.com/living/article231896668.html</v>
      </c>
      <c r="H1674" t="s">
        <v>46</v>
      </c>
      <c r="I1674" t="s">
        <v>1280</v>
      </c>
      <c r="J1674" t="str">
        <f>HYPERLINK("https://www.islandpacket.com/living/article231896668.html")</f>
        <v>https://www.islandpacket.com/living/article231896668.html</v>
      </c>
      <c r="L1674" t="s">
        <v>58</v>
      </c>
      <c r="N1674" t="s">
        <v>5992</v>
      </c>
      <c r="R1674" t="s">
        <v>357</v>
      </c>
      <c r="S1674" t="s">
        <v>51</v>
      </c>
      <c r="AM1674" t="s">
        <v>52</v>
      </c>
      <c r="AN1674" t="s">
        <v>53</v>
      </c>
    </row>
    <row r="1675" spans="1:40">
      <c r="A1675" t="s">
        <v>2370</v>
      </c>
      <c r="B1675" t="s">
        <v>5991</v>
      </c>
      <c r="C1675" t="s">
        <v>5973</v>
      </c>
      <c r="D1675" t="s">
        <v>1278</v>
      </c>
      <c r="E1675" t="s">
        <v>5851</v>
      </c>
      <c r="F1675" t="s">
        <v>45</v>
      </c>
      <c r="G1675" t="str">
        <f>HYPERLINK("https://www.bradenton.com/living/pets/article231896668.html")</f>
        <v>https://www.bradenton.com/living/pets/article231896668.html</v>
      </c>
      <c r="H1675" t="s">
        <v>46</v>
      </c>
      <c r="I1675" t="s">
        <v>1280</v>
      </c>
      <c r="J1675" t="str">
        <f>HYPERLINK("https://www.bradenton.com/living/pets/article231896668.html")</f>
        <v>https://www.bradenton.com/living/pets/article231896668.html</v>
      </c>
      <c r="L1675" t="s">
        <v>58</v>
      </c>
      <c r="N1675" t="s">
        <v>5993</v>
      </c>
      <c r="R1675" t="s">
        <v>357</v>
      </c>
      <c r="S1675" t="s">
        <v>51</v>
      </c>
      <c r="AM1675" t="s">
        <v>52</v>
      </c>
      <c r="AN1675" t="s">
        <v>53</v>
      </c>
    </row>
    <row r="1676" spans="1:40">
      <c r="A1676" t="s">
        <v>2370</v>
      </c>
      <c r="B1676" t="s">
        <v>5994</v>
      </c>
      <c r="C1676" t="s">
        <v>3868</v>
      </c>
      <c r="D1676" t="s">
        <v>52</v>
      </c>
      <c r="E1676" t="s">
        <v>5995</v>
      </c>
      <c r="F1676" t="s">
        <v>45</v>
      </c>
      <c r="G1676" t="str">
        <f>HYPERLINK("https://www.instagram.com/p/BzGNvwenSKg")</f>
        <v>https://www.instagram.com/p/BzGNvwenSKg</v>
      </c>
      <c r="H1676" t="s">
        <v>46</v>
      </c>
      <c r="I1676" t="s">
        <v>5996</v>
      </c>
      <c r="J1676" t="str">
        <f>HYPERLINK("http://instagram.com/real_talk_comics")</f>
        <v>http://instagram.com/real_talk_comics</v>
      </c>
      <c r="K1676">
        <v>125</v>
      </c>
      <c r="N1676" t="s">
        <v>59</v>
      </c>
      <c r="O1676" t="s">
        <v>5996</v>
      </c>
      <c r="P1676" t="str">
        <f>HYPERLINK("http://instagram.com/real_talk_comics")</f>
        <v>http://instagram.com/real_talk_comics</v>
      </c>
      <c r="Q1676">
        <v>125</v>
      </c>
      <c r="R1676" t="s">
        <v>60</v>
      </c>
      <c r="W1676">
        <v>11</v>
      </c>
      <c r="X1676">
        <v>11</v>
      </c>
      <c r="AE1676">
        <v>0</v>
      </c>
      <c r="AI1676" t="s">
        <v>108</v>
      </c>
      <c r="AJ1676" t="s">
        <v>52</v>
      </c>
      <c r="AK1676" t="s">
        <v>341</v>
      </c>
      <c r="AL1676" t="str">
        <f>HYPERLINK("https://www.instagram.com/p/BzGNvwenSKg/media/?size=l")</f>
        <v>https://www.instagram.com/p/BzGNvwenSKg/media/?size=l</v>
      </c>
      <c r="AM1676" t="s">
        <v>52</v>
      </c>
      <c r="AN1676" t="s">
        <v>53</v>
      </c>
    </row>
    <row r="1677" spans="1:40">
      <c r="A1677" t="s">
        <v>2370</v>
      </c>
      <c r="B1677" t="s">
        <v>5994</v>
      </c>
      <c r="C1677" t="s">
        <v>5973</v>
      </c>
      <c r="D1677" t="s">
        <v>1278</v>
      </c>
      <c r="E1677" t="s">
        <v>5851</v>
      </c>
      <c r="F1677" t="s">
        <v>45</v>
      </c>
      <c r="G1677" t="str">
        <f>HYPERLINK("https://www.kansas.com/living/pets/article231896668.html")</f>
        <v>https://www.kansas.com/living/pets/article231896668.html</v>
      </c>
      <c r="H1677" t="s">
        <v>46</v>
      </c>
      <c r="I1677" t="s">
        <v>5997</v>
      </c>
      <c r="J1677" t="str">
        <f>HYPERLINK("https://www.kansas.com")</f>
        <v>https://www.kansas.com</v>
      </c>
      <c r="N1677" t="s">
        <v>5998</v>
      </c>
      <c r="R1677" t="s">
        <v>357</v>
      </c>
      <c r="S1677" t="s">
        <v>51</v>
      </c>
      <c r="AM1677" t="s">
        <v>52</v>
      </c>
      <c r="AN1677" t="s">
        <v>53</v>
      </c>
    </row>
    <row r="1678" spans="1:40">
      <c r="A1678" t="s">
        <v>2370</v>
      </c>
      <c r="B1678" t="s">
        <v>5994</v>
      </c>
      <c r="C1678" t="s">
        <v>5999</v>
      </c>
      <c r="D1678" t="s">
        <v>52</v>
      </c>
      <c r="E1678" t="s">
        <v>6000</v>
      </c>
      <c r="F1678" t="s">
        <v>71</v>
      </c>
      <c r="G1678" t="str">
        <f>HYPERLINK("https://twitter.com/49224021/status/1143175035806539776")</f>
        <v>https://twitter.com/49224021/status/1143175035806539776</v>
      </c>
      <c r="H1678" t="s">
        <v>46</v>
      </c>
      <c r="I1678" t="s">
        <v>6001</v>
      </c>
      <c r="J1678" t="str">
        <f>HYPERLINK("http://twitter.com/ScottStras")</f>
        <v>http://twitter.com/ScottStras</v>
      </c>
      <c r="K1678">
        <v>3570</v>
      </c>
      <c r="L1678" t="s">
        <v>48</v>
      </c>
      <c r="N1678" t="s">
        <v>65</v>
      </c>
      <c r="R1678" t="s">
        <v>60</v>
      </c>
      <c r="S1678" t="s">
        <v>51</v>
      </c>
      <c r="T1678" t="s">
        <v>1669</v>
      </c>
      <c r="U1678" t="s">
        <v>6002</v>
      </c>
      <c r="W1678">
        <v>0</v>
      </c>
      <c r="X1678">
        <v>0</v>
      </c>
      <c r="AE1678">
        <v>0</v>
      </c>
      <c r="AF1678">
        <v>0</v>
      </c>
      <c r="AI1678" t="s">
        <v>52</v>
      </c>
      <c r="AJ1678" t="s">
        <v>5600</v>
      </c>
      <c r="AK1678" t="s">
        <v>52</v>
      </c>
      <c r="AL1678" t="str">
        <f>HYPERLINK("https://pbs.twimg.com/media/D9ixTxbUwAEFPKV.jpg")</f>
        <v>https://pbs.twimg.com/media/D9ixTxbUwAEFPKV.jpg</v>
      </c>
      <c r="AM1678" t="s">
        <v>52</v>
      </c>
      <c r="AN1678" t="s">
        <v>53</v>
      </c>
    </row>
    <row r="1679" spans="1:40">
      <c r="A1679" t="s">
        <v>2370</v>
      </c>
      <c r="B1679" t="s">
        <v>5994</v>
      </c>
      <c r="C1679" t="s">
        <v>5939</v>
      </c>
      <c r="D1679" t="s">
        <v>1278</v>
      </c>
      <c r="E1679" t="s">
        <v>5851</v>
      </c>
      <c r="F1679" t="s">
        <v>45</v>
      </c>
      <c r="G1679" t="str">
        <f>HYPERLINK("https://www.charlotteobserver.com/living/article231896668.html")</f>
        <v>https://www.charlotteobserver.com/living/article231896668.html</v>
      </c>
      <c r="H1679" t="s">
        <v>46</v>
      </c>
      <c r="I1679" t="s">
        <v>1280</v>
      </c>
      <c r="J1679" t="str">
        <f>HYPERLINK("https://www.charlotteobserver.com/living/article231896668.html")</f>
        <v>https://www.charlotteobserver.com/living/article231896668.html</v>
      </c>
      <c r="L1679" t="s">
        <v>58</v>
      </c>
      <c r="N1679" t="s">
        <v>6003</v>
      </c>
      <c r="R1679" t="s">
        <v>357</v>
      </c>
      <c r="S1679" t="s">
        <v>51</v>
      </c>
      <c r="AM1679" t="s">
        <v>52</v>
      </c>
      <c r="AN1679" t="s">
        <v>53</v>
      </c>
    </row>
    <row r="1680" spans="1:40">
      <c r="A1680" t="s">
        <v>2370</v>
      </c>
      <c r="B1680" t="s">
        <v>5994</v>
      </c>
      <c r="C1680" t="s">
        <v>5939</v>
      </c>
      <c r="D1680" t="s">
        <v>1278</v>
      </c>
      <c r="E1680" t="s">
        <v>6004</v>
      </c>
      <c r="F1680" t="s">
        <v>45</v>
      </c>
      <c r="G1680" t="str">
        <f>HYPERLINK("https://www.sacbee.com/entertainment/living/pets/article231896668.html")</f>
        <v>https://www.sacbee.com/entertainment/living/pets/article231896668.html</v>
      </c>
      <c r="H1680" t="s">
        <v>46</v>
      </c>
      <c r="I1680" t="s">
        <v>1280</v>
      </c>
      <c r="J1680" t="str">
        <f>HYPERLINK("https://www.sacbee.com/entertainment/living/pets/article231896668.html")</f>
        <v>https://www.sacbee.com/entertainment/living/pets/article231896668.html</v>
      </c>
      <c r="L1680" t="s">
        <v>58</v>
      </c>
      <c r="N1680" t="s">
        <v>6005</v>
      </c>
      <c r="R1680" t="s">
        <v>357</v>
      </c>
      <c r="S1680" t="s">
        <v>51</v>
      </c>
      <c r="AM1680" t="s">
        <v>52</v>
      </c>
      <c r="AN1680" t="s">
        <v>53</v>
      </c>
    </row>
    <row r="1681" spans="1:40">
      <c r="A1681" t="s">
        <v>2370</v>
      </c>
      <c r="B1681" t="s">
        <v>6006</v>
      </c>
      <c r="C1681" t="s">
        <v>5973</v>
      </c>
      <c r="D1681" t="s">
        <v>6007</v>
      </c>
      <c r="E1681" t="s">
        <v>6008</v>
      </c>
      <c r="F1681" t="s">
        <v>45</v>
      </c>
      <c r="G1681" t="str">
        <f>HYPERLINK("https://makdaily.com/what-will-happen-to-pepsico-inc-pep-next-the-stock-just-reaches-record-high")</f>
        <v>https://makdaily.com/what-will-happen-to-pepsico-inc-pep-next-the-stock-just-reaches-record-high</v>
      </c>
      <c r="H1681" t="s">
        <v>46</v>
      </c>
      <c r="I1681" t="s">
        <v>6009</v>
      </c>
      <c r="J1681" t="str">
        <f>HYPERLINK("https://makdaily.com/what-will-happen-to-pepsico-inc-pep-next-the-stock-just-reaches-record-high/")</f>
        <v>https://makdaily.com/what-will-happen-to-pepsico-inc-pep-next-the-stock-just-reaches-record-high/</v>
      </c>
      <c r="L1681" t="s">
        <v>58</v>
      </c>
      <c r="N1681" t="s">
        <v>6010</v>
      </c>
      <c r="R1681" t="s">
        <v>357</v>
      </c>
      <c r="S1681" t="s">
        <v>51</v>
      </c>
      <c r="AI1681" t="s">
        <v>52</v>
      </c>
      <c r="AJ1681" t="s">
        <v>52</v>
      </c>
      <c r="AK1681" t="s">
        <v>52</v>
      </c>
      <c r="AL1681" t="str">
        <f>HYPERLINK("https://makdaily.com/wp-content/uploads/logos/Logos/PEP.png")</f>
        <v>https://makdaily.com/wp-content/uploads/logos/Logos/PEP.png</v>
      </c>
      <c r="AM1681" t="s">
        <v>52</v>
      </c>
      <c r="AN1681" t="s">
        <v>53</v>
      </c>
    </row>
    <row r="1682" spans="1:40">
      <c r="A1682" t="s">
        <v>2370</v>
      </c>
      <c r="B1682" t="s">
        <v>332</v>
      </c>
      <c r="C1682" t="s">
        <v>6011</v>
      </c>
      <c r="D1682" t="s">
        <v>52</v>
      </c>
      <c r="E1682" t="s">
        <v>4756</v>
      </c>
      <c r="F1682" t="s">
        <v>131</v>
      </c>
      <c r="G1682" t="str">
        <f>HYPERLINK("https://twitter.com/1118146613313142784/status/1143174614283116545")</f>
        <v>https://twitter.com/1118146613313142784/status/1143174614283116545</v>
      </c>
      <c r="H1682" t="s">
        <v>46</v>
      </c>
      <c r="I1682" t="s">
        <v>6012</v>
      </c>
      <c r="J1682" t="str">
        <f>HYPERLINK("http://twitter.com/LeanJuarez8")</f>
        <v>http://twitter.com/LeanJuarez8</v>
      </c>
      <c r="K1682">
        <v>744</v>
      </c>
      <c r="N1682" t="s">
        <v>65</v>
      </c>
      <c r="R1682" t="s">
        <v>60</v>
      </c>
      <c r="W1682">
        <v>0</v>
      </c>
      <c r="X1682">
        <v>0</v>
      </c>
      <c r="AE1682">
        <v>0</v>
      </c>
      <c r="AM1682" t="s">
        <v>52</v>
      </c>
      <c r="AN1682" t="s">
        <v>53</v>
      </c>
    </row>
    <row r="1683" spans="1:40">
      <c r="A1683" t="s">
        <v>2370</v>
      </c>
      <c r="B1683" t="s">
        <v>332</v>
      </c>
      <c r="C1683" t="s">
        <v>6013</v>
      </c>
      <c r="D1683" t="s">
        <v>1278</v>
      </c>
      <c r="E1683" t="s">
        <v>5851</v>
      </c>
      <c r="F1683" t="s">
        <v>45</v>
      </c>
      <c r="G1683" t="str">
        <f>HYPERLINK("https://www.centredaily.com/living/article231896668.html")</f>
        <v>https://www.centredaily.com/living/article231896668.html</v>
      </c>
      <c r="H1683" t="s">
        <v>46</v>
      </c>
      <c r="I1683" t="s">
        <v>1280</v>
      </c>
      <c r="J1683" t="str">
        <f>HYPERLINK("https://www.centredaily.com/living/article231896668.html")</f>
        <v>https://www.centredaily.com/living/article231896668.html</v>
      </c>
      <c r="L1683" t="s">
        <v>58</v>
      </c>
      <c r="N1683" t="s">
        <v>6014</v>
      </c>
      <c r="R1683" t="s">
        <v>357</v>
      </c>
      <c r="S1683" t="s">
        <v>51</v>
      </c>
      <c r="AM1683" t="s">
        <v>52</v>
      </c>
      <c r="AN1683" t="s">
        <v>53</v>
      </c>
    </row>
    <row r="1684" spans="1:40">
      <c r="A1684" t="s">
        <v>2370</v>
      </c>
      <c r="B1684" t="s">
        <v>337</v>
      </c>
      <c r="C1684" t="s">
        <v>5973</v>
      </c>
      <c r="D1684" t="s">
        <v>1278</v>
      </c>
      <c r="E1684" t="s">
        <v>5851</v>
      </c>
      <c r="F1684" t="s">
        <v>45</v>
      </c>
      <c r="G1684" t="str">
        <f>HYPERLINK("https://www.sunherald.com/living/pets/article231896668.html")</f>
        <v>https://www.sunherald.com/living/pets/article231896668.html</v>
      </c>
      <c r="H1684" t="s">
        <v>46</v>
      </c>
      <c r="I1684" t="s">
        <v>1280</v>
      </c>
      <c r="J1684" t="str">
        <f>HYPERLINK("https://www.sunherald.com/living/pets/article231896668.html")</f>
        <v>https://www.sunherald.com/living/pets/article231896668.html</v>
      </c>
      <c r="L1684" t="s">
        <v>58</v>
      </c>
      <c r="N1684" t="s">
        <v>6015</v>
      </c>
      <c r="R1684" t="s">
        <v>357</v>
      </c>
      <c r="S1684" t="s">
        <v>51</v>
      </c>
      <c r="AM1684" t="s">
        <v>52</v>
      </c>
      <c r="AN1684" t="s">
        <v>53</v>
      </c>
    </row>
    <row r="1685" spans="1:40">
      <c r="A1685" t="s">
        <v>2370</v>
      </c>
      <c r="B1685" t="s">
        <v>6016</v>
      </c>
      <c r="C1685" t="s">
        <v>6017</v>
      </c>
      <c r="D1685" t="s">
        <v>52</v>
      </c>
      <c r="E1685" t="s">
        <v>6018</v>
      </c>
      <c r="F1685" t="s">
        <v>45</v>
      </c>
      <c r="G1685" t="str">
        <f>HYPERLINK("https://www.instagram.com/p/BzGNO0dFpR2")</f>
        <v>https://www.instagram.com/p/BzGNO0dFpR2</v>
      </c>
      <c r="H1685" t="s">
        <v>46</v>
      </c>
      <c r="I1685" t="s">
        <v>6019</v>
      </c>
      <c r="J1685" t="str">
        <f>HYPERLINK("http://instagram.com/mnmtwinz")</f>
        <v>http://instagram.com/mnmtwinz</v>
      </c>
      <c r="K1685">
        <v>63222</v>
      </c>
      <c r="L1685" t="s">
        <v>48</v>
      </c>
      <c r="N1685" t="s">
        <v>59</v>
      </c>
      <c r="O1685" t="s">
        <v>6019</v>
      </c>
      <c r="P1685" t="str">
        <f>HYPERLINK("http://instagram.com/mnmtwinz")</f>
        <v>http://instagram.com/mnmtwinz</v>
      </c>
      <c r="Q1685">
        <v>63222</v>
      </c>
      <c r="R1685" t="s">
        <v>60</v>
      </c>
      <c r="S1685" t="s">
        <v>51</v>
      </c>
      <c r="T1685" t="s">
        <v>380</v>
      </c>
      <c r="U1685" t="s">
        <v>380</v>
      </c>
      <c r="W1685">
        <v>3544</v>
      </c>
      <c r="X1685">
        <v>3544</v>
      </c>
      <c r="AE1685">
        <v>74</v>
      </c>
      <c r="AI1685" t="s">
        <v>52</v>
      </c>
      <c r="AJ1685" t="s">
        <v>6020</v>
      </c>
      <c r="AK1685" t="s">
        <v>52</v>
      </c>
      <c r="AL1685" t="str">
        <f>HYPERLINK("https://www.instagram.com/p/BzGNO0dFpR2/media/?size=l")</f>
        <v>https://www.instagram.com/p/BzGNO0dFpR2/media/?size=l</v>
      </c>
      <c r="AM1685" t="s">
        <v>52</v>
      </c>
      <c r="AN1685" t="s">
        <v>53</v>
      </c>
    </row>
    <row r="1686" spans="1:40">
      <c r="A1686" t="s">
        <v>2370</v>
      </c>
      <c r="B1686" t="s">
        <v>342</v>
      </c>
      <c r="C1686" t="s">
        <v>6013</v>
      </c>
      <c r="D1686" t="s">
        <v>1278</v>
      </c>
      <c r="E1686" t="s">
        <v>6004</v>
      </c>
      <c r="F1686" t="s">
        <v>45</v>
      </c>
      <c r="G1686" t="str">
        <f>HYPERLINK("https://www.macon.com/living/pets/article231896668.html")</f>
        <v>https://www.macon.com/living/pets/article231896668.html</v>
      </c>
      <c r="H1686" t="s">
        <v>46</v>
      </c>
      <c r="I1686" t="s">
        <v>1280</v>
      </c>
      <c r="J1686" t="str">
        <f>HYPERLINK("https://www.macon.com/living/pets/article231896668.html")</f>
        <v>https://www.macon.com/living/pets/article231896668.html</v>
      </c>
      <c r="L1686" t="s">
        <v>58</v>
      </c>
      <c r="N1686" t="s">
        <v>6021</v>
      </c>
      <c r="R1686" t="s">
        <v>357</v>
      </c>
      <c r="S1686" t="s">
        <v>51</v>
      </c>
      <c r="AM1686" t="s">
        <v>52</v>
      </c>
      <c r="AN1686" t="s">
        <v>53</v>
      </c>
    </row>
    <row r="1687" spans="1:40">
      <c r="A1687" t="s">
        <v>2370</v>
      </c>
      <c r="B1687" t="s">
        <v>342</v>
      </c>
      <c r="C1687" t="s">
        <v>6022</v>
      </c>
      <c r="D1687" t="s">
        <v>52</v>
      </c>
      <c r="E1687" t="s">
        <v>6023</v>
      </c>
      <c r="F1687" t="s">
        <v>45</v>
      </c>
      <c r="G1687" t="str">
        <f>HYPERLINK("https://www.instagram.com/p/BzGNFtTJK8Y")</f>
        <v>https://www.instagram.com/p/BzGNFtTJK8Y</v>
      </c>
      <c r="H1687" t="s">
        <v>215</v>
      </c>
      <c r="I1687" t="s">
        <v>6024</v>
      </c>
      <c r="J1687" t="str">
        <f>HYPERLINK("http://instagram.com/dogantozlu97")</f>
        <v>http://instagram.com/dogantozlu97</v>
      </c>
      <c r="K1687">
        <v>7</v>
      </c>
      <c r="L1687" t="s">
        <v>48</v>
      </c>
      <c r="N1687" t="s">
        <v>59</v>
      </c>
      <c r="O1687" t="s">
        <v>6024</v>
      </c>
      <c r="P1687" t="str">
        <f>HYPERLINK("http://instagram.com/dogantozlu97")</f>
        <v>http://instagram.com/dogantozlu97</v>
      </c>
      <c r="Q1687">
        <v>7</v>
      </c>
      <c r="R1687" t="s">
        <v>60</v>
      </c>
      <c r="W1687">
        <v>12</v>
      </c>
      <c r="X1687">
        <v>12</v>
      </c>
      <c r="AE1687">
        <v>0</v>
      </c>
      <c r="AI1687" t="s">
        <v>52</v>
      </c>
      <c r="AJ1687" t="s">
        <v>121</v>
      </c>
      <c r="AK1687" t="s">
        <v>52</v>
      </c>
      <c r="AL1687" t="str">
        <f>HYPERLINK("https://www.instagram.com/p/BzGNFtTJK8Y/media/?size=l")</f>
        <v>https://www.instagram.com/p/BzGNFtTJK8Y/media/?size=l</v>
      </c>
      <c r="AM1687" t="s">
        <v>52</v>
      </c>
      <c r="AN1687" t="s">
        <v>53</v>
      </c>
    </row>
    <row r="1688" spans="1:40">
      <c r="A1688" t="s">
        <v>2370</v>
      </c>
      <c r="B1688" t="s">
        <v>6025</v>
      </c>
      <c r="C1688" t="s">
        <v>6013</v>
      </c>
      <c r="D1688" t="s">
        <v>52</v>
      </c>
      <c r="E1688" t="s">
        <v>6026</v>
      </c>
      <c r="F1688" t="s">
        <v>71</v>
      </c>
      <c r="G1688" t="str">
        <f>HYPERLINK("https://twitter.com/3017103508/status/1143173683558699009")</f>
        <v>https://twitter.com/3017103508/status/1143173683558699009</v>
      </c>
      <c r="H1688" t="s">
        <v>46</v>
      </c>
      <c r="I1688" t="s">
        <v>6027</v>
      </c>
      <c r="J1688" t="str">
        <f>HYPERLINK("http://twitter.com/CaitlinSMtuli")</f>
        <v>http://twitter.com/CaitlinSMtuli</v>
      </c>
      <c r="K1688">
        <v>1065</v>
      </c>
      <c r="L1688" t="s">
        <v>58</v>
      </c>
      <c r="N1688" t="s">
        <v>65</v>
      </c>
      <c r="R1688" t="s">
        <v>60</v>
      </c>
      <c r="S1688" t="s">
        <v>1071</v>
      </c>
      <c r="T1688" t="s">
        <v>3751</v>
      </c>
      <c r="U1688" t="s">
        <v>3752</v>
      </c>
      <c r="W1688">
        <v>0</v>
      </c>
      <c r="X1688">
        <v>0</v>
      </c>
      <c r="AE1688">
        <v>0</v>
      </c>
      <c r="AF1688">
        <v>0</v>
      </c>
      <c r="AM1688" t="s">
        <v>52</v>
      </c>
      <c r="AN1688" t="s">
        <v>53</v>
      </c>
    </row>
    <row r="1689" spans="1:40">
      <c r="A1689" t="s">
        <v>2370</v>
      </c>
      <c r="B1689" t="s">
        <v>6025</v>
      </c>
      <c r="C1689" t="s">
        <v>6022</v>
      </c>
      <c r="D1689" t="s">
        <v>52</v>
      </c>
      <c r="E1689" t="s">
        <v>5598</v>
      </c>
      <c r="F1689" t="s">
        <v>131</v>
      </c>
      <c r="G1689" t="str">
        <f>HYPERLINK("https://twitter.com/116028050/status/1143173657709072384")</f>
        <v>https://twitter.com/116028050/status/1143173657709072384</v>
      </c>
      <c r="H1689" t="s">
        <v>46</v>
      </c>
      <c r="I1689" t="s">
        <v>6028</v>
      </c>
      <c r="J1689" t="str">
        <f>HYPERLINK("http://twitter.com/KariVanHorn")</f>
        <v>http://twitter.com/KariVanHorn</v>
      </c>
      <c r="K1689">
        <v>21975</v>
      </c>
      <c r="N1689" t="s">
        <v>65</v>
      </c>
      <c r="R1689" t="s">
        <v>60</v>
      </c>
      <c r="S1689" t="s">
        <v>51</v>
      </c>
      <c r="T1689" t="s">
        <v>4265</v>
      </c>
      <c r="U1689" t="s">
        <v>6029</v>
      </c>
      <c r="W1689">
        <v>0</v>
      </c>
      <c r="X1689">
        <v>0</v>
      </c>
      <c r="AE1689">
        <v>0</v>
      </c>
      <c r="AI1689" t="s">
        <v>52</v>
      </c>
      <c r="AJ1689" t="s">
        <v>5600</v>
      </c>
      <c r="AK1689" t="s">
        <v>52</v>
      </c>
      <c r="AL1689" t="str">
        <f>HYPERLINK("https://pbs.twimg.com/media/D9ixTxbUwAEFPKV.jpg")</f>
        <v>https://pbs.twimg.com/media/D9ixTxbUwAEFPKV.jpg</v>
      </c>
      <c r="AM1689" t="s">
        <v>52</v>
      </c>
      <c r="AN1689" t="s">
        <v>53</v>
      </c>
    </row>
    <row r="1690" spans="1:40">
      <c r="A1690" t="s">
        <v>2370</v>
      </c>
      <c r="B1690" t="s">
        <v>345</v>
      </c>
      <c r="C1690" t="s">
        <v>3927</v>
      </c>
      <c r="D1690" t="s">
        <v>52</v>
      </c>
      <c r="E1690" t="s">
        <v>6030</v>
      </c>
      <c r="F1690" t="s">
        <v>45</v>
      </c>
      <c r="G1690" t="str">
        <f>HYPERLINK("https://www.instagram.com/p/BzGM3t5gPUg")</f>
        <v>https://www.instagram.com/p/BzGM3t5gPUg</v>
      </c>
      <c r="H1690" t="s">
        <v>46</v>
      </c>
      <c r="I1690" t="s">
        <v>6031</v>
      </c>
      <c r="J1690" t="str">
        <f>HYPERLINK("http://instagram.com/manu.vergara22")</f>
        <v>http://instagram.com/manu.vergara22</v>
      </c>
      <c r="K1690">
        <v>635</v>
      </c>
      <c r="N1690" t="s">
        <v>59</v>
      </c>
      <c r="O1690" t="s">
        <v>6031</v>
      </c>
      <c r="P1690" t="str">
        <f>HYPERLINK("http://instagram.com/manu.vergara22")</f>
        <v>http://instagram.com/manu.vergara22</v>
      </c>
      <c r="Q1690">
        <v>635</v>
      </c>
      <c r="R1690" t="s">
        <v>60</v>
      </c>
      <c r="S1690" t="s">
        <v>4293</v>
      </c>
      <c r="T1690" t="s">
        <v>6032</v>
      </c>
      <c r="U1690" t="s">
        <v>6033</v>
      </c>
      <c r="W1690">
        <v>75</v>
      </c>
      <c r="X1690">
        <v>75</v>
      </c>
      <c r="AE1690">
        <v>2</v>
      </c>
      <c r="AI1690" t="s">
        <v>108</v>
      </c>
      <c r="AJ1690" t="s">
        <v>6034</v>
      </c>
      <c r="AK1690" t="s">
        <v>52</v>
      </c>
      <c r="AL1690" t="str">
        <f>HYPERLINK("https://www.instagram.com/p/BzGM3t5gPUg/media/?size=l")</f>
        <v>https://www.instagram.com/p/BzGM3t5gPUg/media/?size=l</v>
      </c>
      <c r="AM1690" t="s">
        <v>52</v>
      </c>
      <c r="AN1690" t="s">
        <v>53</v>
      </c>
    </row>
    <row r="1691" spans="1:40">
      <c r="A1691" t="s">
        <v>2370</v>
      </c>
      <c r="B1691" t="s">
        <v>6035</v>
      </c>
      <c r="C1691" t="s">
        <v>5274</v>
      </c>
      <c r="D1691" t="s">
        <v>619</v>
      </c>
      <c r="E1691" t="s">
        <v>619</v>
      </c>
      <c r="F1691" t="s">
        <v>45</v>
      </c>
      <c r="G1691" t="str">
        <f>HYPERLINK("https://www.youtube.com/watch?v=edVxK00W9Y0")</f>
        <v>https://www.youtube.com/watch?v=edVxK00W9Y0</v>
      </c>
      <c r="H1691" t="s">
        <v>215</v>
      </c>
      <c r="I1691" t="s">
        <v>5955</v>
      </c>
      <c r="J1691" t="str">
        <f>HYPERLINK("https://www.youtube.com/channel/UCUk2W5e3swJUtnTvQ4thzBw")</f>
        <v>https://www.youtube.com/channel/UCUk2W5e3swJUtnTvQ4thzBw</v>
      </c>
      <c r="K1691">
        <v>2</v>
      </c>
      <c r="N1691" t="s">
        <v>116</v>
      </c>
      <c r="O1691" t="s">
        <v>5955</v>
      </c>
      <c r="P1691" t="str">
        <f>HYPERLINK("https://www.youtube.com/channel/UCUk2W5e3swJUtnTvQ4thzBw")</f>
        <v>https://www.youtube.com/channel/UCUk2W5e3swJUtnTvQ4thzBw</v>
      </c>
      <c r="Q1691">
        <v>2</v>
      </c>
      <c r="R1691" t="s">
        <v>60</v>
      </c>
      <c r="W1691">
        <v>0</v>
      </c>
      <c r="X1691">
        <v>0</v>
      </c>
      <c r="AD1691">
        <v>0</v>
      </c>
      <c r="AE1691">
        <v>0</v>
      </c>
      <c r="AG1691">
        <v>2</v>
      </c>
      <c r="AI1691" t="s">
        <v>52</v>
      </c>
      <c r="AJ1691" t="s">
        <v>52</v>
      </c>
      <c r="AK1691" t="s">
        <v>110</v>
      </c>
      <c r="AL1691" t="str">
        <f>HYPERLINK("https://i.ytimg.com/vi/edVxK00W9Y0/sddefault.jpg")</f>
        <v>https://i.ytimg.com/vi/edVxK00W9Y0/sddefault.jpg</v>
      </c>
      <c r="AM1691" t="s">
        <v>52</v>
      </c>
      <c r="AN1691" t="s">
        <v>53</v>
      </c>
    </row>
    <row r="1692" spans="1:40">
      <c r="A1692" t="s">
        <v>2370</v>
      </c>
      <c r="B1692" t="s">
        <v>348</v>
      </c>
      <c r="C1692" t="s">
        <v>6036</v>
      </c>
      <c r="D1692" t="s">
        <v>6037</v>
      </c>
      <c r="E1692" t="s">
        <v>6038</v>
      </c>
      <c r="F1692" t="s">
        <v>45</v>
      </c>
      <c r="G1692" t="str">
        <f>HYPERLINK("https://mayfieldrecorder.com/2019/06/24/holderness-investments-co-has-1-20-million-position-in-pepsico-inc-nasdaqpep.html")</f>
        <v>https://mayfieldrecorder.com/2019/06/24/holderness-investments-co-has-1-20-million-position-in-pepsico-inc-nasdaqpep.html</v>
      </c>
      <c r="H1692" t="s">
        <v>91</v>
      </c>
      <c r="I1692" t="s">
        <v>6039</v>
      </c>
      <c r="J1692" t="str">
        <f>HYPERLINK("https://mayfieldrecorder.com/2019/06/24/holderness-investments-co-has-1-20-million-position-in-pepsico-inc-nasdaqpep.html")</f>
        <v>https://mayfieldrecorder.com/2019/06/24/holderness-investments-co-has-1-20-million-position-in-pepsico-inc-nasdaqpep.html</v>
      </c>
      <c r="L1692" t="s">
        <v>58</v>
      </c>
      <c r="N1692" t="s">
        <v>356</v>
      </c>
      <c r="R1692" t="s">
        <v>357</v>
      </c>
      <c r="S1692" t="s">
        <v>51</v>
      </c>
      <c r="AM1692" t="s">
        <v>52</v>
      </c>
      <c r="AN1692" t="s">
        <v>53</v>
      </c>
    </row>
    <row r="1693" spans="1:40">
      <c r="A1693" t="s">
        <v>2370</v>
      </c>
      <c r="B1693" t="s">
        <v>348</v>
      </c>
      <c r="C1693" t="s">
        <v>6036</v>
      </c>
      <c r="D1693" t="s">
        <v>6040</v>
      </c>
      <c r="E1693" t="s">
        <v>6038</v>
      </c>
      <c r="F1693" t="s">
        <v>45</v>
      </c>
      <c r="G1693" t="str">
        <f>HYPERLINK("https://mayfieldrecorder.com/2019/06/24/hendley-co-inc-decreases-position-in-pepsico-inc-nasdaqpep.html")</f>
        <v>https://mayfieldrecorder.com/2019/06/24/hendley-co-inc-decreases-position-in-pepsico-inc-nasdaqpep.html</v>
      </c>
      <c r="H1693" t="s">
        <v>91</v>
      </c>
      <c r="I1693" t="s">
        <v>6039</v>
      </c>
      <c r="J1693" t="str">
        <f>HYPERLINK("https://mayfieldrecorder.com/2019/06/24/hendley-co-inc-decreases-position-in-pepsico-inc-nasdaqpep.html")</f>
        <v>https://mayfieldrecorder.com/2019/06/24/hendley-co-inc-decreases-position-in-pepsico-inc-nasdaqpep.html</v>
      </c>
      <c r="L1693" t="s">
        <v>58</v>
      </c>
      <c r="N1693" t="s">
        <v>356</v>
      </c>
      <c r="R1693" t="s">
        <v>357</v>
      </c>
      <c r="S1693" t="s">
        <v>51</v>
      </c>
      <c r="AM1693" t="s">
        <v>52</v>
      </c>
      <c r="AN1693" t="s">
        <v>53</v>
      </c>
    </row>
    <row r="1694" spans="1:40">
      <c r="A1694" t="s">
        <v>2370</v>
      </c>
      <c r="B1694" t="s">
        <v>6041</v>
      </c>
      <c r="C1694" t="s">
        <v>3909</v>
      </c>
      <c r="D1694" t="s">
        <v>52</v>
      </c>
      <c r="E1694" t="s">
        <v>6042</v>
      </c>
      <c r="F1694" t="s">
        <v>45</v>
      </c>
      <c r="G1694" t="str">
        <f>HYPERLINK("https://www.instagram.com/p/BzGMi3yhaT-")</f>
        <v>https://www.instagram.com/p/BzGMi3yhaT-</v>
      </c>
      <c r="H1694" t="s">
        <v>46</v>
      </c>
      <c r="I1694" t="s">
        <v>6043</v>
      </c>
      <c r="J1694" t="str">
        <f>HYPERLINK("http://instagram.com/officialfye")</f>
        <v>http://instagram.com/officialfye</v>
      </c>
      <c r="K1694">
        <v>48065</v>
      </c>
      <c r="N1694" t="s">
        <v>59</v>
      </c>
      <c r="O1694" t="s">
        <v>6043</v>
      </c>
      <c r="P1694" t="str">
        <f>HYPERLINK("http://instagram.com/officialfye")</f>
        <v>http://instagram.com/officialfye</v>
      </c>
      <c r="Q1694">
        <v>48065</v>
      </c>
      <c r="R1694" t="s">
        <v>60</v>
      </c>
      <c r="W1694">
        <v>187</v>
      </c>
      <c r="X1694">
        <v>187</v>
      </c>
      <c r="AE1694">
        <v>0</v>
      </c>
      <c r="AI1694" t="s">
        <v>108</v>
      </c>
      <c r="AJ1694" t="s">
        <v>659</v>
      </c>
      <c r="AK1694" t="s">
        <v>52</v>
      </c>
      <c r="AL1694" t="str">
        <f>HYPERLINK("https://www.instagram.com/p/BzGMi3yhaT-/media/?size=l")</f>
        <v>https://www.instagram.com/p/BzGMi3yhaT-/media/?size=l</v>
      </c>
      <c r="AM1694" t="s">
        <v>52</v>
      </c>
      <c r="AN1694" t="s">
        <v>53</v>
      </c>
    </row>
    <row r="1695" spans="1:40">
      <c r="A1695" t="s">
        <v>2370</v>
      </c>
      <c r="B1695" t="s">
        <v>6041</v>
      </c>
      <c r="C1695" t="s">
        <v>5999</v>
      </c>
      <c r="D1695" t="s">
        <v>52</v>
      </c>
      <c r="E1695" t="s">
        <v>6044</v>
      </c>
      <c r="F1695" t="s">
        <v>71</v>
      </c>
      <c r="G1695" t="str">
        <f>HYPERLINK("https://twitter.com/932888790582128640/status/1143172438160814081")</f>
        <v>https://twitter.com/932888790582128640/status/1143172438160814081</v>
      </c>
      <c r="H1695" t="s">
        <v>46</v>
      </c>
      <c r="I1695" t="s">
        <v>6045</v>
      </c>
      <c r="J1695" t="str">
        <f>HYPERLINK("http://twitter.com/LeslodgesideLes")</f>
        <v>http://twitter.com/LeslodgesideLes</v>
      </c>
      <c r="K1695">
        <v>7</v>
      </c>
      <c r="N1695" t="s">
        <v>65</v>
      </c>
      <c r="R1695" t="s">
        <v>60</v>
      </c>
      <c r="W1695">
        <v>0</v>
      </c>
      <c r="X1695">
        <v>0</v>
      </c>
      <c r="AE1695">
        <v>0</v>
      </c>
      <c r="AF1695">
        <v>0</v>
      </c>
      <c r="AI1695" t="s">
        <v>108</v>
      </c>
      <c r="AJ1695" t="s">
        <v>52</v>
      </c>
      <c r="AK1695" t="s">
        <v>52</v>
      </c>
      <c r="AL1695" t="str">
        <f>HYPERLINK("https://pbs.twimg.com/media/D9XTkLWW4AAOYnJ.jpg")</f>
        <v>https://pbs.twimg.com/media/D9XTkLWW4AAOYnJ.jpg</v>
      </c>
      <c r="AM1695" t="s">
        <v>52</v>
      </c>
      <c r="AN1695" t="s">
        <v>53</v>
      </c>
    </row>
    <row r="1696" spans="1:40">
      <c r="A1696" t="s">
        <v>2370</v>
      </c>
      <c r="B1696" t="s">
        <v>358</v>
      </c>
      <c r="C1696" t="s">
        <v>6046</v>
      </c>
      <c r="D1696" t="s">
        <v>52</v>
      </c>
      <c r="E1696" t="s">
        <v>526</v>
      </c>
      <c r="F1696" t="s">
        <v>131</v>
      </c>
      <c r="G1696" t="str">
        <f>HYPERLINK("https://twitter.com/3111920975/status/1143172356896174082")</f>
        <v>https://twitter.com/3111920975/status/1143172356896174082</v>
      </c>
      <c r="H1696" t="s">
        <v>46</v>
      </c>
      <c r="I1696" t="s">
        <v>6047</v>
      </c>
      <c r="J1696" t="str">
        <f>HYPERLINK("http://twitter.com/Rreshiken")</f>
        <v>http://twitter.com/Rreshiken</v>
      </c>
      <c r="K1696">
        <v>110</v>
      </c>
      <c r="N1696" t="s">
        <v>65</v>
      </c>
      <c r="R1696" t="s">
        <v>60</v>
      </c>
      <c r="S1696" t="s">
        <v>3527</v>
      </c>
      <c r="T1696" t="s">
        <v>6048</v>
      </c>
      <c r="U1696" t="s">
        <v>6049</v>
      </c>
      <c r="W1696">
        <v>0</v>
      </c>
      <c r="X1696">
        <v>0</v>
      </c>
      <c r="AE1696">
        <v>0</v>
      </c>
      <c r="AI1696" t="s">
        <v>108</v>
      </c>
      <c r="AJ1696" t="s">
        <v>52</v>
      </c>
      <c r="AK1696" t="s">
        <v>52</v>
      </c>
      <c r="AL1696" t="str">
        <f>HYPERLINK("https://pbs.twimg.com/ext_tw_video_thumb/1141360066962100224/pu/img/5_tGc4hLFQwcD07b.jpg")</f>
        <v>https://pbs.twimg.com/ext_tw_video_thumb/1141360066962100224/pu/img/5_tGc4hLFQwcD07b.jpg</v>
      </c>
      <c r="AM1696" t="s">
        <v>52</v>
      </c>
      <c r="AN1696" t="s">
        <v>53</v>
      </c>
    </row>
    <row r="1697" spans="1:40">
      <c r="A1697" t="s">
        <v>2370</v>
      </c>
      <c r="B1697" t="s">
        <v>358</v>
      </c>
      <c r="C1697" t="s">
        <v>6050</v>
      </c>
      <c r="D1697" t="s">
        <v>52</v>
      </c>
      <c r="E1697" t="s">
        <v>1194</v>
      </c>
      <c r="F1697" t="s">
        <v>131</v>
      </c>
      <c r="G1697" t="str">
        <f>HYPERLINK("https://twitter.com/396605744/status/1143172339313459201")</f>
        <v>https://twitter.com/396605744/status/1143172339313459201</v>
      </c>
      <c r="H1697" t="s">
        <v>46</v>
      </c>
      <c r="I1697" t="s">
        <v>6051</v>
      </c>
      <c r="J1697" t="str">
        <f>HYPERLINK("http://twitter.com/BoliBic_gastado")</f>
        <v>http://twitter.com/BoliBic_gastado</v>
      </c>
      <c r="K1697">
        <v>519</v>
      </c>
      <c r="N1697" t="s">
        <v>65</v>
      </c>
      <c r="R1697" t="s">
        <v>60</v>
      </c>
      <c r="S1697" t="s">
        <v>142</v>
      </c>
      <c r="T1697" t="s">
        <v>2393</v>
      </c>
      <c r="U1697" t="s">
        <v>2393</v>
      </c>
      <c r="W1697">
        <v>0</v>
      </c>
      <c r="X1697">
        <v>0</v>
      </c>
      <c r="AE1697">
        <v>0</v>
      </c>
      <c r="AI1697" t="s">
        <v>52</v>
      </c>
      <c r="AJ1697" t="s">
        <v>1196</v>
      </c>
      <c r="AK1697" t="s">
        <v>52</v>
      </c>
      <c r="AL1697" t="str">
        <f>HYPERLINK("https://pbs.twimg.com/media/D9xgk2YXkAAd2ql.jpg")</f>
        <v>https://pbs.twimg.com/media/D9xgk2YXkAAd2ql.jpg</v>
      </c>
      <c r="AM1697" t="s">
        <v>52</v>
      </c>
      <c r="AN1697" t="s">
        <v>53</v>
      </c>
    </row>
    <row r="1698" spans="1:40">
      <c r="A1698" t="s">
        <v>2370</v>
      </c>
      <c r="B1698" t="s">
        <v>358</v>
      </c>
      <c r="C1698" t="s">
        <v>6052</v>
      </c>
      <c r="D1698" t="s">
        <v>52</v>
      </c>
      <c r="E1698" t="s">
        <v>6053</v>
      </c>
      <c r="F1698" t="s">
        <v>71</v>
      </c>
      <c r="G1698" t="str">
        <f>HYPERLINK("https://twitter.com/927681521447731206/status/1143172190612918272")</f>
        <v>https://twitter.com/927681521447731206/status/1143172190612918272</v>
      </c>
      <c r="H1698" t="s">
        <v>46</v>
      </c>
      <c r="I1698" t="s">
        <v>6054</v>
      </c>
      <c r="J1698" t="str">
        <f>HYPERLINK("http://twitter.com/Fuckinginari")</f>
        <v>http://twitter.com/Fuckinginari</v>
      </c>
      <c r="K1698">
        <v>2910</v>
      </c>
      <c r="N1698" t="s">
        <v>65</v>
      </c>
      <c r="R1698" t="s">
        <v>60</v>
      </c>
      <c r="W1698">
        <v>2</v>
      </c>
      <c r="X1698">
        <v>2</v>
      </c>
      <c r="AE1698">
        <v>1</v>
      </c>
      <c r="AF1698">
        <v>0</v>
      </c>
      <c r="AM1698" t="s">
        <v>52</v>
      </c>
      <c r="AN1698" t="s">
        <v>53</v>
      </c>
    </row>
    <row r="1699" spans="1:40">
      <c r="A1699" t="s">
        <v>2370</v>
      </c>
      <c r="B1699" t="s">
        <v>6055</v>
      </c>
      <c r="C1699" t="s">
        <v>6056</v>
      </c>
      <c r="D1699" t="s">
        <v>6057</v>
      </c>
      <c r="E1699" t="s">
        <v>6058</v>
      </c>
      <c r="F1699" t="s">
        <v>45</v>
      </c>
      <c r="G1699" t="str">
        <f>HYPERLINK("https://www.youtube.com/watch?v=5ip_3REuUYw")</f>
        <v>https://www.youtube.com/watch?v=5ip_3REuUYw</v>
      </c>
      <c r="H1699" t="s">
        <v>91</v>
      </c>
      <c r="I1699" t="s">
        <v>6059</v>
      </c>
      <c r="J1699" t="str">
        <f>HYPERLINK("https://www.youtube.com/channel/UC2S505EamabKQH8P28jueXw")</f>
        <v>https://www.youtube.com/channel/UC2S505EamabKQH8P28jueXw</v>
      </c>
      <c r="K1699">
        <v>18</v>
      </c>
      <c r="N1699" t="s">
        <v>116</v>
      </c>
      <c r="O1699" t="s">
        <v>6059</v>
      </c>
      <c r="P1699" t="str">
        <f>HYPERLINK("https://www.youtube.com/channel/UC2S505EamabKQH8P28jueXw")</f>
        <v>https://www.youtube.com/channel/UC2S505EamabKQH8P28jueXw</v>
      </c>
      <c r="Q1699">
        <v>18</v>
      </c>
      <c r="R1699" t="s">
        <v>60</v>
      </c>
      <c r="S1699" t="s">
        <v>51</v>
      </c>
      <c r="W1699">
        <v>2</v>
      </c>
      <c r="X1699">
        <v>2</v>
      </c>
      <c r="AD1699">
        <v>0</v>
      </c>
      <c r="AE1699">
        <v>2</v>
      </c>
      <c r="AG1699">
        <v>20</v>
      </c>
      <c r="AI1699" t="s">
        <v>52</v>
      </c>
      <c r="AJ1699" t="s">
        <v>6060</v>
      </c>
      <c r="AK1699" t="s">
        <v>52</v>
      </c>
      <c r="AL1699" t="str">
        <f>HYPERLINK("https://i.ytimg.com/vi/5ip_3REuUYw/maxresdefault.jpg")</f>
        <v>https://i.ytimg.com/vi/5ip_3REuUYw/maxresdefault.jpg</v>
      </c>
      <c r="AM1699" t="s">
        <v>52</v>
      </c>
      <c r="AN1699" t="s">
        <v>53</v>
      </c>
    </row>
    <row r="1700" spans="1:40">
      <c r="A1700" t="s">
        <v>2370</v>
      </c>
      <c r="B1700" t="s">
        <v>6055</v>
      </c>
      <c r="C1700" t="s">
        <v>6061</v>
      </c>
      <c r="D1700" t="s">
        <v>6062</v>
      </c>
      <c r="E1700" t="s">
        <v>6063</v>
      </c>
      <c r="F1700" t="s">
        <v>45</v>
      </c>
      <c r="G1700" t="str">
        <f>HYPERLINK("https://washington.edgemedianetwork.com/style/home//278064/keep_your_canine_out_of_your_cannabis")</f>
        <v>https://washington.edgemedianetwork.com/style/home//278064/keep_your_canine_out_of_your_cannabis</v>
      </c>
      <c r="H1700" t="s">
        <v>46</v>
      </c>
      <c r="I1700" t="s">
        <v>1280</v>
      </c>
      <c r="J1700" t="str">
        <f>HYPERLINK("https://washington.edgemedianetwork.com/style/home//278064/keep_your_canine_out_of_your_cannabis")</f>
        <v>https://washington.edgemedianetwork.com/style/home//278064/keep_your_canine_out_of_your_cannabis</v>
      </c>
      <c r="L1700" t="s">
        <v>58</v>
      </c>
      <c r="N1700" t="s">
        <v>6064</v>
      </c>
      <c r="R1700" t="s">
        <v>357</v>
      </c>
      <c r="S1700" t="s">
        <v>51</v>
      </c>
      <c r="AI1700" t="s">
        <v>52</v>
      </c>
      <c r="AJ1700" t="s">
        <v>148</v>
      </c>
      <c r="AK1700" t="s">
        <v>52</v>
      </c>
      <c r="AL1700" t="str">
        <f>HYPERLINK("https://www.queeryme.com/display/viewimage_story.php?applicationID=0&amp;id=278064&amp;maxwidth=250")</f>
        <v>https://www.queeryme.com/display/viewimage_story.php?applicationID=0&amp;id=278064&amp;maxwidth=250</v>
      </c>
      <c r="AM1700" t="s">
        <v>52</v>
      </c>
      <c r="AN1700" t="s">
        <v>53</v>
      </c>
    </row>
    <row r="1701" spans="1:40">
      <c r="A1701" t="s">
        <v>2370</v>
      </c>
      <c r="B1701" t="s">
        <v>6065</v>
      </c>
      <c r="C1701" t="s">
        <v>6066</v>
      </c>
      <c r="D1701" t="s">
        <v>52</v>
      </c>
      <c r="E1701" t="s">
        <v>6067</v>
      </c>
      <c r="F1701" t="s">
        <v>45</v>
      </c>
      <c r="G1701" t="str">
        <f>HYPERLINK("https://www.instagram.com/p/BzGLrNKnCrj")</f>
        <v>https://www.instagram.com/p/BzGLrNKnCrj</v>
      </c>
      <c r="H1701" t="s">
        <v>46</v>
      </c>
      <c r="I1701" t="s">
        <v>6068</v>
      </c>
      <c r="J1701" t="str">
        <f>HYPERLINK("http://instagram.com/chavonne_photography")</f>
        <v>http://instagram.com/chavonne_photography</v>
      </c>
      <c r="K1701">
        <v>30</v>
      </c>
      <c r="N1701" t="s">
        <v>59</v>
      </c>
      <c r="O1701" t="s">
        <v>6068</v>
      </c>
      <c r="P1701" t="str">
        <f>HYPERLINK("http://instagram.com/chavonne_photography")</f>
        <v>http://instagram.com/chavonne_photography</v>
      </c>
      <c r="Q1701">
        <v>30</v>
      </c>
      <c r="R1701" t="s">
        <v>60</v>
      </c>
      <c r="W1701">
        <v>9</v>
      </c>
      <c r="X1701">
        <v>9</v>
      </c>
      <c r="AE1701">
        <v>0</v>
      </c>
      <c r="AI1701" t="s">
        <v>52</v>
      </c>
      <c r="AJ1701" t="s">
        <v>52</v>
      </c>
      <c r="AK1701" t="s">
        <v>52</v>
      </c>
      <c r="AL1701" t="str">
        <f>HYPERLINK("https://www.instagram.com/p/BzGLrNKnCrj/media/?size=l")</f>
        <v>https://www.instagram.com/p/BzGLrNKnCrj/media/?size=l</v>
      </c>
      <c r="AM1701" t="s">
        <v>52</v>
      </c>
      <c r="AN1701" t="s">
        <v>53</v>
      </c>
    </row>
    <row r="1702" spans="1:40">
      <c r="A1702" t="s">
        <v>2370</v>
      </c>
      <c r="B1702" t="s">
        <v>6065</v>
      </c>
      <c r="C1702" t="s">
        <v>6022</v>
      </c>
      <c r="D1702" t="s">
        <v>52</v>
      </c>
      <c r="E1702" t="s">
        <v>4043</v>
      </c>
      <c r="F1702" t="s">
        <v>131</v>
      </c>
      <c r="G1702" t="str">
        <f>HYPERLINK("https://twitter.com/263390225/status/1143170516225798145")</f>
        <v>https://twitter.com/263390225/status/1143170516225798145</v>
      </c>
      <c r="H1702" t="s">
        <v>46</v>
      </c>
      <c r="I1702" t="s">
        <v>6069</v>
      </c>
      <c r="J1702" t="str">
        <f>HYPERLINK("http://twitter.com/Reamkore")</f>
        <v>http://twitter.com/Reamkore</v>
      </c>
      <c r="K1702">
        <v>2267</v>
      </c>
      <c r="L1702" t="s">
        <v>48</v>
      </c>
      <c r="N1702" t="s">
        <v>65</v>
      </c>
      <c r="R1702" t="s">
        <v>60</v>
      </c>
      <c r="S1702" t="s">
        <v>51</v>
      </c>
      <c r="T1702" t="s">
        <v>380</v>
      </c>
      <c r="U1702" t="s">
        <v>380</v>
      </c>
      <c r="W1702">
        <v>0</v>
      </c>
      <c r="X1702">
        <v>0</v>
      </c>
      <c r="AE1702">
        <v>0</v>
      </c>
      <c r="AI1702" t="s">
        <v>52</v>
      </c>
      <c r="AJ1702" t="s">
        <v>52</v>
      </c>
      <c r="AK1702" t="s">
        <v>52</v>
      </c>
      <c r="AL1702" t="str">
        <f>HYPERLINK("https://pbs.twimg.com/media/D9z4lt6XoAAnleY.jpg")</f>
        <v>https://pbs.twimg.com/media/D9z4lt6XoAAnleY.jpg</v>
      </c>
      <c r="AM1702" t="s">
        <v>52</v>
      </c>
      <c r="AN1702" t="s">
        <v>53</v>
      </c>
    </row>
    <row r="1703" spans="1:40">
      <c r="A1703" t="s">
        <v>2370</v>
      </c>
      <c r="B1703" t="s">
        <v>6065</v>
      </c>
      <c r="C1703" t="s">
        <v>6070</v>
      </c>
      <c r="D1703" t="s">
        <v>52</v>
      </c>
      <c r="E1703" t="s">
        <v>4131</v>
      </c>
      <c r="F1703" t="s">
        <v>45</v>
      </c>
      <c r="G1703" t="str">
        <f>HYPERLINK("https://twitter.com/1454121961/status/1143170412551004160")</f>
        <v>https://twitter.com/1454121961/status/1143170412551004160</v>
      </c>
      <c r="H1703" t="s">
        <v>46</v>
      </c>
      <c r="I1703" t="s">
        <v>6071</v>
      </c>
      <c r="J1703" t="str">
        <f>HYPERLINK("http://twitter.com/TopsMarkets")</f>
        <v>http://twitter.com/TopsMarkets</v>
      </c>
      <c r="K1703">
        <v>3265</v>
      </c>
      <c r="N1703" t="s">
        <v>65</v>
      </c>
      <c r="R1703" t="s">
        <v>60</v>
      </c>
      <c r="S1703" t="s">
        <v>51</v>
      </c>
      <c r="T1703" t="s">
        <v>380</v>
      </c>
      <c r="U1703" t="s">
        <v>3578</v>
      </c>
      <c r="W1703">
        <v>1</v>
      </c>
      <c r="X1703">
        <v>1</v>
      </c>
      <c r="AE1703">
        <v>0</v>
      </c>
      <c r="AF1703">
        <v>1</v>
      </c>
      <c r="AI1703" t="s">
        <v>4133</v>
      </c>
      <c r="AJ1703" t="s">
        <v>1853</v>
      </c>
      <c r="AK1703" t="s">
        <v>52</v>
      </c>
      <c r="AL1703" t="str">
        <f>HYPERLINK("https://pbs.twimg.com/media/D91bbJiXkAEsF1j.jpg")</f>
        <v>https://pbs.twimg.com/media/D91bbJiXkAEsF1j.jpg</v>
      </c>
      <c r="AM1703" t="s">
        <v>52</v>
      </c>
      <c r="AN1703" t="s">
        <v>53</v>
      </c>
    </row>
    <row r="1704" spans="1:40">
      <c r="A1704" t="s">
        <v>2370</v>
      </c>
      <c r="B1704" t="s">
        <v>376</v>
      </c>
      <c r="C1704" t="s">
        <v>6072</v>
      </c>
      <c r="D1704" t="s">
        <v>6062</v>
      </c>
      <c r="E1704" t="s">
        <v>6073</v>
      </c>
      <c r="F1704" t="s">
        <v>45</v>
      </c>
      <c r="G1704" t="str">
        <f>HYPERLINK("https://dallas.edgemedianetwork.com/health_fitness///278064/keep_your_canine_out_of_your_cannabis")</f>
        <v>https://dallas.edgemedianetwork.com/health_fitness///278064/keep_your_canine_out_of_your_cannabis</v>
      </c>
      <c r="H1704" t="s">
        <v>46</v>
      </c>
      <c r="I1704" t="s">
        <v>1280</v>
      </c>
      <c r="J1704" t="str">
        <f>HYPERLINK("https://dallas.edgemedianetwork.com/health_fitness///278064/keep_your_canine_out_of_your_cannabis")</f>
        <v>https://dallas.edgemedianetwork.com/health_fitness///278064/keep_your_canine_out_of_your_cannabis</v>
      </c>
      <c r="L1704" t="s">
        <v>58</v>
      </c>
      <c r="N1704" t="s">
        <v>6074</v>
      </c>
      <c r="R1704" t="s">
        <v>357</v>
      </c>
      <c r="S1704" t="s">
        <v>51</v>
      </c>
      <c r="AI1704" t="s">
        <v>52</v>
      </c>
      <c r="AJ1704" t="s">
        <v>148</v>
      </c>
      <c r="AK1704" t="s">
        <v>52</v>
      </c>
      <c r="AL1704" t="str">
        <f>HYPERLINK("https://www.queeryme.com/display/viewimage_story.php?applicationID=0&amp;id=278064&amp;maxwidth=250")</f>
        <v>https://www.queeryme.com/display/viewimage_story.php?applicationID=0&amp;id=278064&amp;maxwidth=250</v>
      </c>
      <c r="AM1704" t="s">
        <v>52</v>
      </c>
      <c r="AN1704" t="s">
        <v>53</v>
      </c>
    </row>
    <row r="1705" spans="1:40">
      <c r="A1705" t="s">
        <v>2370</v>
      </c>
      <c r="B1705" t="s">
        <v>376</v>
      </c>
      <c r="C1705" t="s">
        <v>6022</v>
      </c>
      <c r="D1705" t="s">
        <v>52</v>
      </c>
      <c r="E1705" t="s">
        <v>6075</v>
      </c>
      <c r="F1705" t="s">
        <v>45</v>
      </c>
      <c r="G1705" t="str">
        <f>HYPERLINK("https://www.instagram.com/p/BzGLiZJn-uu")</f>
        <v>https://www.instagram.com/p/BzGLiZJn-uu</v>
      </c>
      <c r="H1705" t="s">
        <v>46</v>
      </c>
      <c r="I1705" t="s">
        <v>6076</v>
      </c>
      <c r="J1705" t="str">
        <f>HYPERLINK("http://instagram.com/tomhollandfan131")</f>
        <v>http://instagram.com/tomhollandfan131</v>
      </c>
      <c r="K1705">
        <v>118</v>
      </c>
      <c r="N1705" t="s">
        <v>59</v>
      </c>
      <c r="O1705" t="s">
        <v>6076</v>
      </c>
      <c r="P1705" t="str">
        <f>HYPERLINK("http://instagram.com/tomhollandfan131")</f>
        <v>http://instagram.com/tomhollandfan131</v>
      </c>
      <c r="Q1705">
        <v>118</v>
      </c>
      <c r="R1705" t="s">
        <v>60</v>
      </c>
      <c r="W1705">
        <v>33</v>
      </c>
      <c r="X1705">
        <v>33</v>
      </c>
      <c r="AE1705">
        <v>1</v>
      </c>
      <c r="AI1705" t="s">
        <v>52</v>
      </c>
      <c r="AJ1705" t="s">
        <v>458</v>
      </c>
      <c r="AK1705" t="s">
        <v>52</v>
      </c>
      <c r="AL1705" t="str">
        <f>HYPERLINK("https://www.instagram.com/p/BzGLiZJn-uu/media/?size=l")</f>
        <v>https://www.instagram.com/p/BzGLiZJn-uu/media/?size=l</v>
      </c>
      <c r="AM1705" t="s">
        <v>52</v>
      </c>
      <c r="AN1705" t="s">
        <v>53</v>
      </c>
    </row>
    <row r="1706" spans="1:40">
      <c r="A1706" t="s">
        <v>2370</v>
      </c>
      <c r="B1706" t="s">
        <v>396</v>
      </c>
      <c r="C1706" t="s">
        <v>6077</v>
      </c>
      <c r="D1706" t="s">
        <v>6062</v>
      </c>
      <c r="E1706" t="s">
        <v>6063</v>
      </c>
      <c r="F1706" t="s">
        <v>45</v>
      </c>
      <c r="G1706" t="str">
        <f>HYPERLINK("https://losangeles.edgemedianetwork.com/style/home//278064/keep_your_canine_out_of_your_cannabis")</f>
        <v>https://losangeles.edgemedianetwork.com/style/home//278064/keep_your_canine_out_of_your_cannabis</v>
      </c>
      <c r="H1706" t="s">
        <v>46</v>
      </c>
      <c r="I1706" t="s">
        <v>1280</v>
      </c>
      <c r="J1706" t="str">
        <f>HYPERLINK("https://losangeles.edgemedianetwork.com/style/home//278064/keep_your_canine_out_of_your_cannabis")</f>
        <v>https://losangeles.edgemedianetwork.com/style/home//278064/keep_your_canine_out_of_your_cannabis</v>
      </c>
      <c r="L1706" t="s">
        <v>58</v>
      </c>
      <c r="N1706" t="s">
        <v>6078</v>
      </c>
      <c r="R1706" t="s">
        <v>357</v>
      </c>
      <c r="S1706" t="s">
        <v>51</v>
      </c>
      <c r="AI1706" t="s">
        <v>52</v>
      </c>
      <c r="AJ1706" t="s">
        <v>148</v>
      </c>
      <c r="AK1706" t="s">
        <v>52</v>
      </c>
      <c r="AL1706" t="str">
        <f>HYPERLINK("https://www.queeryme.com/display/viewimage_story.php?applicationID=0&amp;id=278064&amp;maxwidth=250")</f>
        <v>https://www.queeryme.com/display/viewimage_story.php?applicationID=0&amp;id=278064&amp;maxwidth=250</v>
      </c>
      <c r="AM1706" t="s">
        <v>52</v>
      </c>
      <c r="AN1706" t="s">
        <v>53</v>
      </c>
    </row>
    <row r="1707" spans="1:40">
      <c r="A1707" t="s">
        <v>2370</v>
      </c>
      <c r="B1707" t="s">
        <v>396</v>
      </c>
      <c r="C1707" t="s">
        <v>6077</v>
      </c>
      <c r="D1707" t="s">
        <v>6062</v>
      </c>
      <c r="E1707" t="s">
        <v>6063</v>
      </c>
      <c r="F1707" t="s">
        <v>45</v>
      </c>
      <c r="G1707" t="str">
        <f>HYPERLINK("https://lasvegas.edgemedianetwork.com/style/home//278064/keep_your_canine_out_of_your_cannabis")</f>
        <v>https://lasvegas.edgemedianetwork.com/style/home//278064/keep_your_canine_out_of_your_cannabis</v>
      </c>
      <c r="H1707" t="s">
        <v>46</v>
      </c>
      <c r="I1707" t="s">
        <v>1280</v>
      </c>
      <c r="J1707" t="str">
        <f>HYPERLINK("https://lasvegas.edgemedianetwork.com/style/home//278064/keep_your_canine_out_of_your_cannabis")</f>
        <v>https://lasvegas.edgemedianetwork.com/style/home//278064/keep_your_canine_out_of_your_cannabis</v>
      </c>
      <c r="L1707" t="s">
        <v>58</v>
      </c>
      <c r="N1707" t="s">
        <v>6079</v>
      </c>
      <c r="R1707" t="s">
        <v>357</v>
      </c>
      <c r="S1707" t="s">
        <v>51</v>
      </c>
      <c r="AI1707" t="s">
        <v>52</v>
      </c>
      <c r="AJ1707" t="s">
        <v>148</v>
      </c>
      <c r="AK1707" t="s">
        <v>52</v>
      </c>
      <c r="AL1707" t="str">
        <f>HYPERLINK("https://www.queeryme.com/display/viewimage_story.php?applicationID=0&amp;id=278064&amp;maxwidth=250")</f>
        <v>https://www.queeryme.com/display/viewimage_story.php?applicationID=0&amp;id=278064&amp;maxwidth=250</v>
      </c>
      <c r="AM1707" t="s">
        <v>52</v>
      </c>
      <c r="AN1707" t="s">
        <v>53</v>
      </c>
    </row>
    <row r="1708" spans="1:40">
      <c r="A1708" t="s">
        <v>2370</v>
      </c>
      <c r="B1708" t="s">
        <v>396</v>
      </c>
      <c r="C1708" t="s">
        <v>6080</v>
      </c>
      <c r="D1708" t="s">
        <v>6081</v>
      </c>
      <c r="E1708" t="s">
        <v>6082</v>
      </c>
      <c r="F1708" t="s">
        <v>45</v>
      </c>
      <c r="G1708" t="str">
        <f>HYPERLINK("https://www.youtube.com/watch?v=iJfpg6ZGuSo")</f>
        <v>https://www.youtube.com/watch?v=iJfpg6ZGuSo</v>
      </c>
      <c r="H1708" t="s">
        <v>91</v>
      </c>
      <c r="I1708" t="s">
        <v>6083</v>
      </c>
      <c r="J1708" t="str">
        <f>HYPERLINK("https://www.youtube.com/channel/UCarbtkgtwIzAuIBV-B4cb7Q")</f>
        <v>https://www.youtube.com/channel/UCarbtkgtwIzAuIBV-B4cb7Q</v>
      </c>
      <c r="N1708" t="s">
        <v>116</v>
      </c>
      <c r="O1708" t="s">
        <v>6083</v>
      </c>
      <c r="P1708" t="str">
        <f>HYPERLINK("https://www.youtube.com/channel/UCarbtkgtwIzAuIBV-B4cb7Q")</f>
        <v>https://www.youtube.com/channel/UCarbtkgtwIzAuIBV-B4cb7Q</v>
      </c>
      <c r="R1708" t="s">
        <v>60</v>
      </c>
      <c r="S1708" t="s">
        <v>51</v>
      </c>
      <c r="AE1708">
        <v>0</v>
      </c>
      <c r="AG1708">
        <v>0</v>
      </c>
      <c r="AI1708" t="s">
        <v>52</v>
      </c>
      <c r="AJ1708" t="s">
        <v>3336</v>
      </c>
      <c r="AK1708" t="s">
        <v>52</v>
      </c>
      <c r="AL1708" t="str">
        <f>HYPERLINK("https://i.ytimg.com/vi/iJfpg6ZGuSo/hqdefault.jpg")</f>
        <v>https://i.ytimg.com/vi/iJfpg6ZGuSo/hqdefault.jpg</v>
      </c>
      <c r="AM1708" t="s">
        <v>52</v>
      </c>
      <c r="AN1708" t="s">
        <v>53</v>
      </c>
    </row>
    <row r="1709" spans="1:40">
      <c r="A1709" t="s">
        <v>2370</v>
      </c>
      <c r="B1709" t="s">
        <v>396</v>
      </c>
      <c r="C1709" t="s">
        <v>6077</v>
      </c>
      <c r="D1709" t="s">
        <v>6062</v>
      </c>
      <c r="E1709" t="s">
        <v>6073</v>
      </c>
      <c r="F1709" t="s">
        <v>45</v>
      </c>
      <c r="G1709" t="str">
        <f>HYPERLINK("https://ftlauderdale.edgemedianetwork.com/health_fitness/health//278064/keep_your_canine_out_of_your_cannabis")</f>
        <v>https://ftlauderdale.edgemedianetwork.com/health_fitness/health//278064/keep_your_canine_out_of_your_cannabis</v>
      </c>
      <c r="H1709" t="s">
        <v>46</v>
      </c>
      <c r="I1709" t="s">
        <v>1280</v>
      </c>
      <c r="J1709" t="str">
        <f>HYPERLINK("https://ftlauderdale.edgemedianetwork.com/health_fitness/health//278064/keep_your_canine_out_of_your_cannabis")</f>
        <v>https://ftlauderdale.edgemedianetwork.com/health_fitness/health//278064/keep_your_canine_out_of_your_cannabis</v>
      </c>
      <c r="L1709" t="s">
        <v>58</v>
      </c>
      <c r="N1709" t="s">
        <v>6084</v>
      </c>
      <c r="R1709" t="s">
        <v>357</v>
      </c>
      <c r="S1709" t="s">
        <v>51</v>
      </c>
      <c r="AI1709" t="s">
        <v>52</v>
      </c>
      <c r="AJ1709" t="s">
        <v>148</v>
      </c>
      <c r="AK1709" t="s">
        <v>52</v>
      </c>
      <c r="AL1709" t="str">
        <f>HYPERLINK("https://www.queeryme.com/display/viewimage_story.php?applicationID=0&amp;id=278064&amp;maxwidth=250")</f>
        <v>https://www.queeryme.com/display/viewimage_story.php?applicationID=0&amp;id=278064&amp;maxwidth=250</v>
      </c>
      <c r="AM1709" t="s">
        <v>52</v>
      </c>
      <c r="AN1709" t="s">
        <v>53</v>
      </c>
    </row>
    <row r="1710" spans="1:40">
      <c r="A1710" t="s">
        <v>2370</v>
      </c>
      <c r="B1710" t="s">
        <v>6085</v>
      </c>
      <c r="C1710" t="s">
        <v>6077</v>
      </c>
      <c r="D1710" t="s">
        <v>6062</v>
      </c>
      <c r="E1710" t="s">
        <v>6063</v>
      </c>
      <c r="F1710" t="s">
        <v>45</v>
      </c>
      <c r="G1710" t="str">
        <f>HYPERLINK("https://www.edgemedianetwork.com/style/home//278064/keep_your_canine_out_of_your_cannabis")</f>
        <v>https://www.edgemedianetwork.com/style/home//278064/keep_your_canine_out_of_your_cannabis</v>
      </c>
      <c r="H1710" t="s">
        <v>46</v>
      </c>
      <c r="I1710" t="s">
        <v>1280</v>
      </c>
      <c r="J1710" t="str">
        <f>HYPERLINK("https://www.edgemedianetwork.com/style/home//278064/keep_your_canine_out_of_your_cannabis")</f>
        <v>https://www.edgemedianetwork.com/style/home//278064/keep_your_canine_out_of_your_cannabis</v>
      </c>
      <c r="L1710" t="s">
        <v>58</v>
      </c>
      <c r="N1710" t="s">
        <v>6086</v>
      </c>
      <c r="R1710" t="s">
        <v>357</v>
      </c>
      <c r="S1710" t="s">
        <v>51</v>
      </c>
      <c r="AI1710" t="s">
        <v>52</v>
      </c>
      <c r="AJ1710" t="s">
        <v>148</v>
      </c>
      <c r="AK1710" t="s">
        <v>52</v>
      </c>
      <c r="AL1710" t="str">
        <f>HYPERLINK("https://www.queeryme.com/display/viewimage_story.php?applicationID=0&amp;id=278064&amp;maxwidth=250")</f>
        <v>https://www.queeryme.com/display/viewimage_story.php?applicationID=0&amp;id=278064&amp;maxwidth=250</v>
      </c>
      <c r="AM1710" t="s">
        <v>52</v>
      </c>
      <c r="AN1710" t="s">
        <v>53</v>
      </c>
    </row>
    <row r="1711" spans="1:40">
      <c r="A1711" t="s">
        <v>2370</v>
      </c>
      <c r="B1711" t="s">
        <v>6085</v>
      </c>
      <c r="C1711" t="s">
        <v>6022</v>
      </c>
      <c r="D1711" t="s">
        <v>52</v>
      </c>
      <c r="E1711" t="s">
        <v>6087</v>
      </c>
      <c r="F1711" t="s">
        <v>45</v>
      </c>
      <c r="G1711" t="str">
        <f>HYPERLINK("https://www.instagram.com/p/BzGLQvzlC6Y")</f>
        <v>https://www.instagram.com/p/BzGLQvzlC6Y</v>
      </c>
      <c r="H1711" t="s">
        <v>215</v>
      </c>
      <c r="I1711" t="s">
        <v>6088</v>
      </c>
      <c r="J1711" t="str">
        <f>HYPERLINK("http://instagram.com/daniel.lay")</f>
        <v>http://instagram.com/daniel.lay</v>
      </c>
      <c r="K1711">
        <v>236</v>
      </c>
      <c r="L1711" t="s">
        <v>48</v>
      </c>
      <c r="N1711" t="s">
        <v>59</v>
      </c>
      <c r="O1711" t="s">
        <v>6088</v>
      </c>
      <c r="P1711" t="str">
        <f>HYPERLINK("http://instagram.com/daniel.lay")</f>
        <v>http://instagram.com/daniel.lay</v>
      </c>
      <c r="Q1711">
        <v>236</v>
      </c>
      <c r="R1711" t="s">
        <v>60</v>
      </c>
      <c r="S1711" t="s">
        <v>97</v>
      </c>
      <c r="T1711" t="s">
        <v>177</v>
      </c>
      <c r="U1711" t="s">
        <v>6089</v>
      </c>
      <c r="W1711">
        <v>10</v>
      </c>
      <c r="X1711">
        <v>10</v>
      </c>
      <c r="AE1711">
        <v>0</v>
      </c>
      <c r="AI1711" t="s">
        <v>52</v>
      </c>
      <c r="AJ1711" t="s">
        <v>6090</v>
      </c>
      <c r="AK1711" t="s">
        <v>52</v>
      </c>
      <c r="AL1711" t="str">
        <f>HYPERLINK("https://www.instagram.com/p/BzGLQvzlC6Y/media/?size=l")</f>
        <v>https://www.instagram.com/p/BzGLQvzlC6Y/media/?size=l</v>
      </c>
      <c r="AM1711" t="s">
        <v>52</v>
      </c>
      <c r="AN1711" t="s">
        <v>53</v>
      </c>
    </row>
    <row r="1712" spans="1:40">
      <c r="A1712" t="s">
        <v>2370</v>
      </c>
      <c r="B1712" t="s">
        <v>6085</v>
      </c>
      <c r="C1712" t="s">
        <v>6091</v>
      </c>
      <c r="D1712" t="s">
        <v>52</v>
      </c>
      <c r="E1712" t="s">
        <v>6092</v>
      </c>
      <c r="F1712" t="s">
        <v>45</v>
      </c>
      <c r="G1712" t="str">
        <f>HYPERLINK("https://www.instagram.com/p/BzGLPjZAjSu")</f>
        <v>https://www.instagram.com/p/BzGLPjZAjSu</v>
      </c>
      <c r="H1712" t="s">
        <v>46</v>
      </c>
      <c r="I1712" t="s">
        <v>2280</v>
      </c>
      <c r="J1712" t="str">
        <f>HYPERLINK("http://instagram.com/theuntroublebones")</f>
        <v>http://instagram.com/theuntroublebones</v>
      </c>
      <c r="K1712">
        <v>1136</v>
      </c>
      <c r="N1712" t="s">
        <v>59</v>
      </c>
      <c r="O1712" t="s">
        <v>2280</v>
      </c>
      <c r="P1712" t="str">
        <f>HYPERLINK("http://instagram.com/theuntroublebones")</f>
        <v>http://instagram.com/theuntroublebones</v>
      </c>
      <c r="Q1712">
        <v>1136</v>
      </c>
      <c r="R1712" t="s">
        <v>60</v>
      </c>
      <c r="S1712" t="s">
        <v>51</v>
      </c>
      <c r="T1712" t="s">
        <v>152</v>
      </c>
      <c r="U1712" t="s">
        <v>424</v>
      </c>
      <c r="W1712">
        <v>133</v>
      </c>
      <c r="X1712">
        <v>133</v>
      </c>
      <c r="AE1712">
        <v>4</v>
      </c>
      <c r="AI1712" t="s">
        <v>52</v>
      </c>
      <c r="AJ1712" t="s">
        <v>458</v>
      </c>
      <c r="AK1712" t="s">
        <v>52</v>
      </c>
      <c r="AL1712" t="str">
        <f>HYPERLINK("https://www.instagram.com/p/BzGLPjZAjSu/media/?size=l")</f>
        <v>https://www.instagram.com/p/BzGLPjZAjSu/media/?size=l</v>
      </c>
      <c r="AM1712" t="s">
        <v>52</v>
      </c>
      <c r="AN1712" t="s">
        <v>53</v>
      </c>
    </row>
    <row r="1713" spans="1:40">
      <c r="A1713" t="s">
        <v>2370</v>
      </c>
      <c r="B1713" t="s">
        <v>6093</v>
      </c>
      <c r="C1713" t="s">
        <v>6094</v>
      </c>
      <c r="D1713" t="s">
        <v>52</v>
      </c>
      <c r="E1713" t="s">
        <v>6095</v>
      </c>
      <c r="F1713" t="s">
        <v>131</v>
      </c>
      <c r="G1713" t="str">
        <f>HYPERLINK("https://twitter.com/423029641/status/1143169651842703360")</f>
        <v>https://twitter.com/423029641/status/1143169651842703360</v>
      </c>
      <c r="H1713" t="s">
        <v>46</v>
      </c>
      <c r="I1713" t="s">
        <v>6096</v>
      </c>
      <c r="J1713" t="str">
        <f>HYPERLINK("http://twitter.com/Logan_Peri")</f>
        <v>http://twitter.com/Logan_Peri</v>
      </c>
      <c r="K1713">
        <v>537</v>
      </c>
      <c r="N1713" t="s">
        <v>65</v>
      </c>
      <c r="R1713" t="s">
        <v>60</v>
      </c>
      <c r="W1713">
        <v>0</v>
      </c>
      <c r="X1713">
        <v>0</v>
      </c>
      <c r="AE1713">
        <v>0</v>
      </c>
      <c r="AM1713" t="s">
        <v>52</v>
      </c>
      <c r="AN1713" t="s">
        <v>53</v>
      </c>
    </row>
    <row r="1714" spans="1:40">
      <c r="A1714" t="s">
        <v>2370</v>
      </c>
      <c r="B1714" t="s">
        <v>6097</v>
      </c>
      <c r="C1714" t="s">
        <v>6080</v>
      </c>
      <c r="D1714" t="s">
        <v>6062</v>
      </c>
      <c r="E1714" t="s">
        <v>6073</v>
      </c>
      <c r="F1714" t="s">
        <v>45</v>
      </c>
      <c r="G1714" t="str">
        <f>HYPERLINK("https://ptown.edgemedianetwork.com/health_fitness/health//278064/keep_your_canine_out_of_your_cannabis")</f>
        <v>https://ptown.edgemedianetwork.com/health_fitness/health//278064/keep_your_canine_out_of_your_cannabis</v>
      </c>
      <c r="H1714" t="s">
        <v>46</v>
      </c>
      <c r="I1714" t="s">
        <v>1280</v>
      </c>
      <c r="J1714" t="str">
        <f>HYPERLINK("https://ptown.edgemedianetwork.com/health_fitness/health//278064/keep_your_canine_out_of_your_cannabis")</f>
        <v>https://ptown.edgemedianetwork.com/health_fitness/health//278064/keep_your_canine_out_of_your_cannabis</v>
      </c>
      <c r="L1714" t="s">
        <v>58</v>
      </c>
      <c r="N1714" t="s">
        <v>6098</v>
      </c>
      <c r="R1714" t="s">
        <v>357</v>
      </c>
      <c r="S1714" t="s">
        <v>51</v>
      </c>
      <c r="AI1714" t="s">
        <v>52</v>
      </c>
      <c r="AJ1714" t="s">
        <v>148</v>
      </c>
      <c r="AK1714" t="s">
        <v>52</v>
      </c>
      <c r="AL1714" t="str">
        <f>HYPERLINK("https://www.queeryme.com/display/viewimage_story.php?applicationID=0&amp;id=278064&amp;maxwidth=250")</f>
        <v>https://www.queeryme.com/display/viewimage_story.php?applicationID=0&amp;id=278064&amp;maxwidth=250</v>
      </c>
      <c r="AM1714" t="s">
        <v>52</v>
      </c>
      <c r="AN1714" t="s">
        <v>53</v>
      </c>
    </row>
    <row r="1715" spans="1:40">
      <c r="A1715" t="s">
        <v>2370</v>
      </c>
      <c r="B1715" t="s">
        <v>406</v>
      </c>
      <c r="C1715" t="s">
        <v>6080</v>
      </c>
      <c r="D1715" t="s">
        <v>6062</v>
      </c>
      <c r="E1715" t="s">
        <v>6073</v>
      </c>
      <c r="F1715" t="s">
        <v>45</v>
      </c>
      <c r="G1715" t="str">
        <f>HYPERLINK("https://providence.edgemedianetwork.com/health_fitness/health//278064/keep_your_canine_out_of_your_cannabis")</f>
        <v>https://providence.edgemedianetwork.com/health_fitness/health//278064/keep_your_canine_out_of_your_cannabis</v>
      </c>
      <c r="H1715" t="s">
        <v>46</v>
      </c>
      <c r="I1715" t="s">
        <v>1280</v>
      </c>
      <c r="J1715" t="str">
        <f>HYPERLINK("https://providence.edgemedianetwork.com/health_fitness/health//278064/keep_your_canine_out_of_your_cannabis")</f>
        <v>https://providence.edgemedianetwork.com/health_fitness/health//278064/keep_your_canine_out_of_your_cannabis</v>
      </c>
      <c r="L1715" t="s">
        <v>58</v>
      </c>
      <c r="N1715" t="s">
        <v>6099</v>
      </c>
      <c r="R1715" t="s">
        <v>357</v>
      </c>
      <c r="S1715" t="s">
        <v>51</v>
      </c>
      <c r="AI1715" t="s">
        <v>52</v>
      </c>
      <c r="AJ1715" t="s">
        <v>148</v>
      </c>
      <c r="AK1715" t="s">
        <v>52</v>
      </c>
      <c r="AL1715" t="str">
        <f>HYPERLINK("https://www.queeryme.com/display/viewimage_story.php?applicationID=0&amp;id=278064&amp;maxwidth=250")</f>
        <v>https://www.queeryme.com/display/viewimage_story.php?applicationID=0&amp;id=278064&amp;maxwidth=250</v>
      </c>
      <c r="AM1715" t="s">
        <v>52</v>
      </c>
      <c r="AN1715" t="s">
        <v>53</v>
      </c>
    </row>
    <row r="1716" spans="1:40">
      <c r="A1716" t="s">
        <v>2370</v>
      </c>
      <c r="B1716" t="s">
        <v>406</v>
      </c>
      <c r="C1716" t="s">
        <v>6100</v>
      </c>
      <c r="D1716" t="s">
        <v>52</v>
      </c>
      <c r="E1716" t="s">
        <v>5815</v>
      </c>
      <c r="F1716" t="s">
        <v>71</v>
      </c>
      <c r="G1716" t="str">
        <f>HYPERLINK("https://twitter.com/768405340228612096/status/1143169101231198209")</f>
        <v>https://twitter.com/768405340228612096/status/1143169101231198209</v>
      </c>
      <c r="H1716" t="s">
        <v>46</v>
      </c>
      <c r="I1716" t="s">
        <v>6101</v>
      </c>
      <c r="J1716" t="str">
        <f>HYPERLINK("http://twitter.com/BagotsiBagotsi")</f>
        <v>http://twitter.com/BagotsiBagotsi</v>
      </c>
      <c r="K1716">
        <v>1866</v>
      </c>
      <c r="N1716" t="s">
        <v>65</v>
      </c>
      <c r="R1716" t="s">
        <v>60</v>
      </c>
      <c r="S1716" t="s">
        <v>5817</v>
      </c>
      <c r="T1716" t="s">
        <v>5818</v>
      </c>
      <c r="U1716" t="s">
        <v>5819</v>
      </c>
      <c r="W1716">
        <v>0</v>
      </c>
      <c r="X1716">
        <v>0</v>
      </c>
      <c r="AE1716">
        <v>0</v>
      </c>
      <c r="AF1716">
        <v>0</v>
      </c>
      <c r="AM1716" t="s">
        <v>52</v>
      </c>
      <c r="AN1716" t="s">
        <v>53</v>
      </c>
    </row>
    <row r="1717" spans="1:40">
      <c r="A1717" t="s">
        <v>2370</v>
      </c>
      <c r="B1717" t="s">
        <v>406</v>
      </c>
      <c r="C1717" t="s">
        <v>6102</v>
      </c>
      <c r="D1717" t="s">
        <v>6062</v>
      </c>
      <c r="E1717" t="s">
        <v>6073</v>
      </c>
      <c r="F1717" t="s">
        <v>45</v>
      </c>
      <c r="G1717" t="str">
        <f>HYPERLINK("https://newyork.edgemedianetwork.com/style/home//278064/keep_your_canine_out_of_your_cannabis")</f>
        <v>https://newyork.edgemedianetwork.com/style/home//278064/keep_your_canine_out_of_your_cannabis</v>
      </c>
      <c r="H1717" t="s">
        <v>46</v>
      </c>
      <c r="I1717" t="s">
        <v>1280</v>
      </c>
      <c r="J1717" t="str">
        <f>HYPERLINK("https://newyork.edgemedianetwork.com/style/home//278064/keep_your_canine_out_of_your_cannabis")</f>
        <v>https://newyork.edgemedianetwork.com/style/home//278064/keep_your_canine_out_of_your_cannabis</v>
      </c>
      <c r="L1717" t="s">
        <v>58</v>
      </c>
      <c r="N1717" t="s">
        <v>6103</v>
      </c>
      <c r="R1717" t="s">
        <v>357</v>
      </c>
      <c r="S1717" t="s">
        <v>51</v>
      </c>
      <c r="AI1717" t="s">
        <v>52</v>
      </c>
      <c r="AJ1717" t="s">
        <v>148</v>
      </c>
      <c r="AK1717" t="s">
        <v>52</v>
      </c>
      <c r="AL1717" t="str">
        <f>HYPERLINK("https://www.queeryme.com/display/viewimage_story.php?applicationID=0&amp;id=278064&amp;maxwidth=250")</f>
        <v>https://www.queeryme.com/display/viewimage_story.php?applicationID=0&amp;id=278064&amp;maxwidth=250</v>
      </c>
      <c r="AM1717" t="s">
        <v>52</v>
      </c>
      <c r="AN1717" t="s">
        <v>53</v>
      </c>
    </row>
    <row r="1718" spans="1:40">
      <c r="A1718" t="s">
        <v>2370</v>
      </c>
      <c r="B1718" t="s">
        <v>406</v>
      </c>
      <c r="C1718" t="s">
        <v>6104</v>
      </c>
      <c r="D1718" t="s">
        <v>52</v>
      </c>
      <c r="E1718" t="s">
        <v>1194</v>
      </c>
      <c r="F1718" t="s">
        <v>131</v>
      </c>
      <c r="G1718" t="str">
        <f>HYPERLINK("https://twitter.com/3033620304/status/1143169030271975424")</f>
        <v>https://twitter.com/3033620304/status/1143169030271975424</v>
      </c>
      <c r="H1718" t="s">
        <v>46</v>
      </c>
      <c r="I1718" t="s">
        <v>6105</v>
      </c>
      <c r="J1718" t="str">
        <f>HYPERLINK("http://twitter.com/mdelmarmo")</f>
        <v>http://twitter.com/mdelmarmo</v>
      </c>
      <c r="K1718">
        <v>277</v>
      </c>
      <c r="N1718" t="s">
        <v>65</v>
      </c>
      <c r="R1718" t="s">
        <v>60</v>
      </c>
      <c r="S1718" t="s">
        <v>142</v>
      </c>
      <c r="W1718">
        <v>0</v>
      </c>
      <c r="X1718">
        <v>0</v>
      </c>
      <c r="AE1718">
        <v>0</v>
      </c>
      <c r="AI1718" t="s">
        <v>52</v>
      </c>
      <c r="AJ1718" t="s">
        <v>1196</v>
      </c>
      <c r="AK1718" t="s">
        <v>52</v>
      </c>
      <c r="AL1718" t="str">
        <f>HYPERLINK("https://pbs.twimg.com/media/D9xgk2YXkAAd2ql.jpg")</f>
        <v>https://pbs.twimg.com/media/D9xgk2YXkAAd2ql.jpg</v>
      </c>
      <c r="AM1718" t="s">
        <v>52</v>
      </c>
      <c r="AN1718" t="s">
        <v>53</v>
      </c>
    </row>
    <row r="1719" spans="1:40">
      <c r="A1719" t="s">
        <v>2370</v>
      </c>
      <c r="B1719" t="s">
        <v>406</v>
      </c>
      <c r="C1719" t="s">
        <v>6077</v>
      </c>
      <c r="D1719" t="s">
        <v>52</v>
      </c>
      <c r="E1719" t="s">
        <v>526</v>
      </c>
      <c r="F1719" t="s">
        <v>131</v>
      </c>
      <c r="G1719" t="str">
        <f>HYPERLINK("https://twitter.com/352310830/status/1143168981337018369")</f>
        <v>https://twitter.com/352310830/status/1143168981337018369</v>
      </c>
      <c r="H1719" t="s">
        <v>46</v>
      </c>
      <c r="I1719" t="s">
        <v>6106</v>
      </c>
      <c r="J1719" t="str">
        <f>HYPERLINK("http://twitter.com/Eliud_14")</f>
        <v>http://twitter.com/Eliud_14</v>
      </c>
      <c r="K1719">
        <v>413</v>
      </c>
      <c r="N1719" t="s">
        <v>65</v>
      </c>
      <c r="R1719" t="s">
        <v>60</v>
      </c>
      <c r="S1719" t="s">
        <v>437</v>
      </c>
      <c r="T1719" t="s">
        <v>529</v>
      </c>
      <c r="U1719" t="s">
        <v>6107</v>
      </c>
      <c r="W1719">
        <v>0</v>
      </c>
      <c r="X1719">
        <v>0</v>
      </c>
      <c r="AE1719">
        <v>0</v>
      </c>
      <c r="AI1719" t="s">
        <v>108</v>
      </c>
      <c r="AJ1719" t="s">
        <v>52</v>
      </c>
      <c r="AK1719" t="s">
        <v>52</v>
      </c>
      <c r="AL1719" t="str">
        <f>HYPERLINK("https://pbs.twimg.com/ext_tw_video_thumb/1141360066962100224/pu/img/5_tGc4hLFQwcD07b.jpg")</f>
        <v>https://pbs.twimg.com/ext_tw_video_thumb/1141360066962100224/pu/img/5_tGc4hLFQwcD07b.jpg</v>
      </c>
      <c r="AM1719" t="s">
        <v>52</v>
      </c>
      <c r="AN1719" t="s">
        <v>53</v>
      </c>
    </row>
    <row r="1720" spans="1:40">
      <c r="A1720" t="s">
        <v>2370</v>
      </c>
      <c r="B1720" t="s">
        <v>406</v>
      </c>
      <c r="C1720" t="s">
        <v>6108</v>
      </c>
      <c r="D1720" t="s">
        <v>52</v>
      </c>
      <c r="E1720" t="s">
        <v>6109</v>
      </c>
      <c r="F1720" t="s">
        <v>45</v>
      </c>
      <c r="G1720" t="str">
        <f>HYPERLINK("https://www.instagram.com/p/BzGK2zgFWRQ")</f>
        <v>https://www.instagram.com/p/BzGK2zgFWRQ</v>
      </c>
      <c r="H1720" t="s">
        <v>46</v>
      </c>
      <c r="I1720" t="s">
        <v>6110</v>
      </c>
      <c r="J1720" t="str">
        <f>HYPERLINK("http://instagram.com/craftsmanrowphl")</f>
        <v>http://instagram.com/craftsmanrowphl</v>
      </c>
      <c r="K1720">
        <v>30300</v>
      </c>
      <c r="N1720" t="s">
        <v>59</v>
      </c>
      <c r="O1720" t="s">
        <v>6110</v>
      </c>
      <c r="P1720" t="str">
        <f>HYPERLINK("http://instagram.com/craftsmanrowphl")</f>
        <v>http://instagram.com/craftsmanrowphl</v>
      </c>
      <c r="Q1720">
        <v>30300</v>
      </c>
      <c r="R1720" t="s">
        <v>60</v>
      </c>
      <c r="S1720" t="s">
        <v>51</v>
      </c>
      <c r="T1720" t="s">
        <v>678</v>
      </c>
      <c r="U1720" t="s">
        <v>679</v>
      </c>
      <c r="W1720">
        <v>534</v>
      </c>
      <c r="X1720">
        <v>534</v>
      </c>
      <c r="AE1720">
        <v>34</v>
      </c>
      <c r="AG1720">
        <v>4768</v>
      </c>
      <c r="AI1720" t="s">
        <v>52</v>
      </c>
      <c r="AJ1720" t="s">
        <v>4054</v>
      </c>
      <c r="AK1720" t="s">
        <v>52</v>
      </c>
      <c r="AL1720" t="str">
        <f>HYPERLINK("https://www.instagram.com/p/BzGK2zgFWRQ/media/?size=l")</f>
        <v>https://www.instagram.com/p/BzGK2zgFWRQ/media/?size=l</v>
      </c>
      <c r="AM1720" t="s">
        <v>52</v>
      </c>
      <c r="AN1720" t="s">
        <v>53</v>
      </c>
    </row>
    <row r="1721" spans="1:40">
      <c r="A1721" t="s">
        <v>2370</v>
      </c>
      <c r="B1721" t="s">
        <v>6111</v>
      </c>
      <c r="C1721" t="s">
        <v>6102</v>
      </c>
      <c r="D1721" t="s">
        <v>6062</v>
      </c>
      <c r="E1721" t="s">
        <v>6063</v>
      </c>
      <c r="F1721" t="s">
        <v>45</v>
      </c>
      <c r="G1721" t="str">
        <f>HYPERLINK("https://sanfrancisco.edgemedianetwork.com/style/home//278064/keep_your_canine_out_of_your_cannabis")</f>
        <v>https://sanfrancisco.edgemedianetwork.com/style/home//278064/keep_your_canine_out_of_your_cannabis</v>
      </c>
      <c r="H1721" t="s">
        <v>46</v>
      </c>
      <c r="I1721" t="s">
        <v>1280</v>
      </c>
      <c r="J1721" t="str">
        <f>HYPERLINK("https://sanfrancisco.edgemedianetwork.com/style/home//278064/keep_your_canine_out_of_your_cannabis")</f>
        <v>https://sanfrancisco.edgemedianetwork.com/style/home//278064/keep_your_canine_out_of_your_cannabis</v>
      </c>
      <c r="L1721" t="s">
        <v>58</v>
      </c>
      <c r="N1721" t="s">
        <v>6112</v>
      </c>
      <c r="R1721" t="s">
        <v>357</v>
      </c>
      <c r="S1721" t="s">
        <v>51</v>
      </c>
      <c r="AI1721" t="s">
        <v>52</v>
      </c>
      <c r="AJ1721" t="s">
        <v>148</v>
      </c>
      <c r="AK1721" t="s">
        <v>52</v>
      </c>
      <c r="AL1721" t="str">
        <f>HYPERLINK("https://www.queeryme.com/display/viewimage_story.php?applicationID=0&amp;id=278064&amp;maxwidth=250")</f>
        <v>https://www.queeryme.com/display/viewimage_story.php?applicationID=0&amp;id=278064&amp;maxwidth=250</v>
      </c>
      <c r="AM1721" t="s">
        <v>52</v>
      </c>
      <c r="AN1721" t="s">
        <v>53</v>
      </c>
    </row>
    <row r="1722" spans="1:40">
      <c r="A1722" t="s">
        <v>2370</v>
      </c>
      <c r="B1722" t="s">
        <v>6111</v>
      </c>
      <c r="C1722" t="s">
        <v>6091</v>
      </c>
      <c r="D1722" t="s">
        <v>52</v>
      </c>
      <c r="E1722" t="s">
        <v>6113</v>
      </c>
      <c r="F1722" t="s">
        <v>45</v>
      </c>
      <c r="G1722" t="str">
        <f>HYPERLINK("https://twitter.com/1099812233830457344/status/1143168844695031808")</f>
        <v>https://twitter.com/1099812233830457344/status/1143168844695031808</v>
      </c>
      <c r="H1722" t="s">
        <v>46</v>
      </c>
      <c r="I1722" t="s">
        <v>6114</v>
      </c>
      <c r="J1722" t="str">
        <f>HYPERLINK("http://twitter.com/kittyyuga")</f>
        <v>http://twitter.com/kittyyuga</v>
      </c>
      <c r="K1722">
        <v>145</v>
      </c>
      <c r="N1722" t="s">
        <v>65</v>
      </c>
      <c r="R1722" t="s">
        <v>60</v>
      </c>
      <c r="W1722">
        <v>3</v>
      </c>
      <c r="X1722">
        <v>3</v>
      </c>
      <c r="AE1722">
        <v>0</v>
      </c>
      <c r="AF1722">
        <v>0</v>
      </c>
      <c r="AI1722" t="s">
        <v>52</v>
      </c>
      <c r="AJ1722" t="s">
        <v>3639</v>
      </c>
      <c r="AK1722" t="s">
        <v>52</v>
      </c>
      <c r="AL1722" t="str">
        <f>HYPERLINK("https://pbs.twimg.com/media/D91Z_-5X4AAKadm.jpg")</f>
        <v>https://pbs.twimg.com/media/D91Z_-5X4AAKadm.jpg</v>
      </c>
      <c r="AM1722" t="s">
        <v>52</v>
      </c>
      <c r="AN1722" t="s">
        <v>53</v>
      </c>
    </row>
    <row r="1723" spans="1:40">
      <c r="A1723" t="s">
        <v>2370</v>
      </c>
      <c r="B1723" t="s">
        <v>6111</v>
      </c>
      <c r="C1723" t="s">
        <v>5960</v>
      </c>
      <c r="D1723" t="s">
        <v>52</v>
      </c>
      <c r="E1723" t="s">
        <v>6115</v>
      </c>
      <c r="F1723" t="s">
        <v>45</v>
      </c>
      <c r="G1723" t="str">
        <f>HYPERLINK("https://www.instagram.com/p/BzGK3buARw9")</f>
        <v>https://www.instagram.com/p/BzGK3buARw9</v>
      </c>
      <c r="H1723" t="s">
        <v>46</v>
      </c>
      <c r="I1723" t="s">
        <v>6116</v>
      </c>
      <c r="J1723" t="str">
        <f>HYPERLINK("http://instagram.com/fan15tomholland")</f>
        <v>http://instagram.com/fan15tomholland</v>
      </c>
      <c r="K1723">
        <v>220</v>
      </c>
      <c r="L1723" t="s">
        <v>48</v>
      </c>
      <c r="N1723" t="s">
        <v>59</v>
      </c>
      <c r="O1723" t="s">
        <v>6116</v>
      </c>
      <c r="P1723" t="str">
        <f>HYPERLINK("http://instagram.com/fan15tomholland")</f>
        <v>http://instagram.com/fan15tomholland</v>
      </c>
      <c r="Q1723">
        <v>220</v>
      </c>
      <c r="R1723" t="s">
        <v>60</v>
      </c>
      <c r="W1723">
        <v>289</v>
      </c>
      <c r="X1723">
        <v>289</v>
      </c>
      <c r="AE1723">
        <v>0</v>
      </c>
      <c r="AI1723" t="s">
        <v>108</v>
      </c>
      <c r="AJ1723" t="s">
        <v>121</v>
      </c>
      <c r="AK1723" t="s">
        <v>52</v>
      </c>
      <c r="AL1723" t="str">
        <f>HYPERLINK("https://www.instagram.com/p/BzGK3buARw9/media/?size=l")</f>
        <v>https://www.instagram.com/p/BzGK3buARw9/media/?size=l</v>
      </c>
      <c r="AM1723" t="s">
        <v>52</v>
      </c>
      <c r="AN1723" t="s">
        <v>53</v>
      </c>
    </row>
    <row r="1724" spans="1:40">
      <c r="A1724" t="s">
        <v>2370</v>
      </c>
      <c r="B1724" t="s">
        <v>6111</v>
      </c>
      <c r="C1724" t="s">
        <v>6117</v>
      </c>
      <c r="D1724" t="s">
        <v>52</v>
      </c>
      <c r="E1724" t="s">
        <v>5815</v>
      </c>
      <c r="F1724" t="s">
        <v>71</v>
      </c>
      <c r="G1724" t="str">
        <f>HYPERLINK("https://twitter.com/452769304/status/1143168825338335235")</f>
        <v>https://twitter.com/452769304/status/1143168825338335235</v>
      </c>
      <c r="H1724" t="s">
        <v>46</v>
      </c>
      <c r="I1724" t="s">
        <v>6118</v>
      </c>
      <c r="J1724" t="str">
        <f>HYPERLINK("http://twitter.com/Sveegy")</f>
        <v>http://twitter.com/Sveegy</v>
      </c>
      <c r="K1724">
        <v>1046</v>
      </c>
      <c r="N1724" t="s">
        <v>65</v>
      </c>
      <c r="R1724" t="s">
        <v>60</v>
      </c>
      <c r="S1724" t="s">
        <v>97</v>
      </c>
      <c r="T1724" t="s">
        <v>177</v>
      </c>
      <c r="U1724" t="s">
        <v>395</v>
      </c>
      <c r="W1724">
        <v>0</v>
      </c>
      <c r="X1724">
        <v>0</v>
      </c>
      <c r="AE1724">
        <v>0</v>
      </c>
      <c r="AF1724">
        <v>0</v>
      </c>
      <c r="AM1724" t="s">
        <v>52</v>
      </c>
      <c r="AN1724" t="s">
        <v>53</v>
      </c>
    </row>
    <row r="1725" spans="1:40">
      <c r="A1725" t="s">
        <v>2370</v>
      </c>
      <c r="B1725" t="s">
        <v>6111</v>
      </c>
      <c r="C1725" t="s">
        <v>6094</v>
      </c>
      <c r="D1725" t="s">
        <v>52</v>
      </c>
      <c r="E1725" t="s">
        <v>6119</v>
      </c>
      <c r="F1725" t="s">
        <v>95</v>
      </c>
      <c r="G1725" t="str">
        <f>HYPERLINK("https://twitter.com/979607182835683328/status/1143168818446913536")</f>
        <v>https://twitter.com/979607182835683328/status/1143168818446913536</v>
      </c>
      <c r="H1725" t="s">
        <v>46</v>
      </c>
      <c r="I1725" t="s">
        <v>6120</v>
      </c>
      <c r="J1725" t="str">
        <f>HYPERLINK("http://twitter.com/DickyNormous")</f>
        <v>http://twitter.com/DickyNormous</v>
      </c>
      <c r="K1725">
        <v>278</v>
      </c>
      <c r="N1725" t="s">
        <v>65</v>
      </c>
      <c r="R1725" t="s">
        <v>60</v>
      </c>
      <c r="W1725">
        <v>0</v>
      </c>
      <c r="X1725">
        <v>0</v>
      </c>
      <c r="AE1725">
        <v>0</v>
      </c>
      <c r="AF1725">
        <v>0</v>
      </c>
      <c r="AM1725" t="s">
        <v>52</v>
      </c>
      <c r="AN1725" t="s">
        <v>53</v>
      </c>
    </row>
    <row r="1726" spans="1:40">
      <c r="A1726" t="s">
        <v>2370</v>
      </c>
      <c r="B1726" t="s">
        <v>6111</v>
      </c>
      <c r="C1726" t="s">
        <v>6080</v>
      </c>
      <c r="D1726" t="s">
        <v>6062</v>
      </c>
      <c r="E1726" t="s">
        <v>6063</v>
      </c>
      <c r="F1726" t="s">
        <v>45</v>
      </c>
      <c r="G1726" t="str">
        <f>HYPERLINK("https://boston.edgemedianetwork.com/health_fitness///278064/keep_your_canine_out_of_your_cannabis")</f>
        <v>https://boston.edgemedianetwork.com/health_fitness///278064/keep_your_canine_out_of_your_cannabis</v>
      </c>
      <c r="H1726" t="s">
        <v>46</v>
      </c>
      <c r="I1726" t="s">
        <v>1280</v>
      </c>
      <c r="J1726" t="str">
        <f>HYPERLINK("https://boston.edgemedianetwork.com/health_fitness///278064/keep_your_canine_out_of_your_cannabis")</f>
        <v>https://boston.edgemedianetwork.com/health_fitness///278064/keep_your_canine_out_of_your_cannabis</v>
      </c>
      <c r="L1726" t="s">
        <v>58</v>
      </c>
      <c r="N1726" t="s">
        <v>6121</v>
      </c>
      <c r="R1726" t="s">
        <v>357</v>
      </c>
      <c r="S1726" t="s">
        <v>51</v>
      </c>
      <c r="AI1726" t="s">
        <v>52</v>
      </c>
      <c r="AJ1726" t="s">
        <v>148</v>
      </c>
      <c r="AK1726" t="s">
        <v>52</v>
      </c>
      <c r="AL1726" t="str">
        <f t="shared" ref="AL1726:AL1731" si="0">HYPERLINK("https://www.queeryme.com/display/viewimage_story.php?applicationID=0&amp;id=278064&amp;maxwidth=250")</f>
        <v>https://www.queeryme.com/display/viewimage_story.php?applicationID=0&amp;id=278064&amp;maxwidth=250</v>
      </c>
      <c r="AM1726" t="s">
        <v>52</v>
      </c>
      <c r="AN1726" t="s">
        <v>53</v>
      </c>
    </row>
    <row r="1727" spans="1:40">
      <c r="A1727" t="s">
        <v>2370</v>
      </c>
      <c r="B1727" t="s">
        <v>6111</v>
      </c>
      <c r="C1727" t="s">
        <v>6102</v>
      </c>
      <c r="D1727" t="s">
        <v>6062</v>
      </c>
      <c r="E1727" t="s">
        <v>6063</v>
      </c>
      <c r="F1727" t="s">
        <v>45</v>
      </c>
      <c r="G1727" t="str">
        <f>HYPERLINK("https://boston.edgemedianetwork.com/style///278064/keep_your_canine_out_of_your_cannabis")</f>
        <v>https://boston.edgemedianetwork.com/style///278064/keep_your_canine_out_of_your_cannabis</v>
      </c>
      <c r="H1727" t="s">
        <v>46</v>
      </c>
      <c r="I1727" t="s">
        <v>1280</v>
      </c>
      <c r="J1727" t="str">
        <f>HYPERLINK("https://boston.edgemedianetwork.com/style///278064/keep_your_canine_out_of_your_cannabis")</f>
        <v>https://boston.edgemedianetwork.com/style///278064/keep_your_canine_out_of_your_cannabis</v>
      </c>
      <c r="L1727" t="s">
        <v>58</v>
      </c>
      <c r="N1727" t="s">
        <v>6121</v>
      </c>
      <c r="R1727" t="s">
        <v>357</v>
      </c>
      <c r="S1727" t="s">
        <v>51</v>
      </c>
      <c r="AI1727" t="s">
        <v>52</v>
      </c>
      <c r="AJ1727" t="s">
        <v>148</v>
      </c>
      <c r="AK1727" t="s">
        <v>52</v>
      </c>
      <c r="AL1727" t="str">
        <f t="shared" si="0"/>
        <v>https://www.queeryme.com/display/viewimage_story.php?applicationID=0&amp;id=278064&amp;maxwidth=250</v>
      </c>
      <c r="AM1727" t="s">
        <v>52</v>
      </c>
      <c r="AN1727" t="s">
        <v>53</v>
      </c>
    </row>
    <row r="1728" spans="1:40">
      <c r="A1728" t="s">
        <v>2370</v>
      </c>
      <c r="B1728" t="s">
        <v>411</v>
      </c>
      <c r="C1728" t="s">
        <v>5950</v>
      </c>
      <c r="D1728" t="s">
        <v>6062</v>
      </c>
      <c r="E1728" t="s">
        <v>6063</v>
      </c>
      <c r="F1728" t="s">
        <v>45</v>
      </c>
      <c r="G1728" t="str">
        <f>HYPERLINK("https://chicago.edgemedianetwork.com/health_fitness/health//278064/keep_your_canine_out_of_your_cannabis")</f>
        <v>https://chicago.edgemedianetwork.com/health_fitness/health//278064/keep_your_canine_out_of_your_cannabis</v>
      </c>
      <c r="H1728" t="s">
        <v>46</v>
      </c>
      <c r="I1728" t="s">
        <v>1280</v>
      </c>
      <c r="J1728" t="str">
        <f>HYPERLINK("https://chicago.edgemedianetwork.com/health_fitness/health//278064/keep_your_canine_out_of_your_cannabis")</f>
        <v>https://chicago.edgemedianetwork.com/health_fitness/health//278064/keep_your_canine_out_of_your_cannabis</v>
      </c>
      <c r="L1728" t="s">
        <v>58</v>
      </c>
      <c r="N1728" t="s">
        <v>6122</v>
      </c>
      <c r="R1728" t="s">
        <v>357</v>
      </c>
      <c r="S1728" t="s">
        <v>51</v>
      </c>
      <c r="AI1728" t="s">
        <v>52</v>
      </c>
      <c r="AJ1728" t="s">
        <v>148</v>
      </c>
      <c r="AK1728" t="s">
        <v>52</v>
      </c>
      <c r="AL1728" t="str">
        <f t="shared" si="0"/>
        <v>https://www.queeryme.com/display/viewimage_story.php?applicationID=0&amp;id=278064&amp;maxwidth=250</v>
      </c>
      <c r="AM1728" t="s">
        <v>52</v>
      </c>
      <c r="AN1728" t="s">
        <v>53</v>
      </c>
    </row>
    <row r="1729" spans="1:40">
      <c r="A1729" t="s">
        <v>2370</v>
      </c>
      <c r="B1729" t="s">
        <v>411</v>
      </c>
      <c r="C1729" t="s">
        <v>6123</v>
      </c>
      <c r="D1729" t="s">
        <v>6062</v>
      </c>
      <c r="E1729" t="s">
        <v>6063</v>
      </c>
      <c r="F1729" t="s">
        <v>45</v>
      </c>
      <c r="G1729" t="str">
        <f>HYPERLINK("https://chicago.edgemedianetwork.com/health_fitness///278064/keep_your_canine_out_of_your_cannabis")</f>
        <v>https://chicago.edgemedianetwork.com/health_fitness///278064/keep_your_canine_out_of_your_cannabis</v>
      </c>
      <c r="H1729" t="s">
        <v>46</v>
      </c>
      <c r="I1729" t="s">
        <v>1280</v>
      </c>
      <c r="J1729" t="str">
        <f>HYPERLINK("https://chicago.edgemedianetwork.com/health_fitness///278064/keep_your_canine_out_of_your_cannabis")</f>
        <v>https://chicago.edgemedianetwork.com/health_fitness///278064/keep_your_canine_out_of_your_cannabis</v>
      </c>
      <c r="L1729" t="s">
        <v>58</v>
      </c>
      <c r="N1729" t="s">
        <v>6122</v>
      </c>
      <c r="R1729" t="s">
        <v>357</v>
      </c>
      <c r="S1729" t="s">
        <v>51</v>
      </c>
      <c r="AI1729" t="s">
        <v>52</v>
      </c>
      <c r="AJ1729" t="s">
        <v>148</v>
      </c>
      <c r="AK1729" t="s">
        <v>52</v>
      </c>
      <c r="AL1729" t="str">
        <f t="shared" si="0"/>
        <v>https://www.queeryme.com/display/viewimage_story.php?applicationID=0&amp;id=278064&amp;maxwidth=250</v>
      </c>
      <c r="AM1729" t="s">
        <v>52</v>
      </c>
      <c r="AN1729" t="s">
        <v>53</v>
      </c>
    </row>
    <row r="1730" spans="1:40">
      <c r="A1730" t="s">
        <v>2370</v>
      </c>
      <c r="B1730" t="s">
        <v>411</v>
      </c>
      <c r="C1730" t="s">
        <v>6077</v>
      </c>
      <c r="D1730" t="s">
        <v>6062</v>
      </c>
      <c r="E1730" t="s">
        <v>6063</v>
      </c>
      <c r="F1730" t="s">
        <v>45</v>
      </c>
      <c r="G1730" t="str">
        <f>HYPERLINK("https://chicago.edgemedianetwork.com/style/home//278064/keep_your_canine_out_of_your_cannabis")</f>
        <v>https://chicago.edgemedianetwork.com/style/home//278064/keep_your_canine_out_of_your_cannabis</v>
      </c>
      <c r="H1730" t="s">
        <v>46</v>
      </c>
      <c r="I1730" t="s">
        <v>1280</v>
      </c>
      <c r="J1730" t="str">
        <f>HYPERLINK("https://chicago.edgemedianetwork.com/style/home//278064/keep_your_canine_out_of_your_cannabis")</f>
        <v>https://chicago.edgemedianetwork.com/style/home//278064/keep_your_canine_out_of_your_cannabis</v>
      </c>
      <c r="L1730" t="s">
        <v>58</v>
      </c>
      <c r="N1730" t="s">
        <v>6122</v>
      </c>
      <c r="R1730" t="s">
        <v>357</v>
      </c>
      <c r="S1730" t="s">
        <v>51</v>
      </c>
      <c r="AI1730" t="s">
        <v>52</v>
      </c>
      <c r="AJ1730" t="s">
        <v>148</v>
      </c>
      <c r="AK1730" t="s">
        <v>52</v>
      </c>
      <c r="AL1730" t="str">
        <f t="shared" si="0"/>
        <v>https://www.queeryme.com/display/viewimage_story.php?applicationID=0&amp;id=278064&amp;maxwidth=250</v>
      </c>
      <c r="AM1730" t="s">
        <v>52</v>
      </c>
      <c r="AN1730" t="s">
        <v>53</v>
      </c>
    </row>
    <row r="1731" spans="1:40">
      <c r="A1731" t="s">
        <v>2370</v>
      </c>
      <c r="B1731" t="s">
        <v>411</v>
      </c>
      <c r="C1731" t="s">
        <v>6124</v>
      </c>
      <c r="D1731" t="s">
        <v>6062</v>
      </c>
      <c r="E1731" t="s">
        <v>6063</v>
      </c>
      <c r="F1731" t="s">
        <v>45</v>
      </c>
      <c r="G1731" t="str">
        <f>HYPERLINK("https://chicago.edgemedianetwork.com/style///278064/keep_your_canine_out_of_your_cannabis")</f>
        <v>https://chicago.edgemedianetwork.com/style///278064/keep_your_canine_out_of_your_cannabis</v>
      </c>
      <c r="H1731" t="s">
        <v>46</v>
      </c>
      <c r="I1731" t="s">
        <v>1280</v>
      </c>
      <c r="J1731" t="str">
        <f>HYPERLINK("https://chicago.edgemedianetwork.com/style///278064/keep_your_canine_out_of_your_cannabis")</f>
        <v>https://chicago.edgemedianetwork.com/style///278064/keep_your_canine_out_of_your_cannabis</v>
      </c>
      <c r="L1731" t="s">
        <v>58</v>
      </c>
      <c r="N1731" t="s">
        <v>6122</v>
      </c>
      <c r="R1731" t="s">
        <v>357</v>
      </c>
      <c r="S1731" t="s">
        <v>51</v>
      </c>
      <c r="AI1731" t="s">
        <v>52</v>
      </c>
      <c r="AJ1731" t="s">
        <v>148</v>
      </c>
      <c r="AK1731" t="s">
        <v>52</v>
      </c>
      <c r="AL1731" t="str">
        <f t="shared" si="0"/>
        <v>https://www.queeryme.com/display/viewimage_story.php?applicationID=0&amp;id=278064&amp;maxwidth=250</v>
      </c>
      <c r="AM1731" t="s">
        <v>52</v>
      </c>
      <c r="AN1731" t="s">
        <v>53</v>
      </c>
    </row>
    <row r="1732" spans="1:40">
      <c r="A1732" t="s">
        <v>2370</v>
      </c>
      <c r="B1732" t="s">
        <v>415</v>
      </c>
      <c r="C1732" t="s">
        <v>6125</v>
      </c>
      <c r="D1732" t="s">
        <v>52</v>
      </c>
      <c r="E1732" t="s">
        <v>6126</v>
      </c>
      <c r="F1732" t="s">
        <v>45</v>
      </c>
      <c r="G1732" t="str">
        <f>HYPERLINK("https://www.instagram.com/p/BzGKkVhl6RN")</f>
        <v>https://www.instagram.com/p/BzGKkVhl6RN</v>
      </c>
      <c r="H1732" t="s">
        <v>215</v>
      </c>
      <c r="I1732" t="s">
        <v>6127</v>
      </c>
      <c r="J1732" t="str">
        <f>HYPERLINK("http://instagram.com/talisa.tossellasmr")</f>
        <v>http://instagram.com/talisa.tossellasmr</v>
      </c>
      <c r="K1732">
        <v>503</v>
      </c>
      <c r="N1732" t="s">
        <v>59</v>
      </c>
      <c r="O1732" t="s">
        <v>6127</v>
      </c>
      <c r="P1732" t="str">
        <f>HYPERLINK("http://instagram.com/talisa.tossellasmr")</f>
        <v>http://instagram.com/talisa.tossellasmr</v>
      </c>
      <c r="Q1732">
        <v>503</v>
      </c>
      <c r="R1732" t="s">
        <v>60</v>
      </c>
      <c r="W1732">
        <v>56</v>
      </c>
      <c r="X1732">
        <v>56</v>
      </c>
      <c r="AE1732">
        <v>0</v>
      </c>
      <c r="AG1732">
        <v>164</v>
      </c>
      <c r="AI1732" t="s">
        <v>52</v>
      </c>
      <c r="AJ1732" t="s">
        <v>4054</v>
      </c>
      <c r="AK1732" t="s">
        <v>52</v>
      </c>
      <c r="AL1732" t="str">
        <f>HYPERLINK("https://www.instagram.com/p/BzGKkVhl6RN/media/?size=l")</f>
        <v>https://www.instagram.com/p/BzGKkVhl6RN/media/?size=l</v>
      </c>
      <c r="AM1732" t="s">
        <v>52</v>
      </c>
      <c r="AN1732" t="s">
        <v>53</v>
      </c>
    </row>
    <row r="1733" spans="1:40">
      <c r="A1733" t="s">
        <v>2370</v>
      </c>
      <c r="B1733" t="s">
        <v>6128</v>
      </c>
      <c r="C1733" t="s">
        <v>6117</v>
      </c>
      <c r="D1733" t="s">
        <v>52</v>
      </c>
      <c r="E1733" t="s">
        <v>6129</v>
      </c>
      <c r="F1733" t="s">
        <v>71</v>
      </c>
      <c r="G1733" t="str">
        <f>HYPERLINK("https://twitter.com/973394216/status/1143167341129326595")</f>
        <v>https://twitter.com/973394216/status/1143167341129326595</v>
      </c>
      <c r="H1733" t="s">
        <v>46</v>
      </c>
      <c r="I1733" t="s">
        <v>6130</v>
      </c>
      <c r="J1733" t="str">
        <f>HYPERLINK("http://twitter.com/lm_Geegee")</f>
        <v>http://twitter.com/lm_Geegee</v>
      </c>
      <c r="K1733">
        <v>2035</v>
      </c>
      <c r="N1733" t="s">
        <v>65</v>
      </c>
      <c r="R1733" t="s">
        <v>60</v>
      </c>
      <c r="S1733" t="s">
        <v>1071</v>
      </c>
      <c r="W1733">
        <v>3</v>
      </c>
      <c r="X1733">
        <v>3</v>
      </c>
      <c r="AE1733">
        <v>2</v>
      </c>
      <c r="AF1733">
        <v>2</v>
      </c>
      <c r="AM1733" t="s">
        <v>52</v>
      </c>
      <c r="AN1733" t="s">
        <v>53</v>
      </c>
    </row>
    <row r="1734" spans="1:40">
      <c r="A1734" t="s">
        <v>2370</v>
      </c>
      <c r="B1734" t="s">
        <v>425</v>
      </c>
      <c r="C1734" t="s">
        <v>6131</v>
      </c>
      <c r="D1734" t="s">
        <v>52</v>
      </c>
      <c r="E1734" t="s">
        <v>6132</v>
      </c>
      <c r="F1734" t="s">
        <v>71</v>
      </c>
      <c r="G1734" t="str">
        <f>HYPERLINK("https://twitter.com/1142203078688423938/status/1143166869525762048")</f>
        <v>https://twitter.com/1142203078688423938/status/1143166869525762048</v>
      </c>
      <c r="H1734" t="s">
        <v>46</v>
      </c>
      <c r="I1734" t="s">
        <v>2709</v>
      </c>
      <c r="J1734" t="str">
        <f>HYPERLINK("http://twitter.com/DaisyBen96")</f>
        <v>http://twitter.com/DaisyBen96</v>
      </c>
      <c r="K1734">
        <v>0</v>
      </c>
      <c r="L1734" t="s">
        <v>48</v>
      </c>
      <c r="N1734" t="s">
        <v>65</v>
      </c>
      <c r="R1734" t="s">
        <v>60</v>
      </c>
      <c r="W1734">
        <v>0</v>
      </c>
      <c r="X1734">
        <v>0</v>
      </c>
      <c r="AE1734">
        <v>0</v>
      </c>
      <c r="AF1734">
        <v>0</v>
      </c>
      <c r="AI1734" t="s">
        <v>52</v>
      </c>
      <c r="AJ1734" t="s">
        <v>52</v>
      </c>
      <c r="AK1734" t="s">
        <v>581</v>
      </c>
      <c r="AL1734" t="str">
        <f>HYPERLINK("https://pbs.twimg.com/media/D9im3zhVUAAvuuW.jpg")</f>
        <v>https://pbs.twimg.com/media/D9im3zhVUAAvuuW.jpg</v>
      </c>
      <c r="AM1734" t="s">
        <v>52</v>
      </c>
      <c r="AN1734" t="s">
        <v>53</v>
      </c>
    </row>
    <row r="1735" spans="1:40">
      <c r="A1735" t="s">
        <v>2370</v>
      </c>
      <c r="B1735" t="s">
        <v>425</v>
      </c>
      <c r="C1735" t="s">
        <v>6133</v>
      </c>
      <c r="D1735" t="s">
        <v>52</v>
      </c>
      <c r="E1735" t="s">
        <v>130</v>
      </c>
      <c r="F1735" t="s">
        <v>131</v>
      </c>
      <c r="G1735" t="str">
        <f>HYPERLINK("https://twitter.com/1132696392743444480/status/1143166732678369280")</f>
        <v>https://twitter.com/1132696392743444480/status/1143166732678369280</v>
      </c>
      <c r="H1735" t="s">
        <v>46</v>
      </c>
      <c r="I1735" t="s">
        <v>6134</v>
      </c>
      <c r="J1735" t="str">
        <f>HYPERLINK("http://twitter.com/TerenceChung6")</f>
        <v>http://twitter.com/TerenceChung6</v>
      </c>
      <c r="K1735">
        <v>5</v>
      </c>
      <c r="L1735" t="s">
        <v>48</v>
      </c>
      <c r="N1735" t="s">
        <v>65</v>
      </c>
      <c r="R1735" t="s">
        <v>60</v>
      </c>
      <c r="S1735" t="s">
        <v>97</v>
      </c>
      <c r="T1735" t="s">
        <v>177</v>
      </c>
      <c r="U1735" t="s">
        <v>395</v>
      </c>
      <c r="W1735">
        <v>0</v>
      </c>
      <c r="X1735">
        <v>0</v>
      </c>
      <c r="AE1735">
        <v>0</v>
      </c>
      <c r="AI1735" t="s">
        <v>108</v>
      </c>
      <c r="AJ1735" t="s">
        <v>52</v>
      </c>
      <c r="AK1735" t="s">
        <v>52</v>
      </c>
      <c r="AL1735" t="str">
        <f>HYPERLINK("https://pbs.twimg.com/media/D9XTkLWW4AAOYnJ.jpg")</f>
        <v>https://pbs.twimg.com/media/D9XTkLWW4AAOYnJ.jpg</v>
      </c>
      <c r="AM1735" t="s">
        <v>52</v>
      </c>
      <c r="AN1735" t="s">
        <v>53</v>
      </c>
    </row>
    <row r="1736" spans="1:40">
      <c r="A1736" t="s">
        <v>2370</v>
      </c>
      <c r="B1736" t="s">
        <v>6135</v>
      </c>
      <c r="C1736" t="s">
        <v>6136</v>
      </c>
      <c r="D1736" t="s">
        <v>52</v>
      </c>
      <c r="E1736" t="s">
        <v>1194</v>
      </c>
      <c r="F1736" t="s">
        <v>131</v>
      </c>
      <c r="G1736" t="str">
        <f>HYPERLINK("https://twitter.com/2967333381/status/1143166383393509376")</f>
        <v>https://twitter.com/2967333381/status/1143166383393509376</v>
      </c>
      <c r="H1736" t="s">
        <v>46</v>
      </c>
      <c r="I1736" t="s">
        <v>6137</v>
      </c>
      <c r="J1736" t="str">
        <f>HYPERLINK("http://twitter.com/LPwill_")</f>
        <v>http://twitter.com/LPwill_</v>
      </c>
      <c r="K1736">
        <v>32</v>
      </c>
      <c r="N1736" t="s">
        <v>65</v>
      </c>
      <c r="R1736" t="s">
        <v>60</v>
      </c>
      <c r="W1736">
        <v>0</v>
      </c>
      <c r="X1736">
        <v>0</v>
      </c>
      <c r="AE1736">
        <v>0</v>
      </c>
      <c r="AI1736" t="s">
        <v>52</v>
      </c>
      <c r="AJ1736" t="s">
        <v>1196</v>
      </c>
      <c r="AK1736" t="s">
        <v>52</v>
      </c>
      <c r="AL1736" t="str">
        <f>HYPERLINK("https://pbs.twimg.com/media/D9xgk2YXkAAd2ql.jpg")</f>
        <v>https://pbs.twimg.com/media/D9xgk2YXkAAd2ql.jpg</v>
      </c>
      <c r="AM1736" t="s">
        <v>52</v>
      </c>
      <c r="AN1736" t="s">
        <v>53</v>
      </c>
    </row>
    <row r="1737" spans="1:40">
      <c r="A1737" t="s">
        <v>2370</v>
      </c>
      <c r="B1737" t="s">
        <v>6135</v>
      </c>
      <c r="C1737" t="s">
        <v>6138</v>
      </c>
      <c r="D1737" t="s">
        <v>52</v>
      </c>
      <c r="E1737" t="s">
        <v>6139</v>
      </c>
      <c r="F1737" t="s">
        <v>95</v>
      </c>
      <c r="G1737" t="str">
        <f>HYPERLINK("https://twitter.com/1035869395732627456/status/1143166357833420805")</f>
        <v>https://twitter.com/1035869395732627456/status/1143166357833420805</v>
      </c>
      <c r="H1737" t="s">
        <v>46</v>
      </c>
      <c r="I1737" t="s">
        <v>6140</v>
      </c>
      <c r="J1737" t="str">
        <f>HYPERLINK("http://twitter.com/roualhihj")</f>
        <v>http://twitter.com/roualhihj</v>
      </c>
      <c r="K1737">
        <v>1</v>
      </c>
      <c r="N1737" t="s">
        <v>65</v>
      </c>
      <c r="R1737" t="s">
        <v>60</v>
      </c>
      <c r="W1737">
        <v>0</v>
      </c>
      <c r="X1737">
        <v>0</v>
      </c>
      <c r="AE1737">
        <v>0</v>
      </c>
      <c r="AF1737">
        <v>0</v>
      </c>
      <c r="AM1737" t="s">
        <v>52</v>
      </c>
      <c r="AN1737" t="s">
        <v>53</v>
      </c>
    </row>
    <row r="1738" spans="1:40">
      <c r="A1738" t="s">
        <v>2370</v>
      </c>
      <c r="B1738" t="s">
        <v>6135</v>
      </c>
      <c r="C1738" t="s">
        <v>6131</v>
      </c>
      <c r="D1738" t="s">
        <v>52</v>
      </c>
      <c r="E1738" t="s">
        <v>1194</v>
      </c>
      <c r="F1738" t="s">
        <v>131</v>
      </c>
      <c r="G1738" t="str">
        <f>HYPERLINK("https://twitter.com/252293848/status/1143166294465945600")</f>
        <v>https://twitter.com/252293848/status/1143166294465945600</v>
      </c>
      <c r="H1738" t="s">
        <v>46</v>
      </c>
      <c r="I1738" t="s">
        <v>6141</v>
      </c>
      <c r="J1738" t="str">
        <f>HYPERLINK("http://twitter.com/JadiRibas")</f>
        <v>http://twitter.com/JadiRibas</v>
      </c>
      <c r="K1738">
        <v>2227</v>
      </c>
      <c r="N1738" t="s">
        <v>65</v>
      </c>
      <c r="R1738" t="s">
        <v>60</v>
      </c>
      <c r="W1738">
        <v>0</v>
      </c>
      <c r="X1738">
        <v>0</v>
      </c>
      <c r="AE1738">
        <v>0</v>
      </c>
      <c r="AI1738" t="s">
        <v>52</v>
      </c>
      <c r="AJ1738" t="s">
        <v>1196</v>
      </c>
      <c r="AK1738" t="s">
        <v>52</v>
      </c>
      <c r="AL1738" t="str">
        <f>HYPERLINK("https://pbs.twimg.com/media/D9xgk2YXkAAd2ql.jpg")</f>
        <v>https://pbs.twimg.com/media/D9xgk2YXkAAd2ql.jpg</v>
      </c>
      <c r="AM1738" t="s">
        <v>52</v>
      </c>
      <c r="AN1738" t="s">
        <v>53</v>
      </c>
    </row>
    <row r="1739" spans="1:40">
      <c r="A1739" t="s">
        <v>2370</v>
      </c>
      <c r="B1739" t="s">
        <v>6135</v>
      </c>
      <c r="C1739" t="s">
        <v>6142</v>
      </c>
      <c r="D1739" t="s">
        <v>52</v>
      </c>
      <c r="E1739" t="s">
        <v>6143</v>
      </c>
      <c r="F1739" t="s">
        <v>95</v>
      </c>
      <c r="G1739" t="str">
        <f>HYPERLINK("https://twitter.com/106842660/status/1143166290732806146")</f>
        <v>https://twitter.com/106842660/status/1143166290732806146</v>
      </c>
      <c r="H1739" t="s">
        <v>46</v>
      </c>
      <c r="I1739" t="s">
        <v>6144</v>
      </c>
      <c r="J1739" t="str">
        <f>HYPERLINK("http://twitter.com/Betasig67")</f>
        <v>http://twitter.com/Betasig67</v>
      </c>
      <c r="K1739">
        <v>558</v>
      </c>
      <c r="L1739" t="s">
        <v>58</v>
      </c>
      <c r="N1739" t="s">
        <v>65</v>
      </c>
      <c r="R1739" t="s">
        <v>60</v>
      </c>
      <c r="S1739" t="s">
        <v>444</v>
      </c>
      <c r="T1739" t="s">
        <v>6145</v>
      </c>
      <c r="U1739" t="s">
        <v>6146</v>
      </c>
      <c r="W1739">
        <v>2</v>
      </c>
      <c r="X1739">
        <v>2</v>
      </c>
      <c r="AE1739">
        <v>1</v>
      </c>
      <c r="AF1739">
        <v>0</v>
      </c>
      <c r="AM1739" t="s">
        <v>52</v>
      </c>
      <c r="AN1739" t="s">
        <v>53</v>
      </c>
    </row>
    <row r="1740" spans="1:40">
      <c r="A1740" t="s">
        <v>2370</v>
      </c>
      <c r="B1740" t="s">
        <v>6135</v>
      </c>
      <c r="C1740" t="s">
        <v>6131</v>
      </c>
      <c r="D1740" t="s">
        <v>6147</v>
      </c>
      <c r="E1740" t="s">
        <v>6148</v>
      </c>
      <c r="F1740" t="s">
        <v>45</v>
      </c>
      <c r="G1740" t="str">
        <f>HYPERLINK("https://www.youtube.com/watch?v=crQYJg0qjYs")</f>
        <v>https://www.youtube.com/watch?v=crQYJg0qjYs</v>
      </c>
      <c r="H1740" t="s">
        <v>46</v>
      </c>
      <c r="I1740" t="s">
        <v>6149</v>
      </c>
      <c r="J1740" t="str">
        <f>HYPERLINK("https://www.youtube.com/channel/UCHLe48V47c-lxrhg_XoTe0g")</f>
        <v>https://www.youtube.com/channel/UCHLe48V47c-lxrhg_XoTe0g</v>
      </c>
      <c r="K1740">
        <v>3</v>
      </c>
      <c r="N1740" t="s">
        <v>116</v>
      </c>
      <c r="O1740" t="s">
        <v>6149</v>
      </c>
      <c r="P1740" t="str">
        <f>HYPERLINK("https://www.youtube.com/channel/UCHLe48V47c-lxrhg_XoTe0g")</f>
        <v>https://www.youtube.com/channel/UCHLe48V47c-lxrhg_XoTe0g</v>
      </c>
      <c r="Q1740">
        <v>3</v>
      </c>
      <c r="R1740" t="s">
        <v>60</v>
      </c>
      <c r="W1740">
        <v>1</v>
      </c>
      <c r="X1740">
        <v>1</v>
      </c>
      <c r="AD1740">
        <v>0</v>
      </c>
      <c r="AE1740">
        <v>0</v>
      </c>
      <c r="AG1740">
        <v>5</v>
      </c>
      <c r="AI1740" t="s">
        <v>52</v>
      </c>
      <c r="AJ1740" t="s">
        <v>52</v>
      </c>
      <c r="AK1740" t="s">
        <v>52</v>
      </c>
      <c r="AL1740" t="str">
        <f>HYPERLINK("https://i.ytimg.com/vi/crQYJg0qjYs/maxresdefault.jpg")</f>
        <v>https://i.ytimg.com/vi/crQYJg0qjYs/maxresdefault.jpg</v>
      </c>
      <c r="AM1740" t="s">
        <v>52</v>
      </c>
      <c r="AN1740" t="s">
        <v>53</v>
      </c>
    </row>
    <row r="1741" spans="1:40">
      <c r="A1741" t="s">
        <v>2370</v>
      </c>
      <c r="B1741" t="s">
        <v>6135</v>
      </c>
      <c r="C1741" t="s">
        <v>6142</v>
      </c>
      <c r="D1741" t="s">
        <v>52</v>
      </c>
      <c r="E1741" t="s">
        <v>6150</v>
      </c>
      <c r="F1741" t="s">
        <v>131</v>
      </c>
      <c r="G1741" t="str">
        <f>HYPERLINK("https://twitter.com/348615325/status/1143166240447434752")</f>
        <v>https://twitter.com/348615325/status/1143166240447434752</v>
      </c>
      <c r="H1741" t="s">
        <v>46</v>
      </c>
      <c r="I1741" t="s">
        <v>6151</v>
      </c>
      <c r="J1741" t="str">
        <f>HYPERLINK("http://twitter.com/nuyorican_21")</f>
        <v>http://twitter.com/nuyorican_21</v>
      </c>
      <c r="K1741">
        <v>1079</v>
      </c>
      <c r="N1741" t="s">
        <v>65</v>
      </c>
      <c r="R1741" t="s">
        <v>60</v>
      </c>
      <c r="S1741" t="s">
        <v>6152</v>
      </c>
      <c r="T1741" t="s">
        <v>6153</v>
      </c>
      <c r="U1741" t="s">
        <v>6154</v>
      </c>
      <c r="W1741">
        <v>0</v>
      </c>
      <c r="X1741">
        <v>0</v>
      </c>
      <c r="AE1741">
        <v>0</v>
      </c>
      <c r="AM1741" t="s">
        <v>52</v>
      </c>
      <c r="AN1741" t="s">
        <v>53</v>
      </c>
    </row>
    <row r="1742" spans="1:40">
      <c r="A1742" t="s">
        <v>2370</v>
      </c>
      <c r="B1742" t="s">
        <v>6135</v>
      </c>
      <c r="C1742" t="s">
        <v>6131</v>
      </c>
      <c r="D1742" t="s">
        <v>52</v>
      </c>
      <c r="E1742" t="s">
        <v>6150</v>
      </c>
      <c r="F1742" t="s">
        <v>131</v>
      </c>
      <c r="G1742" t="str">
        <f>HYPERLINK("https://twitter.com/2968926057/status/1143166137280204800")</f>
        <v>https://twitter.com/2968926057/status/1143166137280204800</v>
      </c>
      <c r="H1742" t="s">
        <v>46</v>
      </c>
      <c r="I1742" t="s">
        <v>6155</v>
      </c>
      <c r="J1742" t="str">
        <f>HYPERLINK("http://twitter.com/AnniemuMary")</f>
        <v>http://twitter.com/AnniemuMary</v>
      </c>
      <c r="K1742">
        <v>7883</v>
      </c>
      <c r="L1742" t="s">
        <v>58</v>
      </c>
      <c r="N1742" t="s">
        <v>65</v>
      </c>
      <c r="R1742" t="s">
        <v>60</v>
      </c>
      <c r="W1742">
        <v>0</v>
      </c>
      <c r="X1742">
        <v>0</v>
      </c>
      <c r="AE1742">
        <v>0</v>
      </c>
      <c r="AM1742" t="s">
        <v>52</v>
      </c>
      <c r="AN1742" t="s">
        <v>53</v>
      </c>
    </row>
    <row r="1743" spans="1:40">
      <c r="A1743" t="s">
        <v>2370</v>
      </c>
      <c r="B1743" t="s">
        <v>6156</v>
      </c>
      <c r="C1743" t="s">
        <v>4040</v>
      </c>
      <c r="D1743" t="s">
        <v>52</v>
      </c>
      <c r="E1743" t="s">
        <v>6157</v>
      </c>
      <c r="F1743" t="s">
        <v>45</v>
      </c>
      <c r="G1743" t="str">
        <f>HYPERLINK("https://www.instagram.com/p/BzGJgp8FSy-")</f>
        <v>https://www.instagram.com/p/BzGJgp8FSy-</v>
      </c>
      <c r="H1743" t="s">
        <v>46</v>
      </c>
      <c r="I1743" t="s">
        <v>6158</v>
      </c>
      <c r="J1743" t="str">
        <f>HYPERLINK("http://instagram.com/keekeessweets01")</f>
        <v>http://instagram.com/keekeessweets01</v>
      </c>
      <c r="K1743">
        <v>106</v>
      </c>
      <c r="N1743" t="s">
        <v>59</v>
      </c>
      <c r="O1743" t="s">
        <v>6158</v>
      </c>
      <c r="P1743" t="str">
        <f>HYPERLINK("http://instagram.com/keekeessweets01")</f>
        <v>http://instagram.com/keekeessweets01</v>
      </c>
      <c r="Q1743">
        <v>106</v>
      </c>
      <c r="R1743" t="s">
        <v>60</v>
      </c>
      <c r="W1743">
        <v>2</v>
      </c>
      <c r="X1743">
        <v>2</v>
      </c>
      <c r="AE1743">
        <v>0</v>
      </c>
      <c r="AI1743" t="s">
        <v>108</v>
      </c>
      <c r="AJ1743" t="s">
        <v>303</v>
      </c>
      <c r="AK1743" t="s">
        <v>52</v>
      </c>
      <c r="AL1743" t="str">
        <f>HYPERLINK("https://www.instagram.com/p/BzGJgp8FSy-/media/?size=l")</f>
        <v>https://www.instagram.com/p/BzGJgp8FSy-/media/?size=l</v>
      </c>
      <c r="AM1743" t="s">
        <v>52</v>
      </c>
      <c r="AN1743" t="s">
        <v>53</v>
      </c>
    </row>
    <row r="1744" spans="1:40">
      <c r="A1744" t="s">
        <v>2370</v>
      </c>
      <c r="B1744" t="s">
        <v>6156</v>
      </c>
      <c r="C1744" t="s">
        <v>6142</v>
      </c>
      <c r="D1744" t="s">
        <v>52</v>
      </c>
      <c r="E1744" t="s">
        <v>6159</v>
      </c>
      <c r="F1744" t="s">
        <v>45</v>
      </c>
      <c r="G1744" t="str">
        <f>HYPERLINK("https://www.instagram.com/p/BzGJgcwpsE7")</f>
        <v>https://www.instagram.com/p/BzGJgcwpsE7</v>
      </c>
      <c r="H1744" t="s">
        <v>46</v>
      </c>
      <c r="I1744" t="s">
        <v>6160</v>
      </c>
      <c r="J1744" t="str">
        <f>HYPERLINK("http://instagram.com/zendayagraphics")</f>
        <v>http://instagram.com/zendayagraphics</v>
      </c>
      <c r="K1744">
        <v>16770</v>
      </c>
      <c r="N1744" t="s">
        <v>59</v>
      </c>
      <c r="O1744" t="s">
        <v>6160</v>
      </c>
      <c r="P1744" t="str">
        <f>HYPERLINK("http://instagram.com/zendayagraphics")</f>
        <v>http://instagram.com/zendayagraphics</v>
      </c>
      <c r="Q1744">
        <v>16770</v>
      </c>
      <c r="R1744" t="s">
        <v>60</v>
      </c>
      <c r="W1744">
        <v>180</v>
      </c>
      <c r="X1744">
        <v>180</v>
      </c>
      <c r="AE1744">
        <v>4</v>
      </c>
      <c r="AI1744" t="s">
        <v>52</v>
      </c>
      <c r="AJ1744" t="s">
        <v>52</v>
      </c>
      <c r="AK1744" t="s">
        <v>3932</v>
      </c>
      <c r="AL1744" t="str">
        <f>HYPERLINK("https://www.instagram.com/p/BzGJgcwpsE7/media/?size=l")</f>
        <v>https://www.instagram.com/p/BzGJgcwpsE7/media/?size=l</v>
      </c>
      <c r="AM1744" t="s">
        <v>52</v>
      </c>
      <c r="AN1744" t="s">
        <v>53</v>
      </c>
    </row>
    <row r="1745" spans="1:40">
      <c r="A1745" t="s">
        <v>2370</v>
      </c>
      <c r="B1745" t="s">
        <v>6156</v>
      </c>
      <c r="C1745" t="s">
        <v>6161</v>
      </c>
      <c r="D1745" t="s">
        <v>52</v>
      </c>
      <c r="E1745" t="s">
        <v>6162</v>
      </c>
      <c r="F1745" t="s">
        <v>71</v>
      </c>
      <c r="G1745" t="str">
        <f>HYPERLINK("https://twitter.com/1135328914228809728/status/1143165851782340608")</f>
        <v>https://twitter.com/1135328914228809728/status/1143165851782340608</v>
      </c>
      <c r="H1745" t="s">
        <v>46</v>
      </c>
      <c r="I1745" t="s">
        <v>6163</v>
      </c>
      <c r="J1745" t="str">
        <f>HYPERLINK("http://twitter.com/TheEllipsis_ZA")</f>
        <v>http://twitter.com/TheEllipsis_ZA</v>
      </c>
      <c r="K1745">
        <v>73</v>
      </c>
      <c r="N1745" t="s">
        <v>65</v>
      </c>
      <c r="R1745" t="s">
        <v>60</v>
      </c>
      <c r="S1745" t="s">
        <v>1071</v>
      </c>
      <c r="T1745" t="s">
        <v>1072</v>
      </c>
      <c r="U1745" t="s">
        <v>2123</v>
      </c>
      <c r="W1745">
        <v>1</v>
      </c>
      <c r="X1745">
        <v>1</v>
      </c>
      <c r="AE1745">
        <v>0</v>
      </c>
      <c r="AF1745">
        <v>1</v>
      </c>
      <c r="AM1745" t="s">
        <v>52</v>
      </c>
      <c r="AN1745" t="s">
        <v>53</v>
      </c>
    </row>
    <row r="1746" spans="1:40">
      <c r="A1746" t="s">
        <v>2370</v>
      </c>
      <c r="B1746" t="s">
        <v>440</v>
      </c>
      <c r="C1746" t="s">
        <v>4194</v>
      </c>
      <c r="D1746" t="s">
        <v>52</v>
      </c>
      <c r="E1746" t="s">
        <v>6164</v>
      </c>
      <c r="F1746" t="s">
        <v>45</v>
      </c>
      <c r="G1746" t="str">
        <f>HYPERLINK("https://www.instagram.com/p/BzGJVlaFAcD")</f>
        <v>https://www.instagram.com/p/BzGJVlaFAcD</v>
      </c>
      <c r="H1746" t="s">
        <v>46</v>
      </c>
      <c r="I1746" t="s">
        <v>6165</v>
      </c>
      <c r="J1746" t="str">
        <f>HYPERLINK("http://instagram.com/foodie.tingzz")</f>
        <v>http://instagram.com/foodie.tingzz</v>
      </c>
      <c r="K1746">
        <v>30</v>
      </c>
      <c r="N1746" t="s">
        <v>59</v>
      </c>
      <c r="O1746" t="s">
        <v>6165</v>
      </c>
      <c r="P1746" t="str">
        <f>HYPERLINK("http://instagram.com/foodie.tingzz")</f>
        <v>http://instagram.com/foodie.tingzz</v>
      </c>
      <c r="Q1746">
        <v>30</v>
      </c>
      <c r="R1746" t="s">
        <v>60</v>
      </c>
      <c r="W1746">
        <v>13</v>
      </c>
      <c r="X1746">
        <v>13</v>
      </c>
      <c r="AE1746">
        <v>6</v>
      </c>
      <c r="AI1746" t="s">
        <v>108</v>
      </c>
      <c r="AJ1746" t="s">
        <v>6166</v>
      </c>
      <c r="AK1746" t="s">
        <v>52</v>
      </c>
      <c r="AL1746" t="str">
        <f>HYPERLINK("https://www.instagram.com/p/BzGJVlaFAcD/media/?size=l")</f>
        <v>https://www.instagram.com/p/BzGJVlaFAcD/media/?size=l</v>
      </c>
      <c r="AM1746" t="s">
        <v>52</v>
      </c>
      <c r="AN1746" t="s">
        <v>53</v>
      </c>
    </row>
    <row r="1747" spans="1:40">
      <c r="A1747" t="s">
        <v>2370</v>
      </c>
      <c r="B1747" t="s">
        <v>6167</v>
      </c>
      <c r="C1747" t="s">
        <v>6168</v>
      </c>
      <c r="D1747" t="s">
        <v>52</v>
      </c>
      <c r="E1747" t="s">
        <v>6169</v>
      </c>
      <c r="F1747" t="s">
        <v>95</v>
      </c>
      <c r="G1747" t="str">
        <f>HYPERLINK("https://twitter.com/732987695622848514/status/1143165197818814471")</f>
        <v>https://twitter.com/732987695622848514/status/1143165197818814471</v>
      </c>
      <c r="H1747" t="s">
        <v>46</v>
      </c>
      <c r="I1747" t="s">
        <v>6170</v>
      </c>
      <c r="J1747" t="str">
        <f>HYPERLINK("http://twitter.com/dishs_up")</f>
        <v>http://twitter.com/dishs_up</v>
      </c>
      <c r="K1747">
        <v>4726</v>
      </c>
      <c r="N1747" t="s">
        <v>65</v>
      </c>
      <c r="R1747" t="s">
        <v>60</v>
      </c>
      <c r="S1747" t="s">
        <v>51</v>
      </c>
      <c r="T1747" t="s">
        <v>2522</v>
      </c>
      <c r="U1747" t="s">
        <v>2523</v>
      </c>
      <c r="W1747">
        <v>5</v>
      </c>
      <c r="X1747">
        <v>5</v>
      </c>
      <c r="AE1747">
        <v>1</v>
      </c>
      <c r="AF1747">
        <v>0</v>
      </c>
      <c r="AM1747" t="s">
        <v>52</v>
      </c>
      <c r="AN1747" t="s">
        <v>53</v>
      </c>
    </row>
    <row r="1748" spans="1:40">
      <c r="A1748" t="s">
        <v>2370</v>
      </c>
      <c r="B1748" t="s">
        <v>6171</v>
      </c>
      <c r="C1748" t="s">
        <v>6172</v>
      </c>
      <c r="D1748" t="s">
        <v>52</v>
      </c>
      <c r="E1748" t="s">
        <v>6173</v>
      </c>
      <c r="F1748" t="s">
        <v>95</v>
      </c>
      <c r="G1748" t="str">
        <f>HYPERLINK("https://twitter.com/285759420/status/1143163597683605504")</f>
        <v>https://twitter.com/285759420/status/1143163597683605504</v>
      </c>
      <c r="H1748" t="s">
        <v>46</v>
      </c>
      <c r="I1748" t="s">
        <v>6174</v>
      </c>
      <c r="J1748" t="str">
        <f>HYPERLINK("http://twitter.com/989BORRIE")</f>
        <v>http://twitter.com/989BORRIE</v>
      </c>
      <c r="K1748">
        <v>744</v>
      </c>
      <c r="N1748" t="s">
        <v>65</v>
      </c>
      <c r="R1748" t="s">
        <v>60</v>
      </c>
      <c r="S1748" t="s">
        <v>51</v>
      </c>
      <c r="T1748" t="s">
        <v>3136</v>
      </c>
      <c r="U1748" t="s">
        <v>6175</v>
      </c>
      <c r="W1748">
        <v>1</v>
      </c>
      <c r="X1748">
        <v>1</v>
      </c>
      <c r="AE1748">
        <v>0</v>
      </c>
      <c r="AF1748">
        <v>0</v>
      </c>
      <c r="AM1748" t="s">
        <v>52</v>
      </c>
      <c r="AN1748" t="s">
        <v>53</v>
      </c>
    </row>
    <row r="1749" spans="1:40">
      <c r="A1749" t="s">
        <v>2370</v>
      </c>
      <c r="B1749" t="s">
        <v>6171</v>
      </c>
      <c r="C1749" t="s">
        <v>6022</v>
      </c>
      <c r="D1749" t="s">
        <v>52</v>
      </c>
      <c r="E1749" t="s">
        <v>6176</v>
      </c>
      <c r="F1749" t="s">
        <v>45</v>
      </c>
      <c r="G1749" t="str">
        <f>HYPERLINK("https://www.instagram.com/p/BzGH4MqHHSq")</f>
        <v>https://www.instagram.com/p/BzGH4MqHHSq</v>
      </c>
      <c r="H1749" t="s">
        <v>46</v>
      </c>
      <c r="I1749" t="s">
        <v>6177</v>
      </c>
      <c r="J1749" t="str">
        <f>HYPERLINK("http://instagram.com/leon_thebrave")</f>
        <v>http://instagram.com/leon_thebrave</v>
      </c>
      <c r="K1749">
        <v>18</v>
      </c>
      <c r="N1749" t="s">
        <v>59</v>
      </c>
      <c r="O1749" t="s">
        <v>6177</v>
      </c>
      <c r="P1749" t="str">
        <f>HYPERLINK("http://instagram.com/leon_thebrave")</f>
        <v>http://instagram.com/leon_thebrave</v>
      </c>
      <c r="Q1749">
        <v>18</v>
      </c>
      <c r="R1749" t="s">
        <v>60</v>
      </c>
      <c r="W1749">
        <v>19</v>
      </c>
      <c r="X1749">
        <v>19</v>
      </c>
      <c r="AE1749">
        <v>5</v>
      </c>
      <c r="AG1749">
        <v>29</v>
      </c>
      <c r="AI1749" t="s">
        <v>52</v>
      </c>
      <c r="AJ1749" t="s">
        <v>6178</v>
      </c>
      <c r="AK1749" t="s">
        <v>52</v>
      </c>
      <c r="AL1749" t="str">
        <f>HYPERLINK("https://www.instagram.com/p/BzGH4MqHHSq/media/?size=l")</f>
        <v>https://www.instagram.com/p/BzGH4MqHHSq/media/?size=l</v>
      </c>
      <c r="AM1749" t="s">
        <v>52</v>
      </c>
      <c r="AN1749" t="s">
        <v>53</v>
      </c>
    </row>
    <row r="1750" spans="1:40">
      <c r="A1750" t="s">
        <v>2370</v>
      </c>
      <c r="B1750" t="s">
        <v>6171</v>
      </c>
      <c r="C1750" t="s">
        <v>6138</v>
      </c>
      <c r="D1750" t="s">
        <v>6179</v>
      </c>
      <c r="E1750" t="s">
        <v>6180</v>
      </c>
      <c r="F1750" t="s">
        <v>95</v>
      </c>
      <c r="G1750" t="str">
        <f>HYPERLINK("http://www.worldstarhiphop.com/videos/video.php?v=wshh0eYQtJjKYd0m0t0a#comment-4514168797")</f>
        <v>http://www.worldstarhiphop.com/videos/video.php?v=wshh0eYQtJjKYd0m0t0a#comment-4514168797</v>
      </c>
      <c r="H1750" t="s">
        <v>46</v>
      </c>
      <c r="I1750" t="s">
        <v>6181</v>
      </c>
      <c r="J1750" t="str">
        <f>HYPERLINK("https://disqus.com/by/zamabvaz/")</f>
        <v>https://disqus.com/by/zamabvaz/</v>
      </c>
      <c r="K1750">
        <v>0</v>
      </c>
      <c r="N1750" t="s">
        <v>3966</v>
      </c>
      <c r="O1750" t="s">
        <v>3967</v>
      </c>
      <c r="P1750" t="str">
        <f>HYPERLINK("https://disqus.com/home/forum/worldstar/")</f>
        <v>https://disqus.com/home/forum/worldstar/</v>
      </c>
      <c r="R1750" t="s">
        <v>50</v>
      </c>
      <c r="W1750">
        <v>0</v>
      </c>
      <c r="X1750">
        <v>0</v>
      </c>
      <c r="AM1750" t="s">
        <v>52</v>
      </c>
      <c r="AN1750" t="s">
        <v>53</v>
      </c>
    </row>
    <row r="1751" spans="1:40">
      <c r="A1751" t="s">
        <v>2370</v>
      </c>
      <c r="B1751" t="s">
        <v>6171</v>
      </c>
      <c r="C1751" t="s">
        <v>6161</v>
      </c>
      <c r="D1751" t="s">
        <v>52</v>
      </c>
      <c r="E1751" t="s">
        <v>1194</v>
      </c>
      <c r="F1751" t="s">
        <v>131</v>
      </c>
      <c r="G1751" t="str">
        <f>HYPERLINK("https://twitter.com/158107501/status/1143163399515332610")</f>
        <v>https://twitter.com/158107501/status/1143163399515332610</v>
      </c>
      <c r="H1751" t="s">
        <v>46</v>
      </c>
      <c r="I1751" t="s">
        <v>6182</v>
      </c>
      <c r="J1751" t="str">
        <f>HYPERLINK("http://twitter.com/tasogareriiku")</f>
        <v>http://twitter.com/tasogareriiku</v>
      </c>
      <c r="K1751">
        <v>1349</v>
      </c>
      <c r="N1751" t="s">
        <v>65</v>
      </c>
      <c r="R1751" t="s">
        <v>60</v>
      </c>
      <c r="S1751" t="s">
        <v>51</v>
      </c>
      <c r="T1751" t="s">
        <v>4405</v>
      </c>
      <c r="U1751" t="s">
        <v>6183</v>
      </c>
      <c r="W1751">
        <v>0</v>
      </c>
      <c r="X1751">
        <v>0</v>
      </c>
      <c r="AE1751">
        <v>0</v>
      </c>
      <c r="AI1751" t="s">
        <v>52</v>
      </c>
      <c r="AJ1751" t="s">
        <v>1196</v>
      </c>
      <c r="AK1751" t="s">
        <v>52</v>
      </c>
      <c r="AL1751" t="str">
        <f>HYPERLINK("https://pbs.twimg.com/media/D9xgk2YXkAAd2ql.jpg")</f>
        <v>https://pbs.twimg.com/media/D9xgk2YXkAAd2ql.jpg</v>
      </c>
      <c r="AM1751" t="s">
        <v>52</v>
      </c>
      <c r="AN1751" t="s">
        <v>53</v>
      </c>
    </row>
    <row r="1752" spans="1:40">
      <c r="A1752" t="s">
        <v>2370</v>
      </c>
      <c r="B1752" t="s">
        <v>6184</v>
      </c>
      <c r="C1752" t="s">
        <v>4253</v>
      </c>
      <c r="D1752" t="s">
        <v>52</v>
      </c>
      <c r="E1752" t="s">
        <v>6185</v>
      </c>
      <c r="F1752" t="s">
        <v>45</v>
      </c>
      <c r="G1752" t="str">
        <f>HYPERLINK("https://www.instagram.com/p/BzGIX80AdiK")</f>
        <v>https://www.instagram.com/p/BzGIX80AdiK</v>
      </c>
      <c r="H1752" t="s">
        <v>46</v>
      </c>
      <c r="I1752" t="s">
        <v>6186</v>
      </c>
      <c r="J1752" t="str">
        <f>HYPERLINK("http://instagram.com/jccm_81")</f>
        <v>http://instagram.com/jccm_81</v>
      </c>
      <c r="K1752">
        <v>1733</v>
      </c>
      <c r="N1752" t="s">
        <v>59</v>
      </c>
      <c r="O1752" t="s">
        <v>6186</v>
      </c>
      <c r="P1752" t="str">
        <f>HYPERLINK("http://instagram.com/jccm_81")</f>
        <v>http://instagram.com/jccm_81</v>
      </c>
      <c r="Q1752">
        <v>1733</v>
      </c>
      <c r="R1752" t="s">
        <v>60</v>
      </c>
      <c r="S1752" t="s">
        <v>315</v>
      </c>
      <c r="T1752" t="s">
        <v>6187</v>
      </c>
      <c r="U1752" t="s">
        <v>6188</v>
      </c>
      <c r="W1752">
        <v>120</v>
      </c>
      <c r="X1752">
        <v>120</v>
      </c>
      <c r="AE1752">
        <v>13</v>
      </c>
      <c r="AI1752" t="s">
        <v>108</v>
      </c>
      <c r="AJ1752" t="s">
        <v>1182</v>
      </c>
      <c r="AK1752" t="s">
        <v>52</v>
      </c>
      <c r="AL1752" t="str">
        <f>HYPERLINK("https://www.instagram.com/p/BzGIX80AdiK/media/?size=l")</f>
        <v>https://www.instagram.com/p/BzGIX80AdiK/media/?size=l</v>
      </c>
      <c r="AM1752" t="s">
        <v>52</v>
      </c>
      <c r="AN1752" t="s">
        <v>53</v>
      </c>
    </row>
    <row r="1753" spans="1:40">
      <c r="A1753" t="s">
        <v>2370</v>
      </c>
      <c r="B1753" t="s">
        <v>6184</v>
      </c>
      <c r="C1753" t="s">
        <v>6172</v>
      </c>
      <c r="D1753" t="s">
        <v>52</v>
      </c>
      <c r="E1753" t="s">
        <v>1194</v>
      </c>
      <c r="F1753" t="s">
        <v>131</v>
      </c>
      <c r="G1753" t="str">
        <f>HYPERLINK("https://twitter.com/742971123411869696/status/1143163355823087616")</f>
        <v>https://twitter.com/742971123411869696/status/1143163355823087616</v>
      </c>
      <c r="H1753" t="s">
        <v>46</v>
      </c>
      <c r="I1753" t="s">
        <v>6189</v>
      </c>
      <c r="J1753" t="str">
        <f>HYPERLINK("http://twitter.com/kenziedrawsshit")</f>
        <v>http://twitter.com/kenziedrawsshit</v>
      </c>
      <c r="K1753">
        <v>57</v>
      </c>
      <c r="N1753" t="s">
        <v>65</v>
      </c>
      <c r="R1753" t="s">
        <v>60</v>
      </c>
      <c r="S1753" t="s">
        <v>51</v>
      </c>
      <c r="W1753">
        <v>0</v>
      </c>
      <c r="X1753">
        <v>0</v>
      </c>
      <c r="AE1753">
        <v>0</v>
      </c>
      <c r="AI1753" t="s">
        <v>52</v>
      </c>
      <c r="AJ1753" t="s">
        <v>1196</v>
      </c>
      <c r="AK1753" t="s">
        <v>52</v>
      </c>
      <c r="AL1753" t="str">
        <f>HYPERLINK("https://pbs.twimg.com/media/D9xgk2YXkAAd2ql.jpg")</f>
        <v>https://pbs.twimg.com/media/D9xgk2YXkAAd2ql.jpg</v>
      </c>
      <c r="AM1753" t="s">
        <v>52</v>
      </c>
      <c r="AN1753" t="s">
        <v>53</v>
      </c>
    </row>
    <row r="1754" spans="1:40">
      <c r="A1754" t="s">
        <v>2370</v>
      </c>
      <c r="B1754" t="s">
        <v>6184</v>
      </c>
      <c r="C1754" t="s">
        <v>6190</v>
      </c>
      <c r="D1754" t="s">
        <v>52</v>
      </c>
      <c r="E1754" t="s">
        <v>1194</v>
      </c>
      <c r="F1754" t="s">
        <v>131</v>
      </c>
      <c r="G1754" t="str">
        <f>HYPERLINK("https://twitter.com/219434871/status/1143163267948392448")</f>
        <v>https://twitter.com/219434871/status/1143163267948392448</v>
      </c>
      <c r="H1754" t="s">
        <v>46</v>
      </c>
      <c r="I1754" t="s">
        <v>6191</v>
      </c>
      <c r="J1754" t="str">
        <f>HYPERLINK("http://twitter.com/kevstark")</f>
        <v>http://twitter.com/kevstark</v>
      </c>
      <c r="K1754">
        <v>1401</v>
      </c>
      <c r="L1754" t="s">
        <v>48</v>
      </c>
      <c r="N1754" t="s">
        <v>65</v>
      </c>
      <c r="R1754" t="s">
        <v>60</v>
      </c>
      <c r="S1754" t="s">
        <v>432</v>
      </c>
      <c r="T1754" t="s">
        <v>6192</v>
      </c>
      <c r="W1754">
        <v>0</v>
      </c>
      <c r="X1754">
        <v>0</v>
      </c>
      <c r="AE1754">
        <v>0</v>
      </c>
      <c r="AI1754" t="s">
        <v>52</v>
      </c>
      <c r="AJ1754" t="s">
        <v>1196</v>
      </c>
      <c r="AK1754" t="s">
        <v>52</v>
      </c>
      <c r="AL1754" t="str">
        <f>HYPERLINK("https://pbs.twimg.com/media/D9xgk2YXkAAd2ql.jpg")</f>
        <v>https://pbs.twimg.com/media/D9xgk2YXkAAd2ql.jpg</v>
      </c>
      <c r="AM1754" t="s">
        <v>52</v>
      </c>
      <c r="AN1754" t="s">
        <v>53</v>
      </c>
    </row>
    <row r="1755" spans="1:40">
      <c r="A1755" t="s">
        <v>2370</v>
      </c>
      <c r="B1755" t="s">
        <v>6184</v>
      </c>
      <c r="C1755" t="s">
        <v>6193</v>
      </c>
      <c r="D1755" t="s">
        <v>52</v>
      </c>
      <c r="E1755" t="s">
        <v>6194</v>
      </c>
      <c r="F1755" t="s">
        <v>71</v>
      </c>
      <c r="G1755" t="str">
        <f>HYPERLINK("https://twitter.com/373177618/status/1143163260176359425")</f>
        <v>https://twitter.com/373177618/status/1143163260176359425</v>
      </c>
      <c r="H1755" t="s">
        <v>46</v>
      </c>
      <c r="I1755" t="s">
        <v>6195</v>
      </c>
      <c r="J1755" t="str">
        <f>HYPERLINK("http://twitter.com/UgandanPablo")</f>
        <v>http://twitter.com/UgandanPablo</v>
      </c>
      <c r="K1755">
        <v>533</v>
      </c>
      <c r="N1755" t="s">
        <v>65</v>
      </c>
      <c r="R1755" t="s">
        <v>60</v>
      </c>
      <c r="W1755">
        <v>0</v>
      </c>
      <c r="X1755">
        <v>0</v>
      </c>
      <c r="AE1755">
        <v>0</v>
      </c>
      <c r="AF1755">
        <v>0</v>
      </c>
      <c r="AM1755" t="s">
        <v>52</v>
      </c>
      <c r="AN1755" t="s">
        <v>53</v>
      </c>
    </row>
    <row r="1756" spans="1:40">
      <c r="A1756" t="s">
        <v>2370</v>
      </c>
      <c r="B1756" t="s">
        <v>6184</v>
      </c>
      <c r="C1756" t="s">
        <v>6196</v>
      </c>
      <c r="D1756" t="s">
        <v>52</v>
      </c>
      <c r="E1756" t="s">
        <v>6197</v>
      </c>
      <c r="F1756" t="s">
        <v>45</v>
      </c>
      <c r="G1756" t="str">
        <f>HYPERLINK("https://twitter.com/1325829403/status/1143163225590177792")</f>
        <v>https://twitter.com/1325829403/status/1143163225590177792</v>
      </c>
      <c r="H1756" t="s">
        <v>46</v>
      </c>
      <c r="I1756" t="s">
        <v>6198</v>
      </c>
      <c r="J1756" t="str">
        <f>HYPERLINK("http://twitter.com/_xoxo_ariana")</f>
        <v>http://twitter.com/_xoxo_ariana</v>
      </c>
      <c r="K1756">
        <v>1261</v>
      </c>
      <c r="N1756" t="s">
        <v>65</v>
      </c>
      <c r="R1756" t="s">
        <v>60</v>
      </c>
      <c r="W1756">
        <v>0</v>
      </c>
      <c r="X1756">
        <v>0</v>
      </c>
      <c r="AE1756">
        <v>1</v>
      </c>
      <c r="AF1756">
        <v>1</v>
      </c>
      <c r="AM1756" t="s">
        <v>52</v>
      </c>
      <c r="AN1756" t="s">
        <v>53</v>
      </c>
    </row>
    <row r="1757" spans="1:40">
      <c r="A1757" t="s">
        <v>2370</v>
      </c>
      <c r="B1757" t="s">
        <v>6184</v>
      </c>
      <c r="C1757" t="s">
        <v>6199</v>
      </c>
      <c r="D1757" t="s">
        <v>6200</v>
      </c>
      <c r="E1757" t="s">
        <v>6201</v>
      </c>
      <c r="F1757" t="s">
        <v>95</v>
      </c>
      <c r="G1757" t="str">
        <f>HYPERLINK("https://www.youtube.com/watch?v=qPTlYG_Oy-8&amp;lc=UgzPGbLog0q5fRKYgE54AaABAg.8wZd9yHtId28wZdB2Rl5oL")</f>
        <v>https://www.youtube.com/watch?v=qPTlYG_Oy-8&amp;lc=UgzPGbLog0q5fRKYgE54AaABAg.8wZd9yHtId28wZdB2Rl5oL</v>
      </c>
      <c r="H1757" t="s">
        <v>46</v>
      </c>
      <c r="I1757" t="s">
        <v>6202</v>
      </c>
      <c r="J1757" t="str">
        <f>HYPERLINK("https://www.youtube.com/channel/UCgFaw2_ARhepk7Gkf2aoEbg")</f>
        <v>https://www.youtube.com/channel/UCgFaw2_ARhepk7Gkf2aoEbg</v>
      </c>
      <c r="K1757">
        <v>2</v>
      </c>
      <c r="N1757" t="s">
        <v>116</v>
      </c>
      <c r="O1757" t="s">
        <v>6203</v>
      </c>
      <c r="P1757" t="str">
        <f>HYPERLINK("https://www.youtube.com/channel/UCscvzbVc2jHPi7Z7QF5PvQw")</f>
        <v>https://www.youtube.com/channel/UCscvzbVc2jHPi7Z7QF5PvQw</v>
      </c>
      <c r="Q1757">
        <v>171</v>
      </c>
      <c r="R1757" t="s">
        <v>60</v>
      </c>
      <c r="W1757">
        <v>0</v>
      </c>
      <c r="X1757">
        <v>0</v>
      </c>
      <c r="AM1757" t="s">
        <v>52</v>
      </c>
      <c r="AN1757" t="s">
        <v>53</v>
      </c>
    </row>
    <row r="1758" spans="1:40">
      <c r="A1758" t="s">
        <v>2370</v>
      </c>
      <c r="B1758" t="s">
        <v>6184</v>
      </c>
      <c r="C1758" t="s">
        <v>6199</v>
      </c>
      <c r="D1758" t="s">
        <v>6200</v>
      </c>
      <c r="E1758" t="s">
        <v>6204</v>
      </c>
      <c r="F1758" t="s">
        <v>95</v>
      </c>
      <c r="G1758" t="str">
        <f>HYPERLINK("https://www.youtube.com/watch?v=qPTlYG_Oy-8&amp;lc=UgzPGbLog0q5fRKYgE54AaABAg")</f>
        <v>https://www.youtube.com/watch?v=qPTlYG_Oy-8&amp;lc=UgzPGbLog0q5fRKYgE54AaABAg</v>
      </c>
      <c r="H1758" t="s">
        <v>46</v>
      </c>
      <c r="I1758" t="s">
        <v>6202</v>
      </c>
      <c r="J1758" t="str">
        <f>HYPERLINK("https://www.youtube.com/channel/UCgFaw2_ARhepk7Gkf2aoEbg")</f>
        <v>https://www.youtube.com/channel/UCgFaw2_ARhepk7Gkf2aoEbg</v>
      </c>
      <c r="K1758">
        <v>2</v>
      </c>
      <c r="N1758" t="s">
        <v>116</v>
      </c>
      <c r="O1758" t="s">
        <v>6203</v>
      </c>
      <c r="P1758" t="str">
        <f>HYPERLINK("https://www.youtube.com/channel/UCscvzbVc2jHPi7Z7QF5PvQw")</f>
        <v>https://www.youtube.com/channel/UCscvzbVc2jHPi7Z7QF5PvQw</v>
      </c>
      <c r="Q1758">
        <v>171</v>
      </c>
      <c r="R1758" t="s">
        <v>60</v>
      </c>
      <c r="W1758">
        <v>0</v>
      </c>
      <c r="X1758">
        <v>0</v>
      </c>
      <c r="AE1758">
        <v>1</v>
      </c>
      <c r="AM1758" t="s">
        <v>52</v>
      </c>
      <c r="AN1758" t="s">
        <v>53</v>
      </c>
    </row>
    <row r="1759" spans="1:40">
      <c r="A1759" t="s">
        <v>2370</v>
      </c>
      <c r="B1759" t="s">
        <v>6184</v>
      </c>
      <c r="C1759" t="s">
        <v>6205</v>
      </c>
      <c r="D1759" t="s">
        <v>52</v>
      </c>
      <c r="E1759" t="s">
        <v>3749</v>
      </c>
      <c r="F1759" t="s">
        <v>71</v>
      </c>
      <c r="G1759" t="str">
        <f>HYPERLINK("https://twitter.com/883577724/status/1143163169218732033")</f>
        <v>https://twitter.com/883577724/status/1143163169218732033</v>
      </c>
      <c r="H1759" t="s">
        <v>46</v>
      </c>
      <c r="I1759" t="s">
        <v>6206</v>
      </c>
      <c r="J1759" t="str">
        <f>HYPERLINK("http://twitter.com/Non_Believer001")</f>
        <v>http://twitter.com/Non_Believer001</v>
      </c>
      <c r="K1759">
        <v>309</v>
      </c>
      <c r="N1759" t="s">
        <v>65</v>
      </c>
      <c r="R1759" t="s">
        <v>60</v>
      </c>
      <c r="S1759" t="s">
        <v>1071</v>
      </c>
      <c r="T1759" t="s">
        <v>5971</v>
      </c>
      <c r="U1759" t="s">
        <v>6207</v>
      </c>
      <c r="W1759">
        <v>0</v>
      </c>
      <c r="X1759">
        <v>0</v>
      </c>
      <c r="AE1759">
        <v>0</v>
      </c>
      <c r="AF1759">
        <v>0</v>
      </c>
      <c r="AI1759" t="s">
        <v>108</v>
      </c>
      <c r="AJ1759" t="s">
        <v>52</v>
      </c>
      <c r="AK1759" t="s">
        <v>52</v>
      </c>
      <c r="AL1759" t="str">
        <f>HYPERLINK("https://pbs.twimg.com/media/D9sAXHUX4AA6vJs.jpg")</f>
        <v>https://pbs.twimg.com/media/D9sAXHUX4AA6vJs.jpg</v>
      </c>
      <c r="AM1759" t="s">
        <v>52</v>
      </c>
      <c r="AN1759" t="s">
        <v>53</v>
      </c>
    </row>
    <row r="1760" spans="1:40">
      <c r="A1760" t="s">
        <v>2370</v>
      </c>
      <c r="B1760" t="s">
        <v>6184</v>
      </c>
      <c r="C1760" t="s">
        <v>6199</v>
      </c>
      <c r="D1760" t="s">
        <v>52</v>
      </c>
      <c r="E1760" t="s">
        <v>6208</v>
      </c>
      <c r="F1760" t="s">
        <v>95</v>
      </c>
      <c r="G1760" t="str">
        <f>HYPERLINK("https://twitter.com/915630671208615936/status/1143163147999748098")</f>
        <v>https://twitter.com/915630671208615936/status/1143163147999748098</v>
      </c>
      <c r="H1760" t="s">
        <v>46</v>
      </c>
      <c r="I1760" t="s">
        <v>6209</v>
      </c>
      <c r="J1760" t="str">
        <f>HYPERLINK("http://twitter.com/wingerdingerfli")</f>
        <v>http://twitter.com/wingerdingerfli</v>
      </c>
      <c r="K1760">
        <v>19</v>
      </c>
      <c r="N1760" t="s">
        <v>65</v>
      </c>
      <c r="R1760" t="s">
        <v>60</v>
      </c>
      <c r="S1760" t="s">
        <v>51</v>
      </c>
      <c r="T1760" t="s">
        <v>73</v>
      </c>
      <c r="W1760">
        <v>0</v>
      </c>
      <c r="X1760">
        <v>0</v>
      </c>
      <c r="AE1760">
        <v>0</v>
      </c>
      <c r="AF1760">
        <v>0</v>
      </c>
      <c r="AM1760" t="s">
        <v>52</v>
      </c>
      <c r="AN1760" t="s">
        <v>53</v>
      </c>
    </row>
    <row r="1761" spans="1:40">
      <c r="A1761" t="s">
        <v>2370</v>
      </c>
      <c r="B1761" t="s">
        <v>468</v>
      </c>
      <c r="C1761" t="s">
        <v>6210</v>
      </c>
      <c r="D1761" t="s">
        <v>52</v>
      </c>
      <c r="E1761" t="s">
        <v>5815</v>
      </c>
      <c r="F1761" t="s">
        <v>71</v>
      </c>
      <c r="G1761" t="str">
        <f>HYPERLINK("https://twitter.com/743199714502402048/status/1143163067003486208")</f>
        <v>https://twitter.com/743199714502402048/status/1143163067003486208</v>
      </c>
      <c r="H1761" t="s">
        <v>46</v>
      </c>
      <c r="I1761" t="s">
        <v>6211</v>
      </c>
      <c r="J1761" t="str">
        <f>HYPERLINK("http://twitter.com/akreana_")</f>
        <v>http://twitter.com/akreana_</v>
      </c>
      <c r="K1761">
        <v>110623</v>
      </c>
      <c r="N1761" t="s">
        <v>65</v>
      </c>
      <c r="R1761" t="s">
        <v>60</v>
      </c>
      <c r="W1761">
        <v>0</v>
      </c>
      <c r="X1761">
        <v>0</v>
      </c>
      <c r="AE1761">
        <v>0</v>
      </c>
      <c r="AF1761">
        <v>0</v>
      </c>
      <c r="AM1761" t="s">
        <v>52</v>
      </c>
      <c r="AN1761" t="s">
        <v>53</v>
      </c>
    </row>
    <row r="1762" spans="1:40">
      <c r="A1762" t="s">
        <v>2370</v>
      </c>
      <c r="B1762" t="s">
        <v>468</v>
      </c>
      <c r="C1762" t="s">
        <v>6210</v>
      </c>
      <c r="D1762" t="s">
        <v>52</v>
      </c>
      <c r="E1762" t="s">
        <v>6212</v>
      </c>
      <c r="F1762" t="s">
        <v>45</v>
      </c>
      <c r="G1762" t="str">
        <f>HYPERLINK("https://www.instagram.com/p/BzGIF2VFmGI")</f>
        <v>https://www.instagram.com/p/BzGIF2VFmGI</v>
      </c>
      <c r="H1762" t="s">
        <v>46</v>
      </c>
      <c r="I1762" t="s">
        <v>6213</v>
      </c>
      <c r="J1762" t="str">
        <f>HYPERLINK("http://instagram.com/danimal.has.the.memes")</f>
        <v>http://instagram.com/danimal.has.the.memes</v>
      </c>
      <c r="K1762">
        <v>1048</v>
      </c>
      <c r="N1762" t="s">
        <v>59</v>
      </c>
      <c r="O1762" t="s">
        <v>6213</v>
      </c>
      <c r="P1762" t="str">
        <f>HYPERLINK("http://instagram.com/danimal.has.the.memes")</f>
        <v>http://instagram.com/danimal.has.the.memes</v>
      </c>
      <c r="Q1762">
        <v>1048</v>
      </c>
      <c r="R1762" t="s">
        <v>60</v>
      </c>
      <c r="W1762">
        <v>0</v>
      </c>
      <c r="X1762">
        <v>0</v>
      </c>
      <c r="AE1762">
        <v>0</v>
      </c>
      <c r="AG1762">
        <v>0</v>
      </c>
      <c r="AI1762" t="s">
        <v>52</v>
      </c>
      <c r="AJ1762" t="s">
        <v>52</v>
      </c>
      <c r="AK1762" t="s">
        <v>52</v>
      </c>
      <c r="AL1762" t="str">
        <f>HYPERLINK("https://www.instagram.com/p/BzGIF2VFmGI/media/?size=l")</f>
        <v>https://www.instagram.com/p/BzGIF2VFmGI/media/?size=l</v>
      </c>
      <c r="AM1762" t="s">
        <v>52</v>
      </c>
      <c r="AN1762" t="s">
        <v>53</v>
      </c>
    </row>
    <row r="1763" spans="1:40">
      <c r="A1763" t="s">
        <v>2370</v>
      </c>
      <c r="B1763" t="s">
        <v>468</v>
      </c>
      <c r="C1763" t="s">
        <v>6108</v>
      </c>
      <c r="D1763" t="s">
        <v>6214</v>
      </c>
      <c r="E1763" t="s">
        <v>6214</v>
      </c>
      <c r="F1763" t="s">
        <v>45</v>
      </c>
      <c r="G1763" t="str">
        <f>HYPERLINK("https://www.youtube.com/watch?v=2w3_o66USp0")</f>
        <v>https://www.youtube.com/watch?v=2w3_o66USp0</v>
      </c>
      <c r="H1763" t="s">
        <v>46</v>
      </c>
      <c r="I1763" t="s">
        <v>6215</v>
      </c>
      <c r="J1763" t="str">
        <f>HYPERLINK("https://www.youtube.com/channel/UC81yNqdiT5KYASje2Lq6zGA")</f>
        <v>https://www.youtube.com/channel/UC81yNqdiT5KYASje2Lq6zGA</v>
      </c>
      <c r="K1763">
        <v>40</v>
      </c>
      <c r="N1763" t="s">
        <v>116</v>
      </c>
      <c r="O1763" t="s">
        <v>6215</v>
      </c>
      <c r="P1763" t="str">
        <f>HYPERLINK("https://www.youtube.com/channel/UC81yNqdiT5KYASje2Lq6zGA")</f>
        <v>https://www.youtube.com/channel/UC81yNqdiT5KYASje2Lq6zGA</v>
      </c>
      <c r="Q1763">
        <v>40</v>
      </c>
      <c r="R1763" t="s">
        <v>60</v>
      </c>
      <c r="W1763">
        <v>0</v>
      </c>
      <c r="X1763">
        <v>0</v>
      </c>
      <c r="AD1763">
        <v>0</v>
      </c>
      <c r="AE1763">
        <v>0</v>
      </c>
      <c r="AG1763">
        <v>3</v>
      </c>
      <c r="AI1763" t="s">
        <v>52</v>
      </c>
      <c r="AJ1763" t="s">
        <v>899</v>
      </c>
      <c r="AK1763" t="s">
        <v>52</v>
      </c>
      <c r="AL1763" t="str">
        <f>HYPERLINK("https://i.ytimg.com/vi/2w3_o66USp0/hqdefault.jpg")</f>
        <v>https://i.ytimg.com/vi/2w3_o66USp0/hqdefault.jpg</v>
      </c>
      <c r="AM1763" t="s">
        <v>52</v>
      </c>
      <c r="AN1763" t="s">
        <v>53</v>
      </c>
    </row>
    <row r="1764" spans="1:40">
      <c r="A1764" t="s">
        <v>2370</v>
      </c>
      <c r="B1764" t="s">
        <v>6216</v>
      </c>
      <c r="C1764" t="s">
        <v>6094</v>
      </c>
      <c r="D1764" t="s">
        <v>6217</v>
      </c>
      <c r="E1764" t="s">
        <v>6218</v>
      </c>
      <c r="F1764" t="s">
        <v>95</v>
      </c>
      <c r="G1764" t="str">
        <f>HYPERLINK("https://www.mediaite.com/election-2020/wall-street-journal-runs-op-ed-calling-for-trump-to-ditch-pence-and-put-nikki-haley-on-2020-ticket/#comment-4514166012")</f>
        <v>https://www.mediaite.com/election-2020/wall-street-journal-runs-op-ed-calling-for-trump-to-ditch-pence-and-put-nikki-haley-on-2020-ticket/#comment-4514166012</v>
      </c>
      <c r="H1764" t="s">
        <v>46</v>
      </c>
      <c r="I1764" t="s">
        <v>6219</v>
      </c>
      <c r="J1764" t="str">
        <f>HYPERLINK("https://disqus.com/by/romancadillac/")</f>
        <v>https://disqus.com/by/romancadillac/</v>
      </c>
      <c r="K1764">
        <v>32</v>
      </c>
      <c r="L1764" t="s">
        <v>48</v>
      </c>
      <c r="N1764" t="s">
        <v>6220</v>
      </c>
      <c r="O1764" t="s">
        <v>6221</v>
      </c>
      <c r="P1764" t="str">
        <f>HYPERLINK("https://disqus.com/home/forum/mediaite/")</f>
        <v>https://disqus.com/home/forum/mediaite/</v>
      </c>
      <c r="R1764" t="s">
        <v>50</v>
      </c>
      <c r="S1764" t="s">
        <v>444</v>
      </c>
      <c r="T1764" t="s">
        <v>1062</v>
      </c>
      <c r="U1764" t="s">
        <v>6222</v>
      </c>
      <c r="W1764">
        <v>2</v>
      </c>
      <c r="X1764">
        <v>2</v>
      </c>
      <c r="AM1764" t="s">
        <v>52</v>
      </c>
      <c r="AN1764" t="s">
        <v>53</v>
      </c>
    </row>
    <row r="1765" spans="1:40">
      <c r="A1765" t="s">
        <v>2370</v>
      </c>
      <c r="B1765" t="s">
        <v>6216</v>
      </c>
      <c r="C1765" t="s">
        <v>6094</v>
      </c>
      <c r="D1765" t="s">
        <v>6217</v>
      </c>
      <c r="E1765" t="s">
        <v>6223</v>
      </c>
      <c r="F1765" t="s">
        <v>95</v>
      </c>
      <c r="G1765" t="str">
        <f>HYPERLINK("https://www.mediaite.com/election-2020/wall-street-journal-runs-op-ed-calling-for-trump-to-ditch-pence-and-put-nikki-haley-on-2020-ticket/#comment-4514165535")</f>
        <v>https://www.mediaite.com/election-2020/wall-street-journal-runs-op-ed-calling-for-trump-to-ditch-pence-and-put-nikki-haley-on-2020-ticket/#comment-4514165535</v>
      </c>
      <c r="H1765" t="s">
        <v>46</v>
      </c>
      <c r="I1765" t="s">
        <v>6224</v>
      </c>
      <c r="J1765" t="str">
        <f>HYPERLINK("https://disqus.com/by/sweetknee2323y/")</f>
        <v>https://disqus.com/by/sweetknee2323y/</v>
      </c>
      <c r="K1765">
        <v>1</v>
      </c>
      <c r="N1765" t="s">
        <v>6220</v>
      </c>
      <c r="O1765" t="s">
        <v>6221</v>
      </c>
      <c r="P1765" t="str">
        <f>HYPERLINK("https://disqus.com/home/forum/mediaite/")</f>
        <v>https://disqus.com/home/forum/mediaite/</v>
      </c>
      <c r="R1765" t="s">
        <v>50</v>
      </c>
      <c r="W1765">
        <v>1</v>
      </c>
      <c r="X1765">
        <v>1</v>
      </c>
      <c r="AM1765" t="s">
        <v>52</v>
      </c>
      <c r="AN1765" t="s">
        <v>53</v>
      </c>
    </row>
    <row r="1766" spans="1:40">
      <c r="A1766" t="s">
        <v>2370</v>
      </c>
      <c r="B1766" t="s">
        <v>6225</v>
      </c>
      <c r="C1766" t="s">
        <v>6199</v>
      </c>
      <c r="D1766" t="s">
        <v>52</v>
      </c>
      <c r="E1766" t="s">
        <v>6226</v>
      </c>
      <c r="F1766" t="s">
        <v>71</v>
      </c>
      <c r="G1766" t="str">
        <f>HYPERLINK("https://twitter.com/798603070204760065/status/1143162589968523264")</f>
        <v>https://twitter.com/798603070204760065/status/1143162589968523264</v>
      </c>
      <c r="H1766" t="s">
        <v>46</v>
      </c>
      <c r="I1766" t="s">
        <v>6227</v>
      </c>
      <c r="J1766" t="str">
        <f>HYPERLINK("http://twitter.com/loveedaiii")</f>
        <v>http://twitter.com/loveedaiii</v>
      </c>
      <c r="K1766">
        <v>796</v>
      </c>
      <c r="N1766" t="s">
        <v>65</v>
      </c>
      <c r="R1766" t="s">
        <v>60</v>
      </c>
      <c r="W1766">
        <v>0</v>
      </c>
      <c r="X1766">
        <v>0</v>
      </c>
      <c r="AE1766">
        <v>0</v>
      </c>
      <c r="AF1766">
        <v>0</v>
      </c>
      <c r="AM1766" t="s">
        <v>52</v>
      </c>
      <c r="AN1766" t="s">
        <v>53</v>
      </c>
    </row>
    <row r="1767" spans="1:40">
      <c r="A1767" t="s">
        <v>2370</v>
      </c>
      <c r="B1767" t="s">
        <v>6225</v>
      </c>
      <c r="C1767" t="s">
        <v>6199</v>
      </c>
      <c r="D1767" t="s">
        <v>52</v>
      </c>
      <c r="E1767" t="s">
        <v>6228</v>
      </c>
      <c r="F1767" t="s">
        <v>71</v>
      </c>
      <c r="G1767" t="str">
        <f>HYPERLINK("https://twitter.com/798603070204760065/status/1143162575129141249")</f>
        <v>https://twitter.com/798603070204760065/status/1143162575129141249</v>
      </c>
      <c r="H1767" t="s">
        <v>46</v>
      </c>
      <c r="I1767" t="s">
        <v>6227</v>
      </c>
      <c r="J1767" t="str">
        <f>HYPERLINK("http://twitter.com/loveedaiii")</f>
        <v>http://twitter.com/loveedaiii</v>
      </c>
      <c r="K1767">
        <v>796</v>
      </c>
      <c r="N1767" t="s">
        <v>65</v>
      </c>
      <c r="R1767" t="s">
        <v>60</v>
      </c>
      <c r="W1767">
        <v>0</v>
      </c>
      <c r="X1767">
        <v>0</v>
      </c>
      <c r="AE1767">
        <v>0</v>
      </c>
      <c r="AF1767">
        <v>0</v>
      </c>
      <c r="AM1767" t="s">
        <v>52</v>
      </c>
      <c r="AN1767" t="s">
        <v>53</v>
      </c>
    </row>
    <row r="1768" spans="1:40">
      <c r="A1768" t="s">
        <v>2370</v>
      </c>
      <c r="B1768" t="s">
        <v>6225</v>
      </c>
      <c r="C1768" t="s">
        <v>6229</v>
      </c>
      <c r="D1768" t="s">
        <v>52</v>
      </c>
      <c r="E1768" t="s">
        <v>6230</v>
      </c>
      <c r="F1768" t="s">
        <v>71</v>
      </c>
      <c r="G1768" t="str">
        <f>HYPERLINK("https://twitter.com/703802090028670977/status/1143162535144808449")</f>
        <v>https://twitter.com/703802090028670977/status/1143162535144808449</v>
      </c>
      <c r="H1768" t="s">
        <v>46</v>
      </c>
      <c r="I1768" t="s">
        <v>6231</v>
      </c>
      <c r="J1768" t="str">
        <f>HYPERLINK("http://twitter.com/mabontle_entle")</f>
        <v>http://twitter.com/mabontle_entle</v>
      </c>
      <c r="K1768">
        <v>1273</v>
      </c>
      <c r="N1768" t="s">
        <v>65</v>
      </c>
      <c r="R1768" t="s">
        <v>60</v>
      </c>
      <c r="S1768" t="s">
        <v>1071</v>
      </c>
      <c r="W1768">
        <v>0</v>
      </c>
      <c r="X1768">
        <v>0</v>
      </c>
      <c r="AE1768">
        <v>1</v>
      </c>
      <c r="AF1768">
        <v>0</v>
      </c>
      <c r="AI1768" t="s">
        <v>52</v>
      </c>
      <c r="AJ1768" t="s">
        <v>6232</v>
      </c>
      <c r="AK1768" t="s">
        <v>52</v>
      </c>
      <c r="AL1768" t="str">
        <f>HYPERLINK("https://pbs.twimg.com/media/D91TtOJXYAEv0_4.jpg")</f>
        <v>https://pbs.twimg.com/media/D91TtOJXYAEv0_4.jpg</v>
      </c>
      <c r="AM1768" t="s">
        <v>52</v>
      </c>
      <c r="AN1768" t="s">
        <v>53</v>
      </c>
    </row>
    <row r="1769" spans="1:40">
      <c r="A1769" t="s">
        <v>2370</v>
      </c>
      <c r="B1769" t="s">
        <v>6233</v>
      </c>
      <c r="C1769" t="s">
        <v>6193</v>
      </c>
      <c r="D1769" t="s">
        <v>52</v>
      </c>
      <c r="E1769" t="s">
        <v>6234</v>
      </c>
      <c r="F1769" t="s">
        <v>45</v>
      </c>
      <c r="G1769" t="str">
        <f>HYPERLINK("https://www.instagram.com/p/BzGH3Argh02")</f>
        <v>https://www.instagram.com/p/BzGH3Argh02</v>
      </c>
      <c r="H1769" t="s">
        <v>215</v>
      </c>
      <c r="I1769" t="s">
        <v>6235</v>
      </c>
      <c r="J1769" t="str">
        <f>HYPERLINK("http://instagram.com/thisisbeckettwilliam")</f>
        <v>http://instagram.com/thisisbeckettwilliam</v>
      </c>
      <c r="K1769">
        <v>96</v>
      </c>
      <c r="N1769" t="s">
        <v>59</v>
      </c>
      <c r="O1769" t="s">
        <v>6235</v>
      </c>
      <c r="P1769" t="str">
        <f>HYPERLINK("http://instagram.com/thisisbeckettwilliam")</f>
        <v>http://instagram.com/thisisbeckettwilliam</v>
      </c>
      <c r="Q1769">
        <v>96</v>
      </c>
      <c r="R1769" t="s">
        <v>60</v>
      </c>
      <c r="S1769" t="s">
        <v>51</v>
      </c>
      <c r="T1769" t="s">
        <v>137</v>
      </c>
      <c r="U1769" t="s">
        <v>6236</v>
      </c>
      <c r="W1769">
        <v>26</v>
      </c>
      <c r="X1769">
        <v>26</v>
      </c>
      <c r="AE1769">
        <v>2</v>
      </c>
      <c r="AI1769" t="s">
        <v>108</v>
      </c>
      <c r="AJ1769" t="s">
        <v>52</v>
      </c>
      <c r="AK1769" t="s">
        <v>52</v>
      </c>
      <c r="AL1769" t="str">
        <f>HYPERLINK("https://www.instagram.com/p/BzGH3Argh02/media/?size=l")</f>
        <v>https://www.instagram.com/p/BzGH3Argh02/media/?size=l</v>
      </c>
      <c r="AM1769" t="s">
        <v>52</v>
      </c>
      <c r="AN1769" t="s">
        <v>53</v>
      </c>
    </row>
    <row r="1770" spans="1:40">
      <c r="A1770" t="s">
        <v>2370</v>
      </c>
      <c r="B1770" t="s">
        <v>6237</v>
      </c>
      <c r="C1770" t="s">
        <v>6108</v>
      </c>
      <c r="D1770" t="s">
        <v>619</v>
      </c>
      <c r="E1770" t="s">
        <v>619</v>
      </c>
      <c r="F1770" t="s">
        <v>45</v>
      </c>
      <c r="G1770" t="str">
        <f>HYPERLINK("https://www.youtube.com/watch?v=jV1LKll5zXA")</f>
        <v>https://www.youtube.com/watch?v=jV1LKll5zXA</v>
      </c>
      <c r="H1770" t="s">
        <v>215</v>
      </c>
      <c r="I1770" t="s">
        <v>6238</v>
      </c>
      <c r="J1770" t="str">
        <f>HYPERLINK("https://www.youtube.com/channel/UCXDpI9IWDQpnYVgYdgzfTtA")</f>
        <v>https://www.youtube.com/channel/UCXDpI9IWDQpnYVgYdgzfTtA</v>
      </c>
      <c r="K1770">
        <v>4</v>
      </c>
      <c r="N1770" t="s">
        <v>116</v>
      </c>
      <c r="O1770" t="s">
        <v>6238</v>
      </c>
      <c r="P1770" t="str">
        <f>HYPERLINK("https://www.youtube.com/channel/UCXDpI9IWDQpnYVgYdgzfTtA")</f>
        <v>https://www.youtube.com/channel/UCXDpI9IWDQpnYVgYdgzfTtA</v>
      </c>
      <c r="Q1770">
        <v>4</v>
      </c>
      <c r="R1770" t="s">
        <v>60</v>
      </c>
      <c r="W1770">
        <v>0</v>
      </c>
      <c r="X1770">
        <v>0</v>
      </c>
      <c r="AD1770">
        <v>0</v>
      </c>
      <c r="AE1770">
        <v>0</v>
      </c>
      <c r="AG1770">
        <v>1</v>
      </c>
      <c r="AI1770" t="s">
        <v>52</v>
      </c>
      <c r="AJ1770" t="s">
        <v>52</v>
      </c>
      <c r="AK1770" t="s">
        <v>52</v>
      </c>
      <c r="AL1770" t="str">
        <f>HYPERLINK("https://i.ytimg.com/vi/jV1LKll5zXA/sddefault.jpg")</f>
        <v>https://i.ytimg.com/vi/jV1LKll5zXA/sddefault.jpg</v>
      </c>
      <c r="AM1770" t="s">
        <v>52</v>
      </c>
      <c r="AN1770" t="s">
        <v>53</v>
      </c>
    </row>
    <row r="1771" spans="1:40">
      <c r="A1771" t="s">
        <v>2370</v>
      </c>
      <c r="B1771" t="s">
        <v>6237</v>
      </c>
      <c r="C1771" t="s">
        <v>6193</v>
      </c>
      <c r="D1771" t="s">
        <v>6239</v>
      </c>
      <c r="E1771" t="s">
        <v>6240</v>
      </c>
      <c r="F1771" t="s">
        <v>45</v>
      </c>
      <c r="G1771" t="str">
        <f>HYPERLINK("https://www.youtube.com/watch?v=nrvm0VUMvGE")</f>
        <v>https://www.youtube.com/watch?v=nrvm0VUMvGE</v>
      </c>
      <c r="H1771" t="s">
        <v>46</v>
      </c>
      <c r="I1771" t="s">
        <v>6241</v>
      </c>
      <c r="J1771" t="str">
        <f>HYPERLINK("https://www.youtube.com/channel/UCkVhZm_CE3mjbF55Kamvung")</f>
        <v>https://www.youtube.com/channel/UCkVhZm_CE3mjbF55Kamvung</v>
      </c>
      <c r="K1771">
        <v>6</v>
      </c>
      <c r="N1771" t="s">
        <v>116</v>
      </c>
      <c r="O1771" t="s">
        <v>6241</v>
      </c>
      <c r="P1771" t="str">
        <f>HYPERLINK("https://www.youtube.com/channel/UCkVhZm_CE3mjbF55Kamvung")</f>
        <v>https://www.youtube.com/channel/UCkVhZm_CE3mjbF55Kamvung</v>
      </c>
      <c r="Q1771">
        <v>6</v>
      </c>
      <c r="R1771" t="s">
        <v>60</v>
      </c>
      <c r="S1771" t="s">
        <v>51</v>
      </c>
      <c r="W1771">
        <v>2</v>
      </c>
      <c r="X1771">
        <v>2</v>
      </c>
      <c r="AD1771">
        <v>0</v>
      </c>
      <c r="AE1771">
        <v>0</v>
      </c>
      <c r="AG1771">
        <v>13</v>
      </c>
      <c r="AI1771" t="s">
        <v>52</v>
      </c>
      <c r="AJ1771" t="s">
        <v>52</v>
      </c>
      <c r="AK1771" t="s">
        <v>52</v>
      </c>
      <c r="AL1771" t="str">
        <f>HYPERLINK("https://i.ytimg.com/vi/nrvm0VUMvGE/maxresdefault.jpg")</f>
        <v>https://i.ytimg.com/vi/nrvm0VUMvGE/maxresdefault.jpg</v>
      </c>
      <c r="AM1771" t="s">
        <v>52</v>
      </c>
      <c r="AN1771" t="s">
        <v>53</v>
      </c>
    </row>
    <row r="1772" spans="1:40">
      <c r="A1772" t="s">
        <v>2370</v>
      </c>
      <c r="B1772" t="s">
        <v>6237</v>
      </c>
      <c r="C1772" t="s">
        <v>6205</v>
      </c>
      <c r="D1772" t="s">
        <v>6200</v>
      </c>
      <c r="E1772" t="s">
        <v>6242</v>
      </c>
      <c r="F1772" t="s">
        <v>95</v>
      </c>
      <c r="G1772" t="str">
        <f>HYPERLINK("https://www.youtube.com/watch?v=qPTlYG_Oy-8&amp;lc=Ugyu8XAWpJlbcbfi2T54AaABAg")</f>
        <v>https://www.youtube.com/watch?v=qPTlYG_Oy-8&amp;lc=Ugyu8XAWpJlbcbfi2T54AaABAg</v>
      </c>
      <c r="H1772" t="s">
        <v>46</v>
      </c>
      <c r="I1772" t="s">
        <v>6243</v>
      </c>
      <c r="J1772" t="str">
        <f>HYPERLINK("https://www.youtube.com/channel/UCuyq4BEJHWEhX9oqvzGOh-A")</f>
        <v>https://www.youtube.com/channel/UCuyq4BEJHWEhX9oqvzGOh-A</v>
      </c>
      <c r="K1772">
        <v>35</v>
      </c>
      <c r="L1772" t="s">
        <v>48</v>
      </c>
      <c r="N1772" t="s">
        <v>116</v>
      </c>
      <c r="O1772" t="s">
        <v>6203</v>
      </c>
      <c r="P1772" t="str">
        <f>HYPERLINK("https://www.youtube.com/channel/UCscvzbVc2jHPi7Z7QF5PvQw")</f>
        <v>https://www.youtube.com/channel/UCscvzbVc2jHPi7Z7QF5PvQw</v>
      </c>
      <c r="Q1772">
        <v>171</v>
      </c>
      <c r="R1772" t="s">
        <v>60</v>
      </c>
      <c r="W1772">
        <v>0</v>
      </c>
      <c r="X1772">
        <v>0</v>
      </c>
      <c r="AE1772">
        <v>0</v>
      </c>
      <c r="AM1772" t="s">
        <v>52</v>
      </c>
      <c r="AN1772" t="s">
        <v>53</v>
      </c>
    </row>
    <row r="1773" spans="1:40">
      <c r="A1773" t="s">
        <v>2370</v>
      </c>
      <c r="B1773" t="s">
        <v>6237</v>
      </c>
      <c r="C1773" t="s">
        <v>6229</v>
      </c>
      <c r="D1773" t="s">
        <v>52</v>
      </c>
      <c r="E1773" t="s">
        <v>6244</v>
      </c>
      <c r="F1773" t="s">
        <v>95</v>
      </c>
      <c r="G1773" t="str">
        <f>HYPERLINK("https://twitter.com/16686296/status/1143161979462438912")</f>
        <v>https://twitter.com/16686296/status/1143161979462438912</v>
      </c>
      <c r="H1773" t="s">
        <v>46</v>
      </c>
      <c r="I1773" t="s">
        <v>6245</v>
      </c>
      <c r="J1773" t="str">
        <f>HYPERLINK("http://twitter.com/mrstrooper")</f>
        <v>http://twitter.com/mrstrooper</v>
      </c>
      <c r="K1773">
        <v>153</v>
      </c>
      <c r="N1773" t="s">
        <v>65</v>
      </c>
      <c r="R1773" t="s">
        <v>60</v>
      </c>
      <c r="W1773">
        <v>0</v>
      </c>
      <c r="X1773">
        <v>0</v>
      </c>
      <c r="AE1773">
        <v>0</v>
      </c>
      <c r="AF1773">
        <v>0</v>
      </c>
      <c r="AM1773" t="s">
        <v>52</v>
      </c>
      <c r="AN1773" t="s">
        <v>53</v>
      </c>
    </row>
    <row r="1774" spans="1:40">
      <c r="A1774" t="s">
        <v>2370</v>
      </c>
      <c r="B1774" t="s">
        <v>6237</v>
      </c>
      <c r="C1774" t="s">
        <v>4207</v>
      </c>
      <c r="D1774" t="s">
        <v>52</v>
      </c>
      <c r="E1774" t="s">
        <v>6246</v>
      </c>
      <c r="F1774" t="s">
        <v>45</v>
      </c>
      <c r="G1774" t="str">
        <f>HYPERLINK("https://www.instagram.com/p/BzGHtNPgIfp")</f>
        <v>https://www.instagram.com/p/BzGHtNPgIfp</v>
      </c>
      <c r="H1774" t="s">
        <v>46</v>
      </c>
      <c r="I1774" t="s">
        <v>6247</v>
      </c>
      <c r="J1774" t="str">
        <f>HYPERLINK("http://instagram.com/icecreamcafefl")</f>
        <v>http://instagram.com/icecreamcafefl</v>
      </c>
      <c r="K1774">
        <v>3241</v>
      </c>
      <c r="N1774" t="s">
        <v>59</v>
      </c>
      <c r="O1774" t="s">
        <v>6247</v>
      </c>
      <c r="P1774" t="str">
        <f>HYPERLINK("http://instagram.com/icecreamcafefl")</f>
        <v>http://instagram.com/icecreamcafefl</v>
      </c>
      <c r="Q1774">
        <v>3241</v>
      </c>
      <c r="R1774" t="s">
        <v>60</v>
      </c>
      <c r="S1774" t="s">
        <v>51</v>
      </c>
      <c r="T1774" t="s">
        <v>73</v>
      </c>
      <c r="U1774" t="s">
        <v>6248</v>
      </c>
      <c r="W1774">
        <v>17</v>
      </c>
      <c r="X1774">
        <v>17</v>
      </c>
      <c r="AE1774">
        <v>0</v>
      </c>
      <c r="AI1774" t="s">
        <v>108</v>
      </c>
      <c r="AJ1774" t="s">
        <v>6249</v>
      </c>
      <c r="AK1774" t="s">
        <v>52</v>
      </c>
      <c r="AL1774" t="str">
        <f>HYPERLINK("https://www.instagram.com/p/BzGHtNPgIfp/media/?size=l")</f>
        <v>https://www.instagram.com/p/BzGHtNPgIfp/media/?size=l</v>
      </c>
      <c r="AM1774" t="s">
        <v>52</v>
      </c>
      <c r="AN1774" t="s">
        <v>53</v>
      </c>
    </row>
    <row r="1775" spans="1:40">
      <c r="A1775" t="s">
        <v>2370</v>
      </c>
      <c r="B1775" t="s">
        <v>6237</v>
      </c>
      <c r="C1775" t="s">
        <v>6229</v>
      </c>
      <c r="D1775" t="s">
        <v>52</v>
      </c>
      <c r="E1775" t="s">
        <v>6250</v>
      </c>
      <c r="F1775" t="s">
        <v>45</v>
      </c>
      <c r="G1775" t="str">
        <f>HYPERLINK("https://twitter.com/620485204/status/1143161860121931782")</f>
        <v>https://twitter.com/620485204/status/1143161860121931782</v>
      </c>
      <c r="H1775" t="s">
        <v>46</v>
      </c>
      <c r="I1775" t="s">
        <v>6251</v>
      </c>
      <c r="J1775" t="str">
        <f>HYPERLINK("http://twitter.com/NostalgicFront")</f>
        <v>http://twitter.com/NostalgicFront</v>
      </c>
      <c r="K1775">
        <v>1351</v>
      </c>
      <c r="N1775" t="s">
        <v>65</v>
      </c>
      <c r="R1775" t="s">
        <v>60</v>
      </c>
      <c r="S1775" t="s">
        <v>51</v>
      </c>
      <c r="T1775" t="s">
        <v>380</v>
      </c>
      <c r="U1775" t="s">
        <v>380</v>
      </c>
      <c r="W1775">
        <v>4</v>
      </c>
      <c r="X1775">
        <v>4</v>
      </c>
      <c r="AE1775">
        <v>2</v>
      </c>
      <c r="AF1775">
        <v>0</v>
      </c>
      <c r="AM1775" t="s">
        <v>52</v>
      </c>
      <c r="AN1775" t="s">
        <v>53</v>
      </c>
    </row>
    <row r="1776" spans="1:40">
      <c r="A1776" t="s">
        <v>2370</v>
      </c>
      <c r="B1776" t="s">
        <v>475</v>
      </c>
      <c r="C1776" t="s">
        <v>6252</v>
      </c>
      <c r="D1776" t="s">
        <v>52</v>
      </c>
      <c r="E1776" t="s">
        <v>5128</v>
      </c>
      <c r="F1776" t="s">
        <v>131</v>
      </c>
      <c r="G1776" t="str">
        <f>HYPERLINK("https://twitter.com/2657967797/status/1143161748159107072")</f>
        <v>https://twitter.com/2657967797/status/1143161748159107072</v>
      </c>
      <c r="H1776" t="s">
        <v>46</v>
      </c>
      <c r="I1776" t="s">
        <v>6253</v>
      </c>
      <c r="J1776" t="str">
        <f>HYPERLINK("http://twitter.com/EdmondSphoenix_")</f>
        <v>http://twitter.com/EdmondSphoenix_</v>
      </c>
      <c r="K1776">
        <v>6389</v>
      </c>
      <c r="N1776" t="s">
        <v>65</v>
      </c>
      <c r="R1776" t="s">
        <v>60</v>
      </c>
      <c r="S1776" t="s">
        <v>1071</v>
      </c>
      <c r="T1776" t="s">
        <v>1072</v>
      </c>
      <c r="U1776" t="s">
        <v>1073</v>
      </c>
      <c r="W1776">
        <v>0</v>
      </c>
      <c r="X1776">
        <v>0</v>
      </c>
      <c r="AE1776">
        <v>0</v>
      </c>
      <c r="AI1776" t="s">
        <v>52</v>
      </c>
      <c r="AJ1776" t="s">
        <v>5130</v>
      </c>
      <c r="AK1776" t="s">
        <v>52</v>
      </c>
      <c r="AL1776" t="str">
        <f>HYPERLINK("https://pbs.twimg.com/media/D91AXfmXoAE6StK.jpg")</f>
        <v>https://pbs.twimg.com/media/D91AXfmXoAE6StK.jpg</v>
      </c>
      <c r="AM1776" t="s">
        <v>52</v>
      </c>
      <c r="AN1776" t="s">
        <v>53</v>
      </c>
    </row>
    <row r="1777" spans="1:40">
      <c r="A1777" t="s">
        <v>2370</v>
      </c>
      <c r="B1777" t="s">
        <v>479</v>
      </c>
      <c r="C1777" t="s">
        <v>6199</v>
      </c>
      <c r="D1777" t="s">
        <v>6200</v>
      </c>
      <c r="E1777" t="s">
        <v>6254</v>
      </c>
      <c r="F1777" t="s">
        <v>45</v>
      </c>
      <c r="G1777" t="str">
        <f>HYPERLINK("https://www.youtube.com/watch?v=qPTlYG_Oy-8")</f>
        <v>https://www.youtube.com/watch?v=qPTlYG_Oy-8</v>
      </c>
      <c r="H1777" t="s">
        <v>46</v>
      </c>
      <c r="I1777" t="s">
        <v>6203</v>
      </c>
      <c r="J1777" t="str">
        <f>HYPERLINK("https://www.youtube.com/channel/UCscvzbVc2jHPi7Z7QF5PvQw")</f>
        <v>https://www.youtube.com/channel/UCscvzbVc2jHPi7Z7QF5PvQw</v>
      </c>
      <c r="K1777">
        <v>171</v>
      </c>
      <c r="L1777" t="s">
        <v>48</v>
      </c>
      <c r="N1777" t="s">
        <v>116</v>
      </c>
      <c r="O1777" t="s">
        <v>6203</v>
      </c>
      <c r="P1777" t="str">
        <f>HYPERLINK("https://www.youtube.com/channel/UCscvzbVc2jHPi7Z7QF5PvQw")</f>
        <v>https://www.youtube.com/channel/UCscvzbVc2jHPi7Z7QF5PvQw</v>
      </c>
      <c r="Q1777">
        <v>171</v>
      </c>
      <c r="R1777" t="s">
        <v>60</v>
      </c>
      <c r="W1777">
        <v>5</v>
      </c>
      <c r="X1777">
        <v>5</v>
      </c>
      <c r="AD1777">
        <v>0</v>
      </c>
      <c r="AE1777">
        <v>8</v>
      </c>
      <c r="AG1777">
        <v>41</v>
      </c>
      <c r="AI1777" t="s">
        <v>52</v>
      </c>
      <c r="AJ1777" t="s">
        <v>52</v>
      </c>
      <c r="AK1777" t="s">
        <v>52</v>
      </c>
      <c r="AL1777" t="str">
        <f>HYPERLINK("https://i.ytimg.com/vi/qPTlYG_Oy-8/sddefault.jpg")</f>
        <v>https://i.ytimg.com/vi/qPTlYG_Oy-8/sddefault.jpg</v>
      </c>
      <c r="AM1777" t="s">
        <v>52</v>
      </c>
      <c r="AN1777" t="s">
        <v>53</v>
      </c>
    </row>
    <row r="1778" spans="1:40">
      <c r="A1778" t="s">
        <v>2370</v>
      </c>
      <c r="B1778" t="s">
        <v>479</v>
      </c>
      <c r="C1778" t="s">
        <v>6255</v>
      </c>
      <c r="D1778" t="s">
        <v>52</v>
      </c>
      <c r="E1778" t="s">
        <v>5927</v>
      </c>
      <c r="F1778" t="s">
        <v>131</v>
      </c>
      <c r="G1778" t="str">
        <f>HYPERLINK("https://twitter.com/334773747/status/1143161456218791938")</f>
        <v>https://twitter.com/334773747/status/1143161456218791938</v>
      </c>
      <c r="H1778" t="s">
        <v>46</v>
      </c>
      <c r="I1778" t="s">
        <v>6256</v>
      </c>
      <c r="J1778" t="str">
        <f>HYPERLINK("http://twitter.com/AHOTIE")</f>
        <v>http://twitter.com/AHOTIE</v>
      </c>
      <c r="K1778">
        <v>223</v>
      </c>
      <c r="L1778" t="s">
        <v>48</v>
      </c>
      <c r="N1778" t="s">
        <v>65</v>
      </c>
      <c r="R1778" t="s">
        <v>60</v>
      </c>
      <c r="S1778" t="s">
        <v>1592</v>
      </c>
      <c r="T1778" t="s">
        <v>5239</v>
      </c>
      <c r="U1778" t="s">
        <v>6257</v>
      </c>
      <c r="W1778">
        <v>0</v>
      </c>
      <c r="X1778">
        <v>0</v>
      </c>
      <c r="AE1778">
        <v>0</v>
      </c>
      <c r="AM1778" t="s">
        <v>52</v>
      </c>
      <c r="AN1778" t="s">
        <v>53</v>
      </c>
    </row>
    <row r="1779" spans="1:40">
      <c r="A1779" t="s">
        <v>2370</v>
      </c>
      <c r="B1779" t="s">
        <v>487</v>
      </c>
      <c r="C1779" t="s">
        <v>6258</v>
      </c>
      <c r="D1779" t="s">
        <v>52</v>
      </c>
      <c r="E1779" t="s">
        <v>5229</v>
      </c>
      <c r="F1779" t="s">
        <v>71</v>
      </c>
      <c r="G1779" t="str">
        <f>HYPERLINK("https://twitter.com/935716102990192642/status/1143161215000203265")</f>
        <v>https://twitter.com/935716102990192642/status/1143161215000203265</v>
      </c>
      <c r="H1779" t="s">
        <v>215</v>
      </c>
      <c r="I1779" t="s">
        <v>6259</v>
      </c>
      <c r="J1779" t="str">
        <f>HYPERLINK("http://twitter.com/DomUn1que")</f>
        <v>http://twitter.com/DomUn1que</v>
      </c>
      <c r="K1779">
        <v>964</v>
      </c>
      <c r="N1779" t="s">
        <v>65</v>
      </c>
      <c r="R1779" t="s">
        <v>60</v>
      </c>
      <c r="W1779">
        <v>0</v>
      </c>
      <c r="X1779">
        <v>0</v>
      </c>
      <c r="AE1779">
        <v>0</v>
      </c>
      <c r="AF1779">
        <v>0</v>
      </c>
      <c r="AI1779" t="s">
        <v>52</v>
      </c>
      <c r="AJ1779" t="s">
        <v>3129</v>
      </c>
      <c r="AK1779" t="s">
        <v>52</v>
      </c>
      <c r="AL1779" t="str">
        <f>HYPERLINK("https://pbs.twimg.com/media/D9yu0q6XUAAe63p.jpg")</f>
        <v>https://pbs.twimg.com/media/D9yu0q6XUAAe63p.jpg</v>
      </c>
      <c r="AM1779" t="s">
        <v>52</v>
      </c>
      <c r="AN1779" t="s">
        <v>53</v>
      </c>
    </row>
    <row r="1780" spans="1:40">
      <c r="A1780" t="s">
        <v>2370</v>
      </c>
      <c r="B1780" t="s">
        <v>494</v>
      </c>
      <c r="C1780" t="s">
        <v>6260</v>
      </c>
      <c r="D1780" t="s">
        <v>52</v>
      </c>
      <c r="E1780" t="s">
        <v>6261</v>
      </c>
      <c r="F1780" t="s">
        <v>45</v>
      </c>
      <c r="G1780" t="str">
        <f>HYPERLINK("https://www.instagram.com/p/BzGHPYQlZHA")</f>
        <v>https://www.instagram.com/p/BzGHPYQlZHA</v>
      </c>
      <c r="H1780" t="s">
        <v>46</v>
      </c>
      <c r="I1780" t="s">
        <v>6262</v>
      </c>
      <c r="J1780" t="str">
        <f>HYPERLINK("http://instagram.com/chicagohotcheetos")</f>
        <v>http://instagram.com/chicagohotcheetos</v>
      </c>
      <c r="K1780">
        <v>654</v>
      </c>
      <c r="N1780" t="s">
        <v>59</v>
      </c>
      <c r="O1780" t="s">
        <v>6262</v>
      </c>
      <c r="P1780" t="str">
        <f>HYPERLINK("http://instagram.com/chicagohotcheetos")</f>
        <v>http://instagram.com/chicagohotcheetos</v>
      </c>
      <c r="Q1780">
        <v>654</v>
      </c>
      <c r="R1780" t="s">
        <v>60</v>
      </c>
      <c r="S1780" t="s">
        <v>51</v>
      </c>
      <c r="T1780" t="s">
        <v>84</v>
      </c>
      <c r="U1780" t="s">
        <v>85</v>
      </c>
      <c r="W1780">
        <v>22</v>
      </c>
      <c r="X1780">
        <v>22</v>
      </c>
      <c r="AE1780">
        <v>4</v>
      </c>
      <c r="AI1780" t="s">
        <v>108</v>
      </c>
      <c r="AJ1780" t="s">
        <v>899</v>
      </c>
      <c r="AK1780" t="s">
        <v>6263</v>
      </c>
      <c r="AL1780" t="str">
        <f>HYPERLINK("https://www.instagram.com/p/BzGHPYQlZHA/media/?size=l")</f>
        <v>https://www.instagram.com/p/BzGHPYQlZHA/media/?size=l</v>
      </c>
      <c r="AM1780" t="s">
        <v>52</v>
      </c>
      <c r="AN1780" t="s">
        <v>53</v>
      </c>
    </row>
    <row r="1781" spans="1:40">
      <c r="A1781" t="s">
        <v>2370</v>
      </c>
      <c r="B1781" t="s">
        <v>499</v>
      </c>
      <c r="C1781" t="s">
        <v>6260</v>
      </c>
      <c r="D1781" t="s">
        <v>52</v>
      </c>
      <c r="E1781" t="s">
        <v>5927</v>
      </c>
      <c r="F1781" t="s">
        <v>131</v>
      </c>
      <c r="G1781" t="str">
        <f>HYPERLINK("https://twitter.com/1828961401/status/1143160667261808640")</f>
        <v>https://twitter.com/1828961401/status/1143160667261808640</v>
      </c>
      <c r="H1781" t="s">
        <v>46</v>
      </c>
      <c r="I1781" t="s">
        <v>6264</v>
      </c>
      <c r="J1781" t="str">
        <f>HYPERLINK("http://twitter.com/k8_gibson")</f>
        <v>http://twitter.com/k8_gibson</v>
      </c>
      <c r="K1781">
        <v>275</v>
      </c>
      <c r="N1781" t="s">
        <v>65</v>
      </c>
      <c r="R1781" t="s">
        <v>60</v>
      </c>
      <c r="S1781" t="s">
        <v>51</v>
      </c>
      <c r="T1781" t="s">
        <v>152</v>
      </c>
      <c r="W1781">
        <v>0</v>
      </c>
      <c r="X1781">
        <v>0</v>
      </c>
      <c r="AE1781">
        <v>0</v>
      </c>
      <c r="AM1781" t="s">
        <v>52</v>
      </c>
      <c r="AN1781" t="s">
        <v>53</v>
      </c>
    </row>
    <row r="1782" spans="1:40">
      <c r="A1782" t="s">
        <v>2370</v>
      </c>
      <c r="B1782" t="s">
        <v>506</v>
      </c>
      <c r="C1782" t="s">
        <v>4249</v>
      </c>
      <c r="D1782" t="s">
        <v>52</v>
      </c>
      <c r="E1782" t="s">
        <v>6265</v>
      </c>
      <c r="F1782" t="s">
        <v>45</v>
      </c>
      <c r="G1782" t="str">
        <f>HYPERLINK("https://www.instagram.com/p/BzGG_aGl8KD")</f>
        <v>https://www.instagram.com/p/BzGG_aGl8KD</v>
      </c>
      <c r="H1782" t="s">
        <v>91</v>
      </c>
      <c r="I1782" t="s">
        <v>6266</v>
      </c>
      <c r="J1782" t="str">
        <f>HYPERLINK("http://instagram.com/___t422m_")</f>
        <v>http://instagram.com/___t422m_</v>
      </c>
      <c r="K1782">
        <v>206</v>
      </c>
      <c r="N1782" t="s">
        <v>59</v>
      </c>
      <c r="O1782" t="s">
        <v>6266</v>
      </c>
      <c r="P1782" t="str">
        <f>HYPERLINK("http://instagram.com/___t422m_")</f>
        <v>http://instagram.com/___t422m_</v>
      </c>
      <c r="Q1782">
        <v>206</v>
      </c>
      <c r="R1782" t="s">
        <v>60</v>
      </c>
      <c r="W1782">
        <v>25</v>
      </c>
      <c r="X1782">
        <v>25</v>
      </c>
      <c r="AE1782">
        <v>0</v>
      </c>
      <c r="AI1782" t="s">
        <v>108</v>
      </c>
      <c r="AJ1782" t="s">
        <v>6267</v>
      </c>
      <c r="AK1782" t="s">
        <v>110</v>
      </c>
      <c r="AL1782" t="str">
        <f>HYPERLINK("https://www.instagram.com/p/BzGG_aGl8KD/media/?size=l")</f>
        <v>https://www.instagram.com/p/BzGG_aGl8KD/media/?size=l</v>
      </c>
      <c r="AM1782" t="s">
        <v>52</v>
      </c>
      <c r="AN1782" t="s">
        <v>53</v>
      </c>
    </row>
    <row r="1783" spans="1:40">
      <c r="A1783" t="s">
        <v>2370</v>
      </c>
      <c r="B1783" t="s">
        <v>6268</v>
      </c>
      <c r="C1783" t="s">
        <v>6269</v>
      </c>
      <c r="D1783" t="s">
        <v>52</v>
      </c>
      <c r="E1783" t="s">
        <v>6270</v>
      </c>
      <c r="F1783" t="s">
        <v>45</v>
      </c>
      <c r="G1783" t="str">
        <f>HYPERLINK("https://www.instagram.com/p/BzGG4b4nsEG")</f>
        <v>https://www.instagram.com/p/BzGG4b4nsEG</v>
      </c>
      <c r="H1783" t="s">
        <v>46</v>
      </c>
      <c r="I1783" t="s">
        <v>6271</v>
      </c>
      <c r="J1783" t="str">
        <f>HYPERLINK("http://instagram.com/fadeniche")</f>
        <v>http://instagram.com/fadeniche</v>
      </c>
      <c r="K1783">
        <v>4</v>
      </c>
      <c r="N1783" t="s">
        <v>59</v>
      </c>
      <c r="O1783" t="s">
        <v>6271</v>
      </c>
      <c r="P1783" t="str">
        <f>HYPERLINK("http://instagram.com/fadeniche")</f>
        <v>http://instagram.com/fadeniche</v>
      </c>
      <c r="Q1783">
        <v>4</v>
      </c>
      <c r="R1783" t="s">
        <v>60</v>
      </c>
      <c r="W1783">
        <v>77</v>
      </c>
      <c r="X1783">
        <v>77</v>
      </c>
      <c r="AE1783">
        <v>16</v>
      </c>
      <c r="AI1783" t="s">
        <v>108</v>
      </c>
      <c r="AJ1783" t="s">
        <v>52</v>
      </c>
      <c r="AK1783" t="s">
        <v>52</v>
      </c>
      <c r="AL1783" t="str">
        <f>HYPERLINK("https://www.instagram.com/p/BzGG4b4nsEG/media/?size=l")</f>
        <v>https://www.instagram.com/p/BzGG4b4nsEG/media/?size=l</v>
      </c>
      <c r="AM1783" t="s">
        <v>52</v>
      </c>
      <c r="AN1783" t="s">
        <v>53</v>
      </c>
    </row>
    <row r="1784" spans="1:40">
      <c r="A1784" t="s">
        <v>2370</v>
      </c>
      <c r="B1784" t="s">
        <v>6268</v>
      </c>
      <c r="C1784" t="s">
        <v>6229</v>
      </c>
      <c r="D1784" t="s">
        <v>52</v>
      </c>
      <c r="E1784" t="s">
        <v>6272</v>
      </c>
      <c r="F1784" t="s">
        <v>71</v>
      </c>
      <c r="G1784" t="str">
        <f>HYPERLINK("https://twitter.com/147354110/status/1143159994583592962")</f>
        <v>https://twitter.com/147354110/status/1143159994583592962</v>
      </c>
      <c r="H1784" t="s">
        <v>46</v>
      </c>
      <c r="I1784" t="s">
        <v>6273</v>
      </c>
      <c r="J1784" t="str">
        <f>HYPERLINK("http://twitter.com/scottmatla")</f>
        <v>http://twitter.com/scottmatla</v>
      </c>
      <c r="K1784">
        <v>3105</v>
      </c>
      <c r="L1784" t="s">
        <v>48</v>
      </c>
      <c r="N1784" t="s">
        <v>65</v>
      </c>
      <c r="R1784" t="s">
        <v>60</v>
      </c>
      <c r="S1784" t="s">
        <v>51</v>
      </c>
      <c r="T1784" t="s">
        <v>380</v>
      </c>
      <c r="U1784" t="s">
        <v>6274</v>
      </c>
      <c r="W1784">
        <v>1</v>
      </c>
      <c r="X1784">
        <v>1</v>
      </c>
      <c r="AE1784">
        <v>0</v>
      </c>
      <c r="AF1784">
        <v>0</v>
      </c>
      <c r="AI1784" t="s">
        <v>52</v>
      </c>
      <c r="AJ1784" t="s">
        <v>3129</v>
      </c>
      <c r="AK1784" t="s">
        <v>52</v>
      </c>
      <c r="AL1784" t="str">
        <f>HYPERLINK("https://pbs.twimg.com/media/D9yu0q6XUAAe63p.jpg")</f>
        <v>https://pbs.twimg.com/media/D9yu0q6XUAAe63p.jpg</v>
      </c>
      <c r="AM1784" t="s">
        <v>52</v>
      </c>
      <c r="AN1784" t="s">
        <v>53</v>
      </c>
    </row>
    <row r="1785" spans="1:40">
      <c r="A1785" t="s">
        <v>2370</v>
      </c>
      <c r="B1785" t="s">
        <v>6268</v>
      </c>
      <c r="C1785" t="s">
        <v>6255</v>
      </c>
      <c r="D1785" t="s">
        <v>52</v>
      </c>
      <c r="E1785" t="s">
        <v>1194</v>
      </c>
      <c r="F1785" t="s">
        <v>131</v>
      </c>
      <c r="G1785" t="str">
        <f>HYPERLINK("https://twitter.com/4662532342/status/1143159943970734085")</f>
        <v>https://twitter.com/4662532342/status/1143159943970734085</v>
      </c>
      <c r="H1785" t="s">
        <v>46</v>
      </c>
      <c r="I1785" t="s">
        <v>6275</v>
      </c>
      <c r="J1785" t="str">
        <f>HYPERLINK("http://twitter.com/LoganCramer3")</f>
        <v>http://twitter.com/LoganCramer3</v>
      </c>
      <c r="K1785">
        <v>494</v>
      </c>
      <c r="N1785" t="s">
        <v>65</v>
      </c>
      <c r="R1785" t="s">
        <v>60</v>
      </c>
      <c r="S1785" t="s">
        <v>51</v>
      </c>
      <c r="W1785">
        <v>0</v>
      </c>
      <c r="X1785">
        <v>0</v>
      </c>
      <c r="AE1785">
        <v>0</v>
      </c>
      <c r="AI1785" t="s">
        <v>52</v>
      </c>
      <c r="AJ1785" t="s">
        <v>1196</v>
      </c>
      <c r="AK1785" t="s">
        <v>52</v>
      </c>
      <c r="AL1785" t="str">
        <f>HYPERLINK("https://pbs.twimg.com/media/D9xgk2YXkAAd2ql.jpg")</f>
        <v>https://pbs.twimg.com/media/D9xgk2YXkAAd2ql.jpg</v>
      </c>
      <c r="AM1785" t="s">
        <v>52</v>
      </c>
      <c r="AN1785" t="s">
        <v>53</v>
      </c>
    </row>
    <row r="1786" spans="1:40">
      <c r="A1786" t="s">
        <v>2370</v>
      </c>
      <c r="B1786" t="s">
        <v>6268</v>
      </c>
      <c r="C1786" t="s">
        <v>6229</v>
      </c>
      <c r="D1786" t="s">
        <v>52</v>
      </c>
      <c r="E1786" t="s">
        <v>130</v>
      </c>
      <c r="F1786" t="s">
        <v>131</v>
      </c>
      <c r="G1786" t="str">
        <f>HYPERLINK("https://twitter.com/532356406/status/1143159938551898112")</f>
        <v>https://twitter.com/532356406/status/1143159938551898112</v>
      </c>
      <c r="H1786" t="s">
        <v>46</v>
      </c>
      <c r="I1786" t="s">
        <v>6276</v>
      </c>
      <c r="J1786" t="str">
        <f>HYPERLINK("http://twitter.com/Sophie_Cowling")</f>
        <v>http://twitter.com/Sophie_Cowling</v>
      </c>
      <c r="K1786">
        <v>355</v>
      </c>
      <c r="N1786" t="s">
        <v>65</v>
      </c>
      <c r="R1786" t="s">
        <v>60</v>
      </c>
      <c r="S1786" t="s">
        <v>97</v>
      </c>
      <c r="T1786" t="s">
        <v>177</v>
      </c>
      <c r="W1786">
        <v>0</v>
      </c>
      <c r="X1786">
        <v>0</v>
      </c>
      <c r="AE1786">
        <v>0</v>
      </c>
      <c r="AI1786" t="s">
        <v>108</v>
      </c>
      <c r="AJ1786" t="s">
        <v>52</v>
      </c>
      <c r="AK1786" t="s">
        <v>52</v>
      </c>
      <c r="AL1786" t="str">
        <f>HYPERLINK("https://pbs.twimg.com/media/D9XTkLWW4AAOYnJ.jpg")</f>
        <v>https://pbs.twimg.com/media/D9XTkLWW4AAOYnJ.jpg</v>
      </c>
      <c r="AM1786" t="s">
        <v>52</v>
      </c>
      <c r="AN1786" t="s">
        <v>53</v>
      </c>
    </row>
    <row r="1787" spans="1:40">
      <c r="A1787" t="s">
        <v>2370</v>
      </c>
      <c r="B1787" t="s">
        <v>6268</v>
      </c>
      <c r="C1787" t="s">
        <v>6252</v>
      </c>
      <c r="D1787" t="s">
        <v>52</v>
      </c>
      <c r="E1787" t="s">
        <v>6277</v>
      </c>
      <c r="F1787" t="s">
        <v>45</v>
      </c>
      <c r="G1787" t="str">
        <f>HYPERLINK("https://twitter.com/1085470310718205952/status/1143159926216429568")</f>
        <v>https://twitter.com/1085470310718205952/status/1143159926216429568</v>
      </c>
      <c r="H1787" t="s">
        <v>46</v>
      </c>
      <c r="I1787" t="s">
        <v>6278</v>
      </c>
      <c r="J1787" t="str">
        <f>HYPERLINK("http://twitter.com/lanoehoe")</f>
        <v>http://twitter.com/lanoehoe</v>
      </c>
      <c r="K1787">
        <v>40</v>
      </c>
      <c r="N1787" t="s">
        <v>65</v>
      </c>
      <c r="R1787" t="s">
        <v>60</v>
      </c>
      <c r="W1787">
        <v>0</v>
      </c>
      <c r="X1787">
        <v>0</v>
      </c>
      <c r="AE1787">
        <v>0</v>
      </c>
      <c r="AF1787">
        <v>0</v>
      </c>
      <c r="AI1787" t="s">
        <v>52</v>
      </c>
      <c r="AJ1787" t="s">
        <v>52</v>
      </c>
      <c r="AK1787" t="s">
        <v>52</v>
      </c>
      <c r="AL1787" t="str">
        <f>HYPERLINK("https://pbs.twimg.com/media/D91R462XkAAhIdg.jpg")</f>
        <v>https://pbs.twimg.com/media/D91R462XkAAhIdg.jpg</v>
      </c>
      <c r="AM1787" t="s">
        <v>52</v>
      </c>
      <c r="AN1787" t="s">
        <v>53</v>
      </c>
    </row>
    <row r="1788" spans="1:40">
      <c r="A1788" t="s">
        <v>2370</v>
      </c>
      <c r="B1788" t="s">
        <v>6268</v>
      </c>
      <c r="C1788" t="s">
        <v>6279</v>
      </c>
      <c r="D1788" t="s">
        <v>52</v>
      </c>
      <c r="E1788" t="s">
        <v>6280</v>
      </c>
      <c r="F1788" t="s">
        <v>71</v>
      </c>
      <c r="G1788" t="str">
        <f>HYPERLINK("https://twitter.com/765951174029742080/status/1143159900572397568")</f>
        <v>https://twitter.com/765951174029742080/status/1143159900572397568</v>
      </c>
      <c r="H1788" t="s">
        <v>46</v>
      </c>
      <c r="I1788" t="s">
        <v>6281</v>
      </c>
      <c r="J1788" t="str">
        <f>HYPERLINK("http://twitter.com/mbali_l_tafeni")</f>
        <v>http://twitter.com/mbali_l_tafeni</v>
      </c>
      <c r="K1788">
        <v>223</v>
      </c>
      <c r="N1788" t="s">
        <v>65</v>
      </c>
      <c r="R1788" t="s">
        <v>60</v>
      </c>
      <c r="S1788" t="s">
        <v>1071</v>
      </c>
      <c r="T1788" t="s">
        <v>3751</v>
      </c>
      <c r="U1788" t="s">
        <v>3752</v>
      </c>
      <c r="W1788">
        <v>0</v>
      </c>
      <c r="X1788">
        <v>0</v>
      </c>
      <c r="AE1788">
        <v>0</v>
      </c>
      <c r="AF1788">
        <v>0</v>
      </c>
      <c r="AM1788" t="s">
        <v>52</v>
      </c>
      <c r="AN1788" t="s">
        <v>53</v>
      </c>
    </row>
    <row r="1789" spans="1:40">
      <c r="A1789" t="s">
        <v>2370</v>
      </c>
      <c r="B1789" t="s">
        <v>6268</v>
      </c>
      <c r="C1789" t="s">
        <v>6279</v>
      </c>
      <c r="D1789" t="s">
        <v>52</v>
      </c>
      <c r="E1789" t="s">
        <v>5128</v>
      </c>
      <c r="F1789" t="s">
        <v>131</v>
      </c>
      <c r="G1789" t="str">
        <f>HYPERLINK("https://twitter.com/1019267414389940225/status/1143159898747932673")</f>
        <v>https://twitter.com/1019267414389940225/status/1143159898747932673</v>
      </c>
      <c r="H1789" t="s">
        <v>46</v>
      </c>
      <c r="I1789" t="s">
        <v>6282</v>
      </c>
      <c r="J1789" t="str">
        <f>HYPERLINK("http://twitter.com/_URBANISM")</f>
        <v>http://twitter.com/_URBANISM</v>
      </c>
      <c r="K1789">
        <v>10617</v>
      </c>
      <c r="N1789" t="s">
        <v>65</v>
      </c>
      <c r="R1789" t="s">
        <v>60</v>
      </c>
      <c r="S1789" t="s">
        <v>1071</v>
      </c>
      <c r="T1789" t="s">
        <v>1072</v>
      </c>
      <c r="U1789" t="s">
        <v>1295</v>
      </c>
      <c r="W1789">
        <v>0</v>
      </c>
      <c r="X1789">
        <v>0</v>
      </c>
      <c r="AE1789">
        <v>0</v>
      </c>
      <c r="AI1789" t="s">
        <v>52</v>
      </c>
      <c r="AJ1789" t="s">
        <v>5130</v>
      </c>
      <c r="AK1789" t="s">
        <v>52</v>
      </c>
      <c r="AL1789" t="str">
        <f>HYPERLINK("https://pbs.twimg.com/media/D91AXfmXoAE6StK.jpg")</f>
        <v>https://pbs.twimg.com/media/D91AXfmXoAE6StK.jpg</v>
      </c>
      <c r="AM1789" t="s">
        <v>52</v>
      </c>
      <c r="AN1789" t="s">
        <v>53</v>
      </c>
    </row>
    <row r="1790" spans="1:40">
      <c r="A1790" t="s">
        <v>2370</v>
      </c>
      <c r="B1790" t="s">
        <v>6268</v>
      </c>
      <c r="C1790" t="s">
        <v>6258</v>
      </c>
      <c r="D1790" t="s">
        <v>52</v>
      </c>
      <c r="E1790" t="s">
        <v>1194</v>
      </c>
      <c r="F1790" t="s">
        <v>131</v>
      </c>
      <c r="G1790" t="str">
        <f>HYPERLINK("https://twitter.com/371884170/status/1143159887352016901")</f>
        <v>https://twitter.com/371884170/status/1143159887352016901</v>
      </c>
      <c r="H1790" t="s">
        <v>46</v>
      </c>
      <c r="I1790" t="s">
        <v>6283</v>
      </c>
      <c r="J1790" t="str">
        <f>HYPERLINK("http://twitter.com/LuCampot")</f>
        <v>http://twitter.com/LuCampot</v>
      </c>
      <c r="K1790">
        <v>566</v>
      </c>
      <c r="L1790" t="s">
        <v>58</v>
      </c>
      <c r="N1790" t="s">
        <v>65</v>
      </c>
      <c r="R1790" t="s">
        <v>60</v>
      </c>
      <c r="S1790" t="s">
        <v>710</v>
      </c>
      <c r="W1790">
        <v>0</v>
      </c>
      <c r="X1790">
        <v>0</v>
      </c>
      <c r="AE1790">
        <v>0</v>
      </c>
      <c r="AI1790" t="s">
        <v>52</v>
      </c>
      <c r="AJ1790" t="s">
        <v>1196</v>
      </c>
      <c r="AK1790" t="s">
        <v>52</v>
      </c>
      <c r="AL1790" t="str">
        <f>HYPERLINK("https://pbs.twimg.com/media/D9xgk2YXkAAd2ql.jpg")</f>
        <v>https://pbs.twimg.com/media/D9xgk2YXkAAd2ql.jpg</v>
      </c>
      <c r="AM1790" t="s">
        <v>52</v>
      </c>
      <c r="AN1790" t="s">
        <v>53</v>
      </c>
    </row>
    <row r="1791" spans="1:40">
      <c r="A1791" t="s">
        <v>2370</v>
      </c>
      <c r="B1791" t="s">
        <v>6284</v>
      </c>
      <c r="C1791" t="s">
        <v>6285</v>
      </c>
      <c r="D1791" t="s">
        <v>52</v>
      </c>
      <c r="E1791" t="s">
        <v>1194</v>
      </c>
      <c r="F1791" t="s">
        <v>131</v>
      </c>
      <c r="G1791" t="str">
        <f>HYPERLINK("https://twitter.com/1493348647/status/1143159818401669121")</f>
        <v>https://twitter.com/1493348647/status/1143159818401669121</v>
      </c>
      <c r="H1791" t="s">
        <v>46</v>
      </c>
      <c r="I1791" t="s">
        <v>6286</v>
      </c>
      <c r="J1791" t="str">
        <f>HYPERLINK("http://twitter.com/FTeeNuRAT")</f>
        <v>http://twitter.com/FTeeNuRAT</v>
      </c>
      <c r="K1791">
        <v>773</v>
      </c>
      <c r="N1791" t="s">
        <v>65</v>
      </c>
      <c r="R1791" t="s">
        <v>60</v>
      </c>
      <c r="W1791">
        <v>0</v>
      </c>
      <c r="X1791">
        <v>0</v>
      </c>
      <c r="AE1791">
        <v>0</v>
      </c>
      <c r="AI1791" t="s">
        <v>52</v>
      </c>
      <c r="AJ1791" t="s">
        <v>1196</v>
      </c>
      <c r="AK1791" t="s">
        <v>52</v>
      </c>
      <c r="AL1791" t="str">
        <f>HYPERLINK("https://pbs.twimg.com/media/D9xgk2YXkAAd2ql.jpg")</f>
        <v>https://pbs.twimg.com/media/D9xgk2YXkAAd2ql.jpg</v>
      </c>
      <c r="AM1791" t="s">
        <v>52</v>
      </c>
      <c r="AN1791" t="s">
        <v>53</v>
      </c>
    </row>
    <row r="1792" spans="1:40">
      <c r="A1792" t="s">
        <v>2370</v>
      </c>
      <c r="B1792" t="s">
        <v>6284</v>
      </c>
      <c r="C1792" t="s">
        <v>6285</v>
      </c>
      <c r="D1792" t="s">
        <v>52</v>
      </c>
      <c r="E1792" t="s">
        <v>6287</v>
      </c>
      <c r="F1792" t="s">
        <v>45</v>
      </c>
      <c r="G1792" t="str">
        <f>HYPERLINK("https://twitter.com/232001231/status/1143159805152043008")</f>
        <v>https://twitter.com/232001231/status/1143159805152043008</v>
      </c>
      <c r="H1792" t="s">
        <v>215</v>
      </c>
      <c r="I1792" t="s">
        <v>6288</v>
      </c>
      <c r="J1792" t="str">
        <f>HYPERLINK("http://twitter.com/luckiicharms227")</f>
        <v>http://twitter.com/luckiicharms227</v>
      </c>
      <c r="K1792">
        <v>127</v>
      </c>
      <c r="N1792" t="s">
        <v>65</v>
      </c>
      <c r="R1792" t="s">
        <v>60</v>
      </c>
      <c r="S1792" t="s">
        <v>226</v>
      </c>
      <c r="T1792" t="s">
        <v>6289</v>
      </c>
      <c r="U1792" t="s">
        <v>6290</v>
      </c>
      <c r="W1792">
        <v>0</v>
      </c>
      <c r="X1792">
        <v>0</v>
      </c>
      <c r="AE1792">
        <v>0</v>
      </c>
      <c r="AF1792">
        <v>0</v>
      </c>
      <c r="AM1792" t="s">
        <v>52</v>
      </c>
      <c r="AN1792" t="s">
        <v>53</v>
      </c>
    </row>
    <row r="1793" spans="1:40">
      <c r="A1793" t="s">
        <v>2370</v>
      </c>
      <c r="B1793" t="s">
        <v>6284</v>
      </c>
      <c r="C1793" t="s">
        <v>6291</v>
      </c>
      <c r="D1793" t="s">
        <v>52</v>
      </c>
      <c r="E1793" t="s">
        <v>6292</v>
      </c>
      <c r="F1793" t="s">
        <v>45</v>
      </c>
      <c r="G1793" t="str">
        <f>HYPERLINK("https://twitter.com/270131861/status/1143159754522583040")</f>
        <v>https://twitter.com/270131861/status/1143159754522583040</v>
      </c>
      <c r="H1793" t="s">
        <v>46</v>
      </c>
      <c r="I1793" t="s">
        <v>6293</v>
      </c>
      <c r="J1793" t="str">
        <f>HYPERLINK("http://twitter.com/r0wlets")</f>
        <v>http://twitter.com/r0wlets</v>
      </c>
      <c r="K1793">
        <v>242</v>
      </c>
      <c r="N1793" t="s">
        <v>65</v>
      </c>
      <c r="R1793" t="s">
        <v>60</v>
      </c>
      <c r="S1793" t="s">
        <v>6294</v>
      </c>
      <c r="W1793">
        <v>0</v>
      </c>
      <c r="X1793">
        <v>0</v>
      </c>
      <c r="AE1793">
        <v>0</v>
      </c>
      <c r="AF1793">
        <v>0</v>
      </c>
      <c r="AM1793" t="s">
        <v>52</v>
      </c>
      <c r="AN1793" t="s">
        <v>53</v>
      </c>
    </row>
    <row r="1794" spans="1:40">
      <c r="A1794" t="s">
        <v>2370</v>
      </c>
      <c r="B1794" t="s">
        <v>6295</v>
      </c>
      <c r="C1794" t="s">
        <v>6296</v>
      </c>
      <c r="D1794" t="s">
        <v>52</v>
      </c>
      <c r="E1794" t="s">
        <v>6297</v>
      </c>
      <c r="F1794" t="s">
        <v>45</v>
      </c>
      <c r="G1794" t="str">
        <f>HYPERLINK("https://www.facebook.com/765595270141243/posts/2585652994802119")</f>
        <v>https://www.facebook.com/765595270141243/posts/2585652994802119</v>
      </c>
      <c r="H1794" t="s">
        <v>46</v>
      </c>
      <c r="I1794" t="s">
        <v>6298</v>
      </c>
      <c r="J1794" t="str">
        <f>HYPERLINK("https://www.facebook.com/765595270141243")</f>
        <v>https://www.facebook.com/765595270141243</v>
      </c>
      <c r="K1794">
        <v>178175</v>
      </c>
      <c r="L1794" t="s">
        <v>651</v>
      </c>
      <c r="N1794" t="s">
        <v>1792</v>
      </c>
      <c r="O1794" t="s">
        <v>6298</v>
      </c>
      <c r="P1794" t="str">
        <f>HYPERLINK("https://www.facebook.com/765595270141243")</f>
        <v>https://www.facebook.com/765595270141243</v>
      </c>
      <c r="Q1794">
        <v>178175</v>
      </c>
      <c r="R1794" t="s">
        <v>60</v>
      </c>
      <c r="S1794" t="s">
        <v>325</v>
      </c>
      <c r="W1794">
        <v>28</v>
      </c>
      <c r="X1794">
        <v>24</v>
      </c>
      <c r="Y1794">
        <v>3</v>
      </c>
      <c r="Z1794">
        <v>0</v>
      </c>
      <c r="AA1794">
        <v>1</v>
      </c>
      <c r="AB1794">
        <v>0</v>
      </c>
      <c r="AC1794">
        <v>0</v>
      </c>
      <c r="AE1794">
        <v>3</v>
      </c>
      <c r="AF1794">
        <v>0</v>
      </c>
      <c r="AI1794" t="s">
        <v>52</v>
      </c>
      <c r="AJ1794" t="s">
        <v>6299</v>
      </c>
      <c r="AK1794" t="s">
        <v>52</v>
      </c>
      <c r="AL1794" t="str">
        <f>HYPERLINK("https://scontent.xx.fbcdn.net/v/t1.0-9/s720x720/65073720_2585652948135457_321900866757984256_o.jpg?_nc_cat=102&amp;_nc_ht=scontent.xx&amp;oh=0d2a43ec72cacfd945d623f16d365d13&amp;oe=5D8E5531")</f>
        <v>https://scontent.xx.fbcdn.net/v/t1.0-9/s720x720/65073720_2585652948135457_321900866757984256_o.jpg?_nc_cat=102&amp;_nc_ht=scontent.xx&amp;oh=0d2a43ec72cacfd945d623f16d365d13&amp;oe=5D8E5531</v>
      </c>
      <c r="AM1794" t="s">
        <v>52</v>
      </c>
      <c r="AN1794" t="s">
        <v>53</v>
      </c>
    </row>
    <row r="1795" spans="1:40">
      <c r="A1795" t="s">
        <v>2370</v>
      </c>
      <c r="B1795" t="s">
        <v>524</v>
      </c>
      <c r="C1795" t="s">
        <v>6300</v>
      </c>
      <c r="D1795" t="s">
        <v>6301</v>
      </c>
      <c r="E1795" t="s">
        <v>6302</v>
      </c>
      <c r="F1795" t="s">
        <v>95</v>
      </c>
      <c r="G1795" t="str">
        <f>HYPERLINK("https://www.youtube.com/watch?v=aQAvHAKOxGY&amp;lc=Ugyx-5Rim2H-n0Slmnx4AaABAg.8wZb5WDWTZM8wZbIVf2twd")</f>
        <v>https://www.youtube.com/watch?v=aQAvHAKOxGY&amp;lc=Ugyx-5Rim2H-n0Slmnx4AaABAg.8wZb5WDWTZM8wZbIVf2twd</v>
      </c>
      <c r="H1795" t="s">
        <v>46</v>
      </c>
      <c r="I1795" t="s">
        <v>6303</v>
      </c>
      <c r="J1795" t="str">
        <f>HYPERLINK("https://www.youtube.com/channel/UCssOGt-exmTe1RuFZo9WWJA")</f>
        <v>https://www.youtube.com/channel/UCssOGt-exmTe1RuFZo9WWJA</v>
      </c>
      <c r="K1795">
        <v>121</v>
      </c>
      <c r="L1795" t="s">
        <v>48</v>
      </c>
      <c r="N1795" t="s">
        <v>116</v>
      </c>
      <c r="O1795" t="s">
        <v>6304</v>
      </c>
      <c r="P1795" t="str">
        <f>HYPERLINK("https://www.youtube.com/channel/UC7GEkU7y5RRD5BLWiZKDeFg")</f>
        <v>https://www.youtube.com/channel/UC7GEkU7y5RRD5BLWiZKDeFg</v>
      </c>
      <c r="Q1795">
        <v>4464847</v>
      </c>
      <c r="R1795" t="s">
        <v>60</v>
      </c>
      <c r="S1795" t="s">
        <v>432</v>
      </c>
      <c r="W1795">
        <v>0</v>
      </c>
      <c r="X1795">
        <v>0</v>
      </c>
      <c r="AM1795" t="s">
        <v>52</v>
      </c>
      <c r="AN1795" t="s">
        <v>53</v>
      </c>
    </row>
    <row r="1796" spans="1:40">
      <c r="A1796" t="s">
        <v>2370</v>
      </c>
      <c r="B1796" t="s">
        <v>524</v>
      </c>
      <c r="C1796" t="s">
        <v>6252</v>
      </c>
      <c r="D1796" t="s">
        <v>52</v>
      </c>
      <c r="E1796" t="s">
        <v>6305</v>
      </c>
      <c r="F1796" t="s">
        <v>45</v>
      </c>
      <c r="G1796" t="str">
        <f>HYPERLINK("https://www.instagram.com/p/BzGGU7XJHxg")</f>
        <v>https://www.instagram.com/p/BzGGU7XJHxg</v>
      </c>
      <c r="H1796" t="s">
        <v>46</v>
      </c>
      <c r="I1796" t="s">
        <v>6306</v>
      </c>
      <c r="J1796" t="str">
        <f>HYPERLINK("http://instagram.com/vitorgabriel1217")</f>
        <v>http://instagram.com/vitorgabriel1217</v>
      </c>
      <c r="K1796">
        <v>1807</v>
      </c>
      <c r="L1796" t="s">
        <v>48</v>
      </c>
      <c r="N1796" t="s">
        <v>59</v>
      </c>
      <c r="O1796" t="s">
        <v>6306</v>
      </c>
      <c r="P1796" t="str">
        <f>HYPERLINK("http://instagram.com/vitorgabriel1217")</f>
        <v>http://instagram.com/vitorgabriel1217</v>
      </c>
      <c r="Q1796">
        <v>1807</v>
      </c>
      <c r="R1796" t="s">
        <v>60</v>
      </c>
      <c r="W1796">
        <v>7</v>
      </c>
      <c r="X1796">
        <v>7</v>
      </c>
      <c r="AE1796">
        <v>0</v>
      </c>
      <c r="AI1796" t="s">
        <v>108</v>
      </c>
      <c r="AJ1796" t="s">
        <v>3551</v>
      </c>
      <c r="AK1796" t="s">
        <v>110</v>
      </c>
      <c r="AL1796" t="str">
        <f>HYPERLINK("https://www.instagram.com/p/BzGGU7XJHxg/media/?size=l")</f>
        <v>https://www.instagram.com/p/BzGGU7XJHxg/media/?size=l</v>
      </c>
      <c r="AM1796" t="s">
        <v>52</v>
      </c>
      <c r="AN1796" t="s">
        <v>53</v>
      </c>
    </row>
    <row r="1797" spans="1:40">
      <c r="A1797" t="s">
        <v>2370</v>
      </c>
      <c r="B1797" t="s">
        <v>540</v>
      </c>
      <c r="C1797" t="s">
        <v>6252</v>
      </c>
      <c r="D1797" t="s">
        <v>52</v>
      </c>
      <c r="E1797" t="s">
        <v>6307</v>
      </c>
      <c r="F1797" t="s">
        <v>45</v>
      </c>
      <c r="G1797" t="str">
        <f>HYPERLINK("https://twitter.com/301148344/status/1143158093397790720")</f>
        <v>https://twitter.com/301148344/status/1143158093397790720</v>
      </c>
      <c r="H1797" t="s">
        <v>46</v>
      </c>
      <c r="I1797" t="s">
        <v>6308</v>
      </c>
      <c r="J1797" t="str">
        <f>HYPERLINK("http://twitter.com/Karimegiseller")</f>
        <v>http://twitter.com/Karimegiseller</v>
      </c>
      <c r="K1797">
        <v>484</v>
      </c>
      <c r="N1797" t="s">
        <v>65</v>
      </c>
      <c r="R1797" t="s">
        <v>60</v>
      </c>
      <c r="S1797" t="s">
        <v>437</v>
      </c>
      <c r="T1797" t="s">
        <v>6309</v>
      </c>
      <c r="U1797" t="s">
        <v>6310</v>
      </c>
      <c r="W1797">
        <v>0</v>
      </c>
      <c r="X1797">
        <v>0</v>
      </c>
      <c r="AE1797">
        <v>0</v>
      </c>
      <c r="AF1797">
        <v>0</v>
      </c>
      <c r="AM1797" t="s">
        <v>52</v>
      </c>
      <c r="AN1797" t="s">
        <v>53</v>
      </c>
    </row>
    <row r="1798" spans="1:40">
      <c r="A1798" t="s">
        <v>2370</v>
      </c>
      <c r="B1798" t="s">
        <v>6311</v>
      </c>
      <c r="C1798" t="s">
        <v>6312</v>
      </c>
      <c r="D1798" t="s">
        <v>52</v>
      </c>
      <c r="E1798" t="s">
        <v>130</v>
      </c>
      <c r="F1798" t="s">
        <v>131</v>
      </c>
      <c r="G1798" t="str">
        <f>HYPERLINK("https://twitter.com/110109562/status/1143157966008459264")</f>
        <v>https://twitter.com/110109562/status/1143157966008459264</v>
      </c>
      <c r="H1798" t="s">
        <v>46</v>
      </c>
      <c r="I1798" t="s">
        <v>6313</v>
      </c>
      <c r="J1798" t="str">
        <f>HYPERLINK("http://twitter.com/molly1752")</f>
        <v>http://twitter.com/molly1752</v>
      </c>
      <c r="K1798">
        <v>588</v>
      </c>
      <c r="N1798" t="s">
        <v>65</v>
      </c>
      <c r="R1798" t="s">
        <v>60</v>
      </c>
      <c r="W1798">
        <v>0</v>
      </c>
      <c r="X1798">
        <v>0</v>
      </c>
      <c r="AE1798">
        <v>0</v>
      </c>
      <c r="AI1798" t="s">
        <v>108</v>
      </c>
      <c r="AJ1798" t="s">
        <v>52</v>
      </c>
      <c r="AK1798" t="s">
        <v>52</v>
      </c>
      <c r="AL1798" t="str">
        <f>HYPERLINK("https://pbs.twimg.com/media/D9XTkLWW4AAOYnJ.jpg")</f>
        <v>https://pbs.twimg.com/media/D9XTkLWW4AAOYnJ.jpg</v>
      </c>
      <c r="AM1798" t="s">
        <v>52</v>
      </c>
      <c r="AN1798" t="s">
        <v>53</v>
      </c>
    </row>
    <row r="1799" spans="1:40">
      <c r="A1799" t="s">
        <v>2370</v>
      </c>
      <c r="B1799" t="s">
        <v>6311</v>
      </c>
      <c r="C1799" t="s">
        <v>6314</v>
      </c>
      <c r="D1799" t="s">
        <v>52</v>
      </c>
      <c r="E1799" t="s">
        <v>130</v>
      </c>
      <c r="F1799" t="s">
        <v>131</v>
      </c>
      <c r="G1799" t="str">
        <f>HYPERLINK("https://twitter.com/1524659318/status/1143157840552611841")</f>
        <v>https://twitter.com/1524659318/status/1143157840552611841</v>
      </c>
      <c r="H1799" t="s">
        <v>46</v>
      </c>
      <c r="I1799" t="s">
        <v>6315</v>
      </c>
      <c r="J1799" t="str">
        <f>HYPERLINK("http://twitter.com/Livvycornford")</f>
        <v>http://twitter.com/Livvycornford</v>
      </c>
      <c r="K1799">
        <v>1724</v>
      </c>
      <c r="N1799" t="s">
        <v>65</v>
      </c>
      <c r="R1799" t="s">
        <v>60</v>
      </c>
      <c r="S1799" t="s">
        <v>97</v>
      </c>
      <c r="T1799" t="s">
        <v>177</v>
      </c>
      <c r="U1799" t="s">
        <v>6316</v>
      </c>
      <c r="W1799">
        <v>0</v>
      </c>
      <c r="X1799">
        <v>0</v>
      </c>
      <c r="AE1799">
        <v>0</v>
      </c>
      <c r="AI1799" t="s">
        <v>108</v>
      </c>
      <c r="AJ1799" t="s">
        <v>52</v>
      </c>
      <c r="AK1799" t="s">
        <v>52</v>
      </c>
      <c r="AL1799" t="str">
        <f>HYPERLINK("https://pbs.twimg.com/media/D9XTkLWW4AAOYnJ.jpg")</f>
        <v>https://pbs.twimg.com/media/D9XTkLWW4AAOYnJ.jpg</v>
      </c>
      <c r="AM1799" t="s">
        <v>52</v>
      </c>
      <c r="AN1799" t="s">
        <v>53</v>
      </c>
    </row>
    <row r="1800" spans="1:40">
      <c r="A1800" t="s">
        <v>2370</v>
      </c>
      <c r="B1800" t="s">
        <v>6317</v>
      </c>
      <c r="C1800" t="s">
        <v>6318</v>
      </c>
      <c r="D1800" t="s">
        <v>52</v>
      </c>
      <c r="E1800" t="s">
        <v>6319</v>
      </c>
      <c r="F1800" t="s">
        <v>45</v>
      </c>
      <c r="G1800" t="str">
        <f>HYPERLINK("https://www.facebook.com/119913991613/posts/10157634212631614")</f>
        <v>https://www.facebook.com/119913991613/posts/10157634212631614</v>
      </c>
      <c r="H1800" t="s">
        <v>46</v>
      </c>
      <c r="I1800" t="s">
        <v>3045</v>
      </c>
      <c r="J1800" t="str">
        <f>HYPERLINK("https://www.facebook.com/119913991613")</f>
        <v>https://www.facebook.com/119913991613</v>
      </c>
      <c r="K1800">
        <v>137458</v>
      </c>
      <c r="L1800" t="s">
        <v>651</v>
      </c>
      <c r="N1800" t="s">
        <v>1792</v>
      </c>
      <c r="O1800" t="s">
        <v>3045</v>
      </c>
      <c r="P1800" t="str">
        <f>HYPERLINK("https://www.facebook.com/119913991613")</f>
        <v>https://www.facebook.com/119913991613</v>
      </c>
      <c r="Q1800">
        <v>137458</v>
      </c>
      <c r="R1800" t="s">
        <v>60</v>
      </c>
      <c r="S1800" t="s">
        <v>51</v>
      </c>
      <c r="W1800">
        <v>1844</v>
      </c>
      <c r="X1800">
        <v>697</v>
      </c>
      <c r="Y1800">
        <v>946</v>
      </c>
      <c r="Z1800">
        <v>3</v>
      </c>
      <c r="AA1800">
        <v>2</v>
      </c>
      <c r="AB1800">
        <v>196</v>
      </c>
      <c r="AC1800">
        <v>0</v>
      </c>
      <c r="AE1800">
        <v>114</v>
      </c>
      <c r="AF1800">
        <v>58</v>
      </c>
      <c r="AI1800" t="s">
        <v>52</v>
      </c>
      <c r="AJ1800" t="s">
        <v>6178</v>
      </c>
      <c r="AK1800" t="s">
        <v>52</v>
      </c>
      <c r="AL1800" t="str">
        <f>HYPERLINK("https://scontent.xx.fbcdn.net/v/t1.0-9/64821736_10157634139756614_542608013349879808_n.jpg?_nc_cat=102&amp;_nc_oc=AQnYvHoNQhf5hw3CGO-Bd4NR7UP6-wzTlXef17dMb5Sczj48ho8Hl598PGqB-qVdAjU&amp;_nc_ht=scontent.xx&amp;oh=878617ec9cdaf23a2829896683ae844f&amp;oe=5D83F61A")</f>
        <v>https://scontent.xx.fbcdn.net/v/t1.0-9/64821736_10157634139756614_542608013349879808_n.jpg?_nc_cat=102&amp;_nc_oc=AQnYvHoNQhf5hw3CGO-Bd4NR7UP6-wzTlXef17dMb5Sczj48ho8Hl598PGqB-qVdAjU&amp;_nc_ht=scontent.xx&amp;oh=878617ec9cdaf23a2829896683ae844f&amp;oe=5D83F61A</v>
      </c>
      <c r="AM1800" t="s">
        <v>52</v>
      </c>
      <c r="AN1800" t="s">
        <v>53</v>
      </c>
    </row>
    <row r="1801" spans="1:40">
      <c r="A1801" t="s">
        <v>2370</v>
      </c>
      <c r="B1801" t="s">
        <v>6320</v>
      </c>
      <c r="C1801" t="s">
        <v>6321</v>
      </c>
      <c r="D1801" t="s">
        <v>52</v>
      </c>
      <c r="E1801" t="s">
        <v>1194</v>
      </c>
      <c r="F1801" t="s">
        <v>131</v>
      </c>
      <c r="G1801" t="str">
        <f>HYPERLINK("https://twitter.com/720298417386319872/status/1143157503242461184")</f>
        <v>https://twitter.com/720298417386319872/status/1143157503242461184</v>
      </c>
      <c r="H1801" t="s">
        <v>46</v>
      </c>
      <c r="I1801" t="s">
        <v>6322</v>
      </c>
      <c r="J1801" t="str">
        <f>HYPERLINK("http://twitter.com/danyeuus")</f>
        <v>http://twitter.com/danyeuus</v>
      </c>
      <c r="K1801">
        <v>19</v>
      </c>
      <c r="N1801" t="s">
        <v>65</v>
      </c>
      <c r="R1801" t="s">
        <v>60</v>
      </c>
      <c r="S1801" t="s">
        <v>432</v>
      </c>
      <c r="T1801" t="s">
        <v>1985</v>
      </c>
      <c r="W1801">
        <v>0</v>
      </c>
      <c r="X1801">
        <v>0</v>
      </c>
      <c r="AE1801">
        <v>0</v>
      </c>
      <c r="AI1801" t="s">
        <v>52</v>
      </c>
      <c r="AJ1801" t="s">
        <v>1196</v>
      </c>
      <c r="AK1801" t="s">
        <v>52</v>
      </c>
      <c r="AL1801" t="str">
        <f>HYPERLINK("https://pbs.twimg.com/media/D9xgk2YXkAAd2ql.jpg")</f>
        <v>https://pbs.twimg.com/media/D9xgk2YXkAAd2ql.jpg</v>
      </c>
      <c r="AM1801" t="s">
        <v>52</v>
      </c>
      <c r="AN1801" t="s">
        <v>53</v>
      </c>
    </row>
    <row r="1802" spans="1:40">
      <c r="A1802" t="s">
        <v>2370</v>
      </c>
      <c r="B1802" t="s">
        <v>6323</v>
      </c>
      <c r="C1802" t="s">
        <v>6108</v>
      </c>
      <c r="D1802" t="s">
        <v>6324</v>
      </c>
      <c r="E1802" t="s">
        <v>6325</v>
      </c>
      <c r="F1802" t="s">
        <v>45</v>
      </c>
      <c r="G1802" t="str">
        <f>HYPERLINK("https://www.youtube.com/watch?v=0CmAPFBewbg")</f>
        <v>https://www.youtube.com/watch?v=0CmAPFBewbg</v>
      </c>
      <c r="H1802" t="s">
        <v>46</v>
      </c>
      <c r="I1802" t="s">
        <v>6326</v>
      </c>
      <c r="J1802" t="str">
        <f>HYPERLINK("https://www.youtube.com/channel/UC7e2I8ff1fRawNo0n3UcW8A")</f>
        <v>https://www.youtube.com/channel/UC7e2I8ff1fRawNo0n3UcW8A</v>
      </c>
      <c r="K1802">
        <v>10</v>
      </c>
      <c r="N1802" t="s">
        <v>116</v>
      </c>
      <c r="O1802" t="s">
        <v>6326</v>
      </c>
      <c r="P1802" t="str">
        <f>HYPERLINK("https://www.youtube.com/channel/UC7e2I8ff1fRawNo0n3UcW8A")</f>
        <v>https://www.youtube.com/channel/UC7e2I8ff1fRawNo0n3UcW8A</v>
      </c>
      <c r="Q1802">
        <v>10</v>
      </c>
      <c r="R1802" t="s">
        <v>60</v>
      </c>
      <c r="W1802">
        <v>0</v>
      </c>
      <c r="X1802">
        <v>0</v>
      </c>
      <c r="AD1802">
        <v>0</v>
      </c>
      <c r="AE1802">
        <v>0</v>
      </c>
      <c r="AG1802">
        <v>5</v>
      </c>
      <c r="AI1802" t="s">
        <v>52</v>
      </c>
      <c r="AJ1802" t="s">
        <v>52</v>
      </c>
      <c r="AK1802" t="s">
        <v>52</v>
      </c>
      <c r="AL1802" t="str">
        <f>HYPERLINK("https://i.ytimg.com/vi/0CmAPFBewbg/sddefault.jpg")</f>
        <v>https://i.ytimg.com/vi/0CmAPFBewbg/sddefault.jpg</v>
      </c>
      <c r="AM1802" t="s">
        <v>52</v>
      </c>
      <c r="AN1802" t="s">
        <v>53</v>
      </c>
    </row>
    <row r="1803" spans="1:40">
      <c r="A1803" t="s">
        <v>2370</v>
      </c>
      <c r="B1803" t="s">
        <v>547</v>
      </c>
      <c r="C1803" t="s">
        <v>6108</v>
      </c>
      <c r="D1803" t="s">
        <v>6327</v>
      </c>
      <c r="E1803" t="s">
        <v>6328</v>
      </c>
      <c r="F1803" t="s">
        <v>45</v>
      </c>
      <c r="G1803" t="str">
        <f>HYPERLINK("https://www.youtube.com/watch?v=WlfCCxUP7BA")</f>
        <v>https://www.youtube.com/watch?v=WlfCCxUP7BA</v>
      </c>
      <c r="H1803" t="s">
        <v>46</v>
      </c>
      <c r="I1803" t="s">
        <v>1515</v>
      </c>
      <c r="J1803" t="str">
        <f>HYPERLINK("https://www.youtube.com/channel/UCj4Y_pTLSjBIsLLkUNbi27w")</f>
        <v>https://www.youtube.com/channel/UCj4Y_pTLSjBIsLLkUNbi27w</v>
      </c>
      <c r="K1803">
        <v>3162</v>
      </c>
      <c r="N1803" t="s">
        <v>116</v>
      </c>
      <c r="O1803" t="s">
        <v>1515</v>
      </c>
      <c r="P1803" t="str">
        <f>HYPERLINK("https://www.youtube.com/channel/UCj4Y_pTLSjBIsLLkUNbi27w")</f>
        <v>https://www.youtube.com/channel/UCj4Y_pTLSjBIsLLkUNbi27w</v>
      </c>
      <c r="Q1803">
        <v>3162</v>
      </c>
      <c r="R1803" t="s">
        <v>60</v>
      </c>
      <c r="S1803" t="s">
        <v>592</v>
      </c>
      <c r="W1803">
        <v>0</v>
      </c>
      <c r="X1803">
        <v>0</v>
      </c>
      <c r="AD1803">
        <v>0</v>
      </c>
      <c r="AE1803">
        <v>0</v>
      </c>
      <c r="AG1803">
        <v>5</v>
      </c>
      <c r="AI1803" t="s">
        <v>52</v>
      </c>
      <c r="AJ1803" t="s">
        <v>52</v>
      </c>
      <c r="AK1803" t="s">
        <v>680</v>
      </c>
      <c r="AL1803" t="str">
        <f>HYPERLINK("https://i.ytimg.com/vi/WlfCCxUP7BA/maxresdefault.jpg")</f>
        <v>https://i.ytimg.com/vi/WlfCCxUP7BA/maxresdefault.jpg</v>
      </c>
      <c r="AM1803" t="s">
        <v>52</v>
      </c>
      <c r="AN1803" t="s">
        <v>53</v>
      </c>
    </row>
    <row r="1804" spans="1:40">
      <c r="A1804" t="s">
        <v>2370</v>
      </c>
      <c r="B1804" t="s">
        <v>547</v>
      </c>
      <c r="C1804" t="s">
        <v>5667</v>
      </c>
      <c r="D1804" t="s">
        <v>52</v>
      </c>
      <c r="E1804" t="s">
        <v>6329</v>
      </c>
      <c r="F1804" t="s">
        <v>45</v>
      </c>
      <c r="G1804" t="str">
        <f>HYPERLINK("https://www.facebook.com/22834124900/posts/10157405188769901")</f>
        <v>https://www.facebook.com/22834124900/posts/10157405188769901</v>
      </c>
      <c r="H1804" t="s">
        <v>46</v>
      </c>
      <c r="I1804" t="s">
        <v>6330</v>
      </c>
      <c r="J1804" t="str">
        <f>HYPERLINK("https://www.facebook.com/22834124900")</f>
        <v>https://www.facebook.com/22834124900</v>
      </c>
      <c r="K1804">
        <v>149271</v>
      </c>
      <c r="L1804" t="s">
        <v>651</v>
      </c>
      <c r="N1804" t="s">
        <v>1792</v>
      </c>
      <c r="O1804" t="s">
        <v>6330</v>
      </c>
      <c r="P1804" t="str">
        <f>HYPERLINK("https://www.facebook.com/22834124900")</f>
        <v>https://www.facebook.com/22834124900</v>
      </c>
      <c r="Q1804">
        <v>149271</v>
      </c>
      <c r="R1804" t="s">
        <v>60</v>
      </c>
      <c r="S1804" t="s">
        <v>51</v>
      </c>
      <c r="W1804">
        <v>24</v>
      </c>
      <c r="X1804">
        <v>20</v>
      </c>
      <c r="Y1804">
        <v>0</v>
      </c>
      <c r="Z1804">
        <v>0</v>
      </c>
      <c r="AA1804">
        <v>0</v>
      </c>
      <c r="AB1804">
        <v>2</v>
      </c>
      <c r="AC1804">
        <v>2</v>
      </c>
      <c r="AE1804">
        <v>7</v>
      </c>
      <c r="AF1804">
        <v>3</v>
      </c>
      <c r="AI1804" t="s">
        <v>52</v>
      </c>
      <c r="AJ1804" t="s">
        <v>52</v>
      </c>
      <c r="AK1804" t="s">
        <v>52</v>
      </c>
      <c r="AL1804" t="str">
        <f>HYPERLINK("https://images1.dallasobserver.com/imager/u/original/11692033/pompeii_sitting_by_wikimedia_commons_by_jebulon.jpg")</f>
        <v>https://images1.dallasobserver.com/imager/u/original/11692033/pompeii_sitting_by_wikimedia_commons_by_jebulon.jpg</v>
      </c>
      <c r="AM1804" t="s">
        <v>52</v>
      </c>
      <c r="AN1804" t="s">
        <v>53</v>
      </c>
    </row>
    <row r="1805" spans="1:40">
      <c r="A1805" t="s">
        <v>2370</v>
      </c>
      <c r="B1805" t="s">
        <v>547</v>
      </c>
      <c r="C1805" t="s">
        <v>6331</v>
      </c>
      <c r="D1805" t="s">
        <v>52</v>
      </c>
      <c r="E1805" t="s">
        <v>4756</v>
      </c>
      <c r="F1805" t="s">
        <v>45</v>
      </c>
      <c r="G1805" t="str">
        <f>HYPERLINK("https://twitter.com/16713771/status/1143156826273386499")</f>
        <v>https://twitter.com/16713771/status/1143156826273386499</v>
      </c>
      <c r="H1805" t="s">
        <v>46</v>
      </c>
      <c r="I1805" t="s">
        <v>6330</v>
      </c>
      <c r="J1805" t="str">
        <f>HYPERLINK("http://twitter.com/Dallas_Observer")</f>
        <v>http://twitter.com/Dallas_Observer</v>
      </c>
      <c r="K1805">
        <v>220909</v>
      </c>
      <c r="N1805" t="s">
        <v>65</v>
      </c>
      <c r="R1805" t="s">
        <v>60</v>
      </c>
      <c r="S1805" t="s">
        <v>51</v>
      </c>
      <c r="T1805" t="s">
        <v>152</v>
      </c>
      <c r="U1805" t="s">
        <v>236</v>
      </c>
      <c r="W1805">
        <v>9</v>
      </c>
      <c r="X1805">
        <v>9</v>
      </c>
      <c r="AE1805">
        <v>1</v>
      </c>
      <c r="AF1805">
        <v>3</v>
      </c>
      <c r="AM1805" t="s">
        <v>52</v>
      </c>
      <c r="AN1805" t="s">
        <v>53</v>
      </c>
    </row>
    <row r="1806" spans="1:40">
      <c r="A1806" t="s">
        <v>2370</v>
      </c>
      <c r="B1806" t="s">
        <v>6332</v>
      </c>
      <c r="C1806" t="s">
        <v>4425</v>
      </c>
      <c r="D1806" t="s">
        <v>52</v>
      </c>
      <c r="E1806" t="s">
        <v>6333</v>
      </c>
      <c r="F1806" t="s">
        <v>45</v>
      </c>
      <c r="G1806" t="str">
        <f>HYPERLINK("https://www.instagram.com/p/BzGFVdXIR8K")</f>
        <v>https://www.instagram.com/p/BzGFVdXIR8K</v>
      </c>
      <c r="H1806" t="s">
        <v>46</v>
      </c>
      <c r="I1806" t="s">
        <v>6334</v>
      </c>
      <c r="J1806" t="str">
        <f>HYPERLINK("http://instagram.com/nicheliar")</f>
        <v>http://instagram.com/nicheliar</v>
      </c>
      <c r="K1806">
        <v>0</v>
      </c>
      <c r="N1806" t="s">
        <v>59</v>
      </c>
      <c r="O1806" t="s">
        <v>6334</v>
      </c>
      <c r="P1806" t="str">
        <f>HYPERLINK("http://instagram.com/nicheliar")</f>
        <v>http://instagram.com/nicheliar</v>
      </c>
      <c r="Q1806">
        <v>0</v>
      </c>
      <c r="R1806" t="s">
        <v>60</v>
      </c>
      <c r="W1806">
        <v>13</v>
      </c>
      <c r="X1806">
        <v>13</v>
      </c>
      <c r="AE1806">
        <v>2</v>
      </c>
      <c r="AI1806" t="s">
        <v>108</v>
      </c>
      <c r="AJ1806" t="s">
        <v>52</v>
      </c>
      <c r="AK1806" t="s">
        <v>52</v>
      </c>
      <c r="AL1806" t="str">
        <f>HYPERLINK("https://www.instagram.com/p/BzGFVdXIR8K/media/?size=l")</f>
        <v>https://www.instagram.com/p/BzGFVdXIR8K/media/?size=l</v>
      </c>
      <c r="AM1806" t="s">
        <v>52</v>
      </c>
      <c r="AN1806" t="s">
        <v>53</v>
      </c>
    </row>
    <row r="1807" spans="1:40">
      <c r="A1807" t="s">
        <v>2370</v>
      </c>
      <c r="B1807" t="s">
        <v>6335</v>
      </c>
      <c r="C1807" t="s">
        <v>6321</v>
      </c>
      <c r="D1807" t="s">
        <v>52</v>
      </c>
      <c r="E1807" t="s">
        <v>6336</v>
      </c>
      <c r="F1807" t="s">
        <v>45</v>
      </c>
      <c r="G1807" t="str">
        <f>HYPERLINK("https://www.instagram.com/p/BzGFRQOFFk-")</f>
        <v>https://www.instagram.com/p/BzGFRQOFFk-</v>
      </c>
      <c r="H1807" t="s">
        <v>46</v>
      </c>
      <c r="I1807" t="s">
        <v>464</v>
      </c>
      <c r="J1807" t="str">
        <f>HYPERLINK("http://instagram.com/napajapan")</f>
        <v>http://instagram.com/napajapan</v>
      </c>
      <c r="K1807">
        <v>10803</v>
      </c>
      <c r="N1807" t="s">
        <v>59</v>
      </c>
      <c r="O1807" t="s">
        <v>464</v>
      </c>
      <c r="P1807" t="str">
        <f>HYPERLINK("http://instagram.com/napajapan")</f>
        <v>http://instagram.com/napajapan</v>
      </c>
      <c r="Q1807">
        <v>10803</v>
      </c>
      <c r="R1807" t="s">
        <v>60</v>
      </c>
      <c r="W1807">
        <v>196</v>
      </c>
      <c r="X1807">
        <v>196</v>
      </c>
      <c r="AE1807">
        <v>3</v>
      </c>
      <c r="AI1807" t="s">
        <v>52</v>
      </c>
      <c r="AJ1807" t="s">
        <v>6337</v>
      </c>
      <c r="AK1807" t="s">
        <v>2089</v>
      </c>
      <c r="AL1807" t="str">
        <f>HYPERLINK("https://www.instagram.com/p/BzGFRQOFFk-/media/?size=l")</f>
        <v>https://www.instagram.com/p/BzGFRQOFFk-/media/?size=l</v>
      </c>
      <c r="AM1807" t="s">
        <v>52</v>
      </c>
      <c r="AN1807" t="s">
        <v>53</v>
      </c>
    </row>
    <row r="1808" spans="1:40">
      <c r="A1808" t="s">
        <v>2370</v>
      </c>
      <c r="B1808" t="s">
        <v>6335</v>
      </c>
      <c r="C1808" t="s">
        <v>6338</v>
      </c>
      <c r="D1808" t="s">
        <v>52</v>
      </c>
      <c r="E1808" t="s">
        <v>6339</v>
      </c>
      <c r="F1808" t="s">
        <v>45</v>
      </c>
      <c r="G1808" t="str">
        <f>HYPERLINK("https://twitter.com/24049966/status/1143156384067923968")</f>
        <v>https://twitter.com/24049966/status/1143156384067923968</v>
      </c>
      <c r="H1808" t="s">
        <v>46</v>
      </c>
      <c r="I1808" t="s">
        <v>6340</v>
      </c>
      <c r="J1808" t="str">
        <f>HYPERLINK("http://twitter.com/ImageLegacy")</f>
        <v>http://twitter.com/ImageLegacy</v>
      </c>
      <c r="K1808">
        <v>2190</v>
      </c>
      <c r="L1808" t="s">
        <v>58</v>
      </c>
      <c r="N1808" t="s">
        <v>65</v>
      </c>
      <c r="R1808" t="s">
        <v>60</v>
      </c>
      <c r="S1808" t="s">
        <v>2290</v>
      </c>
      <c r="T1808" t="s">
        <v>6341</v>
      </c>
      <c r="U1808" t="s">
        <v>6342</v>
      </c>
      <c r="W1808">
        <v>3</v>
      </c>
      <c r="X1808">
        <v>3</v>
      </c>
      <c r="AE1808">
        <v>0</v>
      </c>
      <c r="AF1808">
        <v>0</v>
      </c>
      <c r="AI1808" t="s">
        <v>52</v>
      </c>
      <c r="AJ1808" t="s">
        <v>6343</v>
      </c>
      <c r="AK1808" t="s">
        <v>6344</v>
      </c>
      <c r="AL1808" t="str">
        <f>HYPERLINK("https://pbs.twimg.com/media/D91OmRLX4AAgnMu.jpg")</f>
        <v>https://pbs.twimg.com/media/D91OmRLX4AAgnMu.jpg</v>
      </c>
      <c r="AM1808" t="s">
        <v>52</v>
      </c>
      <c r="AN1808" t="s">
        <v>53</v>
      </c>
    </row>
    <row r="1809" spans="1:40">
      <c r="A1809" t="s">
        <v>2370</v>
      </c>
      <c r="B1809" t="s">
        <v>6345</v>
      </c>
      <c r="C1809" t="s">
        <v>6346</v>
      </c>
      <c r="D1809" t="s">
        <v>52</v>
      </c>
      <c r="E1809" t="s">
        <v>6347</v>
      </c>
      <c r="F1809" t="s">
        <v>95</v>
      </c>
      <c r="G1809" t="str">
        <f>HYPERLINK("https://twitter.com/3122254229/status/1143156015854211074")</f>
        <v>https://twitter.com/3122254229/status/1143156015854211074</v>
      </c>
      <c r="H1809" t="s">
        <v>46</v>
      </c>
      <c r="I1809" t="s">
        <v>6348</v>
      </c>
      <c r="J1809" t="str">
        <f>HYPERLINK("http://twitter.com/sweetgreensnowp")</f>
        <v>http://twitter.com/sweetgreensnowp</v>
      </c>
      <c r="K1809">
        <v>1408</v>
      </c>
      <c r="N1809" t="s">
        <v>65</v>
      </c>
      <c r="R1809" t="s">
        <v>60</v>
      </c>
      <c r="S1809" t="s">
        <v>51</v>
      </c>
      <c r="T1809" t="s">
        <v>73</v>
      </c>
      <c r="W1809">
        <v>0</v>
      </c>
      <c r="X1809">
        <v>0</v>
      </c>
      <c r="AE1809">
        <v>0</v>
      </c>
      <c r="AF1809">
        <v>0</v>
      </c>
      <c r="AM1809" t="s">
        <v>52</v>
      </c>
      <c r="AN1809" t="s">
        <v>53</v>
      </c>
    </row>
    <row r="1810" spans="1:40">
      <c r="A1810" t="s">
        <v>2370</v>
      </c>
      <c r="B1810" t="s">
        <v>6349</v>
      </c>
      <c r="C1810" t="s">
        <v>6350</v>
      </c>
      <c r="D1810" t="s">
        <v>52</v>
      </c>
      <c r="E1810" t="s">
        <v>6351</v>
      </c>
      <c r="F1810" t="s">
        <v>95</v>
      </c>
      <c r="G1810" t="str">
        <f>HYPERLINK("https://twitter.com/956616812191416320/status/1143155544687095808")</f>
        <v>https://twitter.com/956616812191416320/status/1143155544687095808</v>
      </c>
      <c r="H1810" t="s">
        <v>46</v>
      </c>
      <c r="I1810" t="s">
        <v>6352</v>
      </c>
      <c r="J1810" t="str">
        <f>HYPERLINK("http://twitter.com/Mutant5class")</f>
        <v>http://twitter.com/Mutant5class</v>
      </c>
      <c r="K1810">
        <v>44</v>
      </c>
      <c r="N1810" t="s">
        <v>65</v>
      </c>
      <c r="R1810" t="s">
        <v>60</v>
      </c>
      <c r="W1810">
        <v>1</v>
      </c>
      <c r="X1810">
        <v>1</v>
      </c>
      <c r="AE1810">
        <v>0</v>
      </c>
      <c r="AF1810">
        <v>0</v>
      </c>
      <c r="AM1810" t="s">
        <v>52</v>
      </c>
      <c r="AN1810" t="s">
        <v>53</v>
      </c>
    </row>
    <row r="1811" spans="1:40">
      <c r="A1811" t="s">
        <v>2370</v>
      </c>
      <c r="B1811" t="s">
        <v>6349</v>
      </c>
      <c r="C1811" t="s">
        <v>6353</v>
      </c>
      <c r="D1811" t="s">
        <v>5102</v>
      </c>
      <c r="E1811" t="s">
        <v>6354</v>
      </c>
      <c r="F1811" t="s">
        <v>45</v>
      </c>
      <c r="G1811" t="str">
        <f>HYPERLINK("https://forums.battlefield.com/en-us/discussion/188825/which-one-is-it-i-cant-see-anyone-in-bf-v-or-spotting-was-easy-mode-glad-it-is-gone/p11#Comment_1562466")</f>
        <v>https://forums.battlefield.com/en-us/discussion/188825/which-one-is-it-i-cant-see-anyone-in-bf-v-or-spotting-was-easy-mode-glad-it-is-gone/p11#Comment_1562466</v>
      </c>
      <c r="H1811" t="s">
        <v>46</v>
      </c>
      <c r="I1811" t="s">
        <v>6355</v>
      </c>
      <c r="J1811" t="str">
        <f>HYPERLINK("https://forums.battlefield.com/en-us/discussion/188825/which-one-is-it-i-cant-see-anyone-in-bf-v-or-spotting-was-easy-mode-glad-it-is-gone/p11#Comment_1562466")</f>
        <v>https://forums.battlefield.com/en-us/discussion/188825/which-one-is-it-i-cant-see-anyone-in-bf-v-or-spotting-was-easy-mode-glad-it-is-gone/p11#Comment_1562466</v>
      </c>
      <c r="N1811" t="s">
        <v>3237</v>
      </c>
      <c r="O1811" t="s">
        <v>3238</v>
      </c>
      <c r="P1811" t="str">
        <f>HYPERLINK("https://forums.battlefield.com/en-us/categories/battlefield-v-general-discussion")</f>
        <v>https://forums.battlefield.com/en-us/categories/battlefield-v-general-discussion</v>
      </c>
      <c r="R1811" t="s">
        <v>516</v>
      </c>
      <c r="S1811" t="s">
        <v>51</v>
      </c>
      <c r="AM1811" t="s">
        <v>52</v>
      </c>
      <c r="AN1811" t="s">
        <v>53</v>
      </c>
    </row>
    <row r="1812" spans="1:40">
      <c r="A1812" t="s">
        <v>2370</v>
      </c>
      <c r="B1812" t="s">
        <v>6356</v>
      </c>
      <c r="C1812" t="s">
        <v>3155</v>
      </c>
      <c r="D1812" t="s">
        <v>6357</v>
      </c>
      <c r="E1812" t="s">
        <v>6358</v>
      </c>
      <c r="F1812" t="s">
        <v>45</v>
      </c>
      <c r="G1812" t="str">
        <f>HYPERLINK("https://www.reddit.com/r/memes/comments/c4g78o/employee_of_the_month_lol/?sort=new#thing_t1_erx0zyw")</f>
        <v>https://www.reddit.com/r/memes/comments/c4g78o/employee_of_the_month_lol/?sort=new#thing_t1_erx0zyw</v>
      </c>
      <c r="H1812" t="s">
        <v>46</v>
      </c>
      <c r="I1812" t="s">
        <v>6359</v>
      </c>
      <c r="J1812" t="str">
        <f>HYPERLINK("https://www.reddit.com/r/memes/comments/c4g78o/employee_of_the_month_lol/?sort=new#thing_t1_erx0zyw")</f>
        <v>https://www.reddit.com/r/memes/comments/c4g78o/employee_of_the_month_lol/?sort=new#thing_t1_erx0zyw</v>
      </c>
      <c r="N1812" t="s">
        <v>545</v>
      </c>
      <c r="O1812" t="s">
        <v>6360</v>
      </c>
      <c r="P1812" t="str">
        <f>HYPERLINK("https://www.reddit.com/r/TIHI/")</f>
        <v>https://www.reddit.com/r/TIHI/</v>
      </c>
      <c r="R1812" t="s">
        <v>516</v>
      </c>
      <c r="S1812" t="s">
        <v>51</v>
      </c>
      <c r="AM1812" t="s">
        <v>52</v>
      </c>
      <c r="AN1812" t="s">
        <v>53</v>
      </c>
    </row>
    <row r="1813" spans="1:40">
      <c r="A1813" t="s">
        <v>2370</v>
      </c>
      <c r="B1813" t="s">
        <v>6361</v>
      </c>
      <c r="C1813" t="s">
        <v>6362</v>
      </c>
      <c r="D1813" t="s">
        <v>52</v>
      </c>
      <c r="E1813" t="s">
        <v>6363</v>
      </c>
      <c r="F1813" t="s">
        <v>45</v>
      </c>
      <c r="G1813" t="str">
        <f>HYPERLINK("https://www.instagram.com/p/BzGD-_jHVH4")</f>
        <v>https://www.instagram.com/p/BzGD-_jHVH4</v>
      </c>
      <c r="H1813" t="s">
        <v>46</v>
      </c>
      <c r="I1813" t="s">
        <v>833</v>
      </c>
      <c r="J1813" t="str">
        <f>HYPERLINK("http://instagram.com/dori7os_fd3s")</f>
        <v>http://instagram.com/dori7os_fd3s</v>
      </c>
      <c r="K1813">
        <v>6145</v>
      </c>
      <c r="N1813" t="s">
        <v>59</v>
      </c>
      <c r="O1813" t="s">
        <v>833</v>
      </c>
      <c r="P1813" t="str">
        <f>HYPERLINK("http://instagram.com/dori7os_fd3s")</f>
        <v>http://instagram.com/dori7os_fd3s</v>
      </c>
      <c r="Q1813">
        <v>6145</v>
      </c>
      <c r="R1813" t="s">
        <v>60</v>
      </c>
      <c r="S1813" t="s">
        <v>51</v>
      </c>
      <c r="T1813" t="s">
        <v>173</v>
      </c>
      <c r="U1813" t="s">
        <v>1214</v>
      </c>
      <c r="W1813">
        <v>584</v>
      </c>
      <c r="X1813">
        <v>584</v>
      </c>
      <c r="AE1813">
        <v>3</v>
      </c>
      <c r="AI1813" t="s">
        <v>52</v>
      </c>
      <c r="AJ1813" t="s">
        <v>121</v>
      </c>
      <c r="AK1813" t="s">
        <v>341</v>
      </c>
      <c r="AL1813" t="str">
        <f>HYPERLINK("https://www.instagram.com/p/BzGD-_jHVH4/media/?size=l")</f>
        <v>https://www.instagram.com/p/BzGD-_jHVH4/media/?size=l</v>
      </c>
      <c r="AM1813" t="s">
        <v>52</v>
      </c>
      <c r="AN1813" t="s">
        <v>53</v>
      </c>
    </row>
    <row r="1814" spans="1:40">
      <c r="A1814" t="s">
        <v>2370</v>
      </c>
      <c r="B1814" t="s">
        <v>572</v>
      </c>
      <c r="C1814" t="s">
        <v>6364</v>
      </c>
      <c r="D1814" t="s">
        <v>52</v>
      </c>
      <c r="E1814" t="s">
        <v>6365</v>
      </c>
      <c r="F1814" t="s">
        <v>45</v>
      </c>
      <c r="G1814" t="str">
        <f>HYPERLINK("https://www.instagram.com/p/BzGD2-lC0H_")</f>
        <v>https://www.instagram.com/p/BzGD2-lC0H_</v>
      </c>
      <c r="H1814" t="s">
        <v>46</v>
      </c>
      <c r="I1814" t="s">
        <v>6366</v>
      </c>
      <c r="J1814" t="str">
        <f>HYPERLINK("http://instagram.com/potterxhowgarts")</f>
        <v>http://instagram.com/potterxhowgarts</v>
      </c>
      <c r="K1814">
        <v>1540</v>
      </c>
      <c r="N1814" t="s">
        <v>59</v>
      </c>
      <c r="O1814" t="s">
        <v>6366</v>
      </c>
      <c r="P1814" t="str">
        <f>HYPERLINK("http://instagram.com/potterxhowgarts")</f>
        <v>http://instagram.com/potterxhowgarts</v>
      </c>
      <c r="Q1814">
        <v>1540</v>
      </c>
      <c r="R1814" t="s">
        <v>60</v>
      </c>
      <c r="W1814">
        <v>279</v>
      </c>
      <c r="X1814">
        <v>279</v>
      </c>
      <c r="AE1814">
        <v>119</v>
      </c>
      <c r="AI1814" t="s">
        <v>108</v>
      </c>
      <c r="AJ1814" t="s">
        <v>659</v>
      </c>
      <c r="AK1814" t="s">
        <v>52</v>
      </c>
      <c r="AL1814" t="str">
        <f>HYPERLINK("https://www.instagram.com/p/BzGD2-lC0H_/media/?size=l")</f>
        <v>https://www.instagram.com/p/BzGD2-lC0H_/media/?size=l</v>
      </c>
      <c r="AM1814" t="s">
        <v>52</v>
      </c>
      <c r="AN1814" t="s">
        <v>53</v>
      </c>
    </row>
    <row r="1815" spans="1:40">
      <c r="A1815" t="s">
        <v>2370</v>
      </c>
      <c r="B1815" t="s">
        <v>582</v>
      </c>
      <c r="C1815" t="s">
        <v>4453</v>
      </c>
      <c r="D1815" t="s">
        <v>6367</v>
      </c>
      <c r="E1815" t="s">
        <v>6368</v>
      </c>
      <c r="F1815" t="s">
        <v>45</v>
      </c>
      <c r="G1815" t="str">
        <f>HYPERLINK("https://www.youtube.com/watch?v=oCRqUqJDhn4")</f>
        <v>https://www.youtube.com/watch?v=oCRqUqJDhn4</v>
      </c>
      <c r="H1815" t="s">
        <v>46</v>
      </c>
      <c r="I1815" t="s">
        <v>6369</v>
      </c>
      <c r="J1815" t="str">
        <f>HYPERLINK("https://www.youtube.com/channel/UCFo2X0vczvdPUPipJi9iO1w")</f>
        <v>https://www.youtube.com/channel/UCFo2X0vczvdPUPipJi9iO1w</v>
      </c>
      <c r="K1815">
        <v>84888</v>
      </c>
      <c r="N1815" t="s">
        <v>116</v>
      </c>
      <c r="O1815" t="s">
        <v>6369</v>
      </c>
      <c r="P1815" t="str">
        <f>HYPERLINK("https://www.youtube.com/channel/UCFo2X0vczvdPUPipJi9iO1w")</f>
        <v>https://www.youtube.com/channel/UCFo2X0vczvdPUPipJi9iO1w</v>
      </c>
      <c r="Q1815">
        <v>84888</v>
      </c>
      <c r="R1815" t="s">
        <v>60</v>
      </c>
      <c r="AG1815">
        <v>181</v>
      </c>
      <c r="AI1815" t="s">
        <v>108</v>
      </c>
      <c r="AJ1815" t="s">
        <v>6370</v>
      </c>
      <c r="AK1815" t="s">
        <v>6371</v>
      </c>
      <c r="AL1815" t="str">
        <f>HYPERLINK("https://i.ytimg.com/vi/oCRqUqJDhn4/sddefault.jpg")</f>
        <v>https://i.ytimg.com/vi/oCRqUqJDhn4/sddefault.jpg</v>
      </c>
      <c r="AM1815" t="s">
        <v>52</v>
      </c>
      <c r="AN1815" t="s">
        <v>53</v>
      </c>
    </row>
    <row r="1816" spans="1:40">
      <c r="A1816" t="s">
        <v>2370</v>
      </c>
      <c r="B1816" t="s">
        <v>594</v>
      </c>
      <c r="C1816" t="s">
        <v>6372</v>
      </c>
      <c r="D1816" t="s">
        <v>52</v>
      </c>
      <c r="E1816" t="s">
        <v>5686</v>
      </c>
      <c r="F1816" t="s">
        <v>131</v>
      </c>
      <c r="G1816" t="str">
        <f>HYPERLINK("https://twitter.com/967633467348537344/status/1143152956323377154")</f>
        <v>https://twitter.com/967633467348537344/status/1143152956323377154</v>
      </c>
      <c r="H1816" t="s">
        <v>46</v>
      </c>
      <c r="I1816" t="s">
        <v>6373</v>
      </c>
      <c r="J1816" t="str">
        <f>HYPERLINK("http://twitter.com/Tabakholo5")</f>
        <v>http://twitter.com/Tabakholo5</v>
      </c>
      <c r="K1816">
        <v>2676</v>
      </c>
      <c r="N1816" t="s">
        <v>65</v>
      </c>
      <c r="R1816" t="s">
        <v>60</v>
      </c>
      <c r="S1816" t="s">
        <v>1071</v>
      </c>
      <c r="T1816" t="s">
        <v>3751</v>
      </c>
      <c r="U1816" t="s">
        <v>3752</v>
      </c>
      <c r="W1816">
        <v>0</v>
      </c>
      <c r="X1816">
        <v>0</v>
      </c>
      <c r="AE1816">
        <v>0</v>
      </c>
      <c r="AI1816" t="s">
        <v>52</v>
      </c>
      <c r="AJ1816" t="s">
        <v>52</v>
      </c>
      <c r="AK1816" t="s">
        <v>2278</v>
      </c>
      <c r="AL1816" t="str">
        <f>HYPERLINK("https://pbs.twimg.com/media/D90Ty0DXkAAZYgL.jpg")</f>
        <v>https://pbs.twimg.com/media/D90Ty0DXkAAZYgL.jpg</v>
      </c>
      <c r="AM1816" t="s">
        <v>52</v>
      </c>
      <c r="AN1816" t="s">
        <v>53</v>
      </c>
    </row>
    <row r="1817" spans="1:40">
      <c r="A1817" t="s">
        <v>2370</v>
      </c>
      <c r="B1817" t="s">
        <v>594</v>
      </c>
      <c r="C1817" t="s">
        <v>6374</v>
      </c>
      <c r="D1817" t="s">
        <v>52</v>
      </c>
      <c r="E1817" t="s">
        <v>1194</v>
      </c>
      <c r="F1817" t="s">
        <v>131</v>
      </c>
      <c r="G1817" t="str">
        <f>HYPERLINK("https://twitter.com/2160184292/status/1143152878028111872")</f>
        <v>https://twitter.com/2160184292/status/1143152878028111872</v>
      </c>
      <c r="H1817" t="s">
        <v>46</v>
      </c>
      <c r="I1817" t="s">
        <v>6375</v>
      </c>
      <c r="J1817" t="str">
        <f>HYPERLINK("http://twitter.com/_IBQueen36")</f>
        <v>http://twitter.com/_IBQueen36</v>
      </c>
      <c r="K1817">
        <v>255</v>
      </c>
      <c r="N1817" t="s">
        <v>65</v>
      </c>
      <c r="R1817" t="s">
        <v>60</v>
      </c>
      <c r="S1817" t="s">
        <v>51</v>
      </c>
      <c r="T1817" t="s">
        <v>173</v>
      </c>
      <c r="W1817">
        <v>0</v>
      </c>
      <c r="X1817">
        <v>0</v>
      </c>
      <c r="AE1817">
        <v>0</v>
      </c>
      <c r="AI1817" t="s">
        <v>52</v>
      </c>
      <c r="AJ1817" t="s">
        <v>1196</v>
      </c>
      <c r="AK1817" t="s">
        <v>52</v>
      </c>
      <c r="AL1817" t="str">
        <f>HYPERLINK("https://pbs.twimg.com/media/D9xgk2YXkAAd2ql.jpg")</f>
        <v>https://pbs.twimg.com/media/D9xgk2YXkAAd2ql.jpg</v>
      </c>
      <c r="AM1817" t="s">
        <v>52</v>
      </c>
      <c r="AN1817" t="s">
        <v>53</v>
      </c>
    </row>
    <row r="1818" spans="1:40">
      <c r="A1818" t="s">
        <v>2370</v>
      </c>
      <c r="B1818" t="s">
        <v>594</v>
      </c>
      <c r="C1818" t="s">
        <v>6376</v>
      </c>
      <c r="D1818" t="s">
        <v>52</v>
      </c>
      <c r="E1818" t="s">
        <v>3749</v>
      </c>
      <c r="F1818" t="s">
        <v>71</v>
      </c>
      <c r="G1818" t="str">
        <f>HYPERLINK("https://twitter.com/876708694611943424/status/1143152858965172229")</f>
        <v>https://twitter.com/876708694611943424/status/1143152858965172229</v>
      </c>
      <c r="H1818" t="s">
        <v>46</v>
      </c>
      <c r="I1818" t="s">
        <v>6377</v>
      </c>
      <c r="J1818" t="str">
        <f>HYPERLINK("http://twitter.com/rawavenew")</f>
        <v>http://twitter.com/rawavenew</v>
      </c>
      <c r="K1818">
        <v>88</v>
      </c>
      <c r="N1818" t="s">
        <v>65</v>
      </c>
      <c r="R1818" t="s">
        <v>60</v>
      </c>
      <c r="W1818">
        <v>0</v>
      </c>
      <c r="X1818">
        <v>0</v>
      </c>
      <c r="AE1818">
        <v>0</v>
      </c>
      <c r="AF1818">
        <v>0</v>
      </c>
      <c r="AI1818" t="s">
        <v>108</v>
      </c>
      <c r="AJ1818" t="s">
        <v>52</v>
      </c>
      <c r="AK1818" t="s">
        <v>52</v>
      </c>
      <c r="AL1818" t="str">
        <f>HYPERLINK("https://pbs.twimg.com/media/D9sAXHUX4AA6vJs.jpg")</f>
        <v>https://pbs.twimg.com/media/D9sAXHUX4AA6vJs.jpg</v>
      </c>
      <c r="AM1818" t="s">
        <v>52</v>
      </c>
      <c r="AN1818" t="s">
        <v>53</v>
      </c>
    </row>
    <row r="1819" spans="1:40">
      <c r="A1819" t="s">
        <v>2370</v>
      </c>
      <c r="B1819" t="s">
        <v>594</v>
      </c>
      <c r="C1819" t="s">
        <v>6362</v>
      </c>
      <c r="D1819" t="s">
        <v>52</v>
      </c>
      <c r="E1819" t="s">
        <v>6378</v>
      </c>
      <c r="F1819" t="s">
        <v>95</v>
      </c>
      <c r="G1819" t="str">
        <f>HYPERLINK("https://twitter.com/826701082604625920/status/1143152849976614912")</f>
        <v>https://twitter.com/826701082604625920/status/1143152849976614912</v>
      </c>
      <c r="H1819" t="s">
        <v>46</v>
      </c>
      <c r="I1819" t="s">
        <v>6379</v>
      </c>
      <c r="J1819" t="str">
        <f>HYPERLINK("http://twitter.com/SomeFlapper")</f>
        <v>http://twitter.com/SomeFlapper</v>
      </c>
      <c r="K1819">
        <v>268</v>
      </c>
      <c r="N1819" t="s">
        <v>65</v>
      </c>
      <c r="R1819" t="s">
        <v>60</v>
      </c>
      <c r="S1819" t="s">
        <v>97</v>
      </c>
      <c r="T1819" t="s">
        <v>177</v>
      </c>
      <c r="U1819" t="s">
        <v>6380</v>
      </c>
      <c r="W1819">
        <v>0</v>
      </c>
      <c r="X1819">
        <v>0</v>
      </c>
      <c r="AE1819">
        <v>0</v>
      </c>
      <c r="AF1819">
        <v>0</v>
      </c>
      <c r="AI1819" t="s">
        <v>52</v>
      </c>
      <c r="AJ1819" t="s">
        <v>52</v>
      </c>
      <c r="AK1819" t="s">
        <v>52</v>
      </c>
      <c r="AL1819" t="str">
        <f>HYPERLINK("https://pbs.twimg.com/tweet_video_thumb/D91Lc6vUEAA9KtF.jpg")</f>
        <v>https://pbs.twimg.com/tweet_video_thumb/D91Lc6vUEAA9KtF.jpg</v>
      </c>
      <c r="AM1819" t="s">
        <v>52</v>
      </c>
      <c r="AN1819" t="s">
        <v>53</v>
      </c>
    </row>
    <row r="1820" spans="1:40">
      <c r="A1820" t="s">
        <v>2370</v>
      </c>
      <c r="B1820" t="s">
        <v>597</v>
      </c>
      <c r="C1820" t="s">
        <v>6381</v>
      </c>
      <c r="D1820" t="s">
        <v>52</v>
      </c>
      <c r="E1820" t="s">
        <v>1557</v>
      </c>
      <c r="F1820" t="s">
        <v>95</v>
      </c>
      <c r="G1820" t="str">
        <f>HYPERLINK("https://twitter.com/22180423/status/1143152755265036288")</f>
        <v>https://twitter.com/22180423/status/1143152755265036288</v>
      </c>
      <c r="H1820" t="s">
        <v>46</v>
      </c>
      <c r="I1820" t="s">
        <v>6382</v>
      </c>
      <c r="J1820" t="str">
        <f>HYPERLINK("http://twitter.com/sheridarby")</f>
        <v>http://twitter.com/sheridarby</v>
      </c>
      <c r="K1820">
        <v>638</v>
      </c>
      <c r="N1820" t="s">
        <v>65</v>
      </c>
      <c r="R1820" t="s">
        <v>60</v>
      </c>
      <c r="W1820">
        <v>0</v>
      </c>
      <c r="X1820">
        <v>0</v>
      </c>
      <c r="AE1820">
        <v>0</v>
      </c>
      <c r="AF1820">
        <v>0</v>
      </c>
      <c r="AM1820" t="s">
        <v>52</v>
      </c>
      <c r="AN1820" t="s">
        <v>53</v>
      </c>
    </row>
    <row r="1821" spans="1:40">
      <c r="A1821" t="s">
        <v>2370</v>
      </c>
      <c r="B1821" t="s">
        <v>597</v>
      </c>
      <c r="C1821" t="s">
        <v>6383</v>
      </c>
      <c r="D1821" t="s">
        <v>52</v>
      </c>
      <c r="E1821" t="s">
        <v>130</v>
      </c>
      <c r="F1821" t="s">
        <v>131</v>
      </c>
      <c r="G1821" t="str">
        <f>HYPERLINK("https://twitter.com/22180423/status/1143152724663513089")</f>
        <v>https://twitter.com/22180423/status/1143152724663513089</v>
      </c>
      <c r="H1821" t="s">
        <v>46</v>
      </c>
      <c r="I1821" t="s">
        <v>6382</v>
      </c>
      <c r="J1821" t="str">
        <f>HYPERLINK("http://twitter.com/sheridarby")</f>
        <v>http://twitter.com/sheridarby</v>
      </c>
      <c r="K1821">
        <v>638</v>
      </c>
      <c r="N1821" t="s">
        <v>65</v>
      </c>
      <c r="R1821" t="s">
        <v>60</v>
      </c>
      <c r="W1821">
        <v>0</v>
      </c>
      <c r="X1821">
        <v>0</v>
      </c>
      <c r="AE1821">
        <v>0</v>
      </c>
      <c r="AI1821" t="s">
        <v>108</v>
      </c>
      <c r="AJ1821" t="s">
        <v>52</v>
      </c>
      <c r="AK1821" t="s">
        <v>52</v>
      </c>
      <c r="AL1821" t="str">
        <f>HYPERLINK("https://pbs.twimg.com/media/D9XTkLWW4AAOYnJ.jpg")</f>
        <v>https://pbs.twimg.com/media/D9XTkLWW4AAOYnJ.jpg</v>
      </c>
      <c r="AM1821" t="s">
        <v>52</v>
      </c>
      <c r="AN1821" t="s">
        <v>53</v>
      </c>
    </row>
    <row r="1822" spans="1:40">
      <c r="A1822" t="s">
        <v>2370</v>
      </c>
      <c r="B1822" t="s">
        <v>597</v>
      </c>
      <c r="C1822" t="s">
        <v>6384</v>
      </c>
      <c r="D1822" t="s">
        <v>52</v>
      </c>
      <c r="E1822" t="s">
        <v>1194</v>
      </c>
      <c r="F1822" t="s">
        <v>131</v>
      </c>
      <c r="G1822" t="str">
        <f>HYPERLINK("https://twitter.com/1070248173623365633/status/1143152681541750784")</f>
        <v>https://twitter.com/1070248173623365633/status/1143152681541750784</v>
      </c>
      <c r="H1822" t="s">
        <v>46</v>
      </c>
      <c r="I1822" t="s">
        <v>6385</v>
      </c>
      <c r="J1822" t="str">
        <f>HYPERLINK("http://twitter.com/jailany__")</f>
        <v>http://twitter.com/jailany__</v>
      </c>
      <c r="K1822">
        <v>191</v>
      </c>
      <c r="L1822" t="s">
        <v>48</v>
      </c>
      <c r="N1822" t="s">
        <v>65</v>
      </c>
      <c r="R1822" t="s">
        <v>60</v>
      </c>
      <c r="S1822" t="s">
        <v>1741</v>
      </c>
      <c r="T1822" t="s">
        <v>6386</v>
      </c>
      <c r="U1822" t="s">
        <v>6387</v>
      </c>
      <c r="W1822">
        <v>0</v>
      </c>
      <c r="X1822">
        <v>0</v>
      </c>
      <c r="AE1822">
        <v>0</v>
      </c>
      <c r="AI1822" t="s">
        <v>52</v>
      </c>
      <c r="AJ1822" t="s">
        <v>1196</v>
      </c>
      <c r="AK1822" t="s">
        <v>52</v>
      </c>
      <c r="AL1822" t="str">
        <f>HYPERLINK("https://pbs.twimg.com/media/D9xgk2YXkAAd2ql.jpg")</f>
        <v>https://pbs.twimg.com/media/D9xgk2YXkAAd2ql.jpg</v>
      </c>
      <c r="AM1822" t="s">
        <v>52</v>
      </c>
      <c r="AN1822" t="s">
        <v>53</v>
      </c>
    </row>
    <row r="1823" spans="1:40">
      <c r="A1823" t="s">
        <v>2370</v>
      </c>
      <c r="B1823" t="s">
        <v>597</v>
      </c>
      <c r="C1823" t="s">
        <v>6384</v>
      </c>
      <c r="D1823" t="s">
        <v>52</v>
      </c>
      <c r="E1823" t="s">
        <v>6388</v>
      </c>
      <c r="F1823" t="s">
        <v>45</v>
      </c>
      <c r="G1823" t="str">
        <f>HYPERLINK("https://twitter.com/1113429883357736961/status/1143152677993496579")</f>
        <v>https://twitter.com/1113429883357736961/status/1143152677993496579</v>
      </c>
      <c r="H1823" t="s">
        <v>46</v>
      </c>
      <c r="I1823" t="s">
        <v>6389</v>
      </c>
      <c r="J1823" t="str">
        <f>HYPERLINK("http://twitter.com/nniicoleeee")</f>
        <v>http://twitter.com/nniicoleeee</v>
      </c>
      <c r="K1823">
        <v>91</v>
      </c>
      <c r="N1823" t="s">
        <v>65</v>
      </c>
      <c r="R1823" t="s">
        <v>60</v>
      </c>
      <c r="S1823" t="s">
        <v>1452</v>
      </c>
      <c r="U1823" t="s">
        <v>5490</v>
      </c>
      <c r="W1823">
        <v>9</v>
      </c>
      <c r="X1823">
        <v>9</v>
      </c>
      <c r="AE1823">
        <v>0</v>
      </c>
      <c r="AF1823">
        <v>2</v>
      </c>
      <c r="AM1823" t="s">
        <v>52</v>
      </c>
      <c r="AN1823" t="s">
        <v>53</v>
      </c>
    </row>
    <row r="1824" spans="1:40">
      <c r="A1824" t="s">
        <v>2370</v>
      </c>
      <c r="B1824" t="s">
        <v>602</v>
      </c>
      <c r="C1824" t="s">
        <v>6390</v>
      </c>
      <c r="D1824" t="s">
        <v>52</v>
      </c>
      <c r="E1824" t="s">
        <v>6391</v>
      </c>
      <c r="F1824" t="s">
        <v>45</v>
      </c>
      <c r="G1824" t="str">
        <f>HYPERLINK("https://www.instagram.com/p/BzGDXaygIRM")</f>
        <v>https://www.instagram.com/p/BzGDXaygIRM</v>
      </c>
      <c r="H1824" t="s">
        <v>215</v>
      </c>
      <c r="I1824" t="s">
        <v>6392</v>
      </c>
      <c r="J1824" t="str">
        <f>HYPERLINK("http://instagram.com/franca_fernandinha")</f>
        <v>http://instagram.com/franca_fernandinha</v>
      </c>
      <c r="K1824">
        <v>194</v>
      </c>
      <c r="N1824" t="s">
        <v>59</v>
      </c>
      <c r="O1824" t="s">
        <v>6392</v>
      </c>
      <c r="P1824" t="str">
        <f>HYPERLINK("http://instagram.com/franca_fernandinha")</f>
        <v>http://instagram.com/franca_fernandinha</v>
      </c>
      <c r="Q1824">
        <v>194</v>
      </c>
      <c r="R1824" t="s">
        <v>60</v>
      </c>
      <c r="W1824">
        <v>22</v>
      </c>
      <c r="X1824">
        <v>22</v>
      </c>
      <c r="AE1824">
        <v>0</v>
      </c>
      <c r="AI1824" t="s">
        <v>108</v>
      </c>
      <c r="AJ1824" t="s">
        <v>321</v>
      </c>
      <c r="AK1824" t="s">
        <v>52</v>
      </c>
      <c r="AL1824" t="str">
        <f>HYPERLINK("https://www.instagram.com/p/BzGDXaygIRM/media/?size=l")</f>
        <v>https://www.instagram.com/p/BzGDXaygIRM/media/?size=l</v>
      </c>
      <c r="AM1824" t="s">
        <v>52</v>
      </c>
      <c r="AN1824" t="s">
        <v>53</v>
      </c>
    </row>
    <row r="1825" spans="1:40">
      <c r="A1825" t="s">
        <v>2370</v>
      </c>
      <c r="B1825" t="s">
        <v>602</v>
      </c>
      <c r="C1825" t="s">
        <v>6258</v>
      </c>
      <c r="D1825" t="s">
        <v>52</v>
      </c>
      <c r="E1825" t="s">
        <v>6393</v>
      </c>
      <c r="F1825" t="s">
        <v>45</v>
      </c>
      <c r="G1825" t="str">
        <f>HYPERLINK("https://www.facebook.com/532434786875831/posts/2221874891265137")</f>
        <v>https://www.facebook.com/532434786875831/posts/2221874891265137</v>
      </c>
      <c r="H1825" t="s">
        <v>46</v>
      </c>
      <c r="I1825" t="s">
        <v>6394</v>
      </c>
      <c r="J1825" t="str">
        <f>HYPERLINK("https://www.facebook.com/532434786875831")</f>
        <v>https://www.facebook.com/532434786875831</v>
      </c>
      <c r="K1825">
        <v>8501</v>
      </c>
      <c r="L1825" t="s">
        <v>651</v>
      </c>
      <c r="N1825" t="s">
        <v>1792</v>
      </c>
      <c r="O1825" t="s">
        <v>6394</v>
      </c>
      <c r="P1825" t="str">
        <f>HYPERLINK("https://www.facebook.com/532434786875831")</f>
        <v>https://www.facebook.com/532434786875831</v>
      </c>
      <c r="Q1825">
        <v>8501</v>
      </c>
      <c r="R1825" t="s">
        <v>60</v>
      </c>
      <c r="S1825" t="s">
        <v>97</v>
      </c>
      <c r="W1825">
        <v>37</v>
      </c>
      <c r="X1825">
        <v>29</v>
      </c>
      <c r="Y1825">
        <v>6</v>
      </c>
      <c r="Z1825">
        <v>0</v>
      </c>
      <c r="AA1825">
        <v>2</v>
      </c>
      <c r="AB1825">
        <v>0</v>
      </c>
      <c r="AC1825">
        <v>0</v>
      </c>
      <c r="AE1825">
        <v>21</v>
      </c>
      <c r="AF1825">
        <v>2</v>
      </c>
      <c r="AI1825" t="s">
        <v>52</v>
      </c>
      <c r="AJ1825" t="s">
        <v>6395</v>
      </c>
      <c r="AK1825" t="s">
        <v>52</v>
      </c>
      <c r="AL1825" t="str">
        <f>HYPERLINK("https://scontent.xx.fbcdn.net/v/t1.0-9/p720x720/65220340_2221871557932137_2040499616134201344_n.jpg?_nc_cat=106&amp;_nc_ht=scontent.xx&amp;oh=c544d459576984c6b7eabca62edb8d46&amp;oe=5DC52F7F")</f>
        <v>https://scontent.xx.fbcdn.net/v/t1.0-9/p720x720/65220340_2221871557932137_2040499616134201344_n.jpg?_nc_cat=106&amp;_nc_ht=scontent.xx&amp;oh=c544d459576984c6b7eabca62edb8d46&amp;oe=5DC52F7F</v>
      </c>
      <c r="AM1825" t="s">
        <v>52</v>
      </c>
      <c r="AN1825" t="s">
        <v>53</v>
      </c>
    </row>
    <row r="1826" spans="1:40">
      <c r="A1826" t="s">
        <v>2370</v>
      </c>
      <c r="B1826" t="s">
        <v>607</v>
      </c>
      <c r="C1826" t="s">
        <v>6396</v>
      </c>
      <c r="D1826" t="s">
        <v>52</v>
      </c>
      <c r="E1826" t="s">
        <v>5128</v>
      </c>
      <c r="F1826" t="s">
        <v>131</v>
      </c>
      <c r="G1826" t="str">
        <f>HYPERLINK("https://twitter.com/2396051169/status/1143152118791983104")</f>
        <v>https://twitter.com/2396051169/status/1143152118791983104</v>
      </c>
      <c r="H1826" t="s">
        <v>46</v>
      </c>
      <c r="I1826" t="s">
        <v>6397</v>
      </c>
      <c r="J1826" t="str">
        <f>HYPERLINK("http://twitter.com/kitty_leesaa")</f>
        <v>http://twitter.com/kitty_leesaa</v>
      </c>
      <c r="K1826">
        <v>1011</v>
      </c>
      <c r="N1826" t="s">
        <v>65</v>
      </c>
      <c r="R1826" t="s">
        <v>60</v>
      </c>
      <c r="S1826" t="s">
        <v>1071</v>
      </c>
      <c r="T1826" t="s">
        <v>6398</v>
      </c>
      <c r="U1826" t="s">
        <v>6399</v>
      </c>
      <c r="W1826">
        <v>0</v>
      </c>
      <c r="X1826">
        <v>0</v>
      </c>
      <c r="AE1826">
        <v>0</v>
      </c>
      <c r="AI1826" t="s">
        <v>52</v>
      </c>
      <c r="AJ1826" t="s">
        <v>5130</v>
      </c>
      <c r="AK1826" t="s">
        <v>52</v>
      </c>
      <c r="AL1826" t="str">
        <f>HYPERLINK("https://pbs.twimg.com/media/D91AXfmXoAE6StK.jpg")</f>
        <v>https://pbs.twimg.com/media/D91AXfmXoAE6StK.jpg</v>
      </c>
      <c r="AM1826" t="s">
        <v>52</v>
      </c>
      <c r="AN1826" t="s">
        <v>53</v>
      </c>
    </row>
    <row r="1827" spans="1:40">
      <c r="A1827" t="s">
        <v>2370</v>
      </c>
      <c r="B1827" t="s">
        <v>6400</v>
      </c>
      <c r="C1827" t="s">
        <v>6338</v>
      </c>
      <c r="D1827" t="s">
        <v>6401</v>
      </c>
      <c r="E1827" t="s">
        <v>6402</v>
      </c>
      <c r="F1827" t="s">
        <v>95</v>
      </c>
      <c r="G1827" t="str">
        <f>HYPERLINK("https://mtonews.com/taraji-p-henson-tyler-perry-was-the-first-person-who-paid-me-500000#comment-4514114018")</f>
        <v>https://mtonews.com/taraji-p-henson-tyler-perry-was-the-first-person-who-paid-me-500000#comment-4514114018</v>
      </c>
      <c r="H1827" t="s">
        <v>46</v>
      </c>
      <c r="I1827" t="s">
        <v>6403</v>
      </c>
      <c r="J1827" t="str">
        <f>HYPERLINK("https://disqus.com/by/disqus_E9Pn4U2RUr/")</f>
        <v>https://disqus.com/by/disqus_E9Pn4U2RUr/</v>
      </c>
      <c r="K1827">
        <v>0</v>
      </c>
      <c r="N1827" t="s">
        <v>6404</v>
      </c>
      <c r="O1827" t="s">
        <v>6405</v>
      </c>
      <c r="P1827" t="str">
        <f>HYPERLINK("https://disqus.com/home/forum/mtonews/")</f>
        <v>https://disqus.com/home/forum/mtonews/</v>
      </c>
      <c r="R1827" t="s">
        <v>50</v>
      </c>
      <c r="W1827">
        <v>0</v>
      </c>
      <c r="X1827">
        <v>0</v>
      </c>
      <c r="AM1827" t="s">
        <v>52</v>
      </c>
      <c r="AN1827" t="s">
        <v>53</v>
      </c>
    </row>
    <row r="1828" spans="1:40">
      <c r="A1828" t="s">
        <v>2370</v>
      </c>
      <c r="B1828" t="s">
        <v>6400</v>
      </c>
      <c r="C1828" t="s">
        <v>6364</v>
      </c>
      <c r="D1828" t="s">
        <v>52</v>
      </c>
      <c r="E1828" t="s">
        <v>5128</v>
      </c>
      <c r="F1828" t="s">
        <v>131</v>
      </c>
      <c r="G1828" t="str">
        <f>HYPERLINK("https://twitter.com/769604407210147840/status/1143151626485751808")</f>
        <v>https://twitter.com/769604407210147840/status/1143151626485751808</v>
      </c>
      <c r="H1828" t="s">
        <v>46</v>
      </c>
      <c r="I1828" t="s">
        <v>6406</v>
      </c>
      <c r="J1828" t="str">
        <f>HYPERLINK("http://twitter.com/NadiraZuri")</f>
        <v>http://twitter.com/NadiraZuri</v>
      </c>
      <c r="K1828">
        <v>2441</v>
      </c>
      <c r="N1828" t="s">
        <v>65</v>
      </c>
      <c r="R1828" t="s">
        <v>60</v>
      </c>
      <c r="S1828" t="s">
        <v>1071</v>
      </c>
      <c r="T1828" t="s">
        <v>3751</v>
      </c>
      <c r="U1828" t="s">
        <v>3752</v>
      </c>
      <c r="W1828">
        <v>0</v>
      </c>
      <c r="X1828">
        <v>0</v>
      </c>
      <c r="AE1828">
        <v>0</v>
      </c>
      <c r="AI1828" t="s">
        <v>52</v>
      </c>
      <c r="AJ1828" t="s">
        <v>5130</v>
      </c>
      <c r="AK1828" t="s">
        <v>52</v>
      </c>
      <c r="AL1828" t="str">
        <f>HYPERLINK("https://pbs.twimg.com/media/D91AXfmXoAE6StK.jpg")</f>
        <v>https://pbs.twimg.com/media/D91AXfmXoAE6StK.jpg</v>
      </c>
      <c r="AM1828" t="s">
        <v>52</v>
      </c>
      <c r="AN1828" t="s">
        <v>53</v>
      </c>
    </row>
    <row r="1829" spans="1:40">
      <c r="A1829" t="s">
        <v>2370</v>
      </c>
      <c r="B1829" t="s">
        <v>6407</v>
      </c>
      <c r="C1829" t="s">
        <v>6364</v>
      </c>
      <c r="D1829" t="s">
        <v>52</v>
      </c>
      <c r="E1829" t="s">
        <v>6408</v>
      </c>
      <c r="F1829" t="s">
        <v>45</v>
      </c>
      <c r="G1829" t="str">
        <f>HYPERLINK("https://twitter.com/756788792/status/1143151300516954112")</f>
        <v>https://twitter.com/756788792/status/1143151300516954112</v>
      </c>
      <c r="H1829" t="s">
        <v>46</v>
      </c>
      <c r="I1829" t="s">
        <v>6409</v>
      </c>
      <c r="J1829" t="str">
        <f>HYPERLINK("http://twitter.com/JoshToland32")</f>
        <v>http://twitter.com/JoshToland32</v>
      </c>
      <c r="K1829">
        <v>733</v>
      </c>
      <c r="N1829" t="s">
        <v>65</v>
      </c>
      <c r="R1829" t="s">
        <v>60</v>
      </c>
      <c r="W1829">
        <v>19</v>
      </c>
      <c r="X1829">
        <v>19</v>
      </c>
      <c r="AE1829">
        <v>0</v>
      </c>
      <c r="AF1829">
        <v>0</v>
      </c>
      <c r="AM1829" t="s">
        <v>52</v>
      </c>
      <c r="AN1829" t="s">
        <v>53</v>
      </c>
    </row>
    <row r="1830" spans="1:40">
      <c r="A1830" t="s">
        <v>2370</v>
      </c>
      <c r="B1830" t="s">
        <v>6410</v>
      </c>
      <c r="C1830" t="s">
        <v>6411</v>
      </c>
      <c r="D1830" t="s">
        <v>52</v>
      </c>
      <c r="E1830" t="s">
        <v>6412</v>
      </c>
      <c r="F1830" t="s">
        <v>131</v>
      </c>
      <c r="G1830" t="str">
        <f>HYPERLINK("https://twitter.com/1036291825/status/1143150536633376768")</f>
        <v>https://twitter.com/1036291825/status/1143150536633376768</v>
      </c>
      <c r="H1830" t="s">
        <v>91</v>
      </c>
      <c r="I1830" t="s">
        <v>6413</v>
      </c>
      <c r="J1830" t="str">
        <f>HYPERLINK("http://twitter.com/ehnadla")</f>
        <v>http://twitter.com/ehnadla</v>
      </c>
      <c r="K1830">
        <v>81</v>
      </c>
      <c r="N1830" t="s">
        <v>65</v>
      </c>
      <c r="R1830" t="s">
        <v>60</v>
      </c>
      <c r="S1830" t="s">
        <v>6414</v>
      </c>
      <c r="T1830" t="s">
        <v>6415</v>
      </c>
      <c r="U1830" t="s">
        <v>6416</v>
      </c>
      <c r="W1830">
        <v>0</v>
      </c>
      <c r="X1830">
        <v>0</v>
      </c>
      <c r="AE1830">
        <v>0</v>
      </c>
      <c r="AM1830" t="s">
        <v>52</v>
      </c>
      <c r="AN1830" t="s">
        <v>53</v>
      </c>
    </row>
    <row r="1831" spans="1:40">
      <c r="A1831" t="s">
        <v>2370</v>
      </c>
      <c r="B1831" t="s">
        <v>6417</v>
      </c>
      <c r="C1831" t="s">
        <v>6418</v>
      </c>
      <c r="D1831" t="s">
        <v>52</v>
      </c>
      <c r="E1831" t="s">
        <v>1194</v>
      </c>
      <c r="F1831" t="s">
        <v>131</v>
      </c>
      <c r="G1831" t="str">
        <f>HYPERLINK("https://twitter.com/1603972819/status/1143150291572932609")</f>
        <v>https://twitter.com/1603972819/status/1143150291572932609</v>
      </c>
      <c r="H1831" t="s">
        <v>46</v>
      </c>
      <c r="I1831" t="s">
        <v>6419</v>
      </c>
      <c r="J1831" t="str">
        <f>HYPERLINK("http://twitter.com/molliethemagpie")</f>
        <v>http://twitter.com/molliethemagpie</v>
      </c>
      <c r="K1831">
        <v>317</v>
      </c>
      <c r="N1831" t="s">
        <v>65</v>
      </c>
      <c r="R1831" t="s">
        <v>60</v>
      </c>
      <c r="S1831" t="s">
        <v>97</v>
      </c>
      <c r="T1831" t="s">
        <v>177</v>
      </c>
      <c r="W1831">
        <v>0</v>
      </c>
      <c r="X1831">
        <v>0</v>
      </c>
      <c r="AE1831">
        <v>0</v>
      </c>
      <c r="AI1831" t="s">
        <v>52</v>
      </c>
      <c r="AJ1831" t="s">
        <v>1196</v>
      </c>
      <c r="AK1831" t="s">
        <v>52</v>
      </c>
      <c r="AL1831" t="str">
        <f>HYPERLINK("https://pbs.twimg.com/media/D9xgk2YXkAAd2ql.jpg")</f>
        <v>https://pbs.twimg.com/media/D9xgk2YXkAAd2ql.jpg</v>
      </c>
      <c r="AM1831" t="s">
        <v>52</v>
      </c>
      <c r="AN1831" t="s">
        <v>53</v>
      </c>
    </row>
    <row r="1832" spans="1:40">
      <c r="A1832" t="s">
        <v>2370</v>
      </c>
      <c r="B1832" t="s">
        <v>618</v>
      </c>
      <c r="C1832" t="s">
        <v>6420</v>
      </c>
      <c r="D1832" t="s">
        <v>52</v>
      </c>
      <c r="E1832" t="s">
        <v>6421</v>
      </c>
      <c r="F1832" t="s">
        <v>45</v>
      </c>
      <c r="G1832" t="str">
        <f>HYPERLINK("https://www.instagram.com/p/BzGCVQml3i4")</f>
        <v>https://www.instagram.com/p/BzGCVQml3i4</v>
      </c>
      <c r="H1832" t="s">
        <v>46</v>
      </c>
      <c r="I1832" t="s">
        <v>6422</v>
      </c>
      <c r="J1832" t="str">
        <f>HYPERLINK("http://instagram.com/awholelottalove___")</f>
        <v>http://instagram.com/awholelottalove___</v>
      </c>
      <c r="K1832">
        <v>1127</v>
      </c>
      <c r="N1832" t="s">
        <v>59</v>
      </c>
      <c r="O1832" t="s">
        <v>6422</v>
      </c>
      <c r="P1832" t="str">
        <f>HYPERLINK("http://instagram.com/awholelottalove___")</f>
        <v>http://instagram.com/awholelottalove___</v>
      </c>
      <c r="Q1832">
        <v>1127</v>
      </c>
      <c r="R1832" t="s">
        <v>60</v>
      </c>
      <c r="W1832">
        <v>5</v>
      </c>
      <c r="X1832">
        <v>5</v>
      </c>
      <c r="AE1832">
        <v>0</v>
      </c>
      <c r="AG1832">
        <v>42</v>
      </c>
      <c r="AI1832" t="s">
        <v>52</v>
      </c>
      <c r="AJ1832" t="s">
        <v>52</v>
      </c>
      <c r="AK1832" t="s">
        <v>52</v>
      </c>
      <c r="AL1832" t="str">
        <f>HYPERLINK("https://www.instagram.com/p/BzGCVQml3i4/media/?size=l")</f>
        <v>https://www.instagram.com/p/BzGCVQml3i4/media/?size=l</v>
      </c>
      <c r="AM1832" t="s">
        <v>52</v>
      </c>
      <c r="AN1832" t="s">
        <v>53</v>
      </c>
    </row>
    <row r="1833" spans="1:40">
      <c r="A1833" t="s">
        <v>2370</v>
      </c>
      <c r="B1833" t="s">
        <v>618</v>
      </c>
      <c r="C1833" t="s">
        <v>6423</v>
      </c>
      <c r="D1833" t="s">
        <v>52</v>
      </c>
      <c r="E1833" t="s">
        <v>6424</v>
      </c>
      <c r="F1833" t="s">
        <v>45</v>
      </c>
      <c r="G1833" t="str">
        <f>HYPERLINK("https://www.instagram.com/p/BzGCaSlDASy")</f>
        <v>https://www.instagram.com/p/BzGCaSlDASy</v>
      </c>
      <c r="H1833" t="s">
        <v>46</v>
      </c>
      <c r="I1833" t="s">
        <v>6425</v>
      </c>
      <c r="J1833" t="str">
        <f>HYPERLINK("http://instagram.com/w_azeza")</f>
        <v>http://instagram.com/w_azeza</v>
      </c>
      <c r="K1833">
        <v>116</v>
      </c>
      <c r="N1833" t="s">
        <v>59</v>
      </c>
      <c r="O1833" t="s">
        <v>6425</v>
      </c>
      <c r="P1833" t="str">
        <f>HYPERLINK("http://instagram.com/w_azeza")</f>
        <v>http://instagram.com/w_azeza</v>
      </c>
      <c r="Q1833">
        <v>116</v>
      </c>
      <c r="R1833" t="s">
        <v>60</v>
      </c>
      <c r="W1833">
        <v>24</v>
      </c>
      <c r="X1833">
        <v>24</v>
      </c>
      <c r="AE1833">
        <v>9</v>
      </c>
      <c r="AI1833" t="s">
        <v>52</v>
      </c>
      <c r="AJ1833" t="s">
        <v>6426</v>
      </c>
      <c r="AK1833" t="s">
        <v>52</v>
      </c>
      <c r="AL1833" t="str">
        <f>HYPERLINK("https://www.instagram.com/p/BzGCaSlDASy/media/?size=l")</f>
        <v>https://www.instagram.com/p/BzGCaSlDASy/media/?size=l</v>
      </c>
      <c r="AM1833" t="s">
        <v>52</v>
      </c>
      <c r="AN1833" t="s">
        <v>53</v>
      </c>
    </row>
    <row r="1834" spans="1:40">
      <c r="A1834" t="s">
        <v>2370</v>
      </c>
      <c r="B1834" t="s">
        <v>618</v>
      </c>
      <c r="C1834" t="s">
        <v>6427</v>
      </c>
      <c r="D1834" t="s">
        <v>52</v>
      </c>
      <c r="E1834" t="s">
        <v>6428</v>
      </c>
      <c r="F1834" t="s">
        <v>131</v>
      </c>
      <c r="G1834" t="str">
        <f>HYPERLINK("https://twitter.com/973793282433175552/status/1143150230797520896")</f>
        <v>https://twitter.com/973793282433175552/status/1143150230797520896</v>
      </c>
      <c r="H1834" t="s">
        <v>46</v>
      </c>
      <c r="I1834" t="s">
        <v>6429</v>
      </c>
      <c r="J1834" t="str">
        <f>HYPERLINK("http://twitter.com/SignorSanders")</f>
        <v>http://twitter.com/SignorSanders</v>
      </c>
      <c r="K1834">
        <v>1104</v>
      </c>
      <c r="N1834" t="s">
        <v>65</v>
      </c>
      <c r="R1834" t="s">
        <v>60</v>
      </c>
      <c r="S1834" t="s">
        <v>51</v>
      </c>
      <c r="T1834" t="s">
        <v>152</v>
      </c>
      <c r="U1834" t="s">
        <v>1958</v>
      </c>
      <c r="W1834">
        <v>0</v>
      </c>
      <c r="X1834">
        <v>0</v>
      </c>
      <c r="AE1834">
        <v>0</v>
      </c>
      <c r="AM1834" t="s">
        <v>52</v>
      </c>
      <c r="AN1834" t="s">
        <v>53</v>
      </c>
    </row>
    <row r="1835" spans="1:40">
      <c r="A1835" t="s">
        <v>2370</v>
      </c>
      <c r="B1835" t="s">
        <v>618</v>
      </c>
      <c r="C1835" t="s">
        <v>6411</v>
      </c>
      <c r="D1835" t="s">
        <v>52</v>
      </c>
      <c r="E1835" t="s">
        <v>1194</v>
      </c>
      <c r="F1835" t="s">
        <v>131</v>
      </c>
      <c r="G1835" t="str">
        <f>HYPERLINK("https://twitter.com/2466706501/status/1143150200015527936")</f>
        <v>https://twitter.com/2466706501/status/1143150200015527936</v>
      </c>
      <c r="H1835" t="s">
        <v>46</v>
      </c>
      <c r="I1835" t="s">
        <v>6430</v>
      </c>
      <c r="J1835" t="str">
        <f>HYPERLINK("http://twitter.com/monogangplank1")</f>
        <v>http://twitter.com/monogangplank1</v>
      </c>
      <c r="K1835">
        <v>158</v>
      </c>
      <c r="N1835" t="s">
        <v>65</v>
      </c>
      <c r="R1835" t="s">
        <v>60</v>
      </c>
      <c r="S1835" t="s">
        <v>432</v>
      </c>
      <c r="T1835" t="s">
        <v>6431</v>
      </c>
      <c r="U1835" t="s">
        <v>6432</v>
      </c>
      <c r="W1835">
        <v>0</v>
      </c>
      <c r="X1835">
        <v>0</v>
      </c>
      <c r="AE1835">
        <v>0</v>
      </c>
      <c r="AI1835" t="s">
        <v>52</v>
      </c>
      <c r="AJ1835" t="s">
        <v>1196</v>
      </c>
      <c r="AK1835" t="s">
        <v>52</v>
      </c>
      <c r="AL1835" t="str">
        <f>HYPERLINK("https://pbs.twimg.com/media/D9xgk2YXkAAd2ql.jpg")</f>
        <v>https://pbs.twimg.com/media/D9xgk2YXkAAd2ql.jpg</v>
      </c>
      <c r="AM1835" t="s">
        <v>52</v>
      </c>
      <c r="AN1835" t="s">
        <v>53</v>
      </c>
    </row>
    <row r="1836" spans="1:40">
      <c r="A1836" t="s">
        <v>2370</v>
      </c>
      <c r="B1836" t="s">
        <v>618</v>
      </c>
      <c r="C1836" t="s">
        <v>6433</v>
      </c>
      <c r="D1836" t="s">
        <v>52</v>
      </c>
      <c r="E1836" t="s">
        <v>6434</v>
      </c>
      <c r="F1836" t="s">
        <v>45</v>
      </c>
      <c r="G1836" t="str">
        <f>HYPERLINK("https://twitter.com/23430092/status/1143150145053368323")</f>
        <v>https://twitter.com/23430092/status/1143150145053368323</v>
      </c>
      <c r="H1836" t="s">
        <v>215</v>
      </c>
      <c r="I1836" t="s">
        <v>6435</v>
      </c>
      <c r="J1836" t="str">
        <f>HYPERLINK("http://twitter.com/cardoppler")</f>
        <v>http://twitter.com/cardoppler</v>
      </c>
      <c r="K1836">
        <v>568</v>
      </c>
      <c r="L1836" t="s">
        <v>48</v>
      </c>
      <c r="N1836" t="s">
        <v>65</v>
      </c>
      <c r="R1836" t="s">
        <v>60</v>
      </c>
      <c r="S1836" t="s">
        <v>97</v>
      </c>
      <c r="T1836" t="s">
        <v>177</v>
      </c>
      <c r="U1836" t="s">
        <v>395</v>
      </c>
      <c r="W1836">
        <v>3</v>
      </c>
      <c r="X1836">
        <v>3</v>
      </c>
      <c r="AE1836">
        <v>0</v>
      </c>
      <c r="AF1836">
        <v>0</v>
      </c>
      <c r="AI1836" t="s">
        <v>108</v>
      </c>
      <c r="AJ1836" t="s">
        <v>52</v>
      </c>
      <c r="AK1836" t="s">
        <v>52</v>
      </c>
      <c r="AL1836" t="str">
        <f>HYPERLINK("https://pbs.twimg.com/media/D91Ivv2XsAApjVN.jpg")</f>
        <v>https://pbs.twimg.com/media/D91Ivv2XsAApjVN.jpg</v>
      </c>
      <c r="AM1836" t="s">
        <v>52</v>
      </c>
      <c r="AN1836" t="s">
        <v>53</v>
      </c>
    </row>
    <row r="1837" spans="1:40">
      <c r="A1837" t="s">
        <v>2370</v>
      </c>
      <c r="B1837" t="s">
        <v>644</v>
      </c>
      <c r="C1837" t="s">
        <v>6436</v>
      </c>
      <c r="D1837" t="s">
        <v>52</v>
      </c>
      <c r="E1837" t="s">
        <v>6437</v>
      </c>
      <c r="F1837" t="s">
        <v>71</v>
      </c>
      <c r="G1837" t="str">
        <f>HYPERLINK("https://twitter.com/1024738873740550144/status/1143149393727676416")</f>
        <v>https://twitter.com/1024738873740550144/status/1143149393727676416</v>
      </c>
      <c r="H1837" t="s">
        <v>91</v>
      </c>
      <c r="I1837" t="s">
        <v>6438</v>
      </c>
      <c r="J1837" t="str">
        <f>HYPERLINK("http://twitter.com/dre3thouxan")</f>
        <v>http://twitter.com/dre3thouxan</v>
      </c>
      <c r="K1837">
        <v>478</v>
      </c>
      <c r="N1837" t="s">
        <v>65</v>
      </c>
      <c r="R1837" t="s">
        <v>60</v>
      </c>
      <c r="W1837">
        <v>1</v>
      </c>
      <c r="X1837">
        <v>1</v>
      </c>
      <c r="AE1837">
        <v>0</v>
      </c>
      <c r="AF1837">
        <v>0</v>
      </c>
      <c r="AM1837" t="s">
        <v>52</v>
      </c>
      <c r="AN1837" t="s">
        <v>53</v>
      </c>
    </row>
    <row r="1838" spans="1:40">
      <c r="A1838" t="s">
        <v>2370</v>
      </c>
      <c r="B1838" t="s">
        <v>664</v>
      </c>
      <c r="C1838" t="s">
        <v>6439</v>
      </c>
      <c r="D1838" t="s">
        <v>6440</v>
      </c>
      <c r="E1838" t="s">
        <v>6441</v>
      </c>
      <c r="F1838" t="s">
        <v>45</v>
      </c>
      <c r="G1838" t="str">
        <f>HYPERLINK("https://investtribune.com/heres-how-analysts-see-yum-brands-inc-nyseyum-after-this-past-week-2")</f>
        <v>https://investtribune.com/heres-how-analysts-see-yum-brands-inc-nyseyum-after-this-past-week-2</v>
      </c>
      <c r="H1838" t="s">
        <v>46</v>
      </c>
      <c r="I1838" t="s">
        <v>6442</v>
      </c>
      <c r="J1838" t="str">
        <f>HYPERLINK("https://investtribune.com/heres-how-analysts-see-yum-brands-inc-nyseyum-after-this-past-week-2/")</f>
        <v>https://investtribune.com/heres-how-analysts-see-yum-brands-inc-nyseyum-after-this-past-week-2/</v>
      </c>
      <c r="N1838" t="s">
        <v>1046</v>
      </c>
      <c r="R1838" t="s">
        <v>357</v>
      </c>
      <c r="S1838" t="s">
        <v>51</v>
      </c>
      <c r="AI1838" t="s">
        <v>52</v>
      </c>
      <c r="AJ1838" t="s">
        <v>52</v>
      </c>
      <c r="AK1838" t="s">
        <v>52</v>
      </c>
      <c r="AL1838" t="str">
        <f>HYPERLINK("https://investtribune.com/wp-content/uploads/logos/Logos/YUM.png")</f>
        <v>https://investtribune.com/wp-content/uploads/logos/Logos/YUM.png</v>
      </c>
      <c r="AM1838" t="s">
        <v>52</v>
      </c>
      <c r="AN1838" t="s">
        <v>53</v>
      </c>
    </row>
    <row r="1839" spans="1:40">
      <c r="A1839" t="s">
        <v>2370</v>
      </c>
      <c r="B1839" t="s">
        <v>6443</v>
      </c>
      <c r="C1839" t="s">
        <v>6338</v>
      </c>
      <c r="D1839" t="s">
        <v>52</v>
      </c>
      <c r="E1839" t="s">
        <v>6444</v>
      </c>
      <c r="F1839" t="s">
        <v>45</v>
      </c>
      <c r="G1839" t="str">
        <f>HYPERLINK("https://www.instagram.com/p/BzGBu3ihcA3")</f>
        <v>https://www.instagram.com/p/BzGBu3ihcA3</v>
      </c>
      <c r="H1839" t="s">
        <v>46</v>
      </c>
      <c r="I1839" t="s">
        <v>6445</v>
      </c>
      <c r="J1839" t="str">
        <f>HYPERLINK("http://instagram.com/chief_exect")</f>
        <v>http://instagram.com/chief_exect</v>
      </c>
      <c r="K1839">
        <v>244</v>
      </c>
      <c r="N1839" t="s">
        <v>59</v>
      </c>
      <c r="O1839" t="s">
        <v>6445</v>
      </c>
      <c r="P1839" t="str">
        <f>HYPERLINK("http://instagram.com/chief_exect")</f>
        <v>http://instagram.com/chief_exect</v>
      </c>
      <c r="Q1839">
        <v>244</v>
      </c>
      <c r="R1839" t="s">
        <v>60</v>
      </c>
      <c r="W1839">
        <v>10</v>
      </c>
      <c r="X1839">
        <v>10</v>
      </c>
      <c r="AE1839">
        <v>5</v>
      </c>
      <c r="AI1839" t="s">
        <v>52</v>
      </c>
      <c r="AJ1839" t="s">
        <v>1894</v>
      </c>
      <c r="AK1839" t="s">
        <v>52</v>
      </c>
      <c r="AL1839" t="str">
        <f>HYPERLINK("https://www.instagram.com/p/BzGBu3ihcA3/media/?size=l")</f>
        <v>https://www.instagram.com/p/BzGBu3ihcA3/media/?size=l</v>
      </c>
      <c r="AM1839" t="s">
        <v>52</v>
      </c>
      <c r="AN1839" t="s">
        <v>53</v>
      </c>
    </row>
    <row r="1840" spans="1:40">
      <c r="A1840" t="s">
        <v>2370</v>
      </c>
      <c r="B1840" t="s">
        <v>668</v>
      </c>
      <c r="C1840" t="s">
        <v>6427</v>
      </c>
      <c r="D1840" t="s">
        <v>52</v>
      </c>
      <c r="E1840" t="s">
        <v>6446</v>
      </c>
      <c r="F1840" t="s">
        <v>45</v>
      </c>
      <c r="G1840" t="str">
        <f>HYPERLINK("https://twitter.com/29680362/status/1143148400122183680")</f>
        <v>https://twitter.com/29680362/status/1143148400122183680</v>
      </c>
      <c r="H1840" t="s">
        <v>46</v>
      </c>
      <c r="I1840" t="s">
        <v>6447</v>
      </c>
      <c r="J1840" t="str">
        <f>HYPERLINK("http://twitter.com/SDxT_")</f>
        <v>http://twitter.com/SDxT_</v>
      </c>
      <c r="K1840">
        <v>4040</v>
      </c>
      <c r="N1840" t="s">
        <v>65</v>
      </c>
      <c r="R1840" t="s">
        <v>60</v>
      </c>
      <c r="S1840" t="s">
        <v>6448</v>
      </c>
      <c r="T1840" t="s">
        <v>6449</v>
      </c>
      <c r="U1840" t="s">
        <v>6450</v>
      </c>
      <c r="W1840">
        <v>0</v>
      </c>
      <c r="X1840">
        <v>0</v>
      </c>
      <c r="AE1840">
        <v>0</v>
      </c>
      <c r="AF1840">
        <v>0</v>
      </c>
      <c r="AM1840" t="s">
        <v>52</v>
      </c>
      <c r="AN1840" t="s">
        <v>53</v>
      </c>
    </row>
    <row r="1841" spans="1:40">
      <c r="A1841" t="s">
        <v>2370</v>
      </c>
      <c r="B1841" t="s">
        <v>6451</v>
      </c>
      <c r="C1841" t="s">
        <v>6420</v>
      </c>
      <c r="D1841" t="s">
        <v>52</v>
      </c>
      <c r="E1841" t="s">
        <v>6280</v>
      </c>
      <c r="F1841" t="s">
        <v>71</v>
      </c>
      <c r="G1841" t="str">
        <f>HYPERLINK("https://twitter.com/224189273/status/1143148214377418753")</f>
        <v>https://twitter.com/224189273/status/1143148214377418753</v>
      </c>
      <c r="H1841" t="s">
        <v>46</v>
      </c>
      <c r="I1841" t="s">
        <v>6452</v>
      </c>
      <c r="J1841" t="str">
        <f>HYPERLINK("http://twitter.com/RCOWZIN")</f>
        <v>http://twitter.com/RCOWZIN</v>
      </c>
      <c r="K1841">
        <v>2281</v>
      </c>
      <c r="N1841" t="s">
        <v>65</v>
      </c>
      <c r="R1841" t="s">
        <v>60</v>
      </c>
      <c r="S1841" t="s">
        <v>1071</v>
      </c>
      <c r="T1841" t="s">
        <v>1072</v>
      </c>
      <c r="U1841" t="s">
        <v>1073</v>
      </c>
      <c r="W1841">
        <v>0</v>
      </c>
      <c r="X1841">
        <v>0</v>
      </c>
      <c r="AE1841">
        <v>0</v>
      </c>
      <c r="AF1841">
        <v>0</v>
      </c>
      <c r="AM1841" t="s">
        <v>52</v>
      </c>
      <c r="AN1841" t="s">
        <v>53</v>
      </c>
    </row>
    <row r="1842" spans="1:40">
      <c r="A1842" t="s">
        <v>2370</v>
      </c>
      <c r="B1842" t="s">
        <v>697</v>
      </c>
      <c r="C1842" t="s">
        <v>6453</v>
      </c>
      <c r="D1842" t="s">
        <v>6454</v>
      </c>
      <c r="E1842" t="s">
        <v>6454</v>
      </c>
      <c r="F1842" t="s">
        <v>45</v>
      </c>
      <c r="G1842" t="str">
        <f>HYPERLINK("https://www.youtube.com/watch?v=N0urXuqkoEw")</f>
        <v>https://www.youtube.com/watch?v=N0urXuqkoEw</v>
      </c>
      <c r="H1842" t="s">
        <v>46</v>
      </c>
      <c r="I1842" t="s">
        <v>6455</v>
      </c>
      <c r="J1842" t="str">
        <f>HYPERLINK("https://www.youtube.com/channel/UCoDi3XOKdNJRZmN1ZhMOsFw")</f>
        <v>https://www.youtube.com/channel/UCoDi3XOKdNJRZmN1ZhMOsFw</v>
      </c>
      <c r="K1842">
        <v>9</v>
      </c>
      <c r="L1842" t="s">
        <v>48</v>
      </c>
      <c r="N1842" t="s">
        <v>116</v>
      </c>
      <c r="O1842" t="s">
        <v>6455</v>
      </c>
      <c r="P1842" t="str">
        <f>HYPERLINK("https://www.youtube.com/channel/UCoDi3XOKdNJRZmN1ZhMOsFw")</f>
        <v>https://www.youtube.com/channel/UCoDi3XOKdNJRZmN1ZhMOsFw</v>
      </c>
      <c r="Q1842">
        <v>9</v>
      </c>
      <c r="R1842" t="s">
        <v>60</v>
      </c>
      <c r="W1842">
        <v>3</v>
      </c>
      <c r="X1842">
        <v>3</v>
      </c>
      <c r="AD1842">
        <v>0</v>
      </c>
      <c r="AE1842">
        <v>0</v>
      </c>
      <c r="AG1842">
        <v>8</v>
      </c>
      <c r="AI1842" t="s">
        <v>52</v>
      </c>
      <c r="AJ1842" t="s">
        <v>52</v>
      </c>
      <c r="AK1842" t="s">
        <v>52</v>
      </c>
      <c r="AL1842" t="str">
        <f>HYPERLINK("https://i.ytimg.com/vi/N0urXuqkoEw/hqdefault.jpg")</f>
        <v>https://i.ytimg.com/vi/N0urXuqkoEw/hqdefault.jpg</v>
      </c>
      <c r="AM1842" t="s">
        <v>52</v>
      </c>
      <c r="AN1842" t="s">
        <v>53</v>
      </c>
    </row>
    <row r="1843" spans="1:40">
      <c r="A1843" t="s">
        <v>2370</v>
      </c>
      <c r="B1843" t="s">
        <v>6456</v>
      </c>
      <c r="C1843" t="s">
        <v>6457</v>
      </c>
      <c r="D1843" t="s">
        <v>6458</v>
      </c>
      <c r="E1843" t="s">
        <v>6459</v>
      </c>
      <c r="F1843" t="s">
        <v>45</v>
      </c>
      <c r="G1843" t="str">
        <f>HYPERLINK("https://www.youtube.com/watch?v=s-4WNLkfbSg")</f>
        <v>https://www.youtube.com/watch?v=s-4WNLkfbSg</v>
      </c>
      <c r="H1843" t="s">
        <v>46</v>
      </c>
      <c r="I1843" t="s">
        <v>6460</v>
      </c>
      <c r="J1843" t="str">
        <f>HYPERLINK("https://www.youtube.com/channel/UC6kKlmLqjCGV9gXsZ_bOYrw")</f>
        <v>https://www.youtube.com/channel/UC6kKlmLqjCGV9gXsZ_bOYrw</v>
      </c>
      <c r="K1843">
        <v>1</v>
      </c>
      <c r="N1843" t="s">
        <v>116</v>
      </c>
      <c r="O1843" t="s">
        <v>6460</v>
      </c>
      <c r="P1843" t="str">
        <f>HYPERLINK("https://www.youtube.com/channel/UC6kKlmLqjCGV9gXsZ_bOYrw")</f>
        <v>https://www.youtube.com/channel/UC6kKlmLqjCGV9gXsZ_bOYrw</v>
      </c>
      <c r="Q1843">
        <v>1</v>
      </c>
      <c r="R1843" t="s">
        <v>60</v>
      </c>
      <c r="S1843" t="s">
        <v>592</v>
      </c>
      <c r="W1843">
        <v>2</v>
      </c>
      <c r="X1843">
        <v>2</v>
      </c>
      <c r="AD1843">
        <v>0</v>
      </c>
      <c r="AE1843">
        <v>3</v>
      </c>
      <c r="AG1843">
        <v>6</v>
      </c>
      <c r="AI1843" t="s">
        <v>52</v>
      </c>
      <c r="AJ1843" t="s">
        <v>52</v>
      </c>
      <c r="AK1843" t="s">
        <v>52</v>
      </c>
      <c r="AL1843" t="str">
        <f>HYPERLINK("https://i.ytimg.com/vi/s-4WNLkfbSg/hqdefault.jpg")</f>
        <v>https://i.ytimg.com/vi/s-4WNLkfbSg/hqdefault.jpg</v>
      </c>
      <c r="AM1843" t="s">
        <v>52</v>
      </c>
      <c r="AN1843" t="s">
        <v>53</v>
      </c>
    </row>
    <row r="1844" spans="1:40">
      <c r="A1844" t="s">
        <v>2370</v>
      </c>
      <c r="B1844" t="s">
        <v>6461</v>
      </c>
      <c r="C1844" t="s">
        <v>6462</v>
      </c>
      <c r="D1844" t="s">
        <v>52</v>
      </c>
      <c r="E1844" t="s">
        <v>1194</v>
      </c>
      <c r="F1844" t="s">
        <v>131</v>
      </c>
      <c r="G1844" t="str">
        <f>HYPERLINK("https://twitter.com/2805685255/status/1143146703194918912")</f>
        <v>https://twitter.com/2805685255/status/1143146703194918912</v>
      </c>
      <c r="H1844" t="s">
        <v>46</v>
      </c>
      <c r="I1844" t="s">
        <v>6463</v>
      </c>
      <c r="J1844" t="str">
        <f>HYPERLINK("http://twitter.com/Angelina124az")</f>
        <v>http://twitter.com/Angelina124az</v>
      </c>
      <c r="K1844">
        <v>849</v>
      </c>
      <c r="N1844" t="s">
        <v>65</v>
      </c>
      <c r="R1844" t="s">
        <v>60</v>
      </c>
      <c r="W1844">
        <v>0</v>
      </c>
      <c r="X1844">
        <v>0</v>
      </c>
      <c r="AE1844">
        <v>0</v>
      </c>
      <c r="AI1844" t="s">
        <v>52</v>
      </c>
      <c r="AJ1844" t="s">
        <v>1196</v>
      </c>
      <c r="AK1844" t="s">
        <v>52</v>
      </c>
      <c r="AL1844" t="str">
        <f>HYPERLINK("https://pbs.twimg.com/media/D9xgk2YXkAAd2ql.jpg")</f>
        <v>https://pbs.twimg.com/media/D9xgk2YXkAAd2ql.jpg</v>
      </c>
      <c r="AM1844" t="s">
        <v>52</v>
      </c>
      <c r="AN1844" t="s">
        <v>53</v>
      </c>
    </row>
    <row r="1845" spans="1:40">
      <c r="A1845" t="s">
        <v>2370</v>
      </c>
      <c r="B1845" t="s">
        <v>6461</v>
      </c>
      <c r="C1845" t="s">
        <v>6464</v>
      </c>
      <c r="D1845" t="s">
        <v>52</v>
      </c>
      <c r="E1845" t="s">
        <v>1194</v>
      </c>
      <c r="F1845" t="s">
        <v>131</v>
      </c>
      <c r="G1845" t="str">
        <f>HYPERLINK("https://twitter.com/429802954/status/1143146699491123200")</f>
        <v>https://twitter.com/429802954/status/1143146699491123200</v>
      </c>
      <c r="H1845" t="s">
        <v>46</v>
      </c>
      <c r="I1845" t="s">
        <v>6465</v>
      </c>
      <c r="J1845" t="str">
        <f>HYPERLINK("http://twitter.com/ccelinetsy")</f>
        <v>http://twitter.com/ccelinetsy</v>
      </c>
      <c r="K1845">
        <v>1151</v>
      </c>
      <c r="L1845" t="s">
        <v>58</v>
      </c>
      <c r="N1845" t="s">
        <v>65</v>
      </c>
      <c r="R1845" t="s">
        <v>60</v>
      </c>
      <c r="S1845" t="s">
        <v>774</v>
      </c>
      <c r="T1845" t="s">
        <v>2887</v>
      </c>
      <c r="U1845" t="s">
        <v>6466</v>
      </c>
      <c r="W1845">
        <v>0</v>
      </c>
      <c r="X1845">
        <v>0</v>
      </c>
      <c r="AE1845">
        <v>0</v>
      </c>
      <c r="AI1845" t="s">
        <v>52</v>
      </c>
      <c r="AJ1845" t="s">
        <v>1196</v>
      </c>
      <c r="AK1845" t="s">
        <v>52</v>
      </c>
      <c r="AL1845" t="str">
        <f>HYPERLINK("https://pbs.twimg.com/media/D9xgk2YXkAAd2ql.jpg")</f>
        <v>https://pbs.twimg.com/media/D9xgk2YXkAAd2ql.jpg</v>
      </c>
      <c r="AM1845" t="s">
        <v>52</v>
      </c>
      <c r="AN1845" t="s">
        <v>53</v>
      </c>
    </row>
    <row r="1846" spans="1:40">
      <c r="A1846" t="s">
        <v>2370</v>
      </c>
      <c r="B1846" t="s">
        <v>6461</v>
      </c>
      <c r="C1846" t="s">
        <v>6457</v>
      </c>
      <c r="D1846" t="s">
        <v>52</v>
      </c>
      <c r="E1846" t="s">
        <v>6467</v>
      </c>
      <c r="F1846" t="s">
        <v>45</v>
      </c>
      <c r="G1846" t="str">
        <f>HYPERLINK("https://twitter.com/348009551/status/1143146654322835464")</f>
        <v>https://twitter.com/348009551/status/1143146654322835464</v>
      </c>
      <c r="H1846" t="s">
        <v>91</v>
      </c>
      <c r="I1846" t="s">
        <v>6468</v>
      </c>
      <c r="J1846" t="str">
        <f>HYPERLINK("http://twitter.com/wak33m")</f>
        <v>http://twitter.com/wak33m</v>
      </c>
      <c r="K1846">
        <v>1097</v>
      </c>
      <c r="N1846" t="s">
        <v>65</v>
      </c>
      <c r="R1846" t="s">
        <v>60</v>
      </c>
      <c r="W1846">
        <v>0</v>
      </c>
      <c r="X1846">
        <v>0</v>
      </c>
      <c r="AE1846">
        <v>1</v>
      </c>
      <c r="AF1846">
        <v>0</v>
      </c>
      <c r="AM1846" t="s">
        <v>52</v>
      </c>
      <c r="AN1846" t="s">
        <v>53</v>
      </c>
    </row>
    <row r="1847" spans="1:40">
      <c r="A1847" t="s">
        <v>2370</v>
      </c>
      <c r="B1847" t="s">
        <v>6461</v>
      </c>
      <c r="C1847" t="s">
        <v>6453</v>
      </c>
      <c r="D1847" t="s">
        <v>52</v>
      </c>
      <c r="E1847" t="s">
        <v>6469</v>
      </c>
      <c r="F1847" t="s">
        <v>131</v>
      </c>
      <c r="G1847" t="str">
        <f>HYPERLINK("https://twitter.com/2462570322/status/1143146591592706048")</f>
        <v>https://twitter.com/2462570322/status/1143146591592706048</v>
      </c>
      <c r="H1847" t="s">
        <v>46</v>
      </c>
      <c r="I1847" t="s">
        <v>6470</v>
      </c>
      <c r="J1847" t="str">
        <f>HYPERLINK("http://twitter.com/MiguelholicsP_")</f>
        <v>http://twitter.com/MiguelholicsP_</v>
      </c>
      <c r="K1847">
        <v>2178</v>
      </c>
      <c r="N1847" t="s">
        <v>65</v>
      </c>
      <c r="R1847" t="s">
        <v>60</v>
      </c>
      <c r="S1847" t="s">
        <v>226</v>
      </c>
      <c r="T1847" t="s">
        <v>6471</v>
      </c>
      <c r="W1847">
        <v>0</v>
      </c>
      <c r="X1847">
        <v>0</v>
      </c>
      <c r="AE1847">
        <v>0</v>
      </c>
      <c r="AM1847" t="s">
        <v>52</v>
      </c>
      <c r="AN1847" t="s">
        <v>53</v>
      </c>
    </row>
    <row r="1848" spans="1:40">
      <c r="A1848" t="s">
        <v>2370</v>
      </c>
      <c r="B1848" t="s">
        <v>6461</v>
      </c>
      <c r="C1848" t="s">
        <v>6453</v>
      </c>
      <c r="D1848" t="s">
        <v>52</v>
      </c>
      <c r="E1848" t="s">
        <v>1194</v>
      </c>
      <c r="F1848" t="s">
        <v>131</v>
      </c>
      <c r="G1848" t="str">
        <f>HYPERLINK("https://twitter.com/798142548/status/1143146550392025088")</f>
        <v>https://twitter.com/798142548/status/1143146550392025088</v>
      </c>
      <c r="H1848" t="s">
        <v>46</v>
      </c>
      <c r="I1848" t="s">
        <v>6472</v>
      </c>
      <c r="J1848" t="str">
        <f>HYPERLINK("http://twitter.com/hilmi10hazard")</f>
        <v>http://twitter.com/hilmi10hazard</v>
      </c>
      <c r="K1848">
        <v>1026</v>
      </c>
      <c r="L1848" t="s">
        <v>48</v>
      </c>
      <c r="N1848" t="s">
        <v>65</v>
      </c>
      <c r="R1848" t="s">
        <v>60</v>
      </c>
      <c r="W1848">
        <v>0</v>
      </c>
      <c r="X1848">
        <v>0</v>
      </c>
      <c r="AE1848">
        <v>0</v>
      </c>
      <c r="AI1848" t="s">
        <v>52</v>
      </c>
      <c r="AJ1848" t="s">
        <v>1196</v>
      </c>
      <c r="AK1848" t="s">
        <v>52</v>
      </c>
      <c r="AL1848" t="str">
        <f>HYPERLINK("https://pbs.twimg.com/media/D9xgk2YXkAAd2ql.jpg")</f>
        <v>https://pbs.twimg.com/media/D9xgk2YXkAAd2ql.jpg</v>
      </c>
      <c r="AM1848" t="s">
        <v>52</v>
      </c>
      <c r="AN1848" t="s">
        <v>53</v>
      </c>
    </row>
    <row r="1849" spans="1:40">
      <c r="A1849" t="s">
        <v>2370</v>
      </c>
      <c r="B1849" t="s">
        <v>6473</v>
      </c>
      <c r="C1849" t="s">
        <v>6474</v>
      </c>
      <c r="D1849" t="s">
        <v>52</v>
      </c>
      <c r="E1849" t="s">
        <v>526</v>
      </c>
      <c r="F1849" t="s">
        <v>131</v>
      </c>
      <c r="G1849" t="str">
        <f>HYPERLINK("https://twitter.com/207319744/status/1143146470951944193")</f>
        <v>https://twitter.com/207319744/status/1143146470951944193</v>
      </c>
      <c r="H1849" t="s">
        <v>46</v>
      </c>
      <c r="I1849" t="s">
        <v>6475</v>
      </c>
      <c r="J1849" t="str">
        <f>HYPERLINK("http://twitter.com/crcgboy")</f>
        <v>http://twitter.com/crcgboy</v>
      </c>
      <c r="K1849">
        <v>33</v>
      </c>
      <c r="L1849" t="s">
        <v>48</v>
      </c>
      <c r="N1849" t="s">
        <v>65</v>
      </c>
      <c r="R1849" t="s">
        <v>60</v>
      </c>
      <c r="W1849">
        <v>0</v>
      </c>
      <c r="X1849">
        <v>0</v>
      </c>
      <c r="AE1849">
        <v>0</v>
      </c>
      <c r="AI1849" t="s">
        <v>108</v>
      </c>
      <c r="AJ1849" t="s">
        <v>52</v>
      </c>
      <c r="AK1849" t="s">
        <v>52</v>
      </c>
      <c r="AL1849" t="str">
        <f>HYPERLINK("https://pbs.twimg.com/ext_tw_video_thumb/1141360066962100224/pu/img/5_tGc4hLFQwcD07b.jpg")</f>
        <v>https://pbs.twimg.com/ext_tw_video_thumb/1141360066962100224/pu/img/5_tGc4hLFQwcD07b.jpg</v>
      </c>
      <c r="AM1849" t="s">
        <v>52</v>
      </c>
      <c r="AN1849" t="s">
        <v>53</v>
      </c>
    </row>
    <row r="1850" spans="1:40">
      <c r="A1850" t="s">
        <v>2370</v>
      </c>
      <c r="B1850" t="s">
        <v>6473</v>
      </c>
      <c r="C1850" t="s">
        <v>6476</v>
      </c>
      <c r="D1850" t="s">
        <v>52</v>
      </c>
      <c r="E1850" t="s">
        <v>6477</v>
      </c>
      <c r="F1850" t="s">
        <v>71</v>
      </c>
      <c r="G1850" t="str">
        <f>HYPERLINK("https://twitter.com/2893473017/status/1143146386705276931")</f>
        <v>https://twitter.com/2893473017/status/1143146386705276931</v>
      </c>
      <c r="H1850" t="s">
        <v>91</v>
      </c>
      <c r="I1850" t="s">
        <v>5431</v>
      </c>
      <c r="J1850" t="str">
        <f>HYPERLINK("http://twitter.com/ZAHYAYA_")</f>
        <v>http://twitter.com/ZAHYAYA_</v>
      </c>
      <c r="K1850">
        <v>343</v>
      </c>
      <c r="N1850" t="s">
        <v>65</v>
      </c>
      <c r="R1850" t="s">
        <v>60</v>
      </c>
      <c r="W1850">
        <v>0</v>
      </c>
      <c r="X1850">
        <v>0</v>
      </c>
      <c r="AE1850">
        <v>0</v>
      </c>
      <c r="AF1850">
        <v>0</v>
      </c>
      <c r="AM1850" t="s">
        <v>52</v>
      </c>
      <c r="AN1850" t="s">
        <v>53</v>
      </c>
    </row>
    <row r="1851" spans="1:40">
      <c r="A1851" t="s">
        <v>2370</v>
      </c>
      <c r="B1851" t="s">
        <v>707</v>
      </c>
      <c r="C1851" t="s">
        <v>6478</v>
      </c>
      <c r="D1851" t="s">
        <v>52</v>
      </c>
      <c r="E1851" t="s">
        <v>6479</v>
      </c>
      <c r="F1851" t="s">
        <v>131</v>
      </c>
      <c r="G1851" t="str">
        <f>HYPERLINK("https://twitter.com/316889997/status/1143146179187892224")</f>
        <v>https://twitter.com/316889997/status/1143146179187892224</v>
      </c>
      <c r="H1851" t="s">
        <v>46</v>
      </c>
      <c r="I1851" t="s">
        <v>6480</v>
      </c>
      <c r="J1851" t="str">
        <f>HYPERLINK("http://twitter.com/DaniellTriumph")</f>
        <v>http://twitter.com/DaniellTriumph</v>
      </c>
      <c r="K1851">
        <v>745</v>
      </c>
      <c r="L1851" t="s">
        <v>48</v>
      </c>
      <c r="N1851" t="s">
        <v>65</v>
      </c>
      <c r="R1851" t="s">
        <v>60</v>
      </c>
      <c r="S1851" t="s">
        <v>444</v>
      </c>
      <c r="T1851" t="s">
        <v>1062</v>
      </c>
      <c r="W1851">
        <v>0</v>
      </c>
      <c r="X1851">
        <v>0</v>
      </c>
      <c r="AE1851">
        <v>0</v>
      </c>
      <c r="AM1851" t="s">
        <v>52</v>
      </c>
      <c r="AN1851" t="s">
        <v>53</v>
      </c>
    </row>
    <row r="1852" spans="1:40">
      <c r="A1852" t="s">
        <v>2370</v>
      </c>
      <c r="B1852" t="s">
        <v>717</v>
      </c>
      <c r="C1852" t="s">
        <v>6474</v>
      </c>
      <c r="D1852" t="s">
        <v>52</v>
      </c>
      <c r="E1852" t="s">
        <v>6481</v>
      </c>
      <c r="F1852" t="s">
        <v>45</v>
      </c>
      <c r="G1852" t="str">
        <f>HYPERLINK("https://twitter.com/223111468/status/1143145835242369024")</f>
        <v>https://twitter.com/223111468/status/1143145835242369024</v>
      </c>
      <c r="H1852" t="s">
        <v>46</v>
      </c>
      <c r="I1852" t="s">
        <v>52</v>
      </c>
      <c r="J1852" t="str">
        <f>HYPERLINK("http://twitter.com/mattiopattio")</f>
        <v>http://twitter.com/mattiopattio</v>
      </c>
      <c r="K1852">
        <v>435</v>
      </c>
      <c r="N1852" t="s">
        <v>65</v>
      </c>
      <c r="R1852" t="s">
        <v>60</v>
      </c>
      <c r="W1852">
        <v>1</v>
      </c>
      <c r="X1852">
        <v>1</v>
      </c>
      <c r="AE1852">
        <v>0</v>
      </c>
      <c r="AF1852">
        <v>0</v>
      </c>
      <c r="AM1852" t="s">
        <v>52</v>
      </c>
      <c r="AN1852" t="s">
        <v>53</v>
      </c>
    </row>
    <row r="1853" spans="1:40">
      <c r="A1853" t="s">
        <v>2370</v>
      </c>
      <c r="B1853" t="s">
        <v>721</v>
      </c>
      <c r="C1853" t="s">
        <v>6482</v>
      </c>
      <c r="D1853" t="s">
        <v>52</v>
      </c>
      <c r="E1853" t="s">
        <v>5927</v>
      </c>
      <c r="F1853" t="s">
        <v>131</v>
      </c>
      <c r="G1853" t="str">
        <f>HYPERLINK("https://twitter.com/943648520912932865/status/1143145557965361153")</f>
        <v>https://twitter.com/943648520912932865/status/1143145557965361153</v>
      </c>
      <c r="H1853" t="s">
        <v>46</v>
      </c>
      <c r="I1853" t="s">
        <v>6483</v>
      </c>
      <c r="J1853" t="str">
        <f>HYPERLINK("http://twitter.com/Payneshu0")</f>
        <v>http://twitter.com/Payneshu0</v>
      </c>
      <c r="K1853">
        <v>19</v>
      </c>
      <c r="N1853" t="s">
        <v>65</v>
      </c>
      <c r="R1853" t="s">
        <v>60</v>
      </c>
      <c r="W1853">
        <v>0</v>
      </c>
      <c r="X1853">
        <v>0</v>
      </c>
      <c r="AE1853">
        <v>0</v>
      </c>
      <c r="AM1853" t="s">
        <v>52</v>
      </c>
      <c r="AN1853" t="s">
        <v>53</v>
      </c>
    </row>
    <row r="1854" spans="1:40">
      <c r="A1854" t="s">
        <v>2370</v>
      </c>
      <c r="B1854" t="s">
        <v>6484</v>
      </c>
      <c r="C1854" t="s">
        <v>6485</v>
      </c>
      <c r="D1854" t="s">
        <v>52</v>
      </c>
      <c r="E1854" t="s">
        <v>526</v>
      </c>
      <c r="F1854" t="s">
        <v>131</v>
      </c>
      <c r="G1854" t="str">
        <f>HYPERLINK("https://twitter.com/390544976/status/1143144221639098368")</f>
        <v>https://twitter.com/390544976/status/1143144221639098368</v>
      </c>
      <c r="H1854" t="s">
        <v>46</v>
      </c>
      <c r="I1854" t="s">
        <v>6486</v>
      </c>
      <c r="J1854" t="str">
        <f>HYPERLINK("http://twitter.com/anigamboaa")</f>
        <v>http://twitter.com/anigamboaa</v>
      </c>
      <c r="K1854">
        <v>3117</v>
      </c>
      <c r="N1854" t="s">
        <v>65</v>
      </c>
      <c r="R1854" t="s">
        <v>60</v>
      </c>
      <c r="S1854" t="s">
        <v>189</v>
      </c>
      <c r="U1854" t="s">
        <v>190</v>
      </c>
      <c r="W1854">
        <v>0</v>
      </c>
      <c r="X1854">
        <v>0</v>
      </c>
      <c r="AE1854">
        <v>0</v>
      </c>
      <c r="AI1854" t="s">
        <v>108</v>
      </c>
      <c r="AJ1854" t="s">
        <v>52</v>
      </c>
      <c r="AK1854" t="s">
        <v>52</v>
      </c>
      <c r="AL1854" t="str">
        <f>HYPERLINK("https://pbs.twimg.com/ext_tw_video_thumb/1141360066962100224/pu/img/5_tGc4hLFQwcD07b.jpg")</f>
        <v>https://pbs.twimg.com/ext_tw_video_thumb/1141360066962100224/pu/img/5_tGc4hLFQwcD07b.jpg</v>
      </c>
      <c r="AM1854" t="s">
        <v>52</v>
      </c>
      <c r="AN1854" t="s">
        <v>53</v>
      </c>
    </row>
    <row r="1855" spans="1:40">
      <c r="A1855" t="s">
        <v>2370</v>
      </c>
      <c r="B1855" t="s">
        <v>6487</v>
      </c>
      <c r="C1855" t="s">
        <v>6488</v>
      </c>
      <c r="D1855" t="s">
        <v>52</v>
      </c>
      <c r="E1855" t="s">
        <v>6489</v>
      </c>
      <c r="F1855" t="s">
        <v>95</v>
      </c>
      <c r="G1855" t="str">
        <f>HYPERLINK("https://twitter.com/336877005/status/1143143691407810561")</f>
        <v>https://twitter.com/336877005/status/1143143691407810561</v>
      </c>
      <c r="H1855" t="s">
        <v>46</v>
      </c>
      <c r="I1855" t="s">
        <v>6490</v>
      </c>
      <c r="J1855" t="str">
        <f>HYPERLINK("http://twitter.com/Shroozey")</f>
        <v>http://twitter.com/Shroozey</v>
      </c>
      <c r="K1855">
        <v>133</v>
      </c>
      <c r="L1855" t="s">
        <v>48</v>
      </c>
      <c r="N1855" t="s">
        <v>65</v>
      </c>
      <c r="R1855" t="s">
        <v>60</v>
      </c>
      <c r="S1855" t="s">
        <v>51</v>
      </c>
      <c r="T1855" t="s">
        <v>1218</v>
      </c>
      <c r="U1855" t="s">
        <v>6491</v>
      </c>
      <c r="W1855">
        <v>0</v>
      </c>
      <c r="X1855">
        <v>0</v>
      </c>
      <c r="AE1855">
        <v>0</v>
      </c>
      <c r="AF1855">
        <v>0</v>
      </c>
      <c r="AM1855" t="s">
        <v>52</v>
      </c>
      <c r="AN1855" t="s">
        <v>53</v>
      </c>
    </row>
    <row r="1856" spans="1:40">
      <c r="A1856" t="s">
        <v>2370</v>
      </c>
      <c r="B1856" t="s">
        <v>6487</v>
      </c>
      <c r="C1856" t="s">
        <v>6492</v>
      </c>
      <c r="D1856" t="s">
        <v>5102</v>
      </c>
      <c r="E1856" t="s">
        <v>6493</v>
      </c>
      <c r="F1856" t="s">
        <v>45</v>
      </c>
      <c r="G1856" t="str">
        <f>HYPERLINK("https://forums.battlefield.com/en-us/discussion/188825/which-one-is-it-i-cant-see-anyone-in-bf-v-or-spotting-was-easy-mode-glad-it-is-gone/p11#Comment_1562452")</f>
        <v>https://forums.battlefield.com/en-us/discussion/188825/which-one-is-it-i-cant-see-anyone-in-bf-v-or-spotting-was-easy-mode-glad-it-is-gone/p11#Comment_1562452</v>
      </c>
      <c r="H1856" t="s">
        <v>46</v>
      </c>
      <c r="I1856" t="s">
        <v>5104</v>
      </c>
      <c r="J1856" t="str">
        <f>HYPERLINK("https://forums.battlefield.com/en-us/discussion/188825/which-one-is-it-i-cant-see-anyone-in-bf-v-or-spotting-was-easy-mode-glad-it-is-gone/p11#Comment_1562452")</f>
        <v>https://forums.battlefield.com/en-us/discussion/188825/which-one-is-it-i-cant-see-anyone-in-bf-v-or-spotting-was-easy-mode-glad-it-is-gone/p11#Comment_1562452</v>
      </c>
      <c r="N1856" t="s">
        <v>3237</v>
      </c>
      <c r="O1856" t="s">
        <v>3238</v>
      </c>
      <c r="P1856" t="str">
        <f>HYPERLINK("https://forums.battlefield.com/en-us/categories/battlefield-v-general-discussion")</f>
        <v>https://forums.battlefield.com/en-us/categories/battlefield-v-general-discussion</v>
      </c>
      <c r="R1856" t="s">
        <v>516</v>
      </c>
      <c r="S1856" t="s">
        <v>51</v>
      </c>
      <c r="AM1856" t="s">
        <v>52</v>
      </c>
      <c r="AN1856" t="s">
        <v>53</v>
      </c>
    </row>
    <row r="1857" spans="1:40">
      <c r="A1857" t="s">
        <v>2370</v>
      </c>
      <c r="B1857" t="s">
        <v>6487</v>
      </c>
      <c r="C1857" t="s">
        <v>6353</v>
      </c>
      <c r="D1857" t="s">
        <v>5102</v>
      </c>
      <c r="E1857" t="s">
        <v>6494</v>
      </c>
      <c r="F1857" t="s">
        <v>45</v>
      </c>
      <c r="G1857" t="str">
        <f>HYPERLINK("https://forums.battlefield.com/en-us/discussion/188825/which-one-is-it-i-cant-see-anyone-in-bf-v-or-spotting-was-easy-mode-glad-it-is-gone/p11")</f>
        <v>https://forums.battlefield.com/en-us/discussion/188825/which-one-is-it-i-cant-see-anyone-in-bf-v-or-spotting-was-easy-mode-glad-it-is-gone/p11</v>
      </c>
      <c r="H1857" t="s">
        <v>46</v>
      </c>
      <c r="I1857" t="s">
        <v>5104</v>
      </c>
      <c r="J1857" t="str">
        <f>HYPERLINK("https://forums.battlefield.com/en-us/discussion/188825/which-one-is-it-i-cant-see-anyone-in-bf-v-or-spotting-was-easy-mode-glad-it-is-gone/p11")</f>
        <v>https://forums.battlefield.com/en-us/discussion/188825/which-one-is-it-i-cant-see-anyone-in-bf-v-or-spotting-was-easy-mode-glad-it-is-gone/p11</v>
      </c>
      <c r="N1857" t="s">
        <v>3237</v>
      </c>
      <c r="O1857" t="s">
        <v>3238</v>
      </c>
      <c r="P1857" t="str">
        <f>HYPERLINK("https://forums.battlefield.com/en-us/categories/battlefield-v-general-discussion")</f>
        <v>https://forums.battlefield.com/en-us/categories/battlefield-v-general-discussion</v>
      </c>
      <c r="R1857" t="s">
        <v>516</v>
      </c>
      <c r="S1857" t="s">
        <v>51</v>
      </c>
      <c r="AM1857" t="s">
        <v>52</v>
      </c>
      <c r="AN1857" t="s">
        <v>53</v>
      </c>
    </row>
    <row r="1858" spans="1:40">
      <c r="A1858" t="s">
        <v>2370</v>
      </c>
      <c r="B1858" t="s">
        <v>6495</v>
      </c>
      <c r="C1858" t="s">
        <v>6496</v>
      </c>
      <c r="D1858" t="s">
        <v>6497</v>
      </c>
      <c r="E1858" t="s">
        <v>6498</v>
      </c>
      <c r="F1858" t="s">
        <v>45</v>
      </c>
      <c r="G1858" t="str">
        <f>HYPERLINK("https://cryptocoinstribune.com/as-crown-holdings-cck-valuation-rose-shareholder-brookside-capital-management-has-boosted-its-position-pepsico-pep-holder-new-mexico-educational-retirement-board-lowered-holding-by-329400-as-s")</f>
        <v>https://cryptocoinstribune.com/as-crown-holdings-cck-valuation-rose-shareholder-brookside-capital-management-has-boosted-its-position-pepsico-pep-holder-new-mexico-educational-retirement-board-lowered-holding-by-329400-as-s</v>
      </c>
      <c r="H1858" t="s">
        <v>46</v>
      </c>
      <c r="I1858" t="s">
        <v>1028</v>
      </c>
      <c r="J1858" t="str">
        <f>HYPERLINK("https://cryptocoinstribune.com")</f>
        <v>https://cryptocoinstribune.com</v>
      </c>
      <c r="N1858" t="s">
        <v>960</v>
      </c>
      <c r="R1858" t="s">
        <v>357</v>
      </c>
      <c r="S1858" t="s">
        <v>51</v>
      </c>
      <c r="AM1858" t="s">
        <v>52</v>
      </c>
      <c r="AN1858" t="s">
        <v>53</v>
      </c>
    </row>
    <row r="1859" spans="1:40">
      <c r="A1859" t="s">
        <v>2370</v>
      </c>
      <c r="B1859" t="s">
        <v>6495</v>
      </c>
      <c r="C1859" t="s">
        <v>6496</v>
      </c>
      <c r="D1859" t="s">
        <v>6499</v>
      </c>
      <c r="E1859" t="s">
        <v>6500</v>
      </c>
      <c r="F1859" t="s">
        <v>45</v>
      </c>
      <c r="G1859" t="str">
        <f>HYPERLINK("https://stocksbeat.com/2019/06/24/trending-stock-news/financial-advantage-has-increased-its-holding-in-hanesbrands-hbi-as-stock-declined-as-pepsico-pep-shares-rose-old-republic-international-has-raised-by-1-83-million-its-stake")</f>
        <v>https://stocksbeat.com/2019/06/24/trending-stock-news/financial-advantage-has-increased-its-holding-in-hanesbrands-hbi-as-stock-declined-as-pepsico-pep-shares-rose-old-republic-international-has-raised-by-1-83-million-its-stake</v>
      </c>
      <c r="H1859" t="s">
        <v>46</v>
      </c>
      <c r="I1859" t="s">
        <v>6501</v>
      </c>
      <c r="J1859" t="str">
        <f>HYPERLINK("https://stocksbeat.com/2019/06/24/trending-stock-news/financial-advantage-has-increased-its-holding-in-hanesbrands-hbi-as-stock-declined-as-pepsico-pep-shares-rose-old-republic-international-has-raised-by-1-83-million-its-stake/")</f>
        <v>https://stocksbeat.com/2019/06/24/trending-stock-news/financial-advantage-has-increased-its-holding-in-hanesbrands-hbi-as-stock-declined-as-pepsico-pep-shares-rose-old-republic-international-has-raised-by-1-83-million-its-stake/</v>
      </c>
      <c r="N1859" t="s">
        <v>6502</v>
      </c>
      <c r="R1859" t="s">
        <v>357</v>
      </c>
      <c r="S1859" t="s">
        <v>51</v>
      </c>
      <c r="AI1859" t="s">
        <v>52</v>
      </c>
      <c r="AJ1859" t="s">
        <v>52</v>
      </c>
      <c r="AK1859" t="s">
        <v>52</v>
      </c>
      <c r="AL1859" t="str">
        <f>HYPERLINK("https://stocksbeat.com/wp-content/uploads/logos/Logos/PEP.png")</f>
        <v>https://stocksbeat.com/wp-content/uploads/logos/Logos/PEP.png</v>
      </c>
      <c r="AM1859" t="s">
        <v>52</v>
      </c>
      <c r="AN1859" t="s">
        <v>53</v>
      </c>
    </row>
    <row r="1860" spans="1:40">
      <c r="A1860" t="s">
        <v>2370</v>
      </c>
      <c r="B1860" t="s">
        <v>6503</v>
      </c>
      <c r="C1860" t="s">
        <v>2998</v>
      </c>
      <c r="D1860" t="s">
        <v>52</v>
      </c>
      <c r="E1860" t="s">
        <v>6504</v>
      </c>
      <c r="F1860" t="s">
        <v>45</v>
      </c>
      <c r="G1860" t="str">
        <f>HYPERLINK("https://www.facebook.com/271798546136/posts/10156741516441137")</f>
        <v>https://www.facebook.com/271798546136/posts/10156741516441137</v>
      </c>
      <c r="H1860" t="s">
        <v>46</v>
      </c>
      <c r="I1860" t="s">
        <v>108</v>
      </c>
      <c r="J1860" t="str">
        <f>HYPERLINK("https://www.facebook.com/271798546136")</f>
        <v>https://www.facebook.com/271798546136</v>
      </c>
      <c r="K1860">
        <v>16726171</v>
      </c>
      <c r="L1860" t="s">
        <v>651</v>
      </c>
      <c r="N1860" t="s">
        <v>1792</v>
      </c>
      <c r="O1860" t="s">
        <v>108</v>
      </c>
      <c r="P1860" t="str">
        <f>HYPERLINK("https://www.facebook.com/271798546136")</f>
        <v>https://www.facebook.com/271798546136</v>
      </c>
      <c r="Q1860">
        <v>16726171</v>
      </c>
      <c r="R1860" t="s">
        <v>60</v>
      </c>
      <c r="S1860" t="s">
        <v>1071</v>
      </c>
      <c r="W1860">
        <v>3</v>
      </c>
      <c r="X1860">
        <v>3</v>
      </c>
      <c r="Y1860">
        <v>0</v>
      </c>
      <c r="Z1860">
        <v>0</v>
      </c>
      <c r="AA1860">
        <v>0</v>
      </c>
      <c r="AB1860">
        <v>0</v>
      </c>
      <c r="AC1860">
        <v>0</v>
      </c>
      <c r="AE1860">
        <v>0</v>
      </c>
      <c r="AF1860">
        <v>0</v>
      </c>
      <c r="AI1860" t="s">
        <v>108</v>
      </c>
      <c r="AJ1860" t="s">
        <v>52</v>
      </c>
      <c r="AK1860" t="s">
        <v>3462</v>
      </c>
      <c r="AL1860" t="s">
        <v>6505</v>
      </c>
      <c r="AM1860" t="s">
        <v>52</v>
      </c>
      <c r="AN1860" t="s">
        <v>53</v>
      </c>
    </row>
    <row r="1861" spans="1:40">
      <c r="A1861" t="s">
        <v>2370</v>
      </c>
      <c r="B1861" t="s">
        <v>734</v>
      </c>
      <c r="C1861" t="s">
        <v>6496</v>
      </c>
      <c r="D1861" t="s">
        <v>6506</v>
      </c>
      <c r="E1861" t="s">
        <v>6507</v>
      </c>
      <c r="F1861" t="s">
        <v>45</v>
      </c>
      <c r="G1861" t="str">
        <f>HYPERLINK("https://www.youtube.com/watch?v=HD5F65G68Dk")</f>
        <v>https://www.youtube.com/watch?v=HD5F65G68Dk</v>
      </c>
      <c r="H1861" t="s">
        <v>215</v>
      </c>
      <c r="I1861" t="s">
        <v>6508</v>
      </c>
      <c r="J1861" t="str">
        <f>HYPERLINK("https://www.youtube.com/channel/UC_Po8rLC3cqKOIzDNnFbxhQ")</f>
        <v>https://www.youtube.com/channel/UC_Po8rLC3cqKOIzDNnFbxhQ</v>
      </c>
      <c r="K1861">
        <v>23</v>
      </c>
      <c r="N1861" t="s">
        <v>116</v>
      </c>
      <c r="O1861" t="s">
        <v>6508</v>
      </c>
      <c r="P1861" t="str">
        <f>HYPERLINK("https://www.youtube.com/channel/UC_Po8rLC3cqKOIzDNnFbxhQ")</f>
        <v>https://www.youtube.com/channel/UC_Po8rLC3cqKOIzDNnFbxhQ</v>
      </c>
      <c r="Q1861">
        <v>23</v>
      </c>
      <c r="R1861" t="s">
        <v>60</v>
      </c>
      <c r="W1861">
        <v>4</v>
      </c>
      <c r="X1861">
        <v>4</v>
      </c>
      <c r="AD1861">
        <v>0</v>
      </c>
      <c r="AE1861">
        <v>1</v>
      </c>
      <c r="AG1861">
        <v>35</v>
      </c>
      <c r="AI1861" t="s">
        <v>52</v>
      </c>
      <c r="AJ1861" t="s">
        <v>3336</v>
      </c>
      <c r="AK1861" t="s">
        <v>52</v>
      </c>
      <c r="AL1861" t="str">
        <f>HYPERLINK("https://i.ytimg.com/vi/HD5F65G68Dk/hqdefault.jpg")</f>
        <v>https://i.ytimg.com/vi/HD5F65G68Dk/hqdefault.jpg</v>
      </c>
      <c r="AM1861" t="s">
        <v>52</v>
      </c>
      <c r="AN1861" t="s">
        <v>53</v>
      </c>
    </row>
    <row r="1862" spans="1:40">
      <c r="A1862" t="s">
        <v>2370</v>
      </c>
      <c r="B1862" t="s">
        <v>747</v>
      </c>
      <c r="C1862" t="s">
        <v>6509</v>
      </c>
      <c r="D1862" t="s">
        <v>52</v>
      </c>
      <c r="E1862" t="s">
        <v>3411</v>
      </c>
      <c r="F1862" t="s">
        <v>131</v>
      </c>
      <c r="G1862" t="str">
        <f>HYPERLINK("https://twitter.com/557443539/status/1143142547075817475")</f>
        <v>https://twitter.com/557443539/status/1143142547075817475</v>
      </c>
      <c r="H1862" t="s">
        <v>46</v>
      </c>
      <c r="I1862" t="s">
        <v>6510</v>
      </c>
      <c r="J1862" t="str">
        <f>HYPERLINK("http://twitter.com/EmissaryKerry")</f>
        <v>http://twitter.com/EmissaryKerry</v>
      </c>
      <c r="K1862">
        <v>18783</v>
      </c>
      <c r="N1862" t="s">
        <v>65</v>
      </c>
      <c r="R1862" t="s">
        <v>60</v>
      </c>
      <c r="S1862" t="s">
        <v>51</v>
      </c>
      <c r="T1862" t="s">
        <v>3267</v>
      </c>
      <c r="U1862" t="s">
        <v>4188</v>
      </c>
      <c r="W1862">
        <v>0</v>
      </c>
      <c r="X1862">
        <v>0</v>
      </c>
      <c r="AE1862">
        <v>0</v>
      </c>
      <c r="AM1862" t="s">
        <v>52</v>
      </c>
      <c r="AN1862" t="s">
        <v>53</v>
      </c>
    </row>
    <row r="1863" spans="1:40">
      <c r="A1863" t="s">
        <v>2370</v>
      </c>
      <c r="B1863" t="s">
        <v>6511</v>
      </c>
      <c r="C1863" t="s">
        <v>4764</v>
      </c>
      <c r="D1863" t="s">
        <v>52</v>
      </c>
      <c r="E1863" t="s">
        <v>6512</v>
      </c>
      <c r="F1863" t="s">
        <v>45</v>
      </c>
      <c r="G1863" t="str">
        <f>HYPERLINK("https://www.facebook.com/121461337922976/posts/2223146144421141")</f>
        <v>https://www.facebook.com/121461337922976/posts/2223146144421141</v>
      </c>
      <c r="H1863" t="s">
        <v>46</v>
      </c>
      <c r="I1863" t="s">
        <v>6513</v>
      </c>
      <c r="J1863" t="str">
        <f>HYPERLINK("https://www.facebook.com/121461337922976")</f>
        <v>https://www.facebook.com/121461337922976</v>
      </c>
      <c r="K1863">
        <v>83554</v>
      </c>
      <c r="L1863" t="s">
        <v>651</v>
      </c>
      <c r="N1863" t="s">
        <v>1792</v>
      </c>
      <c r="O1863" t="s">
        <v>6513</v>
      </c>
      <c r="P1863" t="str">
        <f>HYPERLINK("https://www.facebook.com/121461337922976")</f>
        <v>https://www.facebook.com/121461337922976</v>
      </c>
      <c r="Q1863">
        <v>83554</v>
      </c>
      <c r="R1863" t="s">
        <v>60</v>
      </c>
      <c r="W1863">
        <v>12</v>
      </c>
      <c r="X1863">
        <v>11</v>
      </c>
      <c r="Y1863">
        <v>1</v>
      </c>
      <c r="Z1863">
        <v>0</v>
      </c>
      <c r="AA1863">
        <v>0</v>
      </c>
      <c r="AB1863">
        <v>0</v>
      </c>
      <c r="AC1863">
        <v>0</v>
      </c>
      <c r="AE1863">
        <v>0</v>
      </c>
      <c r="AF1863">
        <v>2</v>
      </c>
      <c r="AI1863" t="s">
        <v>4133</v>
      </c>
      <c r="AJ1863" t="s">
        <v>1853</v>
      </c>
      <c r="AK1863" t="s">
        <v>52</v>
      </c>
      <c r="AL1863" t="str">
        <f>HYPERLINK("https://scontent.xx.fbcdn.net/v/t1.0-9/p720x720/65024280_2223144031088019_1280401889208303616_o.jpg?_nc_cat=108&amp;_nc_oc=AQmHLkFqFGI0RixViq1lyqyktbB5PTZ5p1NcohlAqegSCU1s5OAiKvYWLDcZG2xGwks&amp;_nc_ht=scontent.xx&amp;oh=e577d0425cb2fff13ebb3853cacc2e8f&amp;oe=5D8C07B2")</f>
        <v>https://scontent.xx.fbcdn.net/v/t1.0-9/p720x720/65024280_2223144031088019_1280401889208303616_o.jpg?_nc_cat=108&amp;_nc_oc=AQmHLkFqFGI0RixViq1lyqyktbB5PTZ5p1NcohlAqegSCU1s5OAiKvYWLDcZG2xGwks&amp;_nc_ht=scontent.xx&amp;oh=e577d0425cb2fff13ebb3853cacc2e8f&amp;oe=5D8C07B2</v>
      </c>
      <c r="AM1863" t="s">
        <v>52</v>
      </c>
      <c r="AN1863" t="s">
        <v>53</v>
      </c>
    </row>
    <row r="1864" spans="1:40">
      <c r="A1864" t="s">
        <v>2370</v>
      </c>
      <c r="B1864" t="s">
        <v>752</v>
      </c>
      <c r="C1864" t="s">
        <v>6514</v>
      </c>
      <c r="D1864" t="s">
        <v>52</v>
      </c>
      <c r="E1864" t="s">
        <v>130</v>
      </c>
      <c r="F1864" t="s">
        <v>131</v>
      </c>
      <c r="G1864" t="str">
        <f>HYPERLINK("https://twitter.com/20594913/status/1143142019927281664")</f>
        <v>https://twitter.com/20594913/status/1143142019927281664</v>
      </c>
      <c r="H1864" t="s">
        <v>46</v>
      </c>
      <c r="I1864" t="s">
        <v>6515</v>
      </c>
      <c r="J1864" t="str">
        <f>HYPERLINK("http://twitter.com/NatalieHelen")</f>
        <v>http://twitter.com/NatalieHelen</v>
      </c>
      <c r="K1864">
        <v>231</v>
      </c>
      <c r="L1864" t="s">
        <v>58</v>
      </c>
      <c r="N1864" t="s">
        <v>65</v>
      </c>
      <c r="R1864" t="s">
        <v>60</v>
      </c>
      <c r="S1864" t="s">
        <v>97</v>
      </c>
      <c r="T1864" t="s">
        <v>177</v>
      </c>
      <c r="U1864" t="s">
        <v>6516</v>
      </c>
      <c r="W1864">
        <v>0</v>
      </c>
      <c r="X1864">
        <v>0</v>
      </c>
      <c r="AE1864">
        <v>0</v>
      </c>
      <c r="AI1864" t="s">
        <v>108</v>
      </c>
      <c r="AJ1864" t="s">
        <v>52</v>
      </c>
      <c r="AK1864" t="s">
        <v>52</v>
      </c>
      <c r="AL1864" t="str">
        <f>HYPERLINK("https://pbs.twimg.com/media/D9XTkLWW4AAOYnJ.jpg")</f>
        <v>https://pbs.twimg.com/media/D9XTkLWW4AAOYnJ.jpg</v>
      </c>
      <c r="AM1864" t="s">
        <v>52</v>
      </c>
      <c r="AN1864" t="s">
        <v>53</v>
      </c>
    </row>
    <row r="1865" spans="1:40">
      <c r="A1865" t="s">
        <v>2370</v>
      </c>
      <c r="B1865" t="s">
        <v>766</v>
      </c>
      <c r="C1865" t="s">
        <v>6517</v>
      </c>
      <c r="D1865" t="s">
        <v>52</v>
      </c>
      <c r="E1865" t="s">
        <v>130</v>
      </c>
      <c r="F1865" t="s">
        <v>131</v>
      </c>
      <c r="G1865" t="str">
        <f>HYPERLINK("https://twitter.com/882464576834555904/status/1143141683430924289")</f>
        <v>https://twitter.com/882464576834555904/status/1143141683430924289</v>
      </c>
      <c r="H1865" t="s">
        <v>46</v>
      </c>
      <c r="I1865" t="s">
        <v>6518</v>
      </c>
      <c r="J1865" t="str">
        <f>HYPERLINK("http://twitter.com/bobblemummy")</f>
        <v>http://twitter.com/bobblemummy</v>
      </c>
      <c r="K1865">
        <v>218</v>
      </c>
      <c r="N1865" t="s">
        <v>65</v>
      </c>
      <c r="R1865" t="s">
        <v>60</v>
      </c>
      <c r="S1865" t="s">
        <v>97</v>
      </c>
      <c r="T1865" t="s">
        <v>177</v>
      </c>
      <c r="U1865" t="s">
        <v>1559</v>
      </c>
      <c r="W1865">
        <v>0</v>
      </c>
      <c r="X1865">
        <v>0</v>
      </c>
      <c r="AE1865">
        <v>0</v>
      </c>
      <c r="AI1865" t="s">
        <v>108</v>
      </c>
      <c r="AJ1865" t="s">
        <v>52</v>
      </c>
      <c r="AK1865" t="s">
        <v>52</v>
      </c>
      <c r="AL1865" t="str">
        <f>HYPERLINK("https://pbs.twimg.com/media/D9XTkLWW4AAOYnJ.jpg")</f>
        <v>https://pbs.twimg.com/media/D9XTkLWW4AAOYnJ.jpg</v>
      </c>
      <c r="AM1865" t="s">
        <v>52</v>
      </c>
      <c r="AN1865" t="s">
        <v>53</v>
      </c>
    </row>
    <row r="1866" spans="1:40">
      <c r="A1866" t="s">
        <v>2370</v>
      </c>
      <c r="B1866" t="s">
        <v>766</v>
      </c>
      <c r="C1866" t="s">
        <v>6519</v>
      </c>
      <c r="D1866" t="s">
        <v>52</v>
      </c>
      <c r="E1866" t="s">
        <v>3503</v>
      </c>
      <c r="F1866" t="s">
        <v>71</v>
      </c>
      <c r="G1866" t="str">
        <f>HYPERLINK("https://twitter.com/719286308439506944/status/1143141635125129216")</f>
        <v>https://twitter.com/719286308439506944/status/1143141635125129216</v>
      </c>
      <c r="H1866" t="s">
        <v>46</v>
      </c>
      <c r="I1866" t="s">
        <v>6520</v>
      </c>
      <c r="J1866" t="str">
        <f>HYPERLINK("http://twitter.com/Genr1cName")</f>
        <v>http://twitter.com/Genr1cName</v>
      </c>
      <c r="K1866">
        <v>275</v>
      </c>
      <c r="N1866" t="s">
        <v>65</v>
      </c>
      <c r="R1866" t="s">
        <v>60</v>
      </c>
      <c r="W1866">
        <v>0</v>
      </c>
      <c r="X1866">
        <v>0</v>
      </c>
      <c r="AE1866">
        <v>0</v>
      </c>
      <c r="AF1866">
        <v>0</v>
      </c>
      <c r="AI1866" t="s">
        <v>108</v>
      </c>
      <c r="AJ1866" t="s">
        <v>52</v>
      </c>
      <c r="AK1866" t="s">
        <v>52</v>
      </c>
      <c r="AL1866" t="str">
        <f>HYPERLINK("https://pbs.twimg.com/tweet_video_thumb/D9hvNNzXUAATAS3.jpg")</f>
        <v>https://pbs.twimg.com/tweet_video_thumb/D9hvNNzXUAATAS3.jpg</v>
      </c>
      <c r="AM1866" t="s">
        <v>52</v>
      </c>
      <c r="AN1866" t="s">
        <v>53</v>
      </c>
    </row>
    <row r="1867" spans="1:40">
      <c r="A1867" t="s">
        <v>2370</v>
      </c>
      <c r="B1867" t="s">
        <v>766</v>
      </c>
      <c r="C1867" t="s">
        <v>6514</v>
      </c>
      <c r="D1867" t="s">
        <v>52</v>
      </c>
      <c r="E1867" t="s">
        <v>6521</v>
      </c>
      <c r="F1867" t="s">
        <v>95</v>
      </c>
      <c r="G1867" t="str">
        <f>HYPERLINK("https://twitter.com/196906041/status/1143141605270069249")</f>
        <v>https://twitter.com/196906041/status/1143141605270069249</v>
      </c>
      <c r="H1867" t="s">
        <v>46</v>
      </c>
      <c r="I1867" t="s">
        <v>6522</v>
      </c>
      <c r="J1867" t="str">
        <f>HYPERLINK("http://twitter.com/Cnovasosa")</f>
        <v>http://twitter.com/Cnovasosa</v>
      </c>
      <c r="K1867">
        <v>10711</v>
      </c>
      <c r="N1867" t="s">
        <v>65</v>
      </c>
      <c r="R1867" t="s">
        <v>60</v>
      </c>
      <c r="S1867" t="s">
        <v>3036</v>
      </c>
      <c r="T1867" t="s">
        <v>6523</v>
      </c>
      <c r="U1867" t="s">
        <v>6524</v>
      </c>
      <c r="W1867">
        <v>2</v>
      </c>
      <c r="X1867">
        <v>2</v>
      </c>
      <c r="AE1867">
        <v>0</v>
      </c>
      <c r="AF1867">
        <v>0</v>
      </c>
      <c r="AM1867" t="s">
        <v>52</v>
      </c>
      <c r="AN1867" t="s">
        <v>53</v>
      </c>
    </row>
    <row r="1868" spans="1:40">
      <c r="A1868" t="s">
        <v>2370</v>
      </c>
      <c r="B1868" t="s">
        <v>766</v>
      </c>
      <c r="C1868" t="s">
        <v>6525</v>
      </c>
      <c r="D1868" t="s">
        <v>52</v>
      </c>
      <c r="E1868" t="s">
        <v>130</v>
      </c>
      <c r="F1868" t="s">
        <v>131</v>
      </c>
      <c r="G1868" t="str">
        <f>HYPERLINK("https://twitter.com/61295365/status/1143141539947982848")</f>
        <v>https://twitter.com/61295365/status/1143141539947982848</v>
      </c>
      <c r="H1868" t="s">
        <v>46</v>
      </c>
      <c r="I1868" t="s">
        <v>6526</v>
      </c>
      <c r="J1868" t="str">
        <f>HYPERLINK("http://twitter.com/carmeltassie")</f>
        <v>http://twitter.com/carmeltassie</v>
      </c>
      <c r="K1868">
        <v>735</v>
      </c>
      <c r="N1868" t="s">
        <v>65</v>
      </c>
      <c r="R1868" t="s">
        <v>60</v>
      </c>
      <c r="W1868">
        <v>0</v>
      </c>
      <c r="X1868">
        <v>0</v>
      </c>
      <c r="AE1868">
        <v>0</v>
      </c>
      <c r="AI1868" t="s">
        <v>108</v>
      </c>
      <c r="AJ1868" t="s">
        <v>52</v>
      </c>
      <c r="AK1868" t="s">
        <v>52</v>
      </c>
      <c r="AL1868" t="str">
        <f>HYPERLINK("https://pbs.twimg.com/media/D9XTkLWW4AAOYnJ.jpg")</f>
        <v>https://pbs.twimg.com/media/D9XTkLWW4AAOYnJ.jpg</v>
      </c>
      <c r="AM1868" t="s">
        <v>52</v>
      </c>
      <c r="AN1868" t="s">
        <v>53</v>
      </c>
    </row>
    <row r="1869" spans="1:40">
      <c r="A1869" t="s">
        <v>2370</v>
      </c>
      <c r="B1869" t="s">
        <v>766</v>
      </c>
      <c r="C1869" t="s">
        <v>6525</v>
      </c>
      <c r="D1869" t="s">
        <v>52</v>
      </c>
      <c r="E1869" t="s">
        <v>1194</v>
      </c>
      <c r="F1869" t="s">
        <v>131</v>
      </c>
      <c r="G1869" t="str">
        <f>HYPERLINK("https://twitter.com/1021630987187494913/status/1143141532335312896")</f>
        <v>https://twitter.com/1021630987187494913/status/1143141532335312896</v>
      </c>
      <c r="H1869" t="s">
        <v>46</v>
      </c>
      <c r="I1869" t="s">
        <v>6527</v>
      </c>
      <c r="J1869" t="str">
        <f>HYPERLINK("http://twitter.com/yapantslizard")</f>
        <v>http://twitter.com/yapantslizard</v>
      </c>
      <c r="K1869">
        <v>8</v>
      </c>
      <c r="N1869" t="s">
        <v>65</v>
      </c>
      <c r="R1869" t="s">
        <v>60</v>
      </c>
      <c r="W1869">
        <v>0</v>
      </c>
      <c r="X1869">
        <v>0</v>
      </c>
      <c r="AE1869">
        <v>0</v>
      </c>
      <c r="AI1869" t="s">
        <v>52</v>
      </c>
      <c r="AJ1869" t="s">
        <v>1196</v>
      </c>
      <c r="AK1869" t="s">
        <v>52</v>
      </c>
      <c r="AL1869" t="str">
        <f>HYPERLINK("https://pbs.twimg.com/media/D9xgk2YXkAAd2ql.jpg")</f>
        <v>https://pbs.twimg.com/media/D9xgk2YXkAAd2ql.jpg</v>
      </c>
      <c r="AM1869" t="s">
        <v>52</v>
      </c>
      <c r="AN1869" t="s">
        <v>53</v>
      </c>
    </row>
    <row r="1870" spans="1:40">
      <c r="A1870" t="s">
        <v>2370</v>
      </c>
      <c r="B1870" t="s">
        <v>6528</v>
      </c>
      <c r="C1870" t="s">
        <v>6514</v>
      </c>
      <c r="D1870" t="s">
        <v>52</v>
      </c>
      <c r="E1870" t="s">
        <v>5128</v>
      </c>
      <c r="F1870" t="s">
        <v>131</v>
      </c>
      <c r="G1870" t="str">
        <f>HYPERLINK("https://twitter.com/937817215700783104/status/1143141432531795968")</f>
        <v>https://twitter.com/937817215700783104/status/1143141432531795968</v>
      </c>
      <c r="H1870" t="s">
        <v>46</v>
      </c>
      <c r="I1870" t="s">
        <v>6529</v>
      </c>
      <c r="J1870" t="str">
        <f>HYPERLINK("http://twitter.com/Bonzz04")</f>
        <v>http://twitter.com/Bonzz04</v>
      </c>
      <c r="K1870">
        <v>15649</v>
      </c>
      <c r="N1870" t="s">
        <v>65</v>
      </c>
      <c r="R1870" t="s">
        <v>60</v>
      </c>
      <c r="S1870" t="s">
        <v>1071</v>
      </c>
      <c r="W1870">
        <v>0</v>
      </c>
      <c r="X1870">
        <v>0</v>
      </c>
      <c r="AE1870">
        <v>0</v>
      </c>
      <c r="AI1870" t="s">
        <v>52</v>
      </c>
      <c r="AJ1870" t="s">
        <v>5130</v>
      </c>
      <c r="AK1870" t="s">
        <v>52</v>
      </c>
      <c r="AL1870" t="str">
        <f>HYPERLINK("https://pbs.twimg.com/media/D91AXfmXoAE6StK.jpg")</f>
        <v>https://pbs.twimg.com/media/D91AXfmXoAE6StK.jpg</v>
      </c>
      <c r="AM1870" t="s">
        <v>52</v>
      </c>
      <c r="AN1870" t="s">
        <v>53</v>
      </c>
    </row>
    <row r="1871" spans="1:40">
      <c r="A1871" t="s">
        <v>2370</v>
      </c>
      <c r="B1871" t="s">
        <v>6528</v>
      </c>
      <c r="C1871" t="s">
        <v>6530</v>
      </c>
      <c r="D1871" t="s">
        <v>52</v>
      </c>
      <c r="E1871" t="s">
        <v>5128</v>
      </c>
      <c r="F1871" t="s">
        <v>131</v>
      </c>
      <c r="G1871" t="str">
        <f>HYPERLINK("https://twitter.com/1020989846985338880/status/1143141404018991104")</f>
        <v>https://twitter.com/1020989846985338880/status/1143141404018991104</v>
      </c>
      <c r="H1871" t="s">
        <v>46</v>
      </c>
      <c r="I1871" t="s">
        <v>6531</v>
      </c>
      <c r="J1871" t="str">
        <f>HYPERLINK("http://twitter.com/MafaloJorge")</f>
        <v>http://twitter.com/MafaloJorge</v>
      </c>
      <c r="K1871">
        <v>15523</v>
      </c>
      <c r="L1871" t="s">
        <v>48</v>
      </c>
      <c r="N1871" t="s">
        <v>65</v>
      </c>
      <c r="R1871" t="s">
        <v>60</v>
      </c>
      <c r="S1871" t="s">
        <v>387</v>
      </c>
      <c r="T1871" t="s">
        <v>2251</v>
      </c>
      <c r="U1871" t="s">
        <v>6532</v>
      </c>
      <c r="W1871">
        <v>0</v>
      </c>
      <c r="X1871">
        <v>0</v>
      </c>
      <c r="AE1871">
        <v>0</v>
      </c>
      <c r="AI1871" t="s">
        <v>52</v>
      </c>
      <c r="AJ1871" t="s">
        <v>5130</v>
      </c>
      <c r="AK1871" t="s">
        <v>52</v>
      </c>
      <c r="AL1871" t="str">
        <f>HYPERLINK("https://pbs.twimg.com/media/D91AXfmXoAE6StK.jpg")</f>
        <v>https://pbs.twimg.com/media/D91AXfmXoAE6StK.jpg</v>
      </c>
      <c r="AM1871" t="s">
        <v>52</v>
      </c>
      <c r="AN1871" t="s">
        <v>53</v>
      </c>
    </row>
    <row r="1872" spans="1:40">
      <c r="A1872" t="s">
        <v>2370</v>
      </c>
      <c r="B1872" t="s">
        <v>6528</v>
      </c>
      <c r="C1872" t="s">
        <v>6125</v>
      </c>
      <c r="D1872" t="s">
        <v>52</v>
      </c>
      <c r="E1872" t="s">
        <v>6533</v>
      </c>
      <c r="F1872" t="s">
        <v>45</v>
      </c>
      <c r="G1872" t="str">
        <f>HYPERLINK("https://telegram.me/charlapokegoleon/119900")</f>
        <v>https://telegram.me/charlapokegoleon/119900</v>
      </c>
      <c r="H1872" t="s">
        <v>46</v>
      </c>
      <c r="I1872" t="s">
        <v>6534</v>
      </c>
      <c r="J1872" t="str">
        <f>HYPERLINK("https://telegram.me/kaossss")</f>
        <v>https://telegram.me/kaossss</v>
      </c>
      <c r="N1872" t="s">
        <v>4242</v>
      </c>
      <c r="O1872" t="s">
        <v>6535</v>
      </c>
      <c r="P1872" t="str">
        <f>HYPERLINK("https://telegram.me/charlapokegoleon")</f>
        <v>https://telegram.me/charlapokegoleon</v>
      </c>
      <c r="Q1872">
        <v>653</v>
      </c>
      <c r="R1872" t="s">
        <v>4244</v>
      </c>
      <c r="AM1872" t="s">
        <v>52</v>
      </c>
      <c r="AN1872" t="s">
        <v>53</v>
      </c>
    </row>
    <row r="1873" spans="1:40">
      <c r="A1873" t="s">
        <v>2370</v>
      </c>
      <c r="B1873" t="s">
        <v>770</v>
      </c>
      <c r="C1873" t="s">
        <v>6125</v>
      </c>
      <c r="D1873" t="s">
        <v>6536</v>
      </c>
      <c r="E1873" t="s">
        <v>6537</v>
      </c>
      <c r="F1873" t="s">
        <v>95</v>
      </c>
      <c r="G1873" t="str">
        <f>HYPERLINK("https://telegram.me/charlapokegoleon/119898")</f>
        <v>https://telegram.me/charlapokegoleon/119898</v>
      </c>
      <c r="H1873" t="s">
        <v>46</v>
      </c>
      <c r="I1873" t="s">
        <v>6534</v>
      </c>
      <c r="J1873" t="str">
        <f>HYPERLINK("https://telegram.me/kaossss")</f>
        <v>https://telegram.me/kaossss</v>
      </c>
      <c r="N1873" t="s">
        <v>4242</v>
      </c>
      <c r="O1873" t="s">
        <v>6535</v>
      </c>
      <c r="P1873" t="str">
        <f>HYPERLINK("https://telegram.me/charlapokegoleon")</f>
        <v>https://telegram.me/charlapokegoleon</v>
      </c>
      <c r="Q1873">
        <v>653</v>
      </c>
      <c r="R1873" t="s">
        <v>4244</v>
      </c>
      <c r="AM1873" t="s">
        <v>52</v>
      </c>
      <c r="AN1873" t="s">
        <v>53</v>
      </c>
    </row>
    <row r="1874" spans="1:40">
      <c r="A1874" t="s">
        <v>2370</v>
      </c>
      <c r="B1874" t="s">
        <v>770</v>
      </c>
      <c r="C1874" t="s">
        <v>6125</v>
      </c>
      <c r="D1874" t="s">
        <v>6536</v>
      </c>
      <c r="E1874" t="s">
        <v>6537</v>
      </c>
      <c r="F1874" t="s">
        <v>95</v>
      </c>
      <c r="G1874" t="str">
        <f>HYPERLINK("https://telegram.me/charlapokegoleon/119897")</f>
        <v>https://telegram.me/charlapokegoleon/119897</v>
      </c>
      <c r="H1874" t="s">
        <v>46</v>
      </c>
      <c r="I1874" t="s">
        <v>6534</v>
      </c>
      <c r="J1874" t="str">
        <f>HYPERLINK("https://telegram.me/kaossss")</f>
        <v>https://telegram.me/kaossss</v>
      </c>
      <c r="N1874" t="s">
        <v>4242</v>
      </c>
      <c r="O1874" t="s">
        <v>6535</v>
      </c>
      <c r="P1874" t="str">
        <f>HYPERLINK("https://telegram.me/charlapokegoleon")</f>
        <v>https://telegram.me/charlapokegoleon</v>
      </c>
      <c r="Q1874">
        <v>653</v>
      </c>
      <c r="R1874" t="s">
        <v>4244</v>
      </c>
      <c r="AM1874" t="s">
        <v>52</v>
      </c>
      <c r="AN1874" t="s">
        <v>53</v>
      </c>
    </row>
    <row r="1875" spans="1:40">
      <c r="A1875" t="s">
        <v>2370</v>
      </c>
      <c r="B1875" t="s">
        <v>779</v>
      </c>
      <c r="C1875" t="s">
        <v>6538</v>
      </c>
      <c r="D1875" t="s">
        <v>52</v>
      </c>
      <c r="E1875" t="s">
        <v>6539</v>
      </c>
      <c r="F1875" t="s">
        <v>45</v>
      </c>
      <c r="G1875" t="str">
        <f>HYPERLINK("https://twitter.com/763859284690104320/status/1143140875326955520")</f>
        <v>https://twitter.com/763859284690104320/status/1143140875326955520</v>
      </c>
      <c r="H1875" t="s">
        <v>46</v>
      </c>
      <c r="I1875" t="s">
        <v>6540</v>
      </c>
      <c r="J1875" t="str">
        <f>HYPERLINK("http://twitter.com/pogoheadlines")</f>
        <v>http://twitter.com/pogoheadlines</v>
      </c>
      <c r="K1875">
        <v>43</v>
      </c>
      <c r="N1875" t="s">
        <v>65</v>
      </c>
      <c r="R1875" t="s">
        <v>60</v>
      </c>
      <c r="S1875" t="s">
        <v>51</v>
      </c>
      <c r="T1875" t="s">
        <v>1218</v>
      </c>
      <c r="U1875" t="s">
        <v>6541</v>
      </c>
      <c r="W1875">
        <v>0</v>
      </c>
      <c r="X1875">
        <v>0</v>
      </c>
      <c r="AE1875">
        <v>0</v>
      </c>
      <c r="AF1875">
        <v>0</v>
      </c>
      <c r="AM1875" t="s">
        <v>52</v>
      </c>
      <c r="AN1875" t="s">
        <v>53</v>
      </c>
    </row>
    <row r="1876" spans="1:40">
      <c r="A1876" t="s">
        <v>2370</v>
      </c>
      <c r="B1876" t="s">
        <v>779</v>
      </c>
      <c r="C1876" t="s">
        <v>6538</v>
      </c>
      <c r="D1876" t="s">
        <v>52</v>
      </c>
      <c r="E1876" t="s">
        <v>1900</v>
      </c>
      <c r="F1876" t="s">
        <v>131</v>
      </c>
      <c r="G1876" t="str">
        <f>HYPERLINK("https://twitter.com/1100639751516778499/status/1143140818833690624")</f>
        <v>https://twitter.com/1100639751516778499/status/1143140818833690624</v>
      </c>
      <c r="H1876" t="s">
        <v>46</v>
      </c>
      <c r="I1876" t="s">
        <v>6542</v>
      </c>
      <c r="J1876" t="str">
        <f>HYPERLINK("http://twitter.com/wdPHNIj0J4V1sVY")</f>
        <v>http://twitter.com/wdPHNIj0J4V1sVY</v>
      </c>
      <c r="K1876">
        <v>21</v>
      </c>
      <c r="N1876" t="s">
        <v>65</v>
      </c>
      <c r="R1876" t="s">
        <v>60</v>
      </c>
      <c r="W1876">
        <v>0</v>
      </c>
      <c r="X1876">
        <v>0</v>
      </c>
      <c r="AE1876">
        <v>0</v>
      </c>
      <c r="AI1876" t="s">
        <v>52</v>
      </c>
      <c r="AJ1876" t="s">
        <v>1901</v>
      </c>
      <c r="AK1876" t="s">
        <v>52</v>
      </c>
      <c r="AL1876" t="str">
        <f>HYPERLINK("https://pbs.twimg.com/media/D9zbTcxVAAADaUG.jpg")</f>
        <v>https://pbs.twimg.com/media/D9zbTcxVAAADaUG.jpg</v>
      </c>
      <c r="AM1876" t="s">
        <v>52</v>
      </c>
      <c r="AN1876" t="s">
        <v>53</v>
      </c>
    </row>
    <row r="1877" spans="1:40">
      <c r="A1877" t="s">
        <v>2370</v>
      </c>
      <c r="B1877" t="s">
        <v>779</v>
      </c>
      <c r="C1877" t="s">
        <v>6530</v>
      </c>
      <c r="D1877" t="s">
        <v>52</v>
      </c>
      <c r="E1877" t="s">
        <v>4500</v>
      </c>
      <c r="F1877" t="s">
        <v>131</v>
      </c>
      <c r="G1877" t="str">
        <f>HYPERLINK("https://twitter.com/1100639751516778499/status/1143140798206054400")</f>
        <v>https://twitter.com/1100639751516778499/status/1143140798206054400</v>
      </c>
      <c r="H1877" t="s">
        <v>46</v>
      </c>
      <c r="I1877" t="s">
        <v>6542</v>
      </c>
      <c r="J1877" t="str">
        <f>HYPERLINK("http://twitter.com/wdPHNIj0J4V1sVY")</f>
        <v>http://twitter.com/wdPHNIj0J4V1sVY</v>
      </c>
      <c r="K1877">
        <v>21</v>
      </c>
      <c r="N1877" t="s">
        <v>65</v>
      </c>
      <c r="R1877" t="s">
        <v>60</v>
      </c>
      <c r="W1877">
        <v>0</v>
      </c>
      <c r="X1877">
        <v>0</v>
      </c>
      <c r="AE1877">
        <v>0</v>
      </c>
      <c r="AI1877" t="s">
        <v>108</v>
      </c>
      <c r="AJ1877" t="s">
        <v>303</v>
      </c>
      <c r="AK1877" t="s">
        <v>52</v>
      </c>
      <c r="AL1877" t="str">
        <f>HYPERLINK("https://pbs.twimg.com/media/D9zadh3VUAEaOsH.jpg")</f>
        <v>https://pbs.twimg.com/media/D9zadh3VUAEaOsH.jpg</v>
      </c>
      <c r="AM1877" t="s">
        <v>52</v>
      </c>
      <c r="AN1877" t="s">
        <v>53</v>
      </c>
    </row>
    <row r="1878" spans="1:40">
      <c r="A1878" t="s">
        <v>2370</v>
      </c>
      <c r="B1878" t="s">
        <v>6543</v>
      </c>
      <c r="C1878" t="s">
        <v>6544</v>
      </c>
      <c r="D1878" t="s">
        <v>52</v>
      </c>
      <c r="E1878" t="s">
        <v>6545</v>
      </c>
      <c r="F1878" t="s">
        <v>45</v>
      </c>
      <c r="G1878" t="str">
        <f>HYPERLINK("https://www.instagram.com/p/BzF-ESJlVeb")</f>
        <v>https://www.instagram.com/p/BzF-ESJlVeb</v>
      </c>
      <c r="H1878" t="s">
        <v>46</v>
      </c>
      <c r="I1878" t="s">
        <v>6546</v>
      </c>
      <c r="J1878" t="str">
        <f>HYPERLINK("http://instagram.com/ismailduman100")</f>
        <v>http://instagram.com/ismailduman100</v>
      </c>
      <c r="K1878">
        <v>12</v>
      </c>
      <c r="N1878" t="s">
        <v>59</v>
      </c>
      <c r="O1878" t="s">
        <v>6546</v>
      </c>
      <c r="P1878" t="str">
        <f>HYPERLINK("http://instagram.com/ismailduman100")</f>
        <v>http://instagram.com/ismailduman100</v>
      </c>
      <c r="Q1878">
        <v>12</v>
      </c>
      <c r="R1878" t="s">
        <v>60</v>
      </c>
      <c r="W1878">
        <v>5</v>
      </c>
      <c r="X1878">
        <v>5</v>
      </c>
      <c r="AE1878">
        <v>0</v>
      </c>
      <c r="AI1878" t="s">
        <v>52</v>
      </c>
      <c r="AJ1878" t="s">
        <v>6547</v>
      </c>
      <c r="AK1878" t="s">
        <v>52</v>
      </c>
      <c r="AL1878" t="str">
        <f>HYPERLINK("https://www.instagram.com/p/BzF-ESJlVeb/media/?size=l")</f>
        <v>https://www.instagram.com/p/BzF-ESJlVeb/media/?size=l</v>
      </c>
      <c r="AM1878" t="s">
        <v>52</v>
      </c>
      <c r="AN1878" t="s">
        <v>53</v>
      </c>
    </row>
    <row r="1879" spans="1:40">
      <c r="A1879" t="s">
        <v>2370</v>
      </c>
      <c r="B1879" t="s">
        <v>6543</v>
      </c>
      <c r="C1879" t="s">
        <v>6538</v>
      </c>
      <c r="D1879" t="s">
        <v>52</v>
      </c>
      <c r="E1879" t="s">
        <v>6548</v>
      </c>
      <c r="F1879" t="s">
        <v>95</v>
      </c>
      <c r="G1879" t="str">
        <f>HYPERLINK("https://twitter.com/492448729/status/1143140558015279105")</f>
        <v>https://twitter.com/492448729/status/1143140558015279105</v>
      </c>
      <c r="H1879" t="s">
        <v>46</v>
      </c>
      <c r="I1879" t="s">
        <v>6549</v>
      </c>
      <c r="J1879" t="str">
        <f>HYPERLINK("http://twitter.com/Slammy05")</f>
        <v>http://twitter.com/Slammy05</v>
      </c>
      <c r="K1879">
        <v>282</v>
      </c>
      <c r="N1879" t="s">
        <v>65</v>
      </c>
      <c r="R1879" t="s">
        <v>60</v>
      </c>
      <c r="S1879" t="s">
        <v>156</v>
      </c>
      <c r="T1879" t="s">
        <v>2067</v>
      </c>
      <c r="U1879" t="s">
        <v>2068</v>
      </c>
      <c r="W1879">
        <v>0</v>
      </c>
      <c r="X1879">
        <v>0</v>
      </c>
      <c r="AE1879">
        <v>0</v>
      </c>
      <c r="AF1879">
        <v>0</v>
      </c>
      <c r="AM1879" t="s">
        <v>52</v>
      </c>
      <c r="AN1879" t="s">
        <v>53</v>
      </c>
    </row>
    <row r="1880" spans="1:40">
      <c r="A1880" t="s">
        <v>2370</v>
      </c>
      <c r="B1880" t="s">
        <v>6543</v>
      </c>
      <c r="C1880" t="s">
        <v>6550</v>
      </c>
      <c r="D1880" t="s">
        <v>52</v>
      </c>
      <c r="E1880" t="s">
        <v>130</v>
      </c>
      <c r="F1880" t="s">
        <v>131</v>
      </c>
      <c r="G1880" t="str">
        <f>HYPERLINK("https://twitter.com/757300920/status/1143140509482921986")</f>
        <v>https://twitter.com/757300920/status/1143140509482921986</v>
      </c>
      <c r="H1880" t="s">
        <v>46</v>
      </c>
      <c r="I1880" t="s">
        <v>6551</v>
      </c>
      <c r="J1880" t="str">
        <f>HYPERLINK("http://twitter.com/sophiefx_")</f>
        <v>http://twitter.com/sophiefx_</v>
      </c>
      <c r="K1880">
        <v>423</v>
      </c>
      <c r="N1880" t="s">
        <v>65</v>
      </c>
      <c r="R1880" t="s">
        <v>60</v>
      </c>
      <c r="S1880" t="s">
        <v>97</v>
      </c>
      <c r="T1880" t="s">
        <v>177</v>
      </c>
      <c r="U1880" t="s">
        <v>195</v>
      </c>
      <c r="W1880">
        <v>0</v>
      </c>
      <c r="X1880">
        <v>0</v>
      </c>
      <c r="AE1880">
        <v>0</v>
      </c>
      <c r="AI1880" t="s">
        <v>108</v>
      </c>
      <c r="AJ1880" t="s">
        <v>52</v>
      </c>
      <c r="AK1880" t="s">
        <v>52</v>
      </c>
      <c r="AL1880" t="str">
        <f>HYPERLINK("https://pbs.twimg.com/media/D9XTkLWW4AAOYnJ.jpg")</f>
        <v>https://pbs.twimg.com/media/D9XTkLWW4AAOYnJ.jpg</v>
      </c>
      <c r="AM1880" t="s">
        <v>52</v>
      </c>
      <c r="AN1880" t="s">
        <v>53</v>
      </c>
    </row>
    <row r="1881" spans="1:40">
      <c r="A1881" t="s">
        <v>2370</v>
      </c>
      <c r="B1881" t="s">
        <v>783</v>
      </c>
      <c r="C1881" t="s">
        <v>6550</v>
      </c>
      <c r="D1881" t="s">
        <v>52</v>
      </c>
      <c r="E1881" t="s">
        <v>6552</v>
      </c>
      <c r="F1881" t="s">
        <v>45</v>
      </c>
      <c r="G1881" t="str">
        <f>HYPERLINK("https://twitter.com/945851192445243392/status/1143140354268381184")</f>
        <v>https://twitter.com/945851192445243392/status/1143140354268381184</v>
      </c>
      <c r="H1881" t="s">
        <v>46</v>
      </c>
      <c r="I1881" t="s">
        <v>6553</v>
      </c>
      <c r="J1881" t="str">
        <f>HYPERLINK("http://twitter.com/ayadocena")</f>
        <v>http://twitter.com/ayadocena</v>
      </c>
      <c r="K1881">
        <v>198</v>
      </c>
      <c r="N1881" t="s">
        <v>65</v>
      </c>
      <c r="R1881" t="s">
        <v>60</v>
      </c>
      <c r="S1881" t="s">
        <v>1643</v>
      </c>
      <c r="T1881" t="s">
        <v>6554</v>
      </c>
      <c r="U1881" t="s">
        <v>6555</v>
      </c>
      <c r="W1881">
        <v>4</v>
      </c>
      <c r="X1881">
        <v>4</v>
      </c>
      <c r="AE1881">
        <v>0</v>
      </c>
      <c r="AF1881">
        <v>0</v>
      </c>
      <c r="AM1881" t="s">
        <v>52</v>
      </c>
      <c r="AN1881" t="s">
        <v>53</v>
      </c>
    </row>
    <row r="1882" spans="1:40">
      <c r="A1882" t="s">
        <v>2370</v>
      </c>
      <c r="B1882" t="s">
        <v>783</v>
      </c>
      <c r="C1882" t="s">
        <v>6550</v>
      </c>
      <c r="D1882" t="s">
        <v>6556</v>
      </c>
      <c r="E1882" t="s">
        <v>6557</v>
      </c>
      <c r="F1882" t="s">
        <v>45</v>
      </c>
      <c r="G1882" t="str">
        <f>HYPERLINK("https://www.youtube.com/watch?v=bLr9yvvuTGI")</f>
        <v>https://www.youtube.com/watch?v=bLr9yvvuTGI</v>
      </c>
      <c r="H1882" t="s">
        <v>46</v>
      </c>
      <c r="I1882" t="s">
        <v>6558</v>
      </c>
      <c r="J1882" t="str">
        <f>HYPERLINK("https://www.youtube.com/channel/UCIbNgC9exxiFCRsyqEAau3w")</f>
        <v>https://www.youtube.com/channel/UCIbNgC9exxiFCRsyqEAau3w</v>
      </c>
      <c r="K1882">
        <v>16</v>
      </c>
      <c r="N1882" t="s">
        <v>116</v>
      </c>
      <c r="O1882" t="s">
        <v>6558</v>
      </c>
      <c r="P1882" t="str">
        <f>HYPERLINK("https://www.youtube.com/channel/UCIbNgC9exxiFCRsyqEAau3w")</f>
        <v>https://www.youtube.com/channel/UCIbNgC9exxiFCRsyqEAau3w</v>
      </c>
      <c r="Q1882">
        <v>16</v>
      </c>
      <c r="R1882" t="s">
        <v>60</v>
      </c>
      <c r="W1882">
        <v>1</v>
      </c>
      <c r="X1882">
        <v>1</v>
      </c>
      <c r="AD1882">
        <v>0</v>
      </c>
      <c r="AE1882">
        <v>0</v>
      </c>
      <c r="AG1882">
        <v>2</v>
      </c>
      <c r="AI1882" t="s">
        <v>52</v>
      </c>
      <c r="AJ1882" t="s">
        <v>52</v>
      </c>
      <c r="AK1882" t="s">
        <v>52</v>
      </c>
      <c r="AL1882" t="str">
        <f>HYPERLINK("https://i.ytimg.com/vi/bLr9yvvuTGI/sddefault.jpg")</f>
        <v>https://i.ytimg.com/vi/bLr9yvvuTGI/sddefault.jpg</v>
      </c>
      <c r="AM1882" t="s">
        <v>52</v>
      </c>
      <c r="AN1882" t="s">
        <v>53</v>
      </c>
    </row>
    <row r="1883" spans="1:40">
      <c r="A1883" t="s">
        <v>2370</v>
      </c>
      <c r="B1883" t="s">
        <v>6559</v>
      </c>
      <c r="C1883" t="s">
        <v>6560</v>
      </c>
      <c r="D1883" t="s">
        <v>52</v>
      </c>
      <c r="E1883" t="s">
        <v>6561</v>
      </c>
      <c r="F1883" t="s">
        <v>45</v>
      </c>
      <c r="G1883" t="str">
        <f>HYPERLINK("https://www.instagram.com/p/BzF9r4on942")</f>
        <v>https://www.instagram.com/p/BzF9r4on942</v>
      </c>
      <c r="H1883" t="s">
        <v>46</v>
      </c>
      <c r="I1883" t="s">
        <v>6562</v>
      </c>
      <c r="J1883" t="str">
        <f>HYPERLINK("http://instagram.com/stopmotionlighting")</f>
        <v>http://instagram.com/stopmotionlighting</v>
      </c>
      <c r="K1883">
        <v>1226</v>
      </c>
      <c r="L1883" t="s">
        <v>651</v>
      </c>
      <c r="N1883" t="s">
        <v>59</v>
      </c>
      <c r="O1883" t="s">
        <v>6562</v>
      </c>
      <c r="P1883" t="str">
        <f>HYPERLINK("http://instagram.com/stopmotionlighting")</f>
        <v>http://instagram.com/stopmotionlighting</v>
      </c>
      <c r="Q1883">
        <v>1226</v>
      </c>
      <c r="R1883" t="s">
        <v>60</v>
      </c>
      <c r="W1883">
        <v>39</v>
      </c>
      <c r="X1883">
        <v>39</v>
      </c>
      <c r="AE1883">
        <v>1</v>
      </c>
      <c r="AI1883" t="s">
        <v>52</v>
      </c>
      <c r="AJ1883" t="s">
        <v>52</v>
      </c>
      <c r="AK1883" t="s">
        <v>52</v>
      </c>
      <c r="AL1883" t="str">
        <f>HYPERLINK("https://www.instagram.com/p/BzF9r4on942/media/?size=l")</f>
        <v>https://www.instagram.com/p/BzF9r4on942/media/?size=l</v>
      </c>
      <c r="AM1883" t="s">
        <v>52</v>
      </c>
      <c r="AN1883" t="s">
        <v>53</v>
      </c>
    </row>
    <row r="1884" spans="1:40">
      <c r="A1884" t="s">
        <v>2370</v>
      </c>
      <c r="B1884" t="s">
        <v>6559</v>
      </c>
      <c r="C1884" t="s">
        <v>6563</v>
      </c>
      <c r="D1884" t="s">
        <v>52</v>
      </c>
      <c r="E1884" t="s">
        <v>6564</v>
      </c>
      <c r="F1884" t="s">
        <v>45</v>
      </c>
      <c r="G1884" t="str">
        <f>HYPERLINK("https://twitter.com/846153773034717184/status/1143139750330740736")</f>
        <v>https://twitter.com/846153773034717184/status/1143139750330740736</v>
      </c>
      <c r="H1884" t="s">
        <v>91</v>
      </c>
      <c r="I1884" t="s">
        <v>6565</v>
      </c>
      <c r="J1884" t="str">
        <f>HYPERLINK("http://twitter.com/Loggins_Forlewd")</f>
        <v>http://twitter.com/Loggins_Forlewd</v>
      </c>
      <c r="K1884">
        <v>117</v>
      </c>
      <c r="N1884" t="s">
        <v>65</v>
      </c>
      <c r="R1884" t="s">
        <v>60</v>
      </c>
      <c r="W1884">
        <v>1</v>
      </c>
      <c r="X1884">
        <v>1</v>
      </c>
      <c r="AE1884">
        <v>0</v>
      </c>
      <c r="AF1884">
        <v>0</v>
      </c>
      <c r="AM1884" t="s">
        <v>52</v>
      </c>
      <c r="AN1884" t="s">
        <v>53</v>
      </c>
    </row>
    <row r="1885" spans="1:40">
      <c r="A1885" t="s">
        <v>2370</v>
      </c>
      <c r="B1885" t="s">
        <v>6559</v>
      </c>
      <c r="C1885" t="s">
        <v>6544</v>
      </c>
      <c r="D1885" t="s">
        <v>52</v>
      </c>
      <c r="E1885" t="s">
        <v>6412</v>
      </c>
      <c r="F1885" t="s">
        <v>131</v>
      </c>
      <c r="G1885" t="str">
        <f>HYPERLINK("https://twitter.com/1003514282418421760/status/1143139750489935872")</f>
        <v>https://twitter.com/1003514282418421760/status/1143139750489935872</v>
      </c>
      <c r="H1885" t="s">
        <v>91</v>
      </c>
      <c r="I1885" t="s">
        <v>52</v>
      </c>
      <c r="J1885" t="str">
        <f>HYPERLINK("http://twitter.com/SHZLYNSHZLYN")</f>
        <v>http://twitter.com/SHZLYNSHZLYN</v>
      </c>
      <c r="K1885">
        <v>384</v>
      </c>
      <c r="N1885" t="s">
        <v>65</v>
      </c>
      <c r="R1885" t="s">
        <v>60</v>
      </c>
      <c r="W1885">
        <v>0</v>
      </c>
      <c r="X1885">
        <v>0</v>
      </c>
      <c r="AE1885">
        <v>0</v>
      </c>
      <c r="AM1885" t="s">
        <v>52</v>
      </c>
      <c r="AN1885" t="s">
        <v>53</v>
      </c>
    </row>
    <row r="1886" spans="1:40">
      <c r="A1886" t="s">
        <v>2370</v>
      </c>
      <c r="B1886" t="s">
        <v>6566</v>
      </c>
      <c r="C1886" t="s">
        <v>6567</v>
      </c>
      <c r="D1886" t="s">
        <v>52</v>
      </c>
      <c r="E1886" t="s">
        <v>6561</v>
      </c>
      <c r="F1886" t="s">
        <v>45</v>
      </c>
      <c r="G1886" t="str">
        <f>HYPERLINK("https://www.instagram.com/p/BzF9ljRHgOR")</f>
        <v>https://www.instagram.com/p/BzF9ljRHgOR</v>
      </c>
      <c r="H1886" t="s">
        <v>46</v>
      </c>
      <c r="I1886" t="s">
        <v>155</v>
      </c>
      <c r="J1886" t="str">
        <f>HYPERLINK("http://instagram.com/red_edition_fd7")</f>
        <v>http://instagram.com/red_edition_fd7</v>
      </c>
      <c r="K1886">
        <v>1410</v>
      </c>
      <c r="L1886" t="s">
        <v>48</v>
      </c>
      <c r="N1886" t="s">
        <v>59</v>
      </c>
      <c r="O1886" t="s">
        <v>155</v>
      </c>
      <c r="P1886" t="str">
        <f>HYPERLINK("http://instagram.com/red_edition_fd7")</f>
        <v>http://instagram.com/red_edition_fd7</v>
      </c>
      <c r="Q1886">
        <v>1410</v>
      </c>
      <c r="R1886" t="s">
        <v>60</v>
      </c>
      <c r="W1886">
        <v>29</v>
      </c>
      <c r="X1886">
        <v>29</v>
      </c>
      <c r="AE1886">
        <v>2</v>
      </c>
      <c r="AI1886" t="s">
        <v>52</v>
      </c>
      <c r="AJ1886" t="s">
        <v>52</v>
      </c>
      <c r="AK1886" t="s">
        <v>52</v>
      </c>
      <c r="AL1886" t="str">
        <f>HYPERLINK("https://www.instagram.com/p/BzF9ljRHgOR/media/?size=l")</f>
        <v>https://www.instagram.com/p/BzF9ljRHgOR/media/?size=l</v>
      </c>
      <c r="AM1886" t="s">
        <v>52</v>
      </c>
      <c r="AN1886" t="s">
        <v>53</v>
      </c>
    </row>
    <row r="1887" spans="1:40">
      <c r="A1887" t="s">
        <v>2370</v>
      </c>
      <c r="B1887" t="s">
        <v>6566</v>
      </c>
      <c r="C1887" t="s">
        <v>6550</v>
      </c>
      <c r="D1887" t="s">
        <v>52</v>
      </c>
      <c r="E1887" t="s">
        <v>6568</v>
      </c>
      <c r="F1887" t="s">
        <v>95</v>
      </c>
      <c r="G1887" t="str">
        <f>HYPERLINK("https://twitter.com/836735689668587520/status/1143139630268788738")</f>
        <v>https://twitter.com/836735689668587520/status/1143139630268788738</v>
      </c>
      <c r="H1887" t="s">
        <v>46</v>
      </c>
      <c r="I1887" t="s">
        <v>6569</v>
      </c>
      <c r="J1887" t="str">
        <f>HYPERLINK("http://twitter.com/Cld9DRAGZ")</f>
        <v>http://twitter.com/Cld9DRAGZ</v>
      </c>
      <c r="K1887">
        <v>70</v>
      </c>
      <c r="N1887" t="s">
        <v>65</v>
      </c>
      <c r="R1887" t="s">
        <v>60</v>
      </c>
      <c r="S1887" t="s">
        <v>51</v>
      </c>
      <c r="T1887" t="s">
        <v>380</v>
      </c>
      <c r="U1887" t="s">
        <v>380</v>
      </c>
      <c r="W1887">
        <v>0</v>
      </c>
      <c r="X1887">
        <v>0</v>
      </c>
      <c r="AE1887">
        <v>0</v>
      </c>
      <c r="AF1887">
        <v>0</v>
      </c>
      <c r="AM1887" t="s">
        <v>52</v>
      </c>
      <c r="AN1887" t="s">
        <v>53</v>
      </c>
    </row>
    <row r="1888" spans="1:40">
      <c r="A1888" t="s">
        <v>2370</v>
      </c>
      <c r="B1888" t="s">
        <v>6570</v>
      </c>
      <c r="C1888" t="s">
        <v>6571</v>
      </c>
      <c r="D1888" t="s">
        <v>52</v>
      </c>
      <c r="E1888" t="s">
        <v>6572</v>
      </c>
      <c r="F1888" t="s">
        <v>95</v>
      </c>
      <c r="G1888" t="str">
        <f>HYPERLINK("https://twitter.com/41423901/status/1143139347954393089")</f>
        <v>https://twitter.com/41423901/status/1143139347954393089</v>
      </c>
      <c r="H1888" t="s">
        <v>215</v>
      </c>
      <c r="I1888" t="s">
        <v>6573</v>
      </c>
      <c r="J1888" t="str">
        <f>HYPERLINK("http://twitter.com/applextree")</f>
        <v>http://twitter.com/applextree</v>
      </c>
      <c r="K1888">
        <v>2022</v>
      </c>
      <c r="L1888" t="s">
        <v>58</v>
      </c>
      <c r="N1888" t="s">
        <v>65</v>
      </c>
      <c r="R1888" t="s">
        <v>60</v>
      </c>
      <c r="S1888" t="s">
        <v>387</v>
      </c>
      <c r="T1888" t="s">
        <v>2251</v>
      </c>
      <c r="U1888" t="s">
        <v>6574</v>
      </c>
      <c r="W1888">
        <v>0</v>
      </c>
      <c r="X1888">
        <v>0</v>
      </c>
      <c r="AE1888">
        <v>1</v>
      </c>
      <c r="AF1888">
        <v>0</v>
      </c>
      <c r="AM1888" t="s">
        <v>52</v>
      </c>
      <c r="AN1888" t="s">
        <v>53</v>
      </c>
    </row>
    <row r="1889" spans="1:40">
      <c r="A1889" t="s">
        <v>2370</v>
      </c>
      <c r="B1889" t="s">
        <v>6570</v>
      </c>
      <c r="C1889" t="s">
        <v>5957</v>
      </c>
      <c r="D1889" t="s">
        <v>52</v>
      </c>
      <c r="E1889" t="s">
        <v>6575</v>
      </c>
      <c r="F1889" t="s">
        <v>45</v>
      </c>
      <c r="G1889" t="str">
        <f>HYPERLINK("https://www.instagram.com/p/BzF9c34HkWd")</f>
        <v>https://www.instagram.com/p/BzF9c34HkWd</v>
      </c>
      <c r="H1889" t="s">
        <v>215</v>
      </c>
      <c r="I1889" t="s">
        <v>3757</v>
      </c>
      <c r="J1889" t="str">
        <f>HYPERLINK("http://instagram.com/loopyloops84")</f>
        <v>http://instagram.com/loopyloops84</v>
      </c>
      <c r="K1889">
        <v>677</v>
      </c>
      <c r="L1889" t="s">
        <v>58</v>
      </c>
      <c r="N1889" t="s">
        <v>59</v>
      </c>
      <c r="O1889" t="s">
        <v>3757</v>
      </c>
      <c r="P1889" t="str">
        <f>HYPERLINK("http://instagram.com/loopyloops84")</f>
        <v>http://instagram.com/loopyloops84</v>
      </c>
      <c r="Q1889">
        <v>677</v>
      </c>
      <c r="R1889" t="s">
        <v>60</v>
      </c>
      <c r="W1889">
        <v>23</v>
      </c>
      <c r="X1889">
        <v>23</v>
      </c>
      <c r="AE1889">
        <v>3</v>
      </c>
      <c r="AI1889" t="s">
        <v>108</v>
      </c>
      <c r="AJ1889" t="s">
        <v>1853</v>
      </c>
      <c r="AK1889" t="s">
        <v>52</v>
      </c>
      <c r="AL1889" t="str">
        <f>HYPERLINK("https://www.instagram.com/p/BzF9c34HkWd/media/?size=l")</f>
        <v>https://www.instagram.com/p/BzF9c34HkWd/media/?size=l</v>
      </c>
      <c r="AM1889" t="s">
        <v>52</v>
      </c>
      <c r="AN1889" t="s">
        <v>53</v>
      </c>
    </row>
    <row r="1890" spans="1:40">
      <c r="A1890" t="s">
        <v>2370</v>
      </c>
      <c r="B1890" t="s">
        <v>6570</v>
      </c>
      <c r="C1890" t="s">
        <v>6571</v>
      </c>
      <c r="D1890" t="s">
        <v>52</v>
      </c>
      <c r="E1890" t="s">
        <v>6576</v>
      </c>
      <c r="F1890" t="s">
        <v>71</v>
      </c>
      <c r="G1890" t="str">
        <f>HYPERLINK("https://twitter.com/424219503/status/1143139302236467201")</f>
        <v>https://twitter.com/424219503/status/1143139302236467201</v>
      </c>
      <c r="H1890" t="s">
        <v>46</v>
      </c>
      <c r="I1890" t="s">
        <v>6577</v>
      </c>
      <c r="J1890" t="str">
        <f>HYPERLINK("http://twitter.com/Sheppady")</f>
        <v>http://twitter.com/Sheppady</v>
      </c>
      <c r="K1890">
        <v>30</v>
      </c>
      <c r="N1890" t="s">
        <v>65</v>
      </c>
      <c r="R1890" t="s">
        <v>60</v>
      </c>
      <c r="S1890" t="s">
        <v>97</v>
      </c>
      <c r="T1890" t="s">
        <v>177</v>
      </c>
      <c r="U1890" t="s">
        <v>2031</v>
      </c>
      <c r="W1890">
        <v>0</v>
      </c>
      <c r="X1890">
        <v>0</v>
      </c>
      <c r="AE1890">
        <v>0</v>
      </c>
      <c r="AF1890">
        <v>0</v>
      </c>
      <c r="AI1890" t="s">
        <v>108</v>
      </c>
      <c r="AJ1890" t="s">
        <v>52</v>
      </c>
      <c r="AK1890" t="s">
        <v>52</v>
      </c>
      <c r="AL1890" t="str">
        <f>HYPERLINK("https://pbs.twimg.com/media/D9XTkLWW4AAOYnJ.jpg")</f>
        <v>https://pbs.twimg.com/media/D9XTkLWW4AAOYnJ.jpg</v>
      </c>
      <c r="AM1890" t="s">
        <v>52</v>
      </c>
      <c r="AN1890" t="s">
        <v>53</v>
      </c>
    </row>
    <row r="1891" spans="1:40">
      <c r="A1891" t="s">
        <v>2370</v>
      </c>
      <c r="B1891" t="s">
        <v>790</v>
      </c>
      <c r="C1891" t="s">
        <v>6578</v>
      </c>
      <c r="D1891" t="s">
        <v>6579</v>
      </c>
      <c r="E1891" t="s">
        <v>6580</v>
      </c>
      <c r="F1891" t="s">
        <v>95</v>
      </c>
      <c r="G1891" t="str">
        <f>HYPERLINK("https://www.youtube.com/watch?v=lDzmGxw5YsM&amp;lc=Ugy6tF6eerHDIeRQhAl4AaABAg")</f>
        <v>https://www.youtube.com/watch?v=lDzmGxw5YsM&amp;lc=Ugy6tF6eerHDIeRQhAl4AaABAg</v>
      </c>
      <c r="H1891" t="s">
        <v>46</v>
      </c>
      <c r="I1891" t="s">
        <v>6581</v>
      </c>
      <c r="J1891" t="str">
        <f>HYPERLINK("https://www.youtube.com/channel/UCkYyO40_GFu_XPjkIFGENxQ")</f>
        <v>https://www.youtube.com/channel/UCkYyO40_GFu_XPjkIFGENxQ</v>
      </c>
      <c r="K1891">
        <v>34</v>
      </c>
      <c r="N1891" t="s">
        <v>116</v>
      </c>
      <c r="O1891" t="s">
        <v>6581</v>
      </c>
      <c r="P1891" t="str">
        <f>HYPERLINK("https://www.youtube.com/channel/UCkYyO40_GFu_XPjkIFGENxQ")</f>
        <v>https://www.youtube.com/channel/UCkYyO40_GFu_XPjkIFGENxQ</v>
      </c>
      <c r="Q1891">
        <v>34</v>
      </c>
      <c r="R1891" t="s">
        <v>60</v>
      </c>
      <c r="W1891">
        <v>2</v>
      </c>
      <c r="X1891">
        <v>2</v>
      </c>
      <c r="AE1891">
        <v>0</v>
      </c>
      <c r="AM1891" t="s">
        <v>52</v>
      </c>
      <c r="AN1891" t="s">
        <v>53</v>
      </c>
    </row>
    <row r="1892" spans="1:40">
      <c r="A1892" t="s">
        <v>2370</v>
      </c>
      <c r="B1892" t="s">
        <v>6582</v>
      </c>
      <c r="C1892" t="s">
        <v>6583</v>
      </c>
      <c r="D1892" t="s">
        <v>52</v>
      </c>
      <c r="E1892" t="s">
        <v>6584</v>
      </c>
      <c r="F1892" t="s">
        <v>45</v>
      </c>
      <c r="G1892" t="str">
        <f>HYPERLINK("https://twitter.com/591877724/status/1143138814904492032")</f>
        <v>https://twitter.com/591877724/status/1143138814904492032</v>
      </c>
      <c r="H1892" t="s">
        <v>46</v>
      </c>
      <c r="I1892" t="s">
        <v>6585</v>
      </c>
      <c r="J1892" t="str">
        <f>HYPERLINK("http://twitter.com/uglyy_ty")</f>
        <v>http://twitter.com/uglyy_ty</v>
      </c>
      <c r="K1892">
        <v>34</v>
      </c>
      <c r="N1892" t="s">
        <v>65</v>
      </c>
      <c r="R1892" t="s">
        <v>60</v>
      </c>
      <c r="S1892" t="s">
        <v>51</v>
      </c>
      <c r="T1892" t="s">
        <v>851</v>
      </c>
      <c r="U1892" t="s">
        <v>6586</v>
      </c>
      <c r="W1892">
        <v>0</v>
      </c>
      <c r="X1892">
        <v>0</v>
      </c>
      <c r="AE1892">
        <v>0</v>
      </c>
      <c r="AF1892">
        <v>0</v>
      </c>
      <c r="AM1892" t="s">
        <v>52</v>
      </c>
      <c r="AN1892" t="s">
        <v>53</v>
      </c>
    </row>
    <row r="1893" spans="1:40">
      <c r="A1893" t="s">
        <v>2370</v>
      </c>
      <c r="B1893" t="s">
        <v>798</v>
      </c>
      <c r="C1893" t="s">
        <v>6550</v>
      </c>
      <c r="D1893" t="s">
        <v>6587</v>
      </c>
      <c r="E1893" t="s">
        <v>6588</v>
      </c>
      <c r="F1893" t="s">
        <v>95</v>
      </c>
      <c r="G1893" t="str">
        <f>HYPERLINK("https://www.youtube.com/watch?v=0NCKe9Va9nE&amp;lc=UgxGUPJTsj_M1yGMFuR4AaABAg")</f>
        <v>https://www.youtube.com/watch?v=0NCKe9Va9nE&amp;lc=UgxGUPJTsj_M1yGMFuR4AaABAg</v>
      </c>
      <c r="H1893" t="s">
        <v>46</v>
      </c>
      <c r="I1893" t="s">
        <v>6589</v>
      </c>
      <c r="J1893" t="str">
        <f>HYPERLINK("https://www.youtube.com/channel/UC746PcXsVKYjjrqhcjDBGTw")</f>
        <v>https://www.youtube.com/channel/UC746PcXsVKYjjrqhcjDBGTw</v>
      </c>
      <c r="K1893">
        <v>7</v>
      </c>
      <c r="L1893" t="s">
        <v>48</v>
      </c>
      <c r="N1893" t="s">
        <v>116</v>
      </c>
      <c r="O1893" t="s">
        <v>6590</v>
      </c>
      <c r="P1893" t="str">
        <f>HYPERLINK("https://www.youtube.com/channel/UCWGE2xPcSazTggaEMVz2mVQ")</f>
        <v>https://www.youtube.com/channel/UCWGE2xPcSazTggaEMVz2mVQ</v>
      </c>
      <c r="Q1893">
        <v>18</v>
      </c>
      <c r="R1893" t="s">
        <v>60</v>
      </c>
      <c r="S1893" t="s">
        <v>592</v>
      </c>
      <c r="W1893">
        <v>0</v>
      </c>
      <c r="X1893">
        <v>0</v>
      </c>
      <c r="AE1893">
        <v>1</v>
      </c>
      <c r="AM1893" t="s">
        <v>52</v>
      </c>
      <c r="AN1893" t="s">
        <v>53</v>
      </c>
    </row>
    <row r="1894" spans="1:40">
      <c r="A1894" t="s">
        <v>2370</v>
      </c>
      <c r="B1894" t="s">
        <v>6591</v>
      </c>
      <c r="C1894" t="s">
        <v>6578</v>
      </c>
      <c r="D1894" t="s">
        <v>52</v>
      </c>
      <c r="E1894" t="s">
        <v>6592</v>
      </c>
      <c r="F1894" t="s">
        <v>45</v>
      </c>
      <c r="G1894" t="str">
        <f>HYPERLINK("https://www.instagram.com/p/BzF85kcJ4Fo")</f>
        <v>https://www.instagram.com/p/BzF85kcJ4Fo</v>
      </c>
      <c r="H1894" t="s">
        <v>46</v>
      </c>
      <c r="I1894" t="s">
        <v>6593</v>
      </c>
      <c r="J1894" t="str">
        <f>HYPERLINK("http://instagram.com/petrol.pup")</f>
        <v>http://instagram.com/petrol.pup</v>
      </c>
      <c r="K1894">
        <v>284</v>
      </c>
      <c r="L1894" t="s">
        <v>651</v>
      </c>
      <c r="N1894" t="s">
        <v>59</v>
      </c>
      <c r="O1894" t="s">
        <v>6593</v>
      </c>
      <c r="P1894" t="str">
        <f>HYPERLINK("http://instagram.com/petrol.pup")</f>
        <v>http://instagram.com/petrol.pup</v>
      </c>
      <c r="Q1894">
        <v>284</v>
      </c>
      <c r="R1894" t="s">
        <v>60</v>
      </c>
      <c r="W1894">
        <v>61</v>
      </c>
      <c r="X1894">
        <v>61</v>
      </c>
      <c r="AE1894">
        <v>3</v>
      </c>
      <c r="AI1894" t="s">
        <v>52</v>
      </c>
      <c r="AJ1894" t="s">
        <v>6594</v>
      </c>
      <c r="AK1894" t="s">
        <v>52</v>
      </c>
      <c r="AL1894" t="str">
        <f>HYPERLINK("https://www.instagram.com/p/BzF85kcJ4Fo/media/?size=l")</f>
        <v>https://www.instagram.com/p/BzF85kcJ4Fo/media/?size=l</v>
      </c>
      <c r="AM1894" t="s">
        <v>52</v>
      </c>
      <c r="AN1894" t="s">
        <v>53</v>
      </c>
    </row>
    <row r="1895" spans="1:40">
      <c r="A1895" t="s">
        <v>2370</v>
      </c>
      <c r="B1895" t="s">
        <v>6591</v>
      </c>
      <c r="C1895" t="s">
        <v>6595</v>
      </c>
      <c r="D1895" t="s">
        <v>52</v>
      </c>
      <c r="E1895" t="s">
        <v>6596</v>
      </c>
      <c r="F1895" t="s">
        <v>45</v>
      </c>
      <c r="G1895" t="str">
        <f>HYPERLINK("https://www.instagram.com/p/BzF818oA101")</f>
        <v>https://www.instagram.com/p/BzF818oA101</v>
      </c>
      <c r="H1895" t="s">
        <v>46</v>
      </c>
      <c r="I1895" t="s">
        <v>6597</v>
      </c>
      <c r="J1895" t="str">
        <f>HYPERLINK("http://instagram.com/samlacgalvs")</f>
        <v>http://instagram.com/samlacgalvs</v>
      </c>
      <c r="K1895">
        <v>618</v>
      </c>
      <c r="N1895" t="s">
        <v>59</v>
      </c>
      <c r="O1895" t="s">
        <v>6597</v>
      </c>
      <c r="P1895" t="str">
        <f>HYPERLINK("http://instagram.com/samlacgalvs")</f>
        <v>http://instagram.com/samlacgalvs</v>
      </c>
      <c r="Q1895">
        <v>618</v>
      </c>
      <c r="R1895" t="s">
        <v>60</v>
      </c>
      <c r="W1895">
        <v>23</v>
      </c>
      <c r="X1895">
        <v>23</v>
      </c>
      <c r="AE1895">
        <v>2</v>
      </c>
      <c r="AI1895" t="s">
        <v>108</v>
      </c>
      <c r="AJ1895" t="s">
        <v>52</v>
      </c>
      <c r="AK1895" t="s">
        <v>52</v>
      </c>
      <c r="AL1895" t="str">
        <f>HYPERLINK("https://www.instagram.com/p/BzF818oA101/media/?size=l")</f>
        <v>https://www.instagram.com/p/BzF818oA101/media/?size=l</v>
      </c>
      <c r="AM1895" t="s">
        <v>52</v>
      </c>
      <c r="AN1895" t="s">
        <v>53</v>
      </c>
    </row>
    <row r="1896" spans="1:40">
      <c r="A1896" t="s">
        <v>2370</v>
      </c>
      <c r="B1896" t="s">
        <v>805</v>
      </c>
      <c r="C1896" t="s">
        <v>6108</v>
      </c>
      <c r="D1896" t="s">
        <v>6598</v>
      </c>
      <c r="E1896" t="s">
        <v>6598</v>
      </c>
      <c r="F1896" t="s">
        <v>45</v>
      </c>
      <c r="G1896" t="str">
        <f>HYPERLINK("https://www.youtube.com/watch?v=TH3ahrYfnPY")</f>
        <v>https://www.youtube.com/watch?v=TH3ahrYfnPY</v>
      </c>
      <c r="H1896" t="s">
        <v>46</v>
      </c>
      <c r="I1896" t="s">
        <v>6599</v>
      </c>
      <c r="J1896" t="str">
        <f>HYPERLINK("https://www.youtube.com/channel/UCvO-HfLkrBc6PyIR_ModRBg")</f>
        <v>https://www.youtube.com/channel/UCvO-HfLkrBc6PyIR_ModRBg</v>
      </c>
      <c r="K1896">
        <v>1003</v>
      </c>
      <c r="N1896" t="s">
        <v>116</v>
      </c>
      <c r="O1896" t="s">
        <v>6599</v>
      </c>
      <c r="P1896" t="str">
        <f>HYPERLINK("https://www.youtube.com/channel/UCvO-HfLkrBc6PyIR_ModRBg")</f>
        <v>https://www.youtube.com/channel/UCvO-HfLkrBc6PyIR_ModRBg</v>
      </c>
      <c r="Q1896">
        <v>1003</v>
      </c>
      <c r="R1896" t="s">
        <v>60</v>
      </c>
      <c r="W1896">
        <v>2</v>
      </c>
      <c r="X1896">
        <v>2</v>
      </c>
      <c r="AD1896">
        <v>0</v>
      </c>
      <c r="AE1896">
        <v>2</v>
      </c>
      <c r="AG1896">
        <v>23</v>
      </c>
      <c r="AI1896" t="s">
        <v>52</v>
      </c>
      <c r="AJ1896" t="s">
        <v>52</v>
      </c>
      <c r="AK1896" t="s">
        <v>52</v>
      </c>
      <c r="AL1896" t="str">
        <f>HYPERLINK("https://i.ytimg.com/vi/TH3ahrYfnPY/hqdefault.jpg")</f>
        <v>https://i.ytimg.com/vi/TH3ahrYfnPY/hqdefault.jpg</v>
      </c>
      <c r="AM1896" t="s">
        <v>52</v>
      </c>
      <c r="AN1896" t="s">
        <v>53</v>
      </c>
    </row>
    <row r="1897" spans="1:40">
      <c r="A1897" t="s">
        <v>2370</v>
      </c>
      <c r="B1897" t="s">
        <v>815</v>
      </c>
      <c r="C1897" t="s">
        <v>6600</v>
      </c>
      <c r="D1897" t="s">
        <v>52</v>
      </c>
      <c r="E1897" t="s">
        <v>6601</v>
      </c>
      <c r="F1897" t="s">
        <v>95</v>
      </c>
      <c r="G1897" t="str">
        <f>HYPERLINK("https://twitter.com/1111590655552380929/status/1143137188315578369")</f>
        <v>https://twitter.com/1111590655552380929/status/1143137188315578369</v>
      </c>
      <c r="H1897" t="s">
        <v>215</v>
      </c>
      <c r="I1897" t="s">
        <v>6602</v>
      </c>
      <c r="J1897" t="str">
        <f>HYPERLINK("http://twitter.com/_Arosss")</f>
        <v>http://twitter.com/_Arosss</v>
      </c>
      <c r="K1897">
        <v>46</v>
      </c>
      <c r="N1897" t="s">
        <v>65</v>
      </c>
      <c r="R1897" t="s">
        <v>60</v>
      </c>
      <c r="S1897" t="s">
        <v>6603</v>
      </c>
      <c r="T1897" t="s">
        <v>6604</v>
      </c>
      <c r="U1897" t="s">
        <v>6605</v>
      </c>
      <c r="W1897">
        <v>1</v>
      </c>
      <c r="X1897">
        <v>1</v>
      </c>
      <c r="AE1897">
        <v>0</v>
      </c>
      <c r="AF1897">
        <v>0</v>
      </c>
      <c r="AM1897" t="s">
        <v>52</v>
      </c>
      <c r="AN1897" t="s">
        <v>53</v>
      </c>
    </row>
    <row r="1898" spans="1:40">
      <c r="A1898" t="s">
        <v>2370</v>
      </c>
      <c r="B1898" t="s">
        <v>6606</v>
      </c>
      <c r="C1898" t="s">
        <v>6595</v>
      </c>
      <c r="D1898" t="s">
        <v>52</v>
      </c>
      <c r="E1898" t="s">
        <v>6412</v>
      </c>
      <c r="F1898" t="s">
        <v>131</v>
      </c>
      <c r="G1898" t="str">
        <f>HYPERLINK("https://twitter.com/988156080315232256/status/1143136206017794049")</f>
        <v>https://twitter.com/988156080315232256/status/1143136206017794049</v>
      </c>
      <c r="H1898" t="s">
        <v>91</v>
      </c>
      <c r="I1898" t="s">
        <v>6607</v>
      </c>
      <c r="J1898" t="str">
        <f>HYPERLINK("http://twitter.com/venusclown")</f>
        <v>http://twitter.com/venusclown</v>
      </c>
      <c r="K1898">
        <v>458</v>
      </c>
      <c r="N1898" t="s">
        <v>65</v>
      </c>
      <c r="R1898" t="s">
        <v>60</v>
      </c>
      <c r="S1898" t="s">
        <v>1592</v>
      </c>
      <c r="T1898" t="s">
        <v>1819</v>
      </c>
      <c r="U1898" t="s">
        <v>6608</v>
      </c>
      <c r="W1898">
        <v>0</v>
      </c>
      <c r="X1898">
        <v>0</v>
      </c>
      <c r="AE1898">
        <v>0</v>
      </c>
      <c r="AM1898" t="s">
        <v>52</v>
      </c>
      <c r="AN1898" t="s">
        <v>53</v>
      </c>
    </row>
    <row r="1899" spans="1:40">
      <c r="A1899" t="s">
        <v>2370</v>
      </c>
      <c r="B1899" t="s">
        <v>830</v>
      </c>
      <c r="C1899" t="s">
        <v>6609</v>
      </c>
      <c r="D1899" t="s">
        <v>52</v>
      </c>
      <c r="E1899" t="s">
        <v>1194</v>
      </c>
      <c r="F1899" t="s">
        <v>131</v>
      </c>
      <c r="G1899" t="str">
        <f>HYPERLINK("https://twitter.com/1043543458567340032/status/1143136174015504384")</f>
        <v>https://twitter.com/1043543458567340032/status/1143136174015504384</v>
      </c>
      <c r="H1899" t="s">
        <v>46</v>
      </c>
      <c r="I1899" t="s">
        <v>6610</v>
      </c>
      <c r="J1899" t="str">
        <f>HYPERLINK("http://twitter.com/bxbadook")</f>
        <v>http://twitter.com/bxbadook</v>
      </c>
      <c r="K1899">
        <v>18</v>
      </c>
      <c r="N1899" t="s">
        <v>65</v>
      </c>
      <c r="R1899" t="s">
        <v>60</v>
      </c>
      <c r="S1899" t="s">
        <v>437</v>
      </c>
      <c r="T1899" t="s">
        <v>528</v>
      </c>
      <c r="U1899" t="s">
        <v>529</v>
      </c>
      <c r="W1899">
        <v>0</v>
      </c>
      <c r="X1899">
        <v>0</v>
      </c>
      <c r="AE1899">
        <v>0</v>
      </c>
      <c r="AI1899" t="s">
        <v>52</v>
      </c>
      <c r="AJ1899" t="s">
        <v>1196</v>
      </c>
      <c r="AK1899" t="s">
        <v>52</v>
      </c>
      <c r="AL1899" t="str">
        <f>HYPERLINK("https://pbs.twimg.com/media/D9xgk2YXkAAd2ql.jpg")</f>
        <v>https://pbs.twimg.com/media/D9xgk2YXkAAd2ql.jpg</v>
      </c>
      <c r="AM1899" t="s">
        <v>52</v>
      </c>
      <c r="AN1899" t="s">
        <v>53</v>
      </c>
    </row>
    <row r="1900" spans="1:40">
      <c r="A1900" t="s">
        <v>2370</v>
      </c>
      <c r="B1900" t="s">
        <v>830</v>
      </c>
      <c r="C1900" t="s">
        <v>6595</v>
      </c>
      <c r="D1900" t="s">
        <v>52</v>
      </c>
      <c r="E1900" t="s">
        <v>6611</v>
      </c>
      <c r="F1900" t="s">
        <v>45</v>
      </c>
      <c r="G1900" t="str">
        <f>HYPERLINK("https://www.instagram.com/p/BzF7-ZMpIIf")</f>
        <v>https://www.instagram.com/p/BzF7-ZMpIIf</v>
      </c>
      <c r="H1900" t="s">
        <v>46</v>
      </c>
      <c r="I1900" t="s">
        <v>3375</v>
      </c>
      <c r="J1900" t="str">
        <f>HYPERLINK("http://instagram.com/los_doritos_de_los_bts_")</f>
        <v>http://instagram.com/los_doritos_de_los_bts_</v>
      </c>
      <c r="K1900">
        <v>0</v>
      </c>
      <c r="N1900" t="s">
        <v>59</v>
      </c>
      <c r="O1900" t="s">
        <v>3375</v>
      </c>
      <c r="P1900" t="str">
        <f>HYPERLINK("http://instagram.com/los_doritos_de_los_bts_")</f>
        <v>http://instagram.com/los_doritos_de_los_bts_</v>
      </c>
      <c r="Q1900">
        <v>0</v>
      </c>
      <c r="R1900" t="s">
        <v>60</v>
      </c>
      <c r="W1900">
        <v>23</v>
      </c>
      <c r="X1900">
        <v>23</v>
      </c>
      <c r="AE1900">
        <v>0</v>
      </c>
      <c r="AI1900" t="s">
        <v>52</v>
      </c>
      <c r="AJ1900" t="s">
        <v>52</v>
      </c>
      <c r="AK1900" t="s">
        <v>52</v>
      </c>
      <c r="AL1900" t="str">
        <f>HYPERLINK("https://www.instagram.com/p/BzF7-ZMpIIf/media/?size=l")</f>
        <v>https://www.instagram.com/p/BzF7-ZMpIIf/media/?size=l</v>
      </c>
      <c r="AM1900" t="s">
        <v>52</v>
      </c>
      <c r="AN1900" t="s">
        <v>53</v>
      </c>
    </row>
    <row r="1901" spans="1:40">
      <c r="A1901" t="s">
        <v>2370</v>
      </c>
      <c r="B1901" t="s">
        <v>830</v>
      </c>
      <c r="C1901" t="s">
        <v>6600</v>
      </c>
      <c r="D1901" t="s">
        <v>52</v>
      </c>
      <c r="E1901" t="s">
        <v>1194</v>
      </c>
      <c r="F1901" t="s">
        <v>131</v>
      </c>
      <c r="G1901" t="str">
        <f>HYPERLINK("https://twitter.com/951964634961137670/status/1143136081136750592")</f>
        <v>https://twitter.com/951964634961137670/status/1143136081136750592</v>
      </c>
      <c r="H1901" t="s">
        <v>46</v>
      </c>
      <c r="I1901" t="s">
        <v>6612</v>
      </c>
      <c r="J1901" t="str">
        <f>HYPERLINK("http://twitter.com/sarahisabels")</f>
        <v>http://twitter.com/sarahisabels</v>
      </c>
      <c r="K1901">
        <v>605</v>
      </c>
      <c r="N1901" t="s">
        <v>65</v>
      </c>
      <c r="R1901" t="s">
        <v>60</v>
      </c>
      <c r="W1901">
        <v>0</v>
      </c>
      <c r="X1901">
        <v>0</v>
      </c>
      <c r="AE1901">
        <v>0</v>
      </c>
      <c r="AI1901" t="s">
        <v>52</v>
      </c>
      <c r="AJ1901" t="s">
        <v>1196</v>
      </c>
      <c r="AK1901" t="s">
        <v>52</v>
      </c>
      <c r="AL1901" t="str">
        <f>HYPERLINK("https://pbs.twimg.com/media/D9xgk2YXkAAd2ql.jpg")</f>
        <v>https://pbs.twimg.com/media/D9xgk2YXkAAd2ql.jpg</v>
      </c>
      <c r="AM1901" t="s">
        <v>52</v>
      </c>
      <c r="AN1901" t="s">
        <v>53</v>
      </c>
    </row>
    <row r="1902" spans="1:40">
      <c r="A1902" t="s">
        <v>2370</v>
      </c>
      <c r="B1902" t="s">
        <v>830</v>
      </c>
      <c r="C1902" t="s">
        <v>6613</v>
      </c>
      <c r="D1902" t="s">
        <v>52</v>
      </c>
      <c r="E1902" t="s">
        <v>1194</v>
      </c>
      <c r="F1902" t="s">
        <v>131</v>
      </c>
      <c r="G1902" t="str">
        <f>HYPERLINK("https://twitter.com/464089616/status/1143135945308291072")</f>
        <v>https://twitter.com/464089616/status/1143135945308291072</v>
      </c>
      <c r="H1902" t="s">
        <v>46</v>
      </c>
      <c r="I1902" t="s">
        <v>6614</v>
      </c>
      <c r="J1902" t="str">
        <f>HYPERLINK("http://twitter.com/Wnampere")</f>
        <v>http://twitter.com/Wnampere</v>
      </c>
      <c r="K1902">
        <v>53</v>
      </c>
      <c r="N1902" t="s">
        <v>65</v>
      </c>
      <c r="R1902" t="s">
        <v>60</v>
      </c>
      <c r="W1902">
        <v>0</v>
      </c>
      <c r="X1902">
        <v>0</v>
      </c>
      <c r="AE1902">
        <v>0</v>
      </c>
      <c r="AI1902" t="s">
        <v>52</v>
      </c>
      <c r="AJ1902" t="s">
        <v>1196</v>
      </c>
      <c r="AK1902" t="s">
        <v>52</v>
      </c>
      <c r="AL1902" t="str">
        <f>HYPERLINK("https://pbs.twimg.com/media/D9xgk2YXkAAd2ql.jpg")</f>
        <v>https://pbs.twimg.com/media/D9xgk2YXkAAd2ql.jpg</v>
      </c>
      <c r="AM1902" t="s">
        <v>52</v>
      </c>
      <c r="AN1902" t="s">
        <v>53</v>
      </c>
    </row>
    <row r="1903" spans="1:40">
      <c r="A1903" t="s">
        <v>2370</v>
      </c>
      <c r="B1903" t="s">
        <v>834</v>
      </c>
      <c r="C1903" t="s">
        <v>6595</v>
      </c>
      <c r="D1903" t="s">
        <v>52</v>
      </c>
      <c r="E1903" t="s">
        <v>6615</v>
      </c>
      <c r="F1903" t="s">
        <v>45</v>
      </c>
      <c r="G1903" t="str">
        <f>HYPERLINK("https://twitter.com/411212188/status/1143135837409837056")</f>
        <v>https://twitter.com/411212188/status/1143135837409837056</v>
      </c>
      <c r="H1903" t="s">
        <v>46</v>
      </c>
      <c r="I1903" t="s">
        <v>6616</v>
      </c>
      <c r="J1903" t="str">
        <f>HYPERLINK("http://twitter.com/TheRealJahkobe")</f>
        <v>http://twitter.com/TheRealJahkobe</v>
      </c>
      <c r="K1903">
        <v>1022</v>
      </c>
      <c r="N1903" t="s">
        <v>65</v>
      </c>
      <c r="R1903" t="s">
        <v>60</v>
      </c>
      <c r="W1903">
        <v>0</v>
      </c>
      <c r="X1903">
        <v>0</v>
      </c>
      <c r="AE1903">
        <v>0</v>
      </c>
      <c r="AF1903">
        <v>0</v>
      </c>
      <c r="AM1903" t="s">
        <v>52</v>
      </c>
      <c r="AN1903" t="s">
        <v>53</v>
      </c>
    </row>
    <row r="1904" spans="1:40">
      <c r="A1904" t="s">
        <v>2370</v>
      </c>
      <c r="B1904" t="s">
        <v>6617</v>
      </c>
      <c r="C1904" t="s">
        <v>6618</v>
      </c>
      <c r="D1904" t="s">
        <v>52</v>
      </c>
      <c r="E1904" t="s">
        <v>6619</v>
      </c>
      <c r="F1904" t="s">
        <v>71</v>
      </c>
      <c r="G1904" t="str">
        <f>HYPERLINK("https://twitter.com/1103234300948955136/status/1143135038327918592")</f>
        <v>https://twitter.com/1103234300948955136/status/1143135038327918592</v>
      </c>
      <c r="H1904" t="s">
        <v>215</v>
      </c>
      <c r="I1904" t="s">
        <v>52</v>
      </c>
      <c r="J1904" t="str">
        <f>HYPERLINK("http://twitter.com/DarkRedRum_")</f>
        <v>http://twitter.com/DarkRedRum_</v>
      </c>
      <c r="K1904">
        <v>72</v>
      </c>
      <c r="N1904" t="s">
        <v>65</v>
      </c>
      <c r="R1904" t="s">
        <v>60</v>
      </c>
      <c r="S1904" t="s">
        <v>6603</v>
      </c>
      <c r="W1904">
        <v>0</v>
      </c>
      <c r="X1904">
        <v>0</v>
      </c>
      <c r="AE1904">
        <v>0</v>
      </c>
      <c r="AF1904">
        <v>0</v>
      </c>
      <c r="AI1904" t="s">
        <v>108</v>
      </c>
      <c r="AJ1904" t="s">
        <v>321</v>
      </c>
      <c r="AK1904" t="s">
        <v>52</v>
      </c>
      <c r="AL1904" t="str">
        <f>HYPERLINK("https://pbs.twimg.com/media/D9xlybTXYAE2i7B.jpg")</f>
        <v>https://pbs.twimg.com/media/D9xlybTXYAE2i7B.jpg</v>
      </c>
      <c r="AM1904" t="s">
        <v>52</v>
      </c>
      <c r="AN1904" t="s">
        <v>53</v>
      </c>
    </row>
    <row r="1905" spans="1:40">
      <c r="A1905" t="s">
        <v>2370</v>
      </c>
      <c r="B1905" t="s">
        <v>6617</v>
      </c>
      <c r="C1905" t="s">
        <v>6620</v>
      </c>
      <c r="D1905" t="s">
        <v>52</v>
      </c>
      <c r="E1905" t="s">
        <v>6621</v>
      </c>
      <c r="F1905" t="s">
        <v>95</v>
      </c>
      <c r="G1905" t="str">
        <f>HYPERLINK("https://twitter.com/1056522572278497280/status/1143134979427307522")</f>
        <v>https://twitter.com/1056522572278497280/status/1143134979427307522</v>
      </c>
      <c r="H1905" t="s">
        <v>46</v>
      </c>
      <c r="I1905" t="s">
        <v>6622</v>
      </c>
      <c r="J1905" t="str">
        <f>HYPERLINK("http://twitter.com/smurfdanceparty")</f>
        <v>http://twitter.com/smurfdanceparty</v>
      </c>
      <c r="K1905">
        <v>1255</v>
      </c>
      <c r="N1905" t="s">
        <v>65</v>
      </c>
      <c r="R1905" t="s">
        <v>60</v>
      </c>
      <c r="W1905">
        <v>4</v>
      </c>
      <c r="X1905">
        <v>4</v>
      </c>
      <c r="AE1905">
        <v>0</v>
      </c>
      <c r="AF1905">
        <v>1</v>
      </c>
      <c r="AM1905" t="s">
        <v>52</v>
      </c>
      <c r="AN1905" t="s">
        <v>53</v>
      </c>
    </row>
    <row r="1906" spans="1:40">
      <c r="A1906" t="s">
        <v>2370</v>
      </c>
      <c r="B1906" t="s">
        <v>6617</v>
      </c>
      <c r="C1906" t="s">
        <v>6618</v>
      </c>
      <c r="D1906" t="s">
        <v>52</v>
      </c>
      <c r="E1906" t="s">
        <v>1194</v>
      </c>
      <c r="F1906" t="s">
        <v>131</v>
      </c>
      <c r="G1906" t="str">
        <f>HYPERLINK("https://twitter.com/53536271/status/1143134945289936898")</f>
        <v>https://twitter.com/53536271/status/1143134945289936898</v>
      </c>
      <c r="H1906" t="s">
        <v>46</v>
      </c>
      <c r="I1906" t="s">
        <v>52</v>
      </c>
      <c r="J1906" t="str">
        <f>HYPERLINK("http://twitter.com/musculoestriado")</f>
        <v>http://twitter.com/musculoestriado</v>
      </c>
      <c r="K1906">
        <v>398</v>
      </c>
      <c r="N1906" t="s">
        <v>65</v>
      </c>
      <c r="R1906" t="s">
        <v>60</v>
      </c>
      <c r="S1906" t="s">
        <v>51</v>
      </c>
      <c r="T1906" t="s">
        <v>3267</v>
      </c>
      <c r="U1906" t="s">
        <v>6623</v>
      </c>
      <c r="W1906">
        <v>0</v>
      </c>
      <c r="X1906">
        <v>0</v>
      </c>
      <c r="AE1906">
        <v>0</v>
      </c>
      <c r="AI1906" t="s">
        <v>52</v>
      </c>
      <c r="AJ1906" t="s">
        <v>1196</v>
      </c>
      <c r="AK1906" t="s">
        <v>52</v>
      </c>
      <c r="AL1906" t="str">
        <f>HYPERLINK("https://pbs.twimg.com/media/D9xgk2YXkAAd2ql.jpg")</f>
        <v>https://pbs.twimg.com/media/D9xgk2YXkAAd2ql.jpg</v>
      </c>
      <c r="AM1906" t="s">
        <v>52</v>
      </c>
      <c r="AN1906" t="s">
        <v>53</v>
      </c>
    </row>
    <row r="1907" spans="1:40">
      <c r="A1907" t="s">
        <v>2370</v>
      </c>
      <c r="B1907" t="s">
        <v>6624</v>
      </c>
      <c r="C1907" t="s">
        <v>6600</v>
      </c>
      <c r="D1907" t="s">
        <v>52</v>
      </c>
      <c r="E1907" t="s">
        <v>6625</v>
      </c>
      <c r="F1907" t="s">
        <v>45</v>
      </c>
      <c r="G1907" t="str">
        <f>HYPERLINK("https://twitter.com/276941105/status/1143134781783150592")</f>
        <v>https://twitter.com/276941105/status/1143134781783150592</v>
      </c>
      <c r="H1907" t="s">
        <v>46</v>
      </c>
      <c r="I1907" t="s">
        <v>6626</v>
      </c>
      <c r="J1907" t="str">
        <f>HYPERLINK("http://twitter.com/Patri_Online")</f>
        <v>http://twitter.com/Patri_Online</v>
      </c>
      <c r="K1907">
        <v>8356</v>
      </c>
      <c r="L1907" t="s">
        <v>58</v>
      </c>
      <c r="N1907" t="s">
        <v>65</v>
      </c>
      <c r="R1907" t="s">
        <v>60</v>
      </c>
      <c r="W1907">
        <v>0</v>
      </c>
      <c r="X1907">
        <v>0</v>
      </c>
      <c r="AE1907">
        <v>0</v>
      </c>
      <c r="AF1907">
        <v>0</v>
      </c>
      <c r="AI1907" t="s">
        <v>52</v>
      </c>
      <c r="AJ1907" t="s">
        <v>6627</v>
      </c>
      <c r="AK1907" t="s">
        <v>6628</v>
      </c>
      <c r="AL1907" t="str">
        <f>HYPERLINK("https://pbs.twimg.com/media/D907BphXoAAIMAh.jpg")</f>
        <v>https://pbs.twimg.com/media/D907BphXoAAIMAh.jpg</v>
      </c>
      <c r="AM1907" t="s">
        <v>52</v>
      </c>
      <c r="AN1907" t="s">
        <v>53</v>
      </c>
    </row>
    <row r="1908" spans="1:40">
      <c r="A1908" t="s">
        <v>2370</v>
      </c>
      <c r="B1908" t="s">
        <v>6624</v>
      </c>
      <c r="C1908" t="s">
        <v>5028</v>
      </c>
      <c r="D1908" t="s">
        <v>52</v>
      </c>
      <c r="E1908" t="s">
        <v>6629</v>
      </c>
      <c r="F1908" t="s">
        <v>45</v>
      </c>
      <c r="G1908" t="str">
        <f>HYPERLINK("https://www.instagram.com/p/BzF7X09F6pA")</f>
        <v>https://www.instagram.com/p/BzF7X09F6pA</v>
      </c>
      <c r="H1908" t="s">
        <v>215</v>
      </c>
      <c r="I1908" t="s">
        <v>6630</v>
      </c>
      <c r="J1908" t="str">
        <f>HYPERLINK("http://instagram.com/valleria_viana")</f>
        <v>http://instagram.com/valleria_viana</v>
      </c>
      <c r="K1908">
        <v>2030</v>
      </c>
      <c r="L1908" t="s">
        <v>58</v>
      </c>
      <c r="N1908" t="s">
        <v>59</v>
      </c>
      <c r="O1908" t="s">
        <v>6630</v>
      </c>
      <c r="P1908" t="str">
        <f>HYPERLINK("http://instagram.com/valleria_viana")</f>
        <v>http://instagram.com/valleria_viana</v>
      </c>
      <c r="Q1908">
        <v>2030</v>
      </c>
      <c r="R1908" t="s">
        <v>60</v>
      </c>
      <c r="W1908">
        <v>11</v>
      </c>
      <c r="X1908">
        <v>11</v>
      </c>
      <c r="AE1908">
        <v>0</v>
      </c>
      <c r="AI1908" t="s">
        <v>108</v>
      </c>
      <c r="AJ1908" t="s">
        <v>6631</v>
      </c>
      <c r="AK1908" t="s">
        <v>52</v>
      </c>
      <c r="AL1908" t="str">
        <f>HYPERLINK("https://www.instagram.com/p/BzF7X09F6pA/media/?size=l")</f>
        <v>https://www.instagram.com/p/BzF7X09F6pA/media/?size=l</v>
      </c>
      <c r="AM1908" t="s">
        <v>52</v>
      </c>
      <c r="AN1908" t="s">
        <v>53</v>
      </c>
    </row>
    <row r="1909" spans="1:40">
      <c r="A1909" t="s">
        <v>2370</v>
      </c>
      <c r="B1909" t="s">
        <v>6632</v>
      </c>
      <c r="C1909" t="s">
        <v>6633</v>
      </c>
      <c r="D1909" t="s">
        <v>52</v>
      </c>
      <c r="E1909" t="s">
        <v>3503</v>
      </c>
      <c r="F1909" t="s">
        <v>71</v>
      </c>
      <c r="G1909" t="str">
        <f>HYPERLINK("https://twitter.com/919210991908474880/status/1143133916188020739")</f>
        <v>https://twitter.com/919210991908474880/status/1143133916188020739</v>
      </c>
      <c r="H1909" t="s">
        <v>46</v>
      </c>
      <c r="I1909" t="s">
        <v>6634</v>
      </c>
      <c r="J1909" t="str">
        <f>HYPERLINK("http://twitter.com/Zeebrongis")</f>
        <v>http://twitter.com/Zeebrongis</v>
      </c>
      <c r="K1909">
        <v>1948</v>
      </c>
      <c r="N1909" t="s">
        <v>65</v>
      </c>
      <c r="R1909" t="s">
        <v>60</v>
      </c>
      <c r="S1909" t="s">
        <v>4594</v>
      </c>
      <c r="W1909">
        <v>52</v>
      </c>
      <c r="X1909">
        <v>52</v>
      </c>
      <c r="AE1909">
        <v>4</v>
      </c>
      <c r="AF1909">
        <v>7</v>
      </c>
      <c r="AI1909" t="s">
        <v>108</v>
      </c>
      <c r="AJ1909" t="s">
        <v>52</v>
      </c>
      <c r="AK1909" t="s">
        <v>52</v>
      </c>
      <c r="AL1909" t="str">
        <f>HYPERLINK("https://pbs.twimg.com/tweet_video_thumb/D9hvNNzXUAATAS3.jpg")</f>
        <v>https://pbs.twimg.com/tweet_video_thumb/D9hvNNzXUAATAS3.jpg</v>
      </c>
      <c r="AM1909" t="s">
        <v>52</v>
      </c>
      <c r="AN1909" t="s">
        <v>53</v>
      </c>
    </row>
    <row r="1910" spans="1:40">
      <c r="A1910" t="s">
        <v>2370</v>
      </c>
      <c r="B1910" t="s">
        <v>6632</v>
      </c>
      <c r="C1910" t="s">
        <v>6633</v>
      </c>
      <c r="D1910" t="s">
        <v>52</v>
      </c>
      <c r="E1910" t="s">
        <v>6635</v>
      </c>
      <c r="F1910" t="s">
        <v>71</v>
      </c>
      <c r="G1910" t="str">
        <f>HYPERLINK("https://twitter.com/1110865783104507905/status/1143133865914974208")</f>
        <v>https://twitter.com/1110865783104507905/status/1143133865914974208</v>
      </c>
      <c r="H1910" t="s">
        <v>46</v>
      </c>
      <c r="I1910" t="s">
        <v>6636</v>
      </c>
      <c r="J1910" t="str">
        <f>HYPERLINK("http://twitter.com/kaoru53817827")</f>
        <v>http://twitter.com/kaoru53817827</v>
      </c>
      <c r="K1910">
        <v>30</v>
      </c>
      <c r="N1910" t="s">
        <v>65</v>
      </c>
      <c r="R1910" t="s">
        <v>60</v>
      </c>
      <c r="W1910">
        <v>0</v>
      </c>
      <c r="X1910">
        <v>0</v>
      </c>
      <c r="AE1910">
        <v>0</v>
      </c>
      <c r="AF1910">
        <v>0</v>
      </c>
      <c r="AM1910" t="s">
        <v>52</v>
      </c>
      <c r="AN1910" t="s">
        <v>53</v>
      </c>
    </row>
    <row r="1911" spans="1:40">
      <c r="A1911" t="s">
        <v>2370</v>
      </c>
      <c r="B1911" t="s">
        <v>868</v>
      </c>
      <c r="C1911" t="s">
        <v>6637</v>
      </c>
      <c r="D1911" t="s">
        <v>6638</v>
      </c>
      <c r="E1911" t="s">
        <v>6639</v>
      </c>
      <c r="F1911" t="s">
        <v>45</v>
      </c>
      <c r="G1911" t="str">
        <f>HYPERLINK("https://www.youtube.com/watch?v=VmrWzqW_Cgk")</f>
        <v>https://www.youtube.com/watch?v=VmrWzqW_Cgk</v>
      </c>
      <c r="H1911" t="s">
        <v>46</v>
      </c>
      <c r="I1911" t="s">
        <v>6640</v>
      </c>
      <c r="J1911" t="str">
        <f>HYPERLINK("https://www.youtube.com/channel/UCQL3tIwR0gOnr4qvnBzOgjg")</f>
        <v>https://www.youtube.com/channel/UCQL3tIwR0gOnr4qvnBzOgjg</v>
      </c>
      <c r="K1911">
        <v>23</v>
      </c>
      <c r="N1911" t="s">
        <v>116</v>
      </c>
      <c r="O1911" t="s">
        <v>6640</v>
      </c>
      <c r="P1911" t="str">
        <f>HYPERLINK("https://www.youtube.com/channel/UCQL3tIwR0gOnr4qvnBzOgjg")</f>
        <v>https://www.youtube.com/channel/UCQL3tIwR0gOnr4qvnBzOgjg</v>
      </c>
      <c r="Q1911">
        <v>23</v>
      </c>
      <c r="R1911" t="s">
        <v>60</v>
      </c>
      <c r="W1911">
        <v>4</v>
      </c>
      <c r="X1911">
        <v>4</v>
      </c>
      <c r="AD1911">
        <v>1</v>
      </c>
      <c r="AE1911">
        <v>5</v>
      </c>
      <c r="AG1911">
        <v>109</v>
      </c>
      <c r="AI1911" t="s">
        <v>52</v>
      </c>
      <c r="AJ1911" t="s">
        <v>52</v>
      </c>
      <c r="AK1911" t="s">
        <v>52</v>
      </c>
      <c r="AL1911" t="str">
        <f>HYPERLINK("https://i.ytimg.com/vi/VmrWzqW_Cgk/hqdefault.jpg")</f>
        <v>https://i.ytimg.com/vi/VmrWzqW_Cgk/hqdefault.jpg</v>
      </c>
      <c r="AM1911" t="s">
        <v>52</v>
      </c>
      <c r="AN1911" t="s">
        <v>53</v>
      </c>
    </row>
    <row r="1912" spans="1:40">
      <c r="A1912" t="s">
        <v>2370</v>
      </c>
      <c r="B1912" t="s">
        <v>875</v>
      </c>
      <c r="C1912" t="s">
        <v>6641</v>
      </c>
      <c r="D1912" t="s">
        <v>52</v>
      </c>
      <c r="E1912" t="s">
        <v>130</v>
      </c>
      <c r="F1912" t="s">
        <v>131</v>
      </c>
      <c r="G1912" t="str">
        <f>HYPERLINK("https://twitter.com/1083355053526786049/status/1143133090119901189")</f>
        <v>https://twitter.com/1083355053526786049/status/1143133090119901189</v>
      </c>
      <c r="H1912" t="s">
        <v>46</v>
      </c>
      <c r="I1912" t="s">
        <v>6642</v>
      </c>
      <c r="J1912" t="str">
        <f>HYPERLINK("http://twitter.com/CollingAlice")</f>
        <v>http://twitter.com/CollingAlice</v>
      </c>
      <c r="K1912">
        <v>62</v>
      </c>
      <c r="L1912" t="s">
        <v>58</v>
      </c>
      <c r="N1912" t="s">
        <v>65</v>
      </c>
      <c r="R1912" t="s">
        <v>60</v>
      </c>
      <c r="S1912" t="s">
        <v>97</v>
      </c>
      <c r="T1912" t="s">
        <v>177</v>
      </c>
      <c r="U1912" t="s">
        <v>6643</v>
      </c>
      <c r="W1912">
        <v>0</v>
      </c>
      <c r="X1912">
        <v>0</v>
      </c>
      <c r="AE1912">
        <v>0</v>
      </c>
      <c r="AL1912" t="str">
        <f>HYPERLINK("https://pbs.twimg.com/media/D9XTkLWW4AAOYnJ.jpg")</f>
        <v>https://pbs.twimg.com/media/D9XTkLWW4AAOYnJ.jpg</v>
      </c>
      <c r="AM1912" t="s">
        <v>52</v>
      </c>
      <c r="AN1912" t="s">
        <v>53</v>
      </c>
    </row>
    <row r="1913" spans="1:40">
      <c r="A1913" t="s">
        <v>2370</v>
      </c>
      <c r="B1913" t="s">
        <v>877</v>
      </c>
      <c r="C1913" t="s">
        <v>6641</v>
      </c>
      <c r="D1913" t="s">
        <v>52</v>
      </c>
      <c r="E1913" t="s">
        <v>6644</v>
      </c>
      <c r="F1913" t="s">
        <v>71</v>
      </c>
      <c r="G1913" t="str">
        <f>HYPERLINK("https://twitter.com/340146097/status/1143132432897662976")</f>
        <v>https://twitter.com/340146097/status/1143132432897662976</v>
      </c>
      <c r="H1913" t="s">
        <v>46</v>
      </c>
      <c r="I1913" t="s">
        <v>6645</v>
      </c>
      <c r="J1913" t="str">
        <f>HYPERLINK("http://twitter.com/parkslopeyuppie")</f>
        <v>http://twitter.com/parkslopeyuppie</v>
      </c>
      <c r="K1913">
        <v>201</v>
      </c>
      <c r="L1913" t="s">
        <v>48</v>
      </c>
      <c r="N1913" t="s">
        <v>65</v>
      </c>
      <c r="R1913" t="s">
        <v>60</v>
      </c>
      <c r="S1913" t="s">
        <v>51</v>
      </c>
      <c r="T1913" t="s">
        <v>380</v>
      </c>
      <c r="U1913" t="s">
        <v>380</v>
      </c>
      <c r="W1913">
        <v>0</v>
      </c>
      <c r="X1913">
        <v>0</v>
      </c>
      <c r="AE1913">
        <v>0</v>
      </c>
      <c r="AF1913">
        <v>0</v>
      </c>
      <c r="AI1913" t="s">
        <v>52</v>
      </c>
      <c r="AJ1913" t="s">
        <v>6646</v>
      </c>
      <c r="AK1913" t="s">
        <v>680</v>
      </c>
      <c r="AL1913" t="str">
        <f>HYPERLINK("https://pbs.twimg.com/media/D9yR2K8XsAIpe50.jpg")</f>
        <v>https://pbs.twimg.com/media/D9yR2K8XsAIpe50.jpg</v>
      </c>
      <c r="AM1913" t="s">
        <v>52</v>
      </c>
      <c r="AN1913" t="s">
        <v>53</v>
      </c>
    </row>
    <row r="1914" spans="1:40">
      <c r="A1914" t="s">
        <v>2370</v>
      </c>
      <c r="B1914" t="s">
        <v>877</v>
      </c>
      <c r="C1914" t="s">
        <v>6637</v>
      </c>
      <c r="D1914" t="s">
        <v>52</v>
      </c>
      <c r="E1914" t="s">
        <v>6647</v>
      </c>
      <c r="F1914" t="s">
        <v>45</v>
      </c>
      <c r="G1914" t="str">
        <f>HYPERLINK("https://twitter.com/962757476293795842/status/1143132416825077761")</f>
        <v>https://twitter.com/962757476293795842/status/1143132416825077761</v>
      </c>
      <c r="H1914" t="s">
        <v>46</v>
      </c>
      <c r="I1914" t="s">
        <v>6648</v>
      </c>
      <c r="J1914" t="str">
        <f>HYPERLINK("http://twitter.com/Vonnneeee1")</f>
        <v>http://twitter.com/Vonnneeee1</v>
      </c>
      <c r="K1914">
        <v>177</v>
      </c>
      <c r="N1914" t="s">
        <v>65</v>
      </c>
      <c r="R1914" t="s">
        <v>60</v>
      </c>
      <c r="W1914">
        <v>0</v>
      </c>
      <c r="X1914">
        <v>0</v>
      </c>
      <c r="AE1914">
        <v>0</v>
      </c>
      <c r="AF1914">
        <v>0</v>
      </c>
      <c r="AM1914" t="s">
        <v>52</v>
      </c>
      <c r="AN1914" t="s">
        <v>53</v>
      </c>
    </row>
    <row r="1915" spans="1:40">
      <c r="A1915" t="s">
        <v>2370</v>
      </c>
      <c r="B1915" t="s">
        <v>888</v>
      </c>
      <c r="C1915" t="s">
        <v>6649</v>
      </c>
      <c r="D1915" t="s">
        <v>52</v>
      </c>
      <c r="E1915" t="s">
        <v>6650</v>
      </c>
      <c r="F1915" t="s">
        <v>45</v>
      </c>
      <c r="G1915" t="str">
        <f>HYPERLINK("https://twitter.com/40507369/status/1143131842570178562")</f>
        <v>https://twitter.com/40507369/status/1143131842570178562</v>
      </c>
      <c r="H1915" t="s">
        <v>46</v>
      </c>
      <c r="I1915" t="s">
        <v>6651</v>
      </c>
      <c r="J1915" t="str">
        <f>HYPERLINK("http://twitter.com/geloarnaldo")</f>
        <v>http://twitter.com/geloarnaldo</v>
      </c>
      <c r="K1915">
        <v>474</v>
      </c>
      <c r="N1915" t="s">
        <v>65</v>
      </c>
      <c r="R1915" t="s">
        <v>60</v>
      </c>
      <c r="S1915" t="s">
        <v>226</v>
      </c>
      <c r="U1915" t="s">
        <v>6652</v>
      </c>
      <c r="W1915">
        <v>0</v>
      </c>
      <c r="X1915">
        <v>0</v>
      </c>
      <c r="AE1915">
        <v>1</v>
      </c>
      <c r="AF1915">
        <v>0</v>
      </c>
      <c r="AM1915" t="s">
        <v>52</v>
      </c>
      <c r="AN1915" t="s">
        <v>53</v>
      </c>
    </row>
    <row r="1916" spans="1:40">
      <c r="A1916" t="s">
        <v>2370</v>
      </c>
      <c r="B1916" t="s">
        <v>895</v>
      </c>
      <c r="C1916" t="s">
        <v>6653</v>
      </c>
      <c r="D1916" t="s">
        <v>52</v>
      </c>
      <c r="E1916" t="s">
        <v>6654</v>
      </c>
      <c r="F1916" t="s">
        <v>45</v>
      </c>
      <c r="G1916" t="str">
        <f>HYPERLINK("https://www.instagram.com/p/BzF583oJ5-s")</f>
        <v>https://www.instagram.com/p/BzF583oJ5-s</v>
      </c>
      <c r="H1916" t="s">
        <v>46</v>
      </c>
      <c r="I1916" t="s">
        <v>3375</v>
      </c>
      <c r="J1916" t="str">
        <f>HYPERLINK("http://instagram.com/los_doritos_de_los_bts_")</f>
        <v>http://instagram.com/los_doritos_de_los_bts_</v>
      </c>
      <c r="K1916">
        <v>0</v>
      </c>
      <c r="N1916" t="s">
        <v>59</v>
      </c>
      <c r="O1916" t="s">
        <v>3375</v>
      </c>
      <c r="P1916" t="str">
        <f>HYPERLINK("http://instagram.com/los_doritos_de_los_bts_")</f>
        <v>http://instagram.com/los_doritos_de_los_bts_</v>
      </c>
      <c r="Q1916">
        <v>0</v>
      </c>
      <c r="R1916" t="s">
        <v>60</v>
      </c>
      <c r="W1916">
        <v>28</v>
      </c>
      <c r="X1916">
        <v>28</v>
      </c>
      <c r="AE1916">
        <v>1</v>
      </c>
      <c r="AI1916" t="s">
        <v>52</v>
      </c>
      <c r="AJ1916" t="s">
        <v>3551</v>
      </c>
      <c r="AK1916" t="s">
        <v>6655</v>
      </c>
      <c r="AL1916" t="str">
        <f>HYPERLINK("https://www.instagram.com/p/BzF583oJ5-s/media/?size=l")</f>
        <v>https://www.instagram.com/p/BzF583oJ5-s/media/?size=l</v>
      </c>
      <c r="AM1916" t="s">
        <v>52</v>
      </c>
      <c r="AN1916" t="s">
        <v>53</v>
      </c>
    </row>
    <row r="1917" spans="1:40">
      <c r="A1917" t="s">
        <v>2370</v>
      </c>
      <c r="B1917" t="s">
        <v>900</v>
      </c>
      <c r="C1917" t="s">
        <v>6656</v>
      </c>
      <c r="D1917" t="s">
        <v>6657</v>
      </c>
      <c r="E1917" t="s">
        <v>6658</v>
      </c>
      <c r="F1917" t="s">
        <v>95</v>
      </c>
      <c r="G1917" t="str">
        <f>HYPERLINK("https://disqus.com/home/discussion/channel-rianulkingdom/traveling_and_packing/#comment-4514026716")</f>
        <v>https://disqus.com/home/discussion/channel-rianulkingdom/traveling_and_packing/#comment-4514026716</v>
      </c>
      <c r="H1917" t="s">
        <v>215</v>
      </c>
      <c r="I1917" t="s">
        <v>6659</v>
      </c>
      <c r="J1917" t="str">
        <f>HYPERLINK("https://disqus.com/by/Reihiro/")</f>
        <v>https://disqus.com/by/Reihiro/</v>
      </c>
      <c r="K1917">
        <v>0</v>
      </c>
      <c r="N1917" t="s">
        <v>5770</v>
      </c>
      <c r="O1917" t="s">
        <v>5771</v>
      </c>
      <c r="P1917" t="str">
        <f>HYPERLINK("https://disqus.com/home/channel/rianulkingdom/")</f>
        <v>https://disqus.com/home/channel/rianulkingdom/</v>
      </c>
      <c r="Q1917">
        <v>316796</v>
      </c>
      <c r="R1917" t="s">
        <v>50</v>
      </c>
      <c r="S1917" t="s">
        <v>97</v>
      </c>
      <c r="T1917" t="s">
        <v>177</v>
      </c>
      <c r="U1917" t="s">
        <v>6660</v>
      </c>
      <c r="W1917">
        <v>1</v>
      </c>
      <c r="X1917">
        <v>1</v>
      </c>
      <c r="AM1917" t="s">
        <v>52</v>
      </c>
      <c r="AN1917" t="s">
        <v>53</v>
      </c>
    </row>
    <row r="1918" spans="1:40">
      <c r="A1918" t="s">
        <v>2370</v>
      </c>
      <c r="B1918" t="s">
        <v>6661</v>
      </c>
      <c r="C1918" t="s">
        <v>3804</v>
      </c>
      <c r="D1918" t="s">
        <v>6662</v>
      </c>
      <c r="E1918" t="s">
        <v>6663</v>
      </c>
      <c r="F1918" t="s">
        <v>45</v>
      </c>
      <c r="G1918" t="str">
        <f>HYPERLINK("https://vickiarcher.com/2019/06/do-you-snack-without-knowing")</f>
        <v>https://vickiarcher.com/2019/06/do-you-snack-without-knowing</v>
      </c>
      <c r="H1918" t="s">
        <v>91</v>
      </c>
      <c r="I1918" t="s">
        <v>6664</v>
      </c>
      <c r="J1918" t="str">
        <f>HYPERLINK("https://vickiarcher.com/2019/06/do-you-snack-without-knowing/")</f>
        <v>https://vickiarcher.com/2019/06/do-you-snack-without-knowing/</v>
      </c>
      <c r="N1918" t="s">
        <v>6665</v>
      </c>
      <c r="R1918" t="s">
        <v>50</v>
      </c>
      <c r="S1918" t="s">
        <v>51</v>
      </c>
      <c r="AM1918" t="s">
        <v>52</v>
      </c>
      <c r="AN1918" t="s">
        <v>53</v>
      </c>
    </row>
    <row r="1919" spans="1:40">
      <c r="A1919" t="s">
        <v>2370</v>
      </c>
      <c r="B1919" t="s">
        <v>6666</v>
      </c>
      <c r="C1919" t="s">
        <v>6667</v>
      </c>
      <c r="D1919" t="s">
        <v>52</v>
      </c>
      <c r="E1919" t="s">
        <v>1190</v>
      </c>
      <c r="F1919" t="s">
        <v>45</v>
      </c>
      <c r="G1919" t="str">
        <f>HYPERLINK("https://twitter.com/3404932300/status/1143130709625856000")</f>
        <v>https://twitter.com/3404932300/status/1143130709625856000</v>
      </c>
      <c r="H1919" t="s">
        <v>46</v>
      </c>
      <c r="I1919" t="s">
        <v>6668</v>
      </c>
      <c r="J1919" t="str">
        <f>HYPERLINK("http://twitter.com/faithsmel")</f>
        <v>http://twitter.com/faithsmel</v>
      </c>
      <c r="K1919">
        <v>120</v>
      </c>
      <c r="N1919" t="s">
        <v>65</v>
      </c>
      <c r="R1919" t="s">
        <v>60</v>
      </c>
      <c r="W1919">
        <v>2</v>
      </c>
      <c r="X1919">
        <v>2</v>
      </c>
      <c r="AE1919">
        <v>0</v>
      </c>
      <c r="AF1919">
        <v>1</v>
      </c>
      <c r="AM1919" t="s">
        <v>52</v>
      </c>
      <c r="AN1919" t="s">
        <v>53</v>
      </c>
    </row>
    <row r="1920" spans="1:40">
      <c r="A1920" t="s">
        <v>2370</v>
      </c>
      <c r="B1920" t="s">
        <v>6666</v>
      </c>
      <c r="C1920" t="s">
        <v>6649</v>
      </c>
      <c r="D1920" t="s">
        <v>6669</v>
      </c>
      <c r="E1920" t="s">
        <v>6670</v>
      </c>
      <c r="F1920" t="s">
        <v>45</v>
      </c>
      <c r="G1920" t="str">
        <f>HYPERLINK("http://kdhlradio.com/kentucky-fried-cheetos-items-are-coming-to-rochester")</f>
        <v>http://kdhlradio.com/kentucky-fried-cheetos-items-are-coming-to-rochester</v>
      </c>
      <c r="H1920" t="s">
        <v>46</v>
      </c>
      <c r="I1920" t="s">
        <v>6671</v>
      </c>
      <c r="J1920" t="str">
        <f>HYPERLINK("http://kdhlradio.com/kentucky-fried-cheetos-items-are-coming-to-rochester/")</f>
        <v>http://kdhlradio.com/kentucky-fried-cheetos-items-are-coming-to-rochester/</v>
      </c>
      <c r="L1920" t="s">
        <v>48</v>
      </c>
      <c r="N1920" t="s">
        <v>6672</v>
      </c>
      <c r="R1920" t="s">
        <v>357</v>
      </c>
      <c r="S1920" t="s">
        <v>51</v>
      </c>
      <c r="AM1920" t="s">
        <v>52</v>
      </c>
      <c r="AN1920" t="s">
        <v>53</v>
      </c>
    </row>
    <row r="1921" spans="1:40">
      <c r="A1921" t="s">
        <v>2370</v>
      </c>
      <c r="B1921" t="s">
        <v>6673</v>
      </c>
      <c r="C1921" t="s">
        <v>6108</v>
      </c>
      <c r="D1921" t="s">
        <v>6674</v>
      </c>
      <c r="E1921" t="s">
        <v>6674</v>
      </c>
      <c r="F1921" t="s">
        <v>45</v>
      </c>
      <c r="G1921" t="str">
        <f>HYPERLINK("https://www.youtube.com/watch?v=mXb3sNB-uRo")</f>
        <v>https://www.youtube.com/watch?v=mXb3sNB-uRo</v>
      </c>
      <c r="H1921" t="s">
        <v>46</v>
      </c>
      <c r="I1921" t="s">
        <v>6675</v>
      </c>
      <c r="J1921" t="str">
        <f>HYPERLINK("https://www.youtube.com/channel/UCHSjddl85eHn5hil_hR2dqg")</f>
        <v>https://www.youtube.com/channel/UCHSjddl85eHn5hil_hR2dqg</v>
      </c>
      <c r="K1921">
        <v>13</v>
      </c>
      <c r="N1921" t="s">
        <v>116</v>
      </c>
      <c r="O1921" t="s">
        <v>6675</v>
      </c>
      <c r="P1921" t="str">
        <f>HYPERLINK("https://www.youtube.com/channel/UCHSjddl85eHn5hil_hR2dqg")</f>
        <v>https://www.youtube.com/channel/UCHSjddl85eHn5hil_hR2dqg</v>
      </c>
      <c r="Q1921">
        <v>13</v>
      </c>
      <c r="R1921" t="s">
        <v>60</v>
      </c>
      <c r="W1921">
        <v>0</v>
      </c>
      <c r="X1921">
        <v>0</v>
      </c>
      <c r="AD1921">
        <v>0</v>
      </c>
      <c r="AE1921">
        <v>0</v>
      </c>
      <c r="AG1921">
        <v>3</v>
      </c>
      <c r="AI1921" t="s">
        <v>52</v>
      </c>
      <c r="AJ1921" t="s">
        <v>52</v>
      </c>
      <c r="AK1921" t="s">
        <v>52</v>
      </c>
      <c r="AL1921" t="str">
        <f>HYPERLINK("https://i.ytimg.com/vi/mXb3sNB-uRo/maxresdefault.jpg")</f>
        <v>https://i.ytimg.com/vi/mXb3sNB-uRo/maxresdefault.jpg</v>
      </c>
      <c r="AM1921" t="s">
        <v>52</v>
      </c>
      <c r="AN1921" t="s">
        <v>53</v>
      </c>
    </row>
    <row r="1922" spans="1:40">
      <c r="A1922" t="s">
        <v>2370</v>
      </c>
      <c r="B1922" t="s">
        <v>6673</v>
      </c>
      <c r="C1922" t="s">
        <v>6656</v>
      </c>
      <c r="D1922" t="s">
        <v>6657</v>
      </c>
      <c r="E1922" t="s">
        <v>108</v>
      </c>
      <c r="F1922" t="s">
        <v>95</v>
      </c>
      <c r="G1922" t="str">
        <f>HYPERLINK("https://disqus.com/home/discussion/channel-rianulkingdom/traveling_and_packing/#comment-4514024175")</f>
        <v>https://disqus.com/home/discussion/channel-rianulkingdom/traveling_and_packing/#comment-4514024175</v>
      </c>
      <c r="H1922" t="s">
        <v>215</v>
      </c>
      <c r="I1922" t="s">
        <v>5769</v>
      </c>
      <c r="J1922" t="str">
        <f>HYPERLINK("https://disqus.com/by/jef6688/")</f>
        <v>https://disqus.com/by/jef6688/</v>
      </c>
      <c r="K1922">
        <v>175</v>
      </c>
      <c r="N1922" t="s">
        <v>5770</v>
      </c>
      <c r="O1922" t="s">
        <v>5771</v>
      </c>
      <c r="P1922" t="str">
        <f>HYPERLINK("https://disqus.com/home/channel/rianulkingdom/")</f>
        <v>https://disqus.com/home/channel/rianulkingdom/</v>
      </c>
      <c r="Q1922">
        <v>316796</v>
      </c>
      <c r="R1922" t="s">
        <v>50</v>
      </c>
      <c r="W1922">
        <v>1</v>
      </c>
      <c r="X1922">
        <v>1</v>
      </c>
      <c r="AM1922" t="s">
        <v>52</v>
      </c>
      <c r="AN1922" t="s">
        <v>53</v>
      </c>
    </row>
    <row r="1923" spans="1:40">
      <c r="A1923" t="s">
        <v>2370</v>
      </c>
      <c r="B1923" t="s">
        <v>6673</v>
      </c>
      <c r="C1923" t="s">
        <v>5119</v>
      </c>
      <c r="D1923" t="s">
        <v>52</v>
      </c>
      <c r="E1923" t="s">
        <v>6676</v>
      </c>
      <c r="F1923" t="s">
        <v>45</v>
      </c>
      <c r="G1923" t="str">
        <f>HYPERLINK("https://www.instagram.com/p/BzF5X_onxqv")</f>
        <v>https://www.instagram.com/p/BzF5X_onxqv</v>
      </c>
      <c r="H1923" t="s">
        <v>46</v>
      </c>
      <c r="I1923" t="s">
        <v>52</v>
      </c>
      <c r="J1923" t="str">
        <f>HYPERLINK("http://instagram.com/pedohouse")</f>
        <v>http://instagram.com/pedohouse</v>
      </c>
      <c r="K1923">
        <v>0</v>
      </c>
      <c r="N1923" t="s">
        <v>59</v>
      </c>
      <c r="O1923" t="s">
        <v>52</v>
      </c>
      <c r="P1923" t="str">
        <f>HYPERLINK("http://instagram.com/pedohouse")</f>
        <v>http://instagram.com/pedohouse</v>
      </c>
      <c r="Q1923">
        <v>0</v>
      </c>
      <c r="R1923" t="s">
        <v>60</v>
      </c>
      <c r="W1923">
        <v>27</v>
      </c>
      <c r="X1923">
        <v>27</v>
      </c>
      <c r="AE1923">
        <v>2</v>
      </c>
      <c r="AG1923">
        <v>29</v>
      </c>
      <c r="AI1923" t="s">
        <v>108</v>
      </c>
      <c r="AJ1923" t="s">
        <v>52</v>
      </c>
      <c r="AK1923" t="s">
        <v>52</v>
      </c>
      <c r="AL1923" t="str">
        <f>HYPERLINK("https://www.instagram.com/p/BzF5X_onxqv/media/?size=l")</f>
        <v>https://www.instagram.com/p/BzF5X_onxqv/media/?size=l</v>
      </c>
      <c r="AM1923" t="s">
        <v>52</v>
      </c>
      <c r="AN1923" t="s">
        <v>53</v>
      </c>
    </row>
    <row r="1924" spans="1:40">
      <c r="A1924" t="s">
        <v>2370</v>
      </c>
      <c r="B1924" t="s">
        <v>905</v>
      </c>
      <c r="C1924" t="s">
        <v>3836</v>
      </c>
      <c r="D1924" t="s">
        <v>6677</v>
      </c>
      <c r="E1924" t="s">
        <v>6678</v>
      </c>
      <c r="F1924" t="s">
        <v>45</v>
      </c>
      <c r="G1924" t="str">
        <f>HYPERLINK("https://www.birdsfan.com/universal-crossword-answers-monday-june-24-2019")</f>
        <v>https://www.birdsfan.com/universal-crossword-answers-monday-june-24-2019</v>
      </c>
      <c r="H1924" t="s">
        <v>46</v>
      </c>
      <c r="I1924" t="s">
        <v>6679</v>
      </c>
      <c r="J1924" t="str">
        <f>HYPERLINK("https://www.birdsfan.com/universal-crossword-answers-monday-june-24-2019/")</f>
        <v>https://www.birdsfan.com/universal-crossword-answers-monday-june-24-2019/</v>
      </c>
      <c r="L1924" t="s">
        <v>48</v>
      </c>
      <c r="N1924" t="s">
        <v>6680</v>
      </c>
      <c r="R1924" t="s">
        <v>50</v>
      </c>
      <c r="S1924" t="s">
        <v>6681</v>
      </c>
      <c r="AM1924" t="s">
        <v>52</v>
      </c>
      <c r="AN1924" t="s">
        <v>53</v>
      </c>
    </row>
    <row r="1925" spans="1:40">
      <c r="A1925" t="s">
        <v>2370</v>
      </c>
      <c r="B1925" t="s">
        <v>917</v>
      </c>
      <c r="C1925" t="s">
        <v>6641</v>
      </c>
      <c r="D1925" t="s">
        <v>52</v>
      </c>
      <c r="E1925" t="s">
        <v>5686</v>
      </c>
      <c r="F1925" t="s">
        <v>131</v>
      </c>
      <c r="G1925" t="str">
        <f>HYPERLINK("https://twitter.com/2917338221/status/1143130007314804742")</f>
        <v>https://twitter.com/2917338221/status/1143130007314804742</v>
      </c>
      <c r="H1925" t="s">
        <v>46</v>
      </c>
      <c r="I1925" t="s">
        <v>6682</v>
      </c>
      <c r="J1925" t="str">
        <f>HYPERLINK("http://twitter.com/Bless_497")</f>
        <v>http://twitter.com/Bless_497</v>
      </c>
      <c r="K1925">
        <v>5625</v>
      </c>
      <c r="N1925" t="s">
        <v>65</v>
      </c>
      <c r="R1925" t="s">
        <v>60</v>
      </c>
      <c r="S1925" t="s">
        <v>1071</v>
      </c>
      <c r="W1925">
        <v>0</v>
      </c>
      <c r="X1925">
        <v>0</v>
      </c>
      <c r="AE1925">
        <v>0</v>
      </c>
      <c r="AI1925" t="s">
        <v>52</v>
      </c>
      <c r="AJ1925" t="s">
        <v>52</v>
      </c>
      <c r="AK1925" t="s">
        <v>2278</v>
      </c>
      <c r="AL1925" t="str">
        <f>HYPERLINK("https://pbs.twimg.com/media/D90Ty0DXkAAZYgL.jpg")</f>
        <v>https://pbs.twimg.com/media/D90Ty0DXkAAZYgL.jpg</v>
      </c>
      <c r="AM1925" t="s">
        <v>52</v>
      </c>
      <c r="AN1925" t="s">
        <v>53</v>
      </c>
    </row>
    <row r="1926" spans="1:40">
      <c r="A1926" t="s">
        <v>2370</v>
      </c>
      <c r="B1926" t="s">
        <v>6683</v>
      </c>
      <c r="C1926" t="s">
        <v>6684</v>
      </c>
      <c r="D1926" t="s">
        <v>52</v>
      </c>
      <c r="E1926" t="s">
        <v>6625</v>
      </c>
      <c r="F1926" t="s">
        <v>45</v>
      </c>
      <c r="G1926" t="str">
        <f>HYPERLINK("https://twitter.com/489856982/status/1143129766553411585")</f>
        <v>https://twitter.com/489856982/status/1143129766553411585</v>
      </c>
      <c r="H1926" t="s">
        <v>46</v>
      </c>
      <c r="I1926" t="s">
        <v>6685</v>
      </c>
      <c r="J1926" t="str">
        <f>HYPERLINK("http://twitter.com/Michaeleyujtj")</f>
        <v>http://twitter.com/Michaeleyujtj</v>
      </c>
      <c r="K1926">
        <v>122</v>
      </c>
      <c r="N1926" t="s">
        <v>65</v>
      </c>
      <c r="R1926" t="s">
        <v>60</v>
      </c>
      <c r="W1926">
        <v>0</v>
      </c>
      <c r="X1926">
        <v>0</v>
      </c>
      <c r="AE1926">
        <v>0</v>
      </c>
      <c r="AF1926">
        <v>0</v>
      </c>
      <c r="AI1926" t="s">
        <v>52</v>
      </c>
      <c r="AJ1926" t="s">
        <v>6627</v>
      </c>
      <c r="AK1926" t="s">
        <v>6628</v>
      </c>
      <c r="AL1926" t="str">
        <f>HYPERLINK("https://pbs.twimg.com/media/D902dv7WsAALVPZ.jpg")</f>
        <v>https://pbs.twimg.com/media/D902dv7WsAALVPZ.jpg</v>
      </c>
      <c r="AM1926" t="s">
        <v>52</v>
      </c>
      <c r="AN1926" t="s">
        <v>53</v>
      </c>
    </row>
    <row r="1927" spans="1:40">
      <c r="A1927" t="s">
        <v>2370</v>
      </c>
      <c r="B1927" t="s">
        <v>6683</v>
      </c>
      <c r="C1927" t="s">
        <v>6667</v>
      </c>
      <c r="D1927" t="s">
        <v>52</v>
      </c>
      <c r="E1927" t="s">
        <v>6686</v>
      </c>
      <c r="F1927" t="s">
        <v>71</v>
      </c>
      <c r="G1927" t="str">
        <f>HYPERLINK("https://twitter.com/477063146/status/1143129722949447683")</f>
        <v>https://twitter.com/477063146/status/1143129722949447683</v>
      </c>
      <c r="H1927" t="s">
        <v>46</v>
      </c>
      <c r="I1927" t="s">
        <v>6687</v>
      </c>
      <c r="J1927" t="str">
        <f>HYPERLINK("http://twitter.com/GasstonJc")</f>
        <v>http://twitter.com/GasstonJc</v>
      </c>
      <c r="K1927">
        <v>953</v>
      </c>
      <c r="L1927" t="s">
        <v>48</v>
      </c>
      <c r="N1927" t="s">
        <v>65</v>
      </c>
      <c r="R1927" t="s">
        <v>60</v>
      </c>
      <c r="S1927" t="s">
        <v>1403</v>
      </c>
      <c r="T1927" t="s">
        <v>6688</v>
      </c>
      <c r="U1927" t="s">
        <v>6689</v>
      </c>
      <c r="W1927">
        <v>0</v>
      </c>
      <c r="X1927">
        <v>0</v>
      </c>
      <c r="AE1927">
        <v>0</v>
      </c>
      <c r="AF1927">
        <v>0</v>
      </c>
      <c r="AI1927" t="s">
        <v>52</v>
      </c>
      <c r="AJ1927" t="s">
        <v>121</v>
      </c>
      <c r="AK1927" t="s">
        <v>52</v>
      </c>
      <c r="AL1927" t="str">
        <f>HYPERLINK("https://pbs.twimg.com/media/D9wtOyNXoAAdifI.jpg")</f>
        <v>https://pbs.twimg.com/media/D9wtOyNXoAAdifI.jpg</v>
      </c>
      <c r="AM1927" t="s">
        <v>52</v>
      </c>
      <c r="AN1927" t="s">
        <v>53</v>
      </c>
    </row>
    <row r="1928" spans="1:40">
      <c r="A1928" t="s">
        <v>2370</v>
      </c>
      <c r="B1928" t="s">
        <v>6683</v>
      </c>
      <c r="C1928" t="s">
        <v>6667</v>
      </c>
      <c r="D1928" t="s">
        <v>52</v>
      </c>
      <c r="E1928" t="s">
        <v>6690</v>
      </c>
      <c r="F1928" t="s">
        <v>95</v>
      </c>
      <c r="G1928" t="str">
        <f>HYPERLINK("https://twitter.com/1456464674/status/1143129698635063296")</f>
        <v>https://twitter.com/1456464674/status/1143129698635063296</v>
      </c>
      <c r="H1928" t="s">
        <v>46</v>
      </c>
      <c r="I1928" t="s">
        <v>6691</v>
      </c>
      <c r="J1928" t="str">
        <f>HYPERLINK("http://twitter.com/JunaidVol1")</f>
        <v>http://twitter.com/JunaidVol1</v>
      </c>
      <c r="K1928">
        <v>5788</v>
      </c>
      <c r="N1928" t="s">
        <v>65</v>
      </c>
      <c r="R1928" t="s">
        <v>60</v>
      </c>
      <c r="S1928" t="s">
        <v>97</v>
      </c>
      <c r="T1928" t="s">
        <v>177</v>
      </c>
      <c r="W1928">
        <v>0</v>
      </c>
      <c r="X1928">
        <v>0</v>
      </c>
      <c r="AE1928">
        <v>0</v>
      </c>
      <c r="AF1928">
        <v>0</v>
      </c>
      <c r="AM1928" t="s">
        <v>52</v>
      </c>
      <c r="AN1928" t="s">
        <v>53</v>
      </c>
    </row>
    <row r="1929" spans="1:40">
      <c r="A1929" t="s">
        <v>2370</v>
      </c>
      <c r="B1929" t="s">
        <v>6692</v>
      </c>
      <c r="C1929" t="s">
        <v>6693</v>
      </c>
      <c r="D1929" t="s">
        <v>52</v>
      </c>
      <c r="E1929" t="s">
        <v>6694</v>
      </c>
      <c r="F1929" t="s">
        <v>45</v>
      </c>
      <c r="G1929" t="str">
        <f>HYPERLINK("https://twitter.com/969682880/status/1143129465758732288")</f>
        <v>https://twitter.com/969682880/status/1143129465758732288</v>
      </c>
      <c r="H1929" t="s">
        <v>215</v>
      </c>
      <c r="I1929" t="s">
        <v>6695</v>
      </c>
      <c r="J1929" t="str">
        <f>HYPERLINK("http://twitter.com/pranav_268")</f>
        <v>http://twitter.com/pranav_268</v>
      </c>
      <c r="K1929">
        <v>311</v>
      </c>
      <c r="L1929" t="s">
        <v>48</v>
      </c>
      <c r="N1929" t="s">
        <v>65</v>
      </c>
      <c r="R1929" t="s">
        <v>60</v>
      </c>
      <c r="S1929" t="s">
        <v>315</v>
      </c>
      <c r="T1929" t="s">
        <v>6187</v>
      </c>
      <c r="U1929" t="s">
        <v>6188</v>
      </c>
      <c r="W1929">
        <v>0</v>
      </c>
      <c r="X1929">
        <v>0</v>
      </c>
      <c r="AE1929">
        <v>0</v>
      </c>
      <c r="AF1929">
        <v>0</v>
      </c>
      <c r="AM1929" t="s">
        <v>52</v>
      </c>
      <c r="AN1929" t="s">
        <v>53</v>
      </c>
    </row>
    <row r="1930" spans="1:40">
      <c r="A1930" t="s">
        <v>2370</v>
      </c>
      <c r="B1930" t="s">
        <v>6696</v>
      </c>
      <c r="C1930" t="s">
        <v>6649</v>
      </c>
      <c r="D1930" t="s">
        <v>52</v>
      </c>
      <c r="E1930" t="s">
        <v>6697</v>
      </c>
      <c r="F1930" t="s">
        <v>45</v>
      </c>
      <c r="G1930" t="str">
        <f>HYPERLINK("https://www.instagram.com/p/BzF4nPgoqac")</f>
        <v>https://www.instagram.com/p/BzF4nPgoqac</v>
      </c>
      <c r="H1930" t="s">
        <v>46</v>
      </c>
      <c r="I1930" t="s">
        <v>6698</v>
      </c>
      <c r="J1930" t="str">
        <f>HYPERLINK("http://instagram.com/justsanti17")</f>
        <v>http://instagram.com/justsanti17</v>
      </c>
      <c r="K1930">
        <v>13</v>
      </c>
      <c r="N1930" t="s">
        <v>59</v>
      </c>
      <c r="O1930" t="s">
        <v>6698</v>
      </c>
      <c r="P1930" t="str">
        <f>HYPERLINK("http://instagram.com/justsanti17")</f>
        <v>http://instagram.com/justsanti17</v>
      </c>
      <c r="Q1930">
        <v>13</v>
      </c>
      <c r="R1930" t="s">
        <v>60</v>
      </c>
      <c r="W1930">
        <v>7</v>
      </c>
      <c r="X1930">
        <v>7</v>
      </c>
      <c r="AE1930">
        <v>0</v>
      </c>
      <c r="AI1930" t="s">
        <v>108</v>
      </c>
      <c r="AJ1930" t="s">
        <v>5470</v>
      </c>
      <c r="AK1930" t="s">
        <v>52</v>
      </c>
      <c r="AL1930" t="str">
        <f>HYPERLINK("https://www.instagram.com/p/BzF4nPgoqac/media/?size=l")</f>
        <v>https://www.instagram.com/p/BzF4nPgoqac/media/?size=l</v>
      </c>
      <c r="AM1930" t="s">
        <v>52</v>
      </c>
      <c r="AN1930" t="s">
        <v>53</v>
      </c>
    </row>
    <row r="1931" spans="1:40">
      <c r="A1931" t="s">
        <v>2370</v>
      </c>
      <c r="B1931" t="s">
        <v>6699</v>
      </c>
      <c r="C1931" t="s">
        <v>6700</v>
      </c>
      <c r="D1931" t="s">
        <v>52</v>
      </c>
      <c r="E1931" t="s">
        <v>1893</v>
      </c>
      <c r="F1931" t="s">
        <v>131</v>
      </c>
      <c r="G1931" t="str">
        <f>HYPERLINK("https://twitter.com/275940150/status/1143128622762348544")</f>
        <v>https://twitter.com/275940150/status/1143128622762348544</v>
      </c>
      <c r="H1931" t="s">
        <v>46</v>
      </c>
      <c r="I1931" t="s">
        <v>6701</v>
      </c>
      <c r="J1931" t="str">
        <f>HYPERLINK("http://twitter.com/okorinbos")</f>
        <v>http://twitter.com/okorinbos</v>
      </c>
      <c r="K1931">
        <v>1215</v>
      </c>
      <c r="N1931" t="s">
        <v>65</v>
      </c>
      <c r="R1931" t="s">
        <v>60</v>
      </c>
      <c r="S1931" t="s">
        <v>4488</v>
      </c>
      <c r="W1931">
        <v>0</v>
      </c>
      <c r="X1931">
        <v>0</v>
      </c>
      <c r="AE1931">
        <v>0</v>
      </c>
      <c r="AI1931" t="s">
        <v>108</v>
      </c>
      <c r="AJ1931" t="s">
        <v>1894</v>
      </c>
      <c r="AK1931" t="s">
        <v>52</v>
      </c>
      <c r="AL1931" t="str">
        <f>HYPERLINK("https://pbs.twimg.com/media/D9ze6kEU4AEjuDQ.jpg")</f>
        <v>https://pbs.twimg.com/media/D9ze6kEU4AEjuDQ.jpg</v>
      </c>
      <c r="AM1931" t="s">
        <v>52</v>
      </c>
      <c r="AN1931" t="s">
        <v>53</v>
      </c>
    </row>
    <row r="1932" spans="1:40">
      <c r="A1932" t="s">
        <v>2370</v>
      </c>
      <c r="B1932" t="s">
        <v>6699</v>
      </c>
      <c r="C1932" t="s">
        <v>6667</v>
      </c>
      <c r="D1932" t="s">
        <v>52</v>
      </c>
      <c r="E1932" t="s">
        <v>6702</v>
      </c>
      <c r="F1932" t="s">
        <v>131</v>
      </c>
      <c r="G1932" t="str">
        <f>HYPERLINK("https://twitter.com/275940150/status/1143128578474696705")</f>
        <v>https://twitter.com/275940150/status/1143128578474696705</v>
      </c>
      <c r="H1932" t="s">
        <v>46</v>
      </c>
      <c r="I1932" t="s">
        <v>6701</v>
      </c>
      <c r="J1932" t="str">
        <f>HYPERLINK("http://twitter.com/okorinbos")</f>
        <v>http://twitter.com/okorinbos</v>
      </c>
      <c r="K1932">
        <v>1215</v>
      </c>
      <c r="N1932" t="s">
        <v>65</v>
      </c>
      <c r="R1932" t="s">
        <v>60</v>
      </c>
      <c r="S1932" t="s">
        <v>4488</v>
      </c>
      <c r="W1932">
        <v>0</v>
      </c>
      <c r="X1932">
        <v>0</v>
      </c>
      <c r="AE1932">
        <v>0</v>
      </c>
      <c r="AI1932" t="s">
        <v>52</v>
      </c>
      <c r="AJ1932" t="s">
        <v>321</v>
      </c>
      <c r="AK1932" t="s">
        <v>52</v>
      </c>
      <c r="AL1932" t="str">
        <f>HYPERLINK("https://pbs.twimg.com/media/D9zdasDUYAAVjTX.jpg")</f>
        <v>https://pbs.twimg.com/media/D9zdasDUYAAVjTX.jpg</v>
      </c>
      <c r="AM1932" t="s">
        <v>52</v>
      </c>
      <c r="AN1932" t="s">
        <v>53</v>
      </c>
    </row>
    <row r="1933" spans="1:40">
      <c r="A1933" t="s">
        <v>2370</v>
      </c>
      <c r="B1933" t="s">
        <v>6699</v>
      </c>
      <c r="C1933" t="s">
        <v>6703</v>
      </c>
      <c r="D1933" t="s">
        <v>52</v>
      </c>
      <c r="E1933" t="s">
        <v>1900</v>
      </c>
      <c r="F1933" t="s">
        <v>131</v>
      </c>
      <c r="G1933" t="str">
        <f>HYPERLINK("https://twitter.com/275940150/status/1143128518563225600")</f>
        <v>https://twitter.com/275940150/status/1143128518563225600</v>
      </c>
      <c r="H1933" t="s">
        <v>46</v>
      </c>
      <c r="I1933" t="s">
        <v>6701</v>
      </c>
      <c r="J1933" t="str">
        <f>HYPERLINK("http://twitter.com/okorinbos")</f>
        <v>http://twitter.com/okorinbos</v>
      </c>
      <c r="K1933">
        <v>1215</v>
      </c>
      <c r="N1933" t="s">
        <v>65</v>
      </c>
      <c r="R1933" t="s">
        <v>60</v>
      </c>
      <c r="S1933" t="s">
        <v>4488</v>
      </c>
      <c r="W1933">
        <v>0</v>
      </c>
      <c r="X1933">
        <v>0</v>
      </c>
      <c r="AE1933">
        <v>0</v>
      </c>
      <c r="AI1933" t="s">
        <v>52</v>
      </c>
      <c r="AJ1933" t="s">
        <v>1901</v>
      </c>
      <c r="AK1933" t="s">
        <v>52</v>
      </c>
      <c r="AL1933" t="str">
        <f>HYPERLINK("https://pbs.twimg.com/media/D9zbTcxVAAADaUG.jpg")</f>
        <v>https://pbs.twimg.com/media/D9zbTcxVAAADaUG.jpg</v>
      </c>
      <c r="AM1933" t="s">
        <v>52</v>
      </c>
      <c r="AN1933" t="s">
        <v>53</v>
      </c>
    </row>
    <row r="1934" spans="1:40">
      <c r="A1934" t="s">
        <v>2370</v>
      </c>
      <c r="B1934" t="s">
        <v>6699</v>
      </c>
      <c r="C1934" t="s">
        <v>6704</v>
      </c>
      <c r="D1934" t="s">
        <v>52</v>
      </c>
      <c r="E1934" t="s">
        <v>6705</v>
      </c>
      <c r="F1934" t="s">
        <v>95</v>
      </c>
      <c r="G1934" t="str">
        <f>HYPERLINK("https://twitter.com/1117068446468952065/status/1143128478876753921")</f>
        <v>https://twitter.com/1117068446468952065/status/1143128478876753921</v>
      </c>
      <c r="H1934" t="s">
        <v>46</v>
      </c>
      <c r="I1934" t="s">
        <v>6706</v>
      </c>
      <c r="J1934" t="str">
        <f>HYPERLINK("http://twitter.com/notEmmily")</f>
        <v>http://twitter.com/notEmmily</v>
      </c>
      <c r="K1934">
        <v>6</v>
      </c>
      <c r="L1934" t="s">
        <v>58</v>
      </c>
      <c r="N1934" t="s">
        <v>65</v>
      </c>
      <c r="R1934" t="s">
        <v>60</v>
      </c>
      <c r="W1934">
        <v>0</v>
      </c>
      <c r="X1934">
        <v>0</v>
      </c>
      <c r="AE1934">
        <v>0</v>
      </c>
      <c r="AF1934">
        <v>0</v>
      </c>
      <c r="AM1934" t="s">
        <v>52</v>
      </c>
      <c r="AN1934" t="s">
        <v>53</v>
      </c>
    </row>
    <row r="1935" spans="1:40">
      <c r="A1935" t="s">
        <v>2370</v>
      </c>
      <c r="B1935" t="s">
        <v>6699</v>
      </c>
      <c r="C1935" t="s">
        <v>6704</v>
      </c>
      <c r="D1935" t="s">
        <v>52</v>
      </c>
      <c r="E1935" t="s">
        <v>4503</v>
      </c>
      <c r="F1935" t="s">
        <v>131</v>
      </c>
      <c r="G1935" t="str">
        <f>HYPERLINK("https://twitter.com/275940150/status/1143128478415372288")</f>
        <v>https://twitter.com/275940150/status/1143128478415372288</v>
      </c>
      <c r="H1935" t="s">
        <v>46</v>
      </c>
      <c r="I1935" t="s">
        <v>6701</v>
      </c>
      <c r="J1935" t="str">
        <f>HYPERLINK("http://twitter.com/okorinbos")</f>
        <v>http://twitter.com/okorinbos</v>
      </c>
      <c r="K1935">
        <v>1215</v>
      </c>
      <c r="N1935" t="s">
        <v>65</v>
      </c>
      <c r="R1935" t="s">
        <v>60</v>
      </c>
      <c r="S1935" t="s">
        <v>4488</v>
      </c>
      <c r="W1935">
        <v>0</v>
      </c>
      <c r="X1935">
        <v>0</v>
      </c>
      <c r="AE1935">
        <v>0</v>
      </c>
      <c r="AI1935" t="s">
        <v>108</v>
      </c>
      <c r="AJ1935" t="s">
        <v>4504</v>
      </c>
      <c r="AK1935" t="s">
        <v>52</v>
      </c>
      <c r="AL1935" t="str">
        <f>HYPERLINK("https://pbs.twimg.com/media/D9zZgk2UcAATKSk.jpg")</f>
        <v>https://pbs.twimg.com/media/D9zZgk2UcAATKSk.jpg</v>
      </c>
      <c r="AM1935" t="s">
        <v>52</v>
      </c>
      <c r="AN1935" t="s">
        <v>53</v>
      </c>
    </row>
    <row r="1936" spans="1:40">
      <c r="A1936" t="s">
        <v>2370</v>
      </c>
      <c r="B1936" t="s">
        <v>926</v>
      </c>
      <c r="C1936" t="s">
        <v>5205</v>
      </c>
      <c r="D1936" t="s">
        <v>52</v>
      </c>
      <c r="E1936" t="s">
        <v>6707</v>
      </c>
      <c r="F1936" t="s">
        <v>45</v>
      </c>
      <c r="G1936" t="str">
        <f>HYPERLINK("https://www.instagram.com/p/BzF4RQrhSzG")</f>
        <v>https://www.instagram.com/p/BzF4RQrhSzG</v>
      </c>
      <c r="H1936" t="s">
        <v>46</v>
      </c>
      <c r="I1936" t="s">
        <v>52</v>
      </c>
      <c r="J1936" t="str">
        <f>HYPERLINK("http://instagram.com/gorillamotivationn")</f>
        <v>http://instagram.com/gorillamotivationn</v>
      </c>
      <c r="K1936">
        <v>156</v>
      </c>
      <c r="N1936" t="s">
        <v>59</v>
      </c>
      <c r="O1936" t="s">
        <v>52</v>
      </c>
      <c r="P1936" t="str">
        <f>HYPERLINK("http://instagram.com/gorillamotivationn")</f>
        <v>http://instagram.com/gorillamotivationn</v>
      </c>
      <c r="Q1936">
        <v>156</v>
      </c>
      <c r="R1936" t="s">
        <v>60</v>
      </c>
      <c r="W1936">
        <v>9</v>
      </c>
      <c r="X1936">
        <v>9</v>
      </c>
      <c r="AE1936">
        <v>3</v>
      </c>
      <c r="AI1936" t="s">
        <v>6708</v>
      </c>
      <c r="AJ1936" t="s">
        <v>1750</v>
      </c>
      <c r="AK1936" t="s">
        <v>52</v>
      </c>
      <c r="AL1936" t="str">
        <f>HYPERLINK("https://www.instagram.com/p/BzF4RQrhSzG/media/?size=l")</f>
        <v>https://www.instagram.com/p/BzF4RQrhSzG/media/?size=l</v>
      </c>
      <c r="AM1936" t="s">
        <v>52</v>
      </c>
      <c r="AN1936" t="s">
        <v>53</v>
      </c>
    </row>
    <row r="1937" spans="1:40">
      <c r="A1937" t="s">
        <v>2370</v>
      </c>
      <c r="B1937" t="s">
        <v>926</v>
      </c>
      <c r="C1937" t="s">
        <v>6709</v>
      </c>
      <c r="D1937" t="s">
        <v>52</v>
      </c>
      <c r="E1937" t="s">
        <v>6710</v>
      </c>
      <c r="F1937" t="s">
        <v>71</v>
      </c>
      <c r="G1937" t="str">
        <f>HYPERLINK("https://twitter.com/256116725/status/1143127906106974210")</f>
        <v>https://twitter.com/256116725/status/1143127906106974210</v>
      </c>
      <c r="H1937" t="s">
        <v>46</v>
      </c>
      <c r="I1937" t="s">
        <v>6679</v>
      </c>
      <c r="J1937" t="str">
        <f>HYPERLINK("http://twitter.com/ArtOfJason")</f>
        <v>http://twitter.com/ArtOfJason</v>
      </c>
      <c r="K1937">
        <v>1572</v>
      </c>
      <c r="L1937" t="s">
        <v>48</v>
      </c>
      <c r="N1937" t="s">
        <v>65</v>
      </c>
      <c r="R1937" t="s">
        <v>60</v>
      </c>
      <c r="S1937" t="s">
        <v>51</v>
      </c>
      <c r="W1937">
        <v>1</v>
      </c>
      <c r="X1937">
        <v>1</v>
      </c>
      <c r="AE1937">
        <v>0</v>
      </c>
      <c r="AF1937">
        <v>0</v>
      </c>
      <c r="AI1937" t="s">
        <v>108</v>
      </c>
      <c r="AJ1937" t="s">
        <v>52</v>
      </c>
      <c r="AK1937" t="s">
        <v>52</v>
      </c>
      <c r="AL1937" t="str">
        <f>HYPERLINK("https://pbs.twimg.com/tweet_video_thumb/D9hvNNzXUAATAS3.jpg")</f>
        <v>https://pbs.twimg.com/tweet_video_thumb/D9hvNNzXUAATAS3.jpg</v>
      </c>
      <c r="AM1937" t="s">
        <v>52</v>
      </c>
      <c r="AN1937" t="s">
        <v>53</v>
      </c>
    </row>
    <row r="1938" spans="1:40">
      <c r="A1938" t="s">
        <v>2370</v>
      </c>
      <c r="B1938" t="s">
        <v>6711</v>
      </c>
      <c r="C1938" t="s">
        <v>6709</v>
      </c>
      <c r="D1938" t="s">
        <v>52</v>
      </c>
      <c r="E1938" t="s">
        <v>6712</v>
      </c>
      <c r="F1938" t="s">
        <v>45</v>
      </c>
      <c r="G1938" t="str">
        <f>HYPERLINK("https://www.instagram.com/p/BzF4Hryn1bC")</f>
        <v>https://www.instagram.com/p/BzF4Hryn1bC</v>
      </c>
      <c r="H1938" t="s">
        <v>46</v>
      </c>
      <c r="I1938" t="s">
        <v>6713</v>
      </c>
      <c r="J1938" t="str">
        <f>HYPERLINK("http://instagram.com/fo_93fd")</f>
        <v>http://instagram.com/fo_93fd</v>
      </c>
      <c r="K1938">
        <v>418</v>
      </c>
      <c r="N1938" t="s">
        <v>59</v>
      </c>
      <c r="O1938" t="s">
        <v>6713</v>
      </c>
      <c r="P1938" t="str">
        <f>HYPERLINK("http://instagram.com/fo_93fd")</f>
        <v>http://instagram.com/fo_93fd</v>
      </c>
      <c r="Q1938">
        <v>418</v>
      </c>
      <c r="R1938" t="s">
        <v>60</v>
      </c>
      <c r="W1938">
        <v>40</v>
      </c>
      <c r="X1938">
        <v>40</v>
      </c>
      <c r="AE1938">
        <v>5</v>
      </c>
      <c r="AI1938" t="s">
        <v>52</v>
      </c>
      <c r="AJ1938" t="s">
        <v>52</v>
      </c>
      <c r="AK1938" t="s">
        <v>52</v>
      </c>
      <c r="AL1938" t="str">
        <f>HYPERLINK("https://www.instagram.com/p/BzF4Hryn1bC/media/?size=l")</f>
        <v>https://www.instagram.com/p/BzF4Hryn1bC/media/?size=l</v>
      </c>
      <c r="AM1938" t="s">
        <v>52</v>
      </c>
      <c r="AN1938" t="s">
        <v>53</v>
      </c>
    </row>
    <row r="1939" spans="1:40">
      <c r="A1939" t="s">
        <v>2370</v>
      </c>
      <c r="B1939" t="s">
        <v>6714</v>
      </c>
      <c r="C1939" t="s">
        <v>6715</v>
      </c>
      <c r="D1939" t="s">
        <v>52</v>
      </c>
      <c r="E1939" t="s">
        <v>130</v>
      </c>
      <c r="F1939" t="s">
        <v>131</v>
      </c>
      <c r="G1939" t="str">
        <f>HYPERLINK("https://twitter.com/1023653899285286918/status/1143127053945978883")</f>
        <v>https://twitter.com/1023653899285286918/status/1143127053945978883</v>
      </c>
      <c r="H1939" t="s">
        <v>46</v>
      </c>
      <c r="I1939" t="s">
        <v>6716</v>
      </c>
      <c r="J1939" t="str">
        <f>HYPERLINK("http://twitter.com/Ruthydu34")</f>
        <v>http://twitter.com/Ruthydu34</v>
      </c>
      <c r="K1939">
        <v>161</v>
      </c>
      <c r="N1939" t="s">
        <v>65</v>
      </c>
      <c r="R1939" t="s">
        <v>60</v>
      </c>
      <c r="S1939" t="s">
        <v>97</v>
      </c>
      <c r="T1939" t="s">
        <v>1332</v>
      </c>
      <c r="U1939" t="s">
        <v>6717</v>
      </c>
      <c r="W1939">
        <v>0</v>
      </c>
      <c r="X1939">
        <v>0</v>
      </c>
      <c r="AE1939">
        <v>0</v>
      </c>
      <c r="AI1939" t="s">
        <v>108</v>
      </c>
      <c r="AJ1939" t="s">
        <v>52</v>
      </c>
      <c r="AK1939" t="s">
        <v>52</v>
      </c>
      <c r="AL1939" t="str">
        <f>HYPERLINK("https://pbs.twimg.com/media/D9XTkLWW4AAOYnJ.jpg")</f>
        <v>https://pbs.twimg.com/media/D9XTkLWW4AAOYnJ.jpg</v>
      </c>
      <c r="AM1939" t="s">
        <v>52</v>
      </c>
      <c r="AN1939" t="s">
        <v>53</v>
      </c>
    </row>
    <row r="1940" spans="1:40">
      <c r="A1940" t="s">
        <v>2370</v>
      </c>
      <c r="B1940" t="s">
        <v>6718</v>
      </c>
      <c r="C1940" t="s">
        <v>6719</v>
      </c>
      <c r="D1940" t="s">
        <v>52</v>
      </c>
      <c r="E1940" t="s">
        <v>130</v>
      </c>
      <c r="F1940" t="s">
        <v>131</v>
      </c>
      <c r="G1940" t="str">
        <f>HYPERLINK("https://twitter.com/55282726/status/1143126769622487041")</f>
        <v>https://twitter.com/55282726/status/1143126769622487041</v>
      </c>
      <c r="H1940" t="s">
        <v>46</v>
      </c>
      <c r="I1940" t="s">
        <v>6720</v>
      </c>
      <c r="J1940" t="str">
        <f>HYPERLINK("http://twitter.com/007bambam")</f>
        <v>http://twitter.com/007bambam</v>
      </c>
      <c r="K1940">
        <v>2593</v>
      </c>
      <c r="N1940" t="s">
        <v>65</v>
      </c>
      <c r="R1940" t="s">
        <v>60</v>
      </c>
      <c r="W1940">
        <v>0</v>
      </c>
      <c r="X1940">
        <v>0</v>
      </c>
      <c r="AE1940">
        <v>0</v>
      </c>
      <c r="AI1940" t="s">
        <v>108</v>
      </c>
      <c r="AJ1940" t="s">
        <v>52</v>
      </c>
      <c r="AK1940" t="s">
        <v>52</v>
      </c>
      <c r="AL1940" t="str">
        <f>HYPERLINK("https://pbs.twimg.com/media/D9XTkLWW4AAOYnJ.jpg")</f>
        <v>https://pbs.twimg.com/media/D9XTkLWW4AAOYnJ.jpg</v>
      </c>
      <c r="AM1940" t="s">
        <v>52</v>
      </c>
      <c r="AN1940" t="s">
        <v>53</v>
      </c>
    </row>
    <row r="1941" spans="1:40">
      <c r="A1941" t="s">
        <v>2370</v>
      </c>
      <c r="B1941" t="s">
        <v>6718</v>
      </c>
      <c r="C1941" t="s">
        <v>6721</v>
      </c>
      <c r="D1941" t="s">
        <v>52</v>
      </c>
      <c r="E1941" t="s">
        <v>6469</v>
      </c>
      <c r="F1941" t="s">
        <v>131</v>
      </c>
      <c r="G1941" t="str">
        <f>HYPERLINK("https://twitter.com/1138771582388588545/status/1143126719718555654")</f>
        <v>https://twitter.com/1138771582388588545/status/1143126719718555654</v>
      </c>
      <c r="H1941" t="s">
        <v>46</v>
      </c>
      <c r="I1941" t="s">
        <v>6722</v>
      </c>
      <c r="J1941" t="str">
        <f>HYPERLINK("http://twitter.com/georginazhang1")</f>
        <v>http://twitter.com/georginazhang1</v>
      </c>
      <c r="K1941">
        <v>5</v>
      </c>
      <c r="L1941" t="s">
        <v>58</v>
      </c>
      <c r="N1941" t="s">
        <v>65</v>
      </c>
      <c r="R1941" t="s">
        <v>60</v>
      </c>
      <c r="W1941">
        <v>0</v>
      </c>
      <c r="X1941">
        <v>0</v>
      </c>
      <c r="AE1941">
        <v>0</v>
      </c>
      <c r="AM1941" t="s">
        <v>52</v>
      </c>
      <c r="AN1941" t="s">
        <v>53</v>
      </c>
    </row>
    <row r="1942" spans="1:40">
      <c r="A1942" t="s">
        <v>2370</v>
      </c>
      <c r="B1942" t="s">
        <v>6718</v>
      </c>
      <c r="C1942" t="s">
        <v>6723</v>
      </c>
      <c r="D1942" t="s">
        <v>52</v>
      </c>
      <c r="E1942" t="s">
        <v>6724</v>
      </c>
      <c r="F1942" t="s">
        <v>45</v>
      </c>
      <c r="G1942" t="str">
        <f>HYPERLINK("https://twitter.com/2879760845/status/1143126670355902464")</f>
        <v>https://twitter.com/2879760845/status/1143126670355902464</v>
      </c>
      <c r="H1942" t="s">
        <v>46</v>
      </c>
      <c r="I1942" t="s">
        <v>6725</v>
      </c>
      <c r="J1942" t="str">
        <f>HYPERLINK("http://twitter.com/top_10_food")</f>
        <v>http://twitter.com/top_10_food</v>
      </c>
      <c r="K1942">
        <v>10580</v>
      </c>
      <c r="N1942" t="s">
        <v>65</v>
      </c>
      <c r="R1942" t="s">
        <v>60</v>
      </c>
      <c r="S1942" t="s">
        <v>97</v>
      </c>
      <c r="T1942" t="s">
        <v>177</v>
      </c>
      <c r="W1942">
        <v>0</v>
      </c>
      <c r="X1942">
        <v>0</v>
      </c>
      <c r="AE1942">
        <v>0</v>
      </c>
      <c r="AF1942">
        <v>0</v>
      </c>
      <c r="AI1942" t="s">
        <v>52</v>
      </c>
      <c r="AJ1942" t="s">
        <v>6726</v>
      </c>
      <c r="AK1942" t="s">
        <v>52</v>
      </c>
      <c r="AL1942" t="str">
        <f>HYPERLINK("https://pbs.twimg.com/media/D90zphKXsAMdG0D.jpg")</f>
        <v>https://pbs.twimg.com/media/D90zphKXsAMdG0D.jpg</v>
      </c>
      <c r="AM1942" t="s">
        <v>52</v>
      </c>
      <c r="AN1942" t="s">
        <v>53</v>
      </c>
    </row>
    <row r="1943" spans="1:40">
      <c r="A1943" t="s">
        <v>2370</v>
      </c>
      <c r="B1943" t="s">
        <v>6718</v>
      </c>
      <c r="C1943" t="s">
        <v>6703</v>
      </c>
      <c r="D1943" t="s">
        <v>52</v>
      </c>
      <c r="E1943" t="s">
        <v>1194</v>
      </c>
      <c r="F1943" t="s">
        <v>131</v>
      </c>
      <c r="G1943" t="str">
        <f>HYPERLINK("https://twitter.com/920361742848417793/status/1143126669177303040")</f>
        <v>https://twitter.com/920361742848417793/status/1143126669177303040</v>
      </c>
      <c r="H1943" t="s">
        <v>46</v>
      </c>
      <c r="I1943" t="s">
        <v>6727</v>
      </c>
      <c r="J1943" t="str">
        <f>HYPERLINK("http://twitter.com/charlottegllls")</f>
        <v>http://twitter.com/charlottegllls</v>
      </c>
      <c r="K1943">
        <v>106</v>
      </c>
      <c r="N1943" t="s">
        <v>65</v>
      </c>
      <c r="R1943" t="s">
        <v>60</v>
      </c>
      <c r="S1943" t="s">
        <v>387</v>
      </c>
      <c r="T1943" t="s">
        <v>6728</v>
      </c>
      <c r="U1943" t="s">
        <v>6729</v>
      </c>
      <c r="W1943">
        <v>0</v>
      </c>
      <c r="X1943">
        <v>0</v>
      </c>
      <c r="AE1943">
        <v>0</v>
      </c>
      <c r="AI1943" t="s">
        <v>52</v>
      </c>
      <c r="AJ1943" t="s">
        <v>1196</v>
      </c>
      <c r="AK1943" t="s">
        <v>52</v>
      </c>
      <c r="AL1943" t="str">
        <f>HYPERLINK("https://pbs.twimg.com/media/D9xgk2YXkAAd2ql.jpg")</f>
        <v>https://pbs.twimg.com/media/D9xgk2YXkAAd2ql.jpg</v>
      </c>
      <c r="AM1943" t="s">
        <v>52</v>
      </c>
      <c r="AN1943" t="s">
        <v>53</v>
      </c>
    </row>
    <row r="1944" spans="1:40">
      <c r="A1944" t="s">
        <v>2370</v>
      </c>
      <c r="B1944" t="s">
        <v>6718</v>
      </c>
      <c r="C1944" t="s">
        <v>6703</v>
      </c>
      <c r="D1944" t="s">
        <v>52</v>
      </c>
      <c r="E1944" t="s">
        <v>6730</v>
      </c>
      <c r="F1944" t="s">
        <v>131</v>
      </c>
      <c r="G1944" t="str">
        <f>HYPERLINK("https://twitter.com/4882017615/status/1143126638848303104")</f>
        <v>https://twitter.com/4882017615/status/1143126638848303104</v>
      </c>
      <c r="H1944" t="s">
        <v>91</v>
      </c>
      <c r="I1944" t="s">
        <v>6731</v>
      </c>
      <c r="J1944" t="str">
        <f>HYPERLINK("http://twitter.com/thunziscott")</f>
        <v>http://twitter.com/thunziscott</v>
      </c>
      <c r="K1944">
        <v>1596</v>
      </c>
      <c r="N1944" t="s">
        <v>65</v>
      </c>
      <c r="R1944" t="s">
        <v>60</v>
      </c>
      <c r="S1944" t="s">
        <v>1071</v>
      </c>
      <c r="T1944" t="s">
        <v>6398</v>
      </c>
      <c r="W1944">
        <v>0</v>
      </c>
      <c r="X1944">
        <v>0</v>
      </c>
      <c r="AE1944">
        <v>0</v>
      </c>
      <c r="AM1944" t="s">
        <v>52</v>
      </c>
      <c r="AN1944" t="s">
        <v>53</v>
      </c>
    </row>
    <row r="1945" spans="1:40">
      <c r="A1945" t="s">
        <v>2370</v>
      </c>
      <c r="B1945" t="s">
        <v>6718</v>
      </c>
      <c r="C1945" t="s">
        <v>2076</v>
      </c>
      <c r="D1945" t="s">
        <v>6732</v>
      </c>
      <c r="E1945" t="s">
        <v>6733</v>
      </c>
      <c r="F1945" t="s">
        <v>45</v>
      </c>
      <c r="G1945" t="str">
        <f>HYPERLINK("https://tornadoughalli.com/taco-pasta-salad")</f>
        <v>https://tornadoughalli.com/taco-pasta-salad</v>
      </c>
      <c r="H1945" t="s">
        <v>46</v>
      </c>
      <c r="I1945" t="s">
        <v>6734</v>
      </c>
      <c r="J1945" t="str">
        <f>HYPERLINK("https://tornadoughalli.com/taco-pasta-salad/")</f>
        <v>https://tornadoughalli.com/taco-pasta-salad/</v>
      </c>
      <c r="N1945" t="s">
        <v>6735</v>
      </c>
      <c r="R1945" t="s">
        <v>50</v>
      </c>
      <c r="S1945" t="s">
        <v>51</v>
      </c>
      <c r="AM1945" t="s">
        <v>52</v>
      </c>
      <c r="AN1945" t="s">
        <v>53</v>
      </c>
    </row>
    <row r="1946" spans="1:40">
      <c r="A1946" t="s">
        <v>2370</v>
      </c>
      <c r="B1946" t="s">
        <v>6718</v>
      </c>
      <c r="C1946" t="s">
        <v>6736</v>
      </c>
      <c r="D1946" t="s">
        <v>6737</v>
      </c>
      <c r="E1946" t="s">
        <v>6738</v>
      </c>
      <c r="F1946" t="s">
        <v>45</v>
      </c>
      <c r="G1946" t="str">
        <f>HYPERLINK("https://www.smithsonianmag.com/history/crispy-salty-american-history-fast-food-180972459")</f>
        <v>https://www.smithsonianmag.com/history/crispy-salty-american-history-fast-food-180972459</v>
      </c>
      <c r="H1946" t="s">
        <v>46</v>
      </c>
      <c r="N1946" t="s">
        <v>6739</v>
      </c>
      <c r="R1946" t="s">
        <v>357</v>
      </c>
      <c r="S1946" t="s">
        <v>51</v>
      </c>
      <c r="AM1946" t="s">
        <v>52</v>
      </c>
      <c r="AN1946" t="s">
        <v>53</v>
      </c>
    </row>
    <row r="1947" spans="1:40">
      <c r="A1947" t="s">
        <v>2370</v>
      </c>
      <c r="B1947" t="s">
        <v>6740</v>
      </c>
      <c r="C1947" t="s">
        <v>6741</v>
      </c>
      <c r="D1947" t="s">
        <v>52</v>
      </c>
      <c r="E1947" t="s">
        <v>5686</v>
      </c>
      <c r="F1947" t="s">
        <v>131</v>
      </c>
      <c r="G1947" t="str">
        <f>HYPERLINK("https://twitter.com/883996028638199812/status/1143126561098518528")</f>
        <v>https://twitter.com/883996028638199812/status/1143126561098518528</v>
      </c>
      <c r="H1947" t="s">
        <v>46</v>
      </c>
      <c r="I1947" t="s">
        <v>6742</v>
      </c>
      <c r="J1947" t="str">
        <f>HYPERLINK("http://twitter.com/ThatoNtshingil2")</f>
        <v>http://twitter.com/ThatoNtshingil2</v>
      </c>
      <c r="K1947">
        <v>2224</v>
      </c>
      <c r="N1947" t="s">
        <v>65</v>
      </c>
      <c r="R1947" t="s">
        <v>60</v>
      </c>
      <c r="W1947">
        <v>0</v>
      </c>
      <c r="X1947">
        <v>0</v>
      </c>
      <c r="AE1947">
        <v>0</v>
      </c>
      <c r="AI1947" t="s">
        <v>52</v>
      </c>
      <c r="AJ1947" t="s">
        <v>52</v>
      </c>
      <c r="AK1947" t="s">
        <v>2278</v>
      </c>
      <c r="AL1947" t="str">
        <f>HYPERLINK("https://pbs.twimg.com/media/D90Ty0DXkAAZYgL.jpg")</f>
        <v>https://pbs.twimg.com/media/D90Ty0DXkAAZYgL.jpg</v>
      </c>
      <c r="AM1947" t="s">
        <v>52</v>
      </c>
      <c r="AN1947" t="s">
        <v>53</v>
      </c>
    </row>
    <row r="1948" spans="1:40">
      <c r="A1948" t="s">
        <v>2370</v>
      </c>
      <c r="B1948" t="s">
        <v>6740</v>
      </c>
      <c r="C1948" t="s">
        <v>6743</v>
      </c>
      <c r="D1948" t="s">
        <v>52</v>
      </c>
      <c r="E1948" t="s">
        <v>6744</v>
      </c>
      <c r="F1948" t="s">
        <v>131</v>
      </c>
      <c r="G1948" t="str">
        <f>HYPERLINK("https://twitter.com/1065733259387129856/status/1143126492538388480")</f>
        <v>https://twitter.com/1065733259387129856/status/1143126492538388480</v>
      </c>
      <c r="H1948" t="s">
        <v>46</v>
      </c>
      <c r="I1948" t="s">
        <v>6745</v>
      </c>
      <c r="J1948" t="str">
        <f>HYPERLINK("http://twitter.com/MuttartP")</f>
        <v>http://twitter.com/MuttartP</v>
      </c>
      <c r="K1948">
        <v>3293</v>
      </c>
      <c r="N1948" t="s">
        <v>65</v>
      </c>
      <c r="R1948" t="s">
        <v>60</v>
      </c>
      <c r="W1948">
        <v>0</v>
      </c>
      <c r="X1948">
        <v>0</v>
      </c>
      <c r="AE1948">
        <v>0</v>
      </c>
      <c r="AI1948" t="s">
        <v>52</v>
      </c>
      <c r="AJ1948" t="s">
        <v>52</v>
      </c>
      <c r="AK1948" t="s">
        <v>2782</v>
      </c>
      <c r="AL1948" t="str">
        <f>HYPERLINK("https://pbs.twimg.com/media/D9ry2iBXkAA00_i.jpg")</f>
        <v>https://pbs.twimg.com/media/D9ry2iBXkAA00_i.jpg</v>
      </c>
      <c r="AM1948" t="s">
        <v>52</v>
      </c>
      <c r="AN1948" t="s">
        <v>53</v>
      </c>
    </row>
    <row r="1949" spans="1:40">
      <c r="A1949" t="s">
        <v>2370</v>
      </c>
      <c r="B1949" t="s">
        <v>6740</v>
      </c>
      <c r="C1949" t="s">
        <v>6715</v>
      </c>
      <c r="D1949" t="s">
        <v>52</v>
      </c>
      <c r="E1949" t="s">
        <v>6746</v>
      </c>
      <c r="F1949" t="s">
        <v>95</v>
      </c>
      <c r="G1949" t="str">
        <f>HYPERLINK("https://twitter.com/2269640399/status/1143126463534764032")</f>
        <v>https://twitter.com/2269640399/status/1143126463534764032</v>
      </c>
      <c r="H1949" t="s">
        <v>46</v>
      </c>
      <c r="I1949" t="s">
        <v>6747</v>
      </c>
      <c r="J1949" t="str">
        <f>HYPERLINK("http://twitter.com/PaulHerbs82")</f>
        <v>http://twitter.com/PaulHerbs82</v>
      </c>
      <c r="K1949">
        <v>120</v>
      </c>
      <c r="L1949" t="s">
        <v>48</v>
      </c>
      <c r="N1949" t="s">
        <v>65</v>
      </c>
      <c r="R1949" t="s">
        <v>60</v>
      </c>
      <c r="S1949" t="s">
        <v>97</v>
      </c>
      <c r="T1949" t="s">
        <v>177</v>
      </c>
      <c r="U1949" t="s">
        <v>6748</v>
      </c>
      <c r="W1949">
        <v>0</v>
      </c>
      <c r="X1949">
        <v>0</v>
      </c>
      <c r="AE1949">
        <v>0</v>
      </c>
      <c r="AF1949">
        <v>0</v>
      </c>
      <c r="AM1949" t="s">
        <v>52</v>
      </c>
      <c r="AN1949" t="s">
        <v>53</v>
      </c>
    </row>
    <row r="1950" spans="1:40">
      <c r="A1950" t="s">
        <v>2370</v>
      </c>
      <c r="B1950" t="s">
        <v>6740</v>
      </c>
      <c r="C1950" t="s">
        <v>6719</v>
      </c>
      <c r="D1950" t="s">
        <v>52</v>
      </c>
      <c r="E1950" t="s">
        <v>5927</v>
      </c>
      <c r="F1950" t="s">
        <v>131</v>
      </c>
      <c r="G1950" t="str">
        <f>HYPERLINK("https://twitter.com/748177348583882752/status/1143126452591890432")</f>
        <v>https://twitter.com/748177348583882752/status/1143126452591890432</v>
      </c>
      <c r="H1950" t="s">
        <v>46</v>
      </c>
      <c r="I1950" t="s">
        <v>6749</v>
      </c>
      <c r="J1950" t="str">
        <f>HYPERLINK("http://twitter.com/wyvernandstar")</f>
        <v>http://twitter.com/wyvernandstar</v>
      </c>
      <c r="K1950">
        <v>6539</v>
      </c>
      <c r="N1950" t="s">
        <v>65</v>
      </c>
      <c r="R1950" t="s">
        <v>60</v>
      </c>
      <c r="S1950" t="s">
        <v>97</v>
      </c>
      <c r="T1950" t="s">
        <v>177</v>
      </c>
      <c r="U1950" t="s">
        <v>395</v>
      </c>
      <c r="W1950">
        <v>0</v>
      </c>
      <c r="X1950">
        <v>0</v>
      </c>
      <c r="AE1950">
        <v>0</v>
      </c>
      <c r="AM1950" t="s">
        <v>52</v>
      </c>
      <c r="AN1950" t="s">
        <v>53</v>
      </c>
    </row>
    <row r="1951" spans="1:40">
      <c r="A1951" t="s">
        <v>2370</v>
      </c>
      <c r="B1951" t="s">
        <v>6750</v>
      </c>
      <c r="C1951" t="s">
        <v>6751</v>
      </c>
      <c r="D1951" t="s">
        <v>52</v>
      </c>
      <c r="E1951" t="s">
        <v>6752</v>
      </c>
      <c r="F1951" t="s">
        <v>45</v>
      </c>
      <c r="G1951" t="str">
        <f>HYPERLINK("https://twitter.com/1478111538/status/1143125715673636865")</f>
        <v>https://twitter.com/1478111538/status/1143125715673636865</v>
      </c>
      <c r="H1951" t="s">
        <v>46</v>
      </c>
      <c r="I1951" t="s">
        <v>6753</v>
      </c>
      <c r="J1951" t="str">
        <f>HYPERLINK("http://twitter.com/Jimmykrcv")</f>
        <v>http://twitter.com/Jimmykrcv</v>
      </c>
      <c r="K1951">
        <v>466</v>
      </c>
      <c r="N1951" t="s">
        <v>65</v>
      </c>
      <c r="R1951" t="s">
        <v>60</v>
      </c>
      <c r="W1951">
        <v>0</v>
      </c>
      <c r="X1951">
        <v>0</v>
      </c>
      <c r="AE1951">
        <v>0</v>
      </c>
      <c r="AF1951">
        <v>0</v>
      </c>
      <c r="AM1951" t="s">
        <v>52</v>
      </c>
      <c r="AN1951" t="s">
        <v>53</v>
      </c>
    </row>
    <row r="1952" spans="1:40">
      <c r="A1952" t="s">
        <v>2370</v>
      </c>
      <c r="B1952" t="s">
        <v>943</v>
      </c>
      <c r="C1952" t="s">
        <v>6754</v>
      </c>
      <c r="D1952" t="s">
        <v>6755</v>
      </c>
      <c r="E1952" t="s">
        <v>6755</v>
      </c>
      <c r="F1952" t="s">
        <v>45</v>
      </c>
      <c r="G1952" t="str">
        <f>HYPERLINK("https://www.youtube.com/watch?v=FFGjOE61_mY")</f>
        <v>https://www.youtube.com/watch?v=FFGjOE61_mY</v>
      </c>
      <c r="H1952" t="s">
        <v>46</v>
      </c>
      <c r="I1952" t="s">
        <v>6756</v>
      </c>
      <c r="J1952" t="str">
        <f>HYPERLINK("https://www.youtube.com/channel/UCbIaHLNKnZCpvk1i_h0DvzA")</f>
        <v>https://www.youtube.com/channel/UCbIaHLNKnZCpvk1i_h0DvzA</v>
      </c>
      <c r="K1952">
        <v>2</v>
      </c>
      <c r="L1952" t="s">
        <v>48</v>
      </c>
      <c r="N1952" t="s">
        <v>116</v>
      </c>
      <c r="O1952" t="s">
        <v>6756</v>
      </c>
      <c r="P1952" t="str">
        <f>HYPERLINK("https://www.youtube.com/channel/UCbIaHLNKnZCpvk1i_h0DvzA")</f>
        <v>https://www.youtube.com/channel/UCbIaHLNKnZCpvk1i_h0DvzA</v>
      </c>
      <c r="Q1952">
        <v>2</v>
      </c>
      <c r="R1952" t="s">
        <v>60</v>
      </c>
      <c r="W1952">
        <v>0</v>
      </c>
      <c r="X1952">
        <v>0</v>
      </c>
      <c r="AD1952">
        <v>0</v>
      </c>
      <c r="AE1952">
        <v>0</v>
      </c>
      <c r="AG1952">
        <v>1</v>
      </c>
      <c r="AI1952" t="s">
        <v>52</v>
      </c>
      <c r="AJ1952" t="s">
        <v>52</v>
      </c>
      <c r="AK1952" t="s">
        <v>52</v>
      </c>
      <c r="AL1952" t="str">
        <f>HYPERLINK("https://i.ytimg.com/vi/FFGjOE61_mY/maxresdefault.jpg")</f>
        <v>https://i.ytimg.com/vi/FFGjOE61_mY/maxresdefault.jpg</v>
      </c>
      <c r="AM1952" t="s">
        <v>52</v>
      </c>
      <c r="AN1952" t="s">
        <v>53</v>
      </c>
    </row>
    <row r="1953" spans="1:40">
      <c r="A1953" t="s">
        <v>2370</v>
      </c>
      <c r="B1953" t="s">
        <v>949</v>
      </c>
      <c r="C1953" t="s">
        <v>6757</v>
      </c>
      <c r="D1953" t="s">
        <v>52</v>
      </c>
      <c r="E1953" t="s">
        <v>5815</v>
      </c>
      <c r="F1953" t="s">
        <v>71</v>
      </c>
      <c r="G1953" t="str">
        <f>HYPERLINK("https://twitter.com/855390500177752064/status/1143124881363611648")</f>
        <v>https://twitter.com/855390500177752064/status/1143124881363611648</v>
      </c>
      <c r="H1953" t="s">
        <v>46</v>
      </c>
      <c r="I1953" t="s">
        <v>6758</v>
      </c>
      <c r="J1953" t="str">
        <f>HYPERLINK("http://twitter.com/Gentlements")</f>
        <v>http://twitter.com/Gentlements</v>
      </c>
      <c r="K1953">
        <v>1673</v>
      </c>
      <c r="N1953" t="s">
        <v>65</v>
      </c>
      <c r="R1953" t="s">
        <v>60</v>
      </c>
      <c r="W1953">
        <v>0</v>
      </c>
      <c r="X1953">
        <v>0</v>
      </c>
      <c r="AE1953">
        <v>0</v>
      </c>
      <c r="AF1953">
        <v>0</v>
      </c>
      <c r="AM1953" t="s">
        <v>52</v>
      </c>
      <c r="AN1953" t="s">
        <v>53</v>
      </c>
    </row>
    <row r="1954" spans="1:40">
      <c r="A1954" t="s">
        <v>2370</v>
      </c>
      <c r="B1954" t="s">
        <v>6759</v>
      </c>
      <c r="C1954" t="s">
        <v>6760</v>
      </c>
      <c r="D1954" t="s">
        <v>52</v>
      </c>
      <c r="E1954" t="s">
        <v>5815</v>
      </c>
      <c r="F1954" t="s">
        <v>71</v>
      </c>
      <c r="G1954" t="str">
        <f>HYPERLINK("https://twitter.com/1128720410189680640/status/1143124290625318916")</f>
        <v>https://twitter.com/1128720410189680640/status/1143124290625318916</v>
      </c>
      <c r="H1954" t="s">
        <v>46</v>
      </c>
      <c r="I1954" t="s">
        <v>6761</v>
      </c>
      <c r="J1954" t="str">
        <f>HYPERLINK("http://twitter.com/Senzo20026751")</f>
        <v>http://twitter.com/Senzo20026751</v>
      </c>
      <c r="K1954">
        <v>16</v>
      </c>
      <c r="N1954" t="s">
        <v>65</v>
      </c>
      <c r="R1954" t="s">
        <v>60</v>
      </c>
      <c r="W1954">
        <v>27</v>
      </c>
      <c r="X1954">
        <v>27</v>
      </c>
      <c r="AE1954">
        <v>15</v>
      </c>
      <c r="AF1954">
        <v>4</v>
      </c>
      <c r="AM1954" t="s">
        <v>52</v>
      </c>
      <c r="AN1954" t="s">
        <v>53</v>
      </c>
    </row>
    <row r="1955" spans="1:40">
      <c r="A1955" t="s">
        <v>2370</v>
      </c>
      <c r="B1955" t="s">
        <v>968</v>
      </c>
      <c r="C1955" t="s">
        <v>6762</v>
      </c>
      <c r="D1955" t="s">
        <v>6763</v>
      </c>
      <c r="E1955" t="s">
        <v>6763</v>
      </c>
      <c r="F1955" t="s">
        <v>45</v>
      </c>
      <c r="G1955" t="str">
        <f>HYPERLINK("https://www.youtube.com/watch?v=YdOQO_vUAyU")</f>
        <v>https://www.youtube.com/watch?v=YdOQO_vUAyU</v>
      </c>
      <c r="H1955" t="s">
        <v>46</v>
      </c>
      <c r="I1955" t="s">
        <v>6764</v>
      </c>
      <c r="J1955" t="str">
        <f>HYPERLINK("https://www.youtube.com/channel/UC3xLrlcxCidvRW4D8qVJrGQ")</f>
        <v>https://www.youtube.com/channel/UC3xLrlcxCidvRW4D8qVJrGQ</v>
      </c>
      <c r="K1955">
        <v>945</v>
      </c>
      <c r="N1955" t="s">
        <v>116</v>
      </c>
      <c r="O1955" t="s">
        <v>6764</v>
      </c>
      <c r="P1955" t="str">
        <f>HYPERLINK("https://www.youtube.com/channel/UC3xLrlcxCidvRW4D8qVJrGQ")</f>
        <v>https://www.youtube.com/channel/UC3xLrlcxCidvRW4D8qVJrGQ</v>
      </c>
      <c r="Q1955">
        <v>945</v>
      </c>
      <c r="R1955" t="s">
        <v>60</v>
      </c>
      <c r="W1955">
        <v>18</v>
      </c>
      <c r="X1955">
        <v>18</v>
      </c>
      <c r="AD1955">
        <v>6</v>
      </c>
      <c r="AE1955">
        <v>11</v>
      </c>
      <c r="AG1955">
        <v>469</v>
      </c>
      <c r="AI1955" t="s">
        <v>108</v>
      </c>
      <c r="AJ1955" t="s">
        <v>52</v>
      </c>
      <c r="AK1955" t="s">
        <v>52</v>
      </c>
      <c r="AL1955" t="str">
        <f>HYPERLINK("https://i.ytimg.com/vi/YdOQO_vUAyU/hqdefault.jpg")</f>
        <v>https://i.ytimg.com/vi/YdOQO_vUAyU/hqdefault.jpg</v>
      </c>
      <c r="AM1955" t="s">
        <v>52</v>
      </c>
      <c r="AN1955" t="s">
        <v>53</v>
      </c>
    </row>
    <row r="1956" spans="1:40">
      <c r="A1956" t="s">
        <v>2370</v>
      </c>
      <c r="B1956" t="s">
        <v>986</v>
      </c>
      <c r="C1956" t="s">
        <v>6765</v>
      </c>
      <c r="D1956" t="s">
        <v>52</v>
      </c>
      <c r="E1956" t="s">
        <v>6766</v>
      </c>
      <c r="F1956" t="s">
        <v>95</v>
      </c>
      <c r="G1956" t="str">
        <f>HYPERLINK("https://twitter.com/4661547152/status/1143123367270076416")</f>
        <v>https://twitter.com/4661547152/status/1143123367270076416</v>
      </c>
      <c r="H1956" t="s">
        <v>46</v>
      </c>
      <c r="I1956" t="s">
        <v>6767</v>
      </c>
      <c r="J1956" t="str">
        <f>HYPERLINK("http://twitter.com/souvlakiboi1")</f>
        <v>http://twitter.com/souvlakiboi1</v>
      </c>
      <c r="K1956">
        <v>33</v>
      </c>
      <c r="N1956" t="s">
        <v>65</v>
      </c>
      <c r="R1956" t="s">
        <v>60</v>
      </c>
      <c r="W1956">
        <v>1</v>
      </c>
      <c r="X1956">
        <v>1</v>
      </c>
      <c r="AE1956">
        <v>1</v>
      </c>
      <c r="AF1956">
        <v>0</v>
      </c>
      <c r="AM1956" t="s">
        <v>52</v>
      </c>
      <c r="AN1956" t="s">
        <v>53</v>
      </c>
    </row>
    <row r="1957" spans="1:40">
      <c r="A1957" t="s">
        <v>2370</v>
      </c>
      <c r="B1957" t="s">
        <v>986</v>
      </c>
      <c r="C1957" t="s">
        <v>6768</v>
      </c>
      <c r="D1957" t="s">
        <v>6769</v>
      </c>
      <c r="E1957" t="s">
        <v>6770</v>
      </c>
      <c r="F1957" t="s">
        <v>45</v>
      </c>
      <c r="G1957" t="str">
        <f>HYPERLINK("https://www.reddit.com/r/worldnews/comments/c4hssz/darwin_earthquake_cbd_buildings_evacuated_after/?sort=new#thing_t1_erww2jj")</f>
        <v>https://www.reddit.com/r/worldnews/comments/c4hssz/darwin_earthquake_cbd_buildings_evacuated_after/?sort=new#thing_t1_erww2jj</v>
      </c>
      <c r="H1957" t="s">
        <v>46</v>
      </c>
      <c r="I1957" t="s">
        <v>6771</v>
      </c>
      <c r="J1957" t="str">
        <f>HYPERLINK("https://www.reddit.com/r/worldnews/comments/c4hssz/darwin_earthquake_cbd_buildings_evacuated_after/?sort=new#thing_t1_erww2jj")</f>
        <v>https://www.reddit.com/r/worldnews/comments/c4hssz/darwin_earthquake_cbd_buildings_evacuated_after/?sort=new#thing_t1_erww2jj</v>
      </c>
      <c r="N1957" t="s">
        <v>545</v>
      </c>
      <c r="O1957" t="s">
        <v>2690</v>
      </c>
      <c r="P1957" t="str">
        <f>HYPERLINK("https://www.reddit.com/r/worldnews/")</f>
        <v>https://www.reddit.com/r/worldnews/</v>
      </c>
      <c r="R1957" t="s">
        <v>516</v>
      </c>
      <c r="S1957" t="s">
        <v>51</v>
      </c>
      <c r="AM1957" t="s">
        <v>52</v>
      </c>
      <c r="AN1957" t="s">
        <v>53</v>
      </c>
    </row>
    <row r="1958" spans="1:40">
      <c r="A1958" t="s">
        <v>2370</v>
      </c>
      <c r="B1958" t="s">
        <v>989</v>
      </c>
      <c r="C1958" t="s">
        <v>6772</v>
      </c>
      <c r="D1958" t="s">
        <v>52</v>
      </c>
      <c r="E1958" t="s">
        <v>1194</v>
      </c>
      <c r="F1958" t="s">
        <v>131</v>
      </c>
      <c r="G1958" t="str">
        <f>HYPERLINK("https://twitter.com/1004051579379466240/status/1143123221979398145")</f>
        <v>https://twitter.com/1004051579379466240/status/1143123221979398145</v>
      </c>
      <c r="H1958" t="s">
        <v>46</v>
      </c>
      <c r="I1958" t="s">
        <v>6773</v>
      </c>
      <c r="J1958" t="str">
        <f>HYPERLINK("http://twitter.com/llengchaiii")</f>
        <v>http://twitter.com/llengchaiii</v>
      </c>
      <c r="K1958">
        <v>66</v>
      </c>
      <c r="N1958" t="s">
        <v>65</v>
      </c>
      <c r="R1958" t="s">
        <v>60</v>
      </c>
      <c r="W1958">
        <v>0</v>
      </c>
      <c r="X1958">
        <v>0</v>
      </c>
      <c r="AE1958">
        <v>0</v>
      </c>
      <c r="AI1958" t="s">
        <v>52</v>
      </c>
      <c r="AJ1958" t="s">
        <v>1196</v>
      </c>
      <c r="AK1958" t="s">
        <v>52</v>
      </c>
      <c r="AL1958" t="str">
        <f>HYPERLINK("https://pbs.twimg.com/media/D9xgk2YXkAAd2ql.jpg")</f>
        <v>https://pbs.twimg.com/media/D9xgk2YXkAAd2ql.jpg</v>
      </c>
      <c r="AM1958" t="s">
        <v>52</v>
      </c>
      <c r="AN1958" t="s">
        <v>53</v>
      </c>
    </row>
    <row r="1959" spans="1:40">
      <c r="A1959" t="s">
        <v>2370</v>
      </c>
      <c r="B1959" t="s">
        <v>989</v>
      </c>
      <c r="C1959" t="s">
        <v>6772</v>
      </c>
      <c r="D1959" t="s">
        <v>52</v>
      </c>
      <c r="E1959" t="s">
        <v>6774</v>
      </c>
      <c r="F1959" t="s">
        <v>45</v>
      </c>
      <c r="G1959" t="str">
        <f>HYPERLINK("https://twitter.com/2264073861/status/1143123216493371392")</f>
        <v>https://twitter.com/2264073861/status/1143123216493371392</v>
      </c>
      <c r="H1959" t="s">
        <v>91</v>
      </c>
      <c r="I1959" t="s">
        <v>6775</v>
      </c>
      <c r="J1959" t="str">
        <f>HYPERLINK("http://twitter.com/kate_lohnes")</f>
        <v>http://twitter.com/kate_lohnes</v>
      </c>
      <c r="K1959">
        <v>331</v>
      </c>
      <c r="L1959" t="s">
        <v>58</v>
      </c>
      <c r="N1959" t="s">
        <v>65</v>
      </c>
      <c r="R1959" t="s">
        <v>60</v>
      </c>
      <c r="S1959" t="s">
        <v>1452</v>
      </c>
      <c r="U1959" t="s">
        <v>5490</v>
      </c>
      <c r="W1959">
        <v>0</v>
      </c>
      <c r="X1959">
        <v>0</v>
      </c>
      <c r="AE1959">
        <v>0</v>
      </c>
      <c r="AF1959">
        <v>0</v>
      </c>
      <c r="AM1959" t="s">
        <v>52</v>
      </c>
      <c r="AN1959" t="s">
        <v>53</v>
      </c>
    </row>
    <row r="1960" spans="1:40">
      <c r="A1960" t="s">
        <v>2370</v>
      </c>
      <c r="B1960" t="s">
        <v>989</v>
      </c>
      <c r="C1960" t="s">
        <v>6776</v>
      </c>
      <c r="D1960" t="s">
        <v>52</v>
      </c>
      <c r="E1960" t="s">
        <v>1194</v>
      </c>
      <c r="F1960" t="s">
        <v>131</v>
      </c>
      <c r="G1960" t="str">
        <f>HYPERLINK("https://twitter.com/299920711/status/1143123142308696064")</f>
        <v>https://twitter.com/299920711/status/1143123142308696064</v>
      </c>
      <c r="H1960" t="s">
        <v>46</v>
      </c>
      <c r="I1960" t="s">
        <v>6777</v>
      </c>
      <c r="J1960" t="str">
        <f>HYPERLINK("http://twitter.com/CureousCat")</f>
        <v>http://twitter.com/CureousCat</v>
      </c>
      <c r="K1960">
        <v>482</v>
      </c>
      <c r="N1960" t="s">
        <v>65</v>
      </c>
      <c r="R1960" t="s">
        <v>60</v>
      </c>
      <c r="S1960" t="s">
        <v>51</v>
      </c>
      <c r="T1960" t="s">
        <v>84</v>
      </c>
      <c r="U1960" t="s">
        <v>6778</v>
      </c>
      <c r="W1960">
        <v>0</v>
      </c>
      <c r="X1960">
        <v>0</v>
      </c>
      <c r="AE1960">
        <v>0</v>
      </c>
      <c r="AI1960" t="s">
        <v>52</v>
      </c>
      <c r="AJ1960" t="s">
        <v>1196</v>
      </c>
      <c r="AK1960" t="s">
        <v>52</v>
      </c>
      <c r="AL1960" t="str">
        <f>HYPERLINK("https://pbs.twimg.com/media/D9xgk2YXkAAd2ql.jpg")</f>
        <v>https://pbs.twimg.com/media/D9xgk2YXkAAd2ql.jpg</v>
      </c>
      <c r="AM1960" t="s">
        <v>52</v>
      </c>
      <c r="AN1960" t="s">
        <v>53</v>
      </c>
    </row>
    <row r="1961" spans="1:40">
      <c r="A1961" t="s">
        <v>2370</v>
      </c>
      <c r="B1961" t="s">
        <v>6779</v>
      </c>
      <c r="C1961" t="s">
        <v>6780</v>
      </c>
      <c r="D1961" t="s">
        <v>52</v>
      </c>
      <c r="E1961" t="s">
        <v>1194</v>
      </c>
      <c r="F1961" t="s">
        <v>131</v>
      </c>
      <c r="G1961" t="str">
        <f>HYPERLINK("https://twitter.com/1142867418391490560/status/1143123095131213824")</f>
        <v>https://twitter.com/1142867418391490560/status/1143123095131213824</v>
      </c>
      <c r="H1961" t="s">
        <v>46</v>
      </c>
      <c r="I1961" t="s">
        <v>6781</v>
      </c>
      <c r="J1961" t="str">
        <f>HYPERLINK("http://twitter.com/ChaoticLustful")</f>
        <v>http://twitter.com/ChaoticLustful</v>
      </c>
      <c r="K1961">
        <v>3</v>
      </c>
      <c r="N1961" t="s">
        <v>65</v>
      </c>
      <c r="R1961" t="s">
        <v>60</v>
      </c>
      <c r="S1961" t="s">
        <v>142</v>
      </c>
      <c r="T1961" t="s">
        <v>6782</v>
      </c>
      <c r="U1961" t="s">
        <v>6783</v>
      </c>
      <c r="W1961">
        <v>0</v>
      </c>
      <c r="X1961">
        <v>0</v>
      </c>
      <c r="AE1961">
        <v>0</v>
      </c>
      <c r="AL1961" t="str">
        <f>HYPERLINK("https://pbs.twimg.com/media/D9xgk2YXkAAd2ql.jpg")</f>
        <v>https://pbs.twimg.com/media/D9xgk2YXkAAd2ql.jpg</v>
      </c>
      <c r="AM1961" t="s">
        <v>52</v>
      </c>
      <c r="AN1961" t="s">
        <v>53</v>
      </c>
    </row>
    <row r="1962" spans="1:40">
      <c r="A1962" t="s">
        <v>2370</v>
      </c>
      <c r="B1962" t="s">
        <v>994</v>
      </c>
      <c r="C1962" t="s">
        <v>6784</v>
      </c>
      <c r="D1962" t="s">
        <v>52</v>
      </c>
      <c r="E1962" t="s">
        <v>130</v>
      </c>
      <c r="F1962" t="s">
        <v>131</v>
      </c>
      <c r="G1962" t="str">
        <f>HYPERLINK("https://twitter.com/807510866/status/1143122645971611650")</f>
        <v>https://twitter.com/807510866/status/1143122645971611650</v>
      </c>
      <c r="H1962" t="s">
        <v>46</v>
      </c>
      <c r="I1962" t="s">
        <v>6785</v>
      </c>
      <c r="J1962" t="str">
        <f>HYPERLINK("http://twitter.com/johnnyett")</f>
        <v>http://twitter.com/johnnyett</v>
      </c>
      <c r="K1962">
        <v>295</v>
      </c>
      <c r="L1962" t="s">
        <v>48</v>
      </c>
      <c r="N1962" t="s">
        <v>65</v>
      </c>
      <c r="R1962" t="s">
        <v>60</v>
      </c>
      <c r="S1962" t="s">
        <v>97</v>
      </c>
      <c r="T1962" t="s">
        <v>177</v>
      </c>
      <c r="U1962" t="s">
        <v>6786</v>
      </c>
      <c r="W1962">
        <v>0</v>
      </c>
      <c r="X1962">
        <v>0</v>
      </c>
      <c r="AE1962">
        <v>0</v>
      </c>
      <c r="AI1962" t="s">
        <v>108</v>
      </c>
      <c r="AJ1962" t="s">
        <v>52</v>
      </c>
      <c r="AK1962" t="s">
        <v>52</v>
      </c>
      <c r="AL1962" t="str">
        <f>HYPERLINK("https://pbs.twimg.com/media/D9XTkLWW4AAOYnJ.jpg")</f>
        <v>https://pbs.twimg.com/media/D9XTkLWW4AAOYnJ.jpg</v>
      </c>
      <c r="AM1962" t="s">
        <v>52</v>
      </c>
      <c r="AN1962" t="s">
        <v>53</v>
      </c>
    </row>
    <row r="1963" spans="1:40">
      <c r="A1963" t="s">
        <v>2370</v>
      </c>
      <c r="B1963" t="s">
        <v>6787</v>
      </c>
      <c r="C1963" t="s">
        <v>4375</v>
      </c>
      <c r="D1963" t="s">
        <v>52</v>
      </c>
      <c r="E1963" t="s">
        <v>6788</v>
      </c>
      <c r="F1963" t="s">
        <v>45</v>
      </c>
      <c r="G1963" t="str">
        <f>HYPERLINK("https://www.facebook.com/136496826752/posts/10157275435486753")</f>
        <v>https://www.facebook.com/136496826752/posts/10157275435486753</v>
      </c>
      <c r="H1963" t="s">
        <v>46</v>
      </c>
      <c r="I1963" t="s">
        <v>6789</v>
      </c>
      <c r="J1963" t="str">
        <f>HYPERLINK("https://www.facebook.com/136496826752")</f>
        <v>https://www.facebook.com/136496826752</v>
      </c>
      <c r="K1963">
        <v>11563</v>
      </c>
      <c r="L1963" t="s">
        <v>651</v>
      </c>
      <c r="N1963" t="s">
        <v>1792</v>
      </c>
      <c r="O1963" t="s">
        <v>6789</v>
      </c>
      <c r="P1963" t="str">
        <f>HYPERLINK("https://www.facebook.com/136496826752")</f>
        <v>https://www.facebook.com/136496826752</v>
      </c>
      <c r="Q1963">
        <v>11563</v>
      </c>
      <c r="R1963" t="s">
        <v>60</v>
      </c>
      <c r="W1963">
        <v>0</v>
      </c>
      <c r="X1963">
        <v>0</v>
      </c>
      <c r="Y1963">
        <v>0</v>
      </c>
      <c r="Z1963">
        <v>0</v>
      </c>
      <c r="AA1963">
        <v>0</v>
      </c>
      <c r="AB1963">
        <v>0</v>
      </c>
      <c r="AC1963">
        <v>0</v>
      </c>
      <c r="AE1963">
        <v>0</v>
      </c>
      <c r="AF1963">
        <v>0</v>
      </c>
      <c r="AI1963" t="s">
        <v>108</v>
      </c>
      <c r="AJ1963" t="s">
        <v>52</v>
      </c>
      <c r="AK1963" t="s">
        <v>52</v>
      </c>
      <c r="AL1963" t="str">
        <f>HYPERLINK("http://5f7mk98d5d69eqvo-zippykid.netdna-ssl.com/wp-content/uploads/2019/06/doritos-spider-man.jpg")</f>
        <v>http://5f7mk98d5d69eqvo-zippykid.netdna-ssl.com/wp-content/uploads/2019/06/doritos-spider-man.jpg</v>
      </c>
      <c r="AM1963" t="s">
        <v>52</v>
      </c>
      <c r="AN1963" t="s">
        <v>53</v>
      </c>
    </row>
    <row r="1964" spans="1:40">
      <c r="A1964" t="s">
        <v>2370</v>
      </c>
      <c r="B1964" t="s">
        <v>6790</v>
      </c>
      <c r="C1964" t="s">
        <v>6791</v>
      </c>
      <c r="D1964" t="s">
        <v>52</v>
      </c>
      <c r="E1964" t="s">
        <v>6792</v>
      </c>
      <c r="F1964" t="s">
        <v>131</v>
      </c>
      <c r="G1964" t="str">
        <f>HYPERLINK("https://twitter.com/32595205/status/1143121013225459717")</f>
        <v>https://twitter.com/32595205/status/1143121013225459717</v>
      </c>
      <c r="H1964" t="s">
        <v>46</v>
      </c>
      <c r="I1964" t="s">
        <v>6793</v>
      </c>
      <c r="J1964" t="str">
        <f>HYPERLINK("http://twitter.com/katelane__")</f>
        <v>http://twitter.com/katelane__</v>
      </c>
      <c r="K1964">
        <v>551</v>
      </c>
      <c r="N1964" t="s">
        <v>65</v>
      </c>
      <c r="R1964" t="s">
        <v>60</v>
      </c>
      <c r="S1964" t="s">
        <v>97</v>
      </c>
      <c r="T1964" t="s">
        <v>177</v>
      </c>
      <c r="U1964" t="s">
        <v>361</v>
      </c>
      <c r="W1964">
        <v>0</v>
      </c>
      <c r="X1964">
        <v>0</v>
      </c>
      <c r="AE1964">
        <v>0</v>
      </c>
      <c r="AM1964" t="s">
        <v>52</v>
      </c>
      <c r="AN1964" t="s">
        <v>53</v>
      </c>
    </row>
    <row r="1965" spans="1:40">
      <c r="A1965" t="s">
        <v>2370</v>
      </c>
      <c r="B1965" t="s">
        <v>6794</v>
      </c>
      <c r="C1965" t="s">
        <v>6795</v>
      </c>
      <c r="D1965" t="s">
        <v>52</v>
      </c>
      <c r="E1965" t="s">
        <v>1194</v>
      </c>
      <c r="F1965" t="s">
        <v>131</v>
      </c>
      <c r="G1965" t="str">
        <f>HYPERLINK("https://twitter.com/565143052/status/1143120792114176000")</f>
        <v>https://twitter.com/565143052/status/1143120792114176000</v>
      </c>
      <c r="H1965" t="s">
        <v>46</v>
      </c>
      <c r="I1965" t="s">
        <v>6796</v>
      </c>
      <c r="J1965" t="str">
        <f>HYPERLINK("http://twitter.com/SyaafiqHilmi")</f>
        <v>http://twitter.com/SyaafiqHilmi</v>
      </c>
      <c r="K1965">
        <v>455</v>
      </c>
      <c r="N1965" t="s">
        <v>65</v>
      </c>
      <c r="R1965" t="s">
        <v>60</v>
      </c>
      <c r="S1965" t="s">
        <v>1741</v>
      </c>
      <c r="T1965" t="s">
        <v>6797</v>
      </c>
      <c r="U1965" t="s">
        <v>6798</v>
      </c>
      <c r="W1965">
        <v>0</v>
      </c>
      <c r="X1965">
        <v>0</v>
      </c>
      <c r="AE1965">
        <v>0</v>
      </c>
      <c r="AI1965" t="s">
        <v>52</v>
      </c>
      <c r="AJ1965" t="s">
        <v>1196</v>
      </c>
      <c r="AK1965" t="s">
        <v>52</v>
      </c>
      <c r="AL1965" t="str">
        <f>HYPERLINK("https://pbs.twimg.com/media/D9xgk2YXkAAd2ql.jpg")</f>
        <v>https://pbs.twimg.com/media/D9xgk2YXkAAd2ql.jpg</v>
      </c>
      <c r="AM1965" t="s">
        <v>52</v>
      </c>
      <c r="AN1965" t="s">
        <v>53</v>
      </c>
    </row>
    <row r="1966" spans="1:40">
      <c r="A1966" t="s">
        <v>2370</v>
      </c>
      <c r="B1966" t="s">
        <v>6799</v>
      </c>
      <c r="C1966" t="s">
        <v>6800</v>
      </c>
      <c r="D1966" t="s">
        <v>52</v>
      </c>
      <c r="E1966" t="s">
        <v>6801</v>
      </c>
      <c r="F1966" t="s">
        <v>45</v>
      </c>
      <c r="G1966" t="str">
        <f>HYPERLINK("https://twitter.com/22403641/status/1143120531522236416")</f>
        <v>https://twitter.com/22403641/status/1143120531522236416</v>
      </c>
      <c r="H1966" t="s">
        <v>46</v>
      </c>
      <c r="I1966" t="s">
        <v>6802</v>
      </c>
      <c r="J1966" t="str">
        <f>HYPERLINK("http://twitter.com/D0odles")</f>
        <v>http://twitter.com/D0odles</v>
      </c>
      <c r="K1966">
        <v>704</v>
      </c>
      <c r="L1966" t="s">
        <v>48</v>
      </c>
      <c r="N1966" t="s">
        <v>65</v>
      </c>
      <c r="R1966" t="s">
        <v>60</v>
      </c>
      <c r="S1966" t="s">
        <v>3660</v>
      </c>
      <c r="T1966" t="s">
        <v>6803</v>
      </c>
      <c r="U1966" t="s">
        <v>6804</v>
      </c>
      <c r="W1966">
        <v>1</v>
      </c>
      <c r="X1966">
        <v>1</v>
      </c>
      <c r="AE1966">
        <v>0</v>
      </c>
      <c r="AF1966">
        <v>0</v>
      </c>
      <c r="AI1966" t="s">
        <v>52</v>
      </c>
      <c r="AJ1966" t="s">
        <v>3519</v>
      </c>
      <c r="AK1966" t="s">
        <v>52</v>
      </c>
      <c r="AL1966" t="str">
        <f>HYPERLINK("https://pbs.twimg.com/media/D90uEN1XkAA2ndZ.jpg")</f>
        <v>https://pbs.twimg.com/media/D90uEN1XkAA2ndZ.jpg</v>
      </c>
      <c r="AM1966" t="s">
        <v>52</v>
      </c>
      <c r="AN1966" t="s">
        <v>53</v>
      </c>
    </row>
    <row r="1967" spans="1:40">
      <c r="A1967" t="s">
        <v>2370</v>
      </c>
      <c r="B1967" t="s">
        <v>6805</v>
      </c>
      <c r="C1967" t="s">
        <v>6791</v>
      </c>
      <c r="D1967" t="s">
        <v>52</v>
      </c>
      <c r="E1967" t="s">
        <v>130</v>
      </c>
      <c r="F1967" t="s">
        <v>131</v>
      </c>
      <c r="G1967" t="str">
        <f>HYPERLINK("https://twitter.com/2976861658/status/1143120320439693313")</f>
        <v>https://twitter.com/2976861658/status/1143120320439693313</v>
      </c>
      <c r="H1967" t="s">
        <v>46</v>
      </c>
      <c r="I1967" t="s">
        <v>6806</v>
      </c>
      <c r="J1967" t="str">
        <f>HYPERLINK("http://twitter.com/Mattcomptwit")</f>
        <v>http://twitter.com/Mattcomptwit</v>
      </c>
      <c r="K1967">
        <v>16</v>
      </c>
      <c r="L1967" t="s">
        <v>48</v>
      </c>
      <c r="N1967" t="s">
        <v>65</v>
      </c>
      <c r="R1967" t="s">
        <v>60</v>
      </c>
      <c r="W1967">
        <v>0</v>
      </c>
      <c r="X1967">
        <v>0</v>
      </c>
      <c r="AE1967">
        <v>0</v>
      </c>
      <c r="AI1967" t="s">
        <v>108</v>
      </c>
      <c r="AJ1967" t="s">
        <v>52</v>
      </c>
      <c r="AK1967" t="s">
        <v>52</v>
      </c>
      <c r="AL1967" t="str">
        <f>HYPERLINK("https://pbs.twimg.com/media/D9XTkLWW4AAOYnJ.jpg")</f>
        <v>https://pbs.twimg.com/media/D9XTkLWW4AAOYnJ.jpg</v>
      </c>
      <c r="AM1967" t="s">
        <v>52</v>
      </c>
      <c r="AN1967" t="s">
        <v>53</v>
      </c>
    </row>
    <row r="1968" spans="1:40">
      <c r="A1968" t="s">
        <v>2370</v>
      </c>
      <c r="B1968" t="s">
        <v>6805</v>
      </c>
      <c r="C1968" t="s">
        <v>6807</v>
      </c>
      <c r="D1968" t="s">
        <v>52</v>
      </c>
      <c r="E1968" t="s">
        <v>6808</v>
      </c>
      <c r="F1968" t="s">
        <v>71</v>
      </c>
      <c r="G1968" t="str">
        <f>HYPERLINK("https://twitter.com/2976861658/status/1143120297597505537")</f>
        <v>https://twitter.com/2976861658/status/1143120297597505537</v>
      </c>
      <c r="H1968" t="s">
        <v>46</v>
      </c>
      <c r="I1968" t="s">
        <v>6806</v>
      </c>
      <c r="J1968" t="str">
        <f>HYPERLINK("http://twitter.com/Mattcomptwit")</f>
        <v>http://twitter.com/Mattcomptwit</v>
      </c>
      <c r="K1968">
        <v>16</v>
      </c>
      <c r="L1968" t="s">
        <v>48</v>
      </c>
      <c r="N1968" t="s">
        <v>65</v>
      </c>
      <c r="R1968" t="s">
        <v>60</v>
      </c>
      <c r="W1968">
        <v>0</v>
      </c>
      <c r="X1968">
        <v>0</v>
      </c>
      <c r="AE1968">
        <v>0</v>
      </c>
      <c r="AF1968">
        <v>0</v>
      </c>
      <c r="AL1968" t="str">
        <f>HYPERLINK("https://pbs.twimg.com/media/D9XTkLWW4AAOYnJ.jpg")</f>
        <v>https://pbs.twimg.com/media/D9XTkLWW4AAOYnJ.jpg</v>
      </c>
      <c r="AM1968" t="s">
        <v>52</v>
      </c>
      <c r="AN1968" t="s">
        <v>53</v>
      </c>
    </row>
    <row r="1969" spans="1:40">
      <c r="A1969" t="s">
        <v>2370</v>
      </c>
      <c r="B1969" t="s">
        <v>6805</v>
      </c>
      <c r="C1969" t="s">
        <v>6800</v>
      </c>
      <c r="D1969" t="s">
        <v>52</v>
      </c>
      <c r="E1969" t="s">
        <v>130</v>
      </c>
      <c r="F1969" t="s">
        <v>131</v>
      </c>
      <c r="G1969" t="str">
        <f>HYPERLINK("https://twitter.com/2976861658/status/1143120161614049280")</f>
        <v>https://twitter.com/2976861658/status/1143120161614049280</v>
      </c>
      <c r="H1969" t="s">
        <v>46</v>
      </c>
      <c r="I1969" t="s">
        <v>6806</v>
      </c>
      <c r="J1969" t="str">
        <f>HYPERLINK("http://twitter.com/Mattcomptwit")</f>
        <v>http://twitter.com/Mattcomptwit</v>
      </c>
      <c r="K1969">
        <v>16</v>
      </c>
      <c r="L1969" t="s">
        <v>48</v>
      </c>
      <c r="N1969" t="s">
        <v>65</v>
      </c>
      <c r="R1969" t="s">
        <v>60</v>
      </c>
      <c r="W1969">
        <v>0</v>
      </c>
      <c r="X1969">
        <v>0</v>
      </c>
      <c r="AE1969">
        <v>0</v>
      </c>
      <c r="AI1969" t="s">
        <v>108</v>
      </c>
      <c r="AJ1969" t="s">
        <v>52</v>
      </c>
      <c r="AK1969" t="s">
        <v>52</v>
      </c>
      <c r="AL1969" t="str">
        <f>HYPERLINK("https://pbs.twimg.com/media/D9XTkLWW4AAOYnJ.jpg")</f>
        <v>https://pbs.twimg.com/media/D9XTkLWW4AAOYnJ.jpg</v>
      </c>
      <c r="AM1969" t="s">
        <v>52</v>
      </c>
      <c r="AN1969" t="s">
        <v>53</v>
      </c>
    </row>
    <row r="1970" spans="1:40">
      <c r="A1970" t="s">
        <v>2370</v>
      </c>
      <c r="B1970" t="s">
        <v>6809</v>
      </c>
      <c r="C1970" t="s">
        <v>6795</v>
      </c>
      <c r="D1970" t="s">
        <v>52</v>
      </c>
      <c r="E1970" t="s">
        <v>6810</v>
      </c>
      <c r="F1970" t="s">
        <v>95</v>
      </c>
      <c r="G1970" t="str">
        <f>HYPERLINK("https://twitter.com/3707788993/status/1143119945703669760")</f>
        <v>https://twitter.com/3707788993/status/1143119945703669760</v>
      </c>
      <c r="H1970" t="s">
        <v>46</v>
      </c>
      <c r="I1970" t="s">
        <v>6811</v>
      </c>
      <c r="J1970" t="str">
        <f>HYPERLINK("http://twitter.com/LizzyPopSpeaks")</f>
        <v>http://twitter.com/LizzyPopSpeaks</v>
      </c>
      <c r="K1970">
        <v>59</v>
      </c>
      <c r="N1970" t="s">
        <v>65</v>
      </c>
      <c r="R1970" t="s">
        <v>60</v>
      </c>
      <c r="W1970">
        <v>0</v>
      </c>
      <c r="X1970">
        <v>0</v>
      </c>
      <c r="AE1970">
        <v>0</v>
      </c>
      <c r="AF1970">
        <v>0</v>
      </c>
      <c r="AM1970" t="s">
        <v>52</v>
      </c>
      <c r="AN1970" t="s">
        <v>53</v>
      </c>
    </row>
    <row r="1971" spans="1:40">
      <c r="A1971" t="s">
        <v>2370</v>
      </c>
      <c r="B1971" t="s">
        <v>1004</v>
      </c>
      <c r="C1971" t="s">
        <v>6807</v>
      </c>
      <c r="D1971" t="s">
        <v>52</v>
      </c>
      <c r="E1971" t="s">
        <v>6812</v>
      </c>
      <c r="F1971" t="s">
        <v>95</v>
      </c>
      <c r="G1971" t="str">
        <f>HYPERLINK("https://twitter.com/622393049/status/1143119169132666881")</f>
        <v>https://twitter.com/622393049/status/1143119169132666881</v>
      </c>
      <c r="H1971" t="s">
        <v>46</v>
      </c>
      <c r="I1971" t="s">
        <v>6813</v>
      </c>
      <c r="J1971" t="str">
        <f>HYPERLINK("http://twitter.com/kerney32")</f>
        <v>http://twitter.com/kerney32</v>
      </c>
      <c r="K1971">
        <v>8552</v>
      </c>
      <c r="N1971" t="s">
        <v>65</v>
      </c>
      <c r="R1971" t="s">
        <v>60</v>
      </c>
      <c r="W1971">
        <v>1</v>
      </c>
      <c r="X1971">
        <v>1</v>
      </c>
      <c r="AE1971">
        <v>0</v>
      </c>
      <c r="AF1971">
        <v>0</v>
      </c>
      <c r="AM1971" t="s">
        <v>52</v>
      </c>
      <c r="AN1971" t="s">
        <v>53</v>
      </c>
    </row>
    <row r="1972" spans="1:40">
      <c r="A1972" t="s">
        <v>2370</v>
      </c>
      <c r="B1972" t="s">
        <v>1004</v>
      </c>
      <c r="C1972" t="s">
        <v>6814</v>
      </c>
      <c r="D1972" t="s">
        <v>52</v>
      </c>
      <c r="E1972" t="s">
        <v>3749</v>
      </c>
      <c r="F1972" t="s">
        <v>71</v>
      </c>
      <c r="G1972" t="str">
        <f>HYPERLINK("https://twitter.com/953563060744196096/status/1143119076023308289")</f>
        <v>https://twitter.com/953563060744196096/status/1143119076023308289</v>
      </c>
      <c r="H1972" t="s">
        <v>46</v>
      </c>
      <c r="I1972" t="s">
        <v>6815</v>
      </c>
      <c r="J1972" t="str">
        <f>HYPERLINK("http://twitter.com/explora_11")</f>
        <v>http://twitter.com/explora_11</v>
      </c>
      <c r="K1972">
        <v>11</v>
      </c>
      <c r="N1972" t="s">
        <v>65</v>
      </c>
      <c r="R1972" t="s">
        <v>60</v>
      </c>
      <c r="S1972" t="s">
        <v>1071</v>
      </c>
      <c r="W1972">
        <v>0</v>
      </c>
      <c r="X1972">
        <v>0</v>
      </c>
      <c r="AE1972">
        <v>0</v>
      </c>
      <c r="AF1972">
        <v>0</v>
      </c>
      <c r="AL1972" t="str">
        <f>HYPERLINK("https://pbs.twimg.com/media/D9sAXHUX4AA6vJs.jpg")</f>
        <v>https://pbs.twimg.com/media/D9sAXHUX4AA6vJs.jpg</v>
      </c>
      <c r="AM1972" t="s">
        <v>52</v>
      </c>
      <c r="AN1972" t="s">
        <v>53</v>
      </c>
    </row>
    <row r="1973" spans="1:40">
      <c r="A1973" t="s">
        <v>2370</v>
      </c>
      <c r="B1973" t="s">
        <v>6816</v>
      </c>
      <c r="C1973" t="s">
        <v>6814</v>
      </c>
      <c r="D1973" t="s">
        <v>52</v>
      </c>
      <c r="E1973" t="s">
        <v>1194</v>
      </c>
      <c r="F1973" t="s">
        <v>131</v>
      </c>
      <c r="G1973" t="str">
        <f>HYPERLINK("https://twitter.com/1070368621111767041/status/1143119056108773376")</f>
        <v>https://twitter.com/1070368621111767041/status/1143119056108773376</v>
      </c>
      <c r="H1973" t="s">
        <v>46</v>
      </c>
      <c r="I1973" t="s">
        <v>6817</v>
      </c>
      <c r="J1973" t="str">
        <f>HYPERLINK("http://twitter.com/huangpo83")</f>
        <v>http://twitter.com/huangpo83</v>
      </c>
      <c r="K1973">
        <v>247</v>
      </c>
      <c r="N1973" t="s">
        <v>65</v>
      </c>
      <c r="R1973" t="s">
        <v>60</v>
      </c>
      <c r="S1973" t="s">
        <v>1857</v>
      </c>
      <c r="T1973" t="s">
        <v>6818</v>
      </c>
      <c r="U1973" t="s">
        <v>6818</v>
      </c>
      <c r="W1973">
        <v>0</v>
      </c>
      <c r="X1973">
        <v>0</v>
      </c>
      <c r="AE1973">
        <v>0</v>
      </c>
      <c r="AI1973" t="s">
        <v>52</v>
      </c>
      <c r="AJ1973" t="s">
        <v>1196</v>
      </c>
      <c r="AK1973" t="s">
        <v>52</v>
      </c>
      <c r="AL1973" t="str">
        <f>HYPERLINK("https://pbs.twimg.com/media/D9xgk2YXkAAd2ql.jpg")</f>
        <v>https://pbs.twimg.com/media/D9xgk2YXkAAd2ql.jpg</v>
      </c>
      <c r="AM1973" t="s">
        <v>52</v>
      </c>
      <c r="AN1973" t="s">
        <v>53</v>
      </c>
    </row>
    <row r="1974" spans="1:40">
      <c r="A1974" t="s">
        <v>2370</v>
      </c>
      <c r="B1974" t="s">
        <v>6816</v>
      </c>
      <c r="C1974" t="s">
        <v>6814</v>
      </c>
      <c r="D1974" t="s">
        <v>52</v>
      </c>
      <c r="E1974" t="s">
        <v>6819</v>
      </c>
      <c r="F1974" t="s">
        <v>71</v>
      </c>
      <c r="G1974" t="str">
        <f>HYPERLINK("https://twitter.com/1126101446988943360/status/1143119051268358145")</f>
        <v>https://twitter.com/1126101446988943360/status/1143119051268358145</v>
      </c>
      <c r="H1974" t="s">
        <v>46</v>
      </c>
      <c r="I1974" t="s">
        <v>6820</v>
      </c>
      <c r="J1974" t="str">
        <f>HYPERLINK("http://twitter.com/Kimmmiiii1")</f>
        <v>http://twitter.com/Kimmmiiii1</v>
      </c>
      <c r="K1974">
        <v>1</v>
      </c>
      <c r="N1974" t="s">
        <v>65</v>
      </c>
      <c r="R1974" t="s">
        <v>60</v>
      </c>
      <c r="W1974">
        <v>0</v>
      </c>
      <c r="X1974">
        <v>0</v>
      </c>
      <c r="AE1974">
        <v>0</v>
      </c>
      <c r="AF1974">
        <v>0</v>
      </c>
      <c r="AM1974" t="s">
        <v>52</v>
      </c>
      <c r="AN1974" t="s">
        <v>53</v>
      </c>
    </row>
    <row r="1975" spans="1:40">
      <c r="A1975" t="s">
        <v>2370</v>
      </c>
      <c r="B1975" t="s">
        <v>6816</v>
      </c>
      <c r="C1975" t="s">
        <v>6814</v>
      </c>
      <c r="D1975" t="s">
        <v>52</v>
      </c>
      <c r="E1975" t="s">
        <v>6821</v>
      </c>
      <c r="F1975" t="s">
        <v>45</v>
      </c>
      <c r="G1975" t="str">
        <f>HYPERLINK("https://twitter.com/126110623/status/1143118917444878336")</f>
        <v>https://twitter.com/126110623/status/1143118917444878336</v>
      </c>
      <c r="H1975" t="s">
        <v>46</v>
      </c>
      <c r="I1975" t="s">
        <v>6822</v>
      </c>
      <c r="J1975" t="str">
        <f>HYPERLINK("http://twitter.com/nanaki21")</f>
        <v>http://twitter.com/nanaki21</v>
      </c>
      <c r="K1975">
        <v>46</v>
      </c>
      <c r="N1975" t="s">
        <v>65</v>
      </c>
      <c r="R1975" t="s">
        <v>60</v>
      </c>
      <c r="S1975" t="s">
        <v>693</v>
      </c>
      <c r="W1975">
        <v>0</v>
      </c>
      <c r="X1975">
        <v>0</v>
      </c>
      <c r="AE1975">
        <v>0</v>
      </c>
      <c r="AF1975">
        <v>0</v>
      </c>
      <c r="AM1975" t="s">
        <v>52</v>
      </c>
      <c r="AN1975" t="s">
        <v>53</v>
      </c>
    </row>
    <row r="1976" spans="1:40">
      <c r="A1976" t="s">
        <v>2370</v>
      </c>
      <c r="B1976" t="s">
        <v>6823</v>
      </c>
      <c r="C1976" t="s">
        <v>6824</v>
      </c>
      <c r="D1976" t="s">
        <v>52</v>
      </c>
      <c r="E1976" t="s">
        <v>5686</v>
      </c>
      <c r="F1976" t="s">
        <v>131</v>
      </c>
      <c r="G1976" t="str">
        <f>HYPERLINK("https://twitter.com/4074608897/status/1143118166371065858")</f>
        <v>https://twitter.com/4074608897/status/1143118166371065858</v>
      </c>
      <c r="H1976" t="s">
        <v>46</v>
      </c>
      <c r="I1976" t="s">
        <v>6825</v>
      </c>
      <c r="J1976" t="str">
        <f>HYPERLINK("http://twitter.com/Koketso_Marokhu")</f>
        <v>http://twitter.com/Koketso_Marokhu</v>
      </c>
      <c r="K1976">
        <v>11369</v>
      </c>
      <c r="N1976" t="s">
        <v>65</v>
      </c>
      <c r="R1976" t="s">
        <v>60</v>
      </c>
      <c r="S1976" t="s">
        <v>1071</v>
      </c>
      <c r="T1976" t="s">
        <v>1072</v>
      </c>
      <c r="U1976" t="s">
        <v>6826</v>
      </c>
      <c r="W1976">
        <v>0</v>
      </c>
      <c r="X1976">
        <v>0</v>
      </c>
      <c r="AE1976">
        <v>0</v>
      </c>
      <c r="AI1976" t="s">
        <v>52</v>
      </c>
      <c r="AJ1976" t="s">
        <v>52</v>
      </c>
      <c r="AK1976" t="s">
        <v>2278</v>
      </c>
      <c r="AL1976" t="str">
        <f>HYPERLINK("https://pbs.twimg.com/media/D90Ty0DXkAAZYgL.jpg")</f>
        <v>https://pbs.twimg.com/media/D90Ty0DXkAAZYgL.jpg</v>
      </c>
      <c r="AM1976" t="s">
        <v>52</v>
      </c>
      <c r="AN1976" t="s">
        <v>53</v>
      </c>
    </row>
    <row r="1977" spans="1:40">
      <c r="A1977" t="s">
        <v>2370</v>
      </c>
      <c r="B1977" t="s">
        <v>1011</v>
      </c>
      <c r="C1977" t="s">
        <v>6827</v>
      </c>
      <c r="D1977" t="s">
        <v>52</v>
      </c>
      <c r="E1977" t="s">
        <v>6828</v>
      </c>
      <c r="F1977" t="s">
        <v>131</v>
      </c>
      <c r="G1977" t="str">
        <f>HYPERLINK("https://twitter.com/156017843/status/1143117685804457985")</f>
        <v>https://twitter.com/156017843/status/1143117685804457985</v>
      </c>
      <c r="H1977" t="s">
        <v>46</v>
      </c>
      <c r="I1977" t="s">
        <v>6829</v>
      </c>
      <c r="J1977" t="str">
        <f>HYPERLINK("http://twitter.com/bassett87")</f>
        <v>http://twitter.com/bassett87</v>
      </c>
      <c r="K1977">
        <v>582</v>
      </c>
      <c r="L1977" t="s">
        <v>48</v>
      </c>
      <c r="N1977" t="s">
        <v>65</v>
      </c>
      <c r="R1977" t="s">
        <v>60</v>
      </c>
      <c r="W1977">
        <v>0</v>
      </c>
      <c r="X1977">
        <v>0</v>
      </c>
      <c r="AE1977">
        <v>0</v>
      </c>
      <c r="AM1977" t="s">
        <v>52</v>
      </c>
      <c r="AN1977" t="s">
        <v>53</v>
      </c>
    </row>
    <row r="1978" spans="1:40">
      <c r="A1978" t="s">
        <v>2370</v>
      </c>
      <c r="B1978" t="s">
        <v>6830</v>
      </c>
      <c r="C1978" t="s">
        <v>6831</v>
      </c>
      <c r="D1978" t="s">
        <v>52</v>
      </c>
      <c r="E1978" t="s">
        <v>6819</v>
      </c>
      <c r="F1978" t="s">
        <v>71</v>
      </c>
      <c r="G1978" t="str">
        <f>HYPERLINK("https://twitter.com/1107628425697624064/status/1143117241166098432")</f>
        <v>https://twitter.com/1107628425697624064/status/1143117241166098432</v>
      </c>
      <c r="H1978" t="s">
        <v>46</v>
      </c>
      <c r="I1978" t="s">
        <v>6832</v>
      </c>
      <c r="J1978" t="str">
        <f>HYPERLINK("http://twitter.com/YouAreMy_SS")</f>
        <v>http://twitter.com/YouAreMy_SS</v>
      </c>
      <c r="K1978">
        <v>74</v>
      </c>
      <c r="N1978" t="s">
        <v>65</v>
      </c>
      <c r="R1978" t="s">
        <v>60</v>
      </c>
      <c r="W1978">
        <v>0</v>
      </c>
      <c r="X1978">
        <v>0</v>
      </c>
      <c r="AE1978">
        <v>0</v>
      </c>
      <c r="AF1978">
        <v>0</v>
      </c>
      <c r="AM1978" t="s">
        <v>52</v>
      </c>
      <c r="AN1978" t="s">
        <v>53</v>
      </c>
    </row>
    <row r="1979" spans="1:40">
      <c r="A1979" t="s">
        <v>2370</v>
      </c>
      <c r="B1979" t="s">
        <v>6833</v>
      </c>
      <c r="C1979" t="s">
        <v>5406</v>
      </c>
      <c r="D1979" t="s">
        <v>52</v>
      </c>
      <c r="E1979" t="s">
        <v>6834</v>
      </c>
      <c r="F1979" t="s">
        <v>45</v>
      </c>
      <c r="G1979" t="str">
        <f>HYPERLINK("https://www.instagram.com/p/BzFysiMgyzJ")</f>
        <v>https://www.instagram.com/p/BzFysiMgyzJ</v>
      </c>
      <c r="H1979" t="s">
        <v>46</v>
      </c>
      <c r="I1979" t="s">
        <v>6835</v>
      </c>
      <c r="J1979" t="str">
        <f>HYPERLINK("http://instagram.com/tleo_n")</f>
        <v>http://instagram.com/tleo_n</v>
      </c>
      <c r="K1979">
        <v>34</v>
      </c>
      <c r="N1979" t="s">
        <v>59</v>
      </c>
      <c r="O1979" t="s">
        <v>6835</v>
      </c>
      <c r="P1979" t="str">
        <f>HYPERLINK("http://instagram.com/tleo_n")</f>
        <v>http://instagram.com/tleo_n</v>
      </c>
      <c r="Q1979">
        <v>34</v>
      </c>
      <c r="R1979" t="s">
        <v>60</v>
      </c>
      <c r="W1979">
        <v>7</v>
      </c>
      <c r="X1979">
        <v>7</v>
      </c>
      <c r="AE1979">
        <v>1</v>
      </c>
      <c r="AI1979" t="s">
        <v>108</v>
      </c>
      <c r="AJ1979" t="s">
        <v>52</v>
      </c>
      <c r="AK1979" t="s">
        <v>52</v>
      </c>
      <c r="AL1979" t="str">
        <f>HYPERLINK("https://www.instagram.com/p/BzFysiMgyzJ/media/?size=l")</f>
        <v>https://www.instagram.com/p/BzFysiMgyzJ/media/?size=l</v>
      </c>
      <c r="AM1979" t="s">
        <v>52</v>
      </c>
      <c r="AN1979" t="s">
        <v>53</v>
      </c>
    </row>
    <row r="1980" spans="1:40">
      <c r="A1980" t="s">
        <v>2370</v>
      </c>
      <c r="B1980" t="s">
        <v>6836</v>
      </c>
      <c r="C1980" t="s">
        <v>5430</v>
      </c>
      <c r="D1980" t="s">
        <v>52</v>
      </c>
      <c r="E1980" t="s">
        <v>6837</v>
      </c>
      <c r="F1980" t="s">
        <v>45</v>
      </c>
      <c r="G1980" t="str">
        <f>HYPERLINK("https://www.instagram.com/p/BzFykXCAz0h")</f>
        <v>https://www.instagram.com/p/BzFykXCAz0h</v>
      </c>
      <c r="H1980" t="s">
        <v>46</v>
      </c>
      <c r="I1980" t="s">
        <v>6838</v>
      </c>
      <c r="J1980" t="str">
        <f>HYPERLINK("http://instagram.com/heartzofseavey")</f>
        <v>http://instagram.com/heartzofseavey</v>
      </c>
      <c r="K1980">
        <v>671</v>
      </c>
      <c r="N1980" t="s">
        <v>59</v>
      </c>
      <c r="O1980" t="s">
        <v>6838</v>
      </c>
      <c r="P1980" t="str">
        <f>HYPERLINK("http://instagram.com/heartzofseavey")</f>
        <v>http://instagram.com/heartzofseavey</v>
      </c>
      <c r="Q1980">
        <v>671</v>
      </c>
      <c r="R1980" t="s">
        <v>60</v>
      </c>
      <c r="W1980">
        <v>47</v>
      </c>
      <c r="X1980">
        <v>47</v>
      </c>
      <c r="AE1980">
        <v>2</v>
      </c>
      <c r="AI1980" t="s">
        <v>108</v>
      </c>
      <c r="AJ1980" t="s">
        <v>52</v>
      </c>
      <c r="AK1980" t="s">
        <v>52</v>
      </c>
      <c r="AL1980" t="str">
        <f>HYPERLINK("https://www.instagram.com/p/BzFykXCAz0h/media/?size=l")</f>
        <v>https://www.instagram.com/p/BzFykXCAz0h/media/?size=l</v>
      </c>
      <c r="AM1980" t="s">
        <v>52</v>
      </c>
      <c r="AN1980" t="s">
        <v>53</v>
      </c>
    </row>
    <row r="1981" spans="1:40">
      <c r="A1981" t="s">
        <v>2370</v>
      </c>
      <c r="B1981" t="s">
        <v>6839</v>
      </c>
      <c r="C1981" t="s">
        <v>6492</v>
      </c>
      <c r="D1981" t="s">
        <v>52</v>
      </c>
      <c r="E1981" t="s">
        <v>6840</v>
      </c>
      <c r="F1981" t="s">
        <v>95</v>
      </c>
      <c r="G1981" t="str">
        <f>HYPERLINK("https://twitter.com/847478810190594048/status/1143115111470706689")</f>
        <v>https://twitter.com/847478810190594048/status/1143115111470706689</v>
      </c>
      <c r="H1981" t="s">
        <v>46</v>
      </c>
      <c r="I1981" t="s">
        <v>6841</v>
      </c>
      <c r="J1981" t="str">
        <f>HYPERLINK("http://twitter.com/ewasow0001")</f>
        <v>http://twitter.com/ewasow0001</v>
      </c>
      <c r="K1981">
        <v>173</v>
      </c>
      <c r="N1981" t="s">
        <v>65</v>
      </c>
      <c r="R1981" t="s">
        <v>60</v>
      </c>
      <c r="S1981" t="s">
        <v>387</v>
      </c>
      <c r="T1981" t="s">
        <v>2251</v>
      </c>
      <c r="U1981" t="s">
        <v>6574</v>
      </c>
      <c r="W1981">
        <v>1</v>
      </c>
      <c r="X1981">
        <v>1</v>
      </c>
      <c r="AE1981">
        <v>1</v>
      </c>
      <c r="AF1981">
        <v>0</v>
      </c>
      <c r="AI1981" t="s">
        <v>52</v>
      </c>
      <c r="AJ1981" t="s">
        <v>2063</v>
      </c>
      <c r="AK1981" t="s">
        <v>52</v>
      </c>
      <c r="AL1981" t="str">
        <f>HYPERLINK("https://pbs.twimg.com/media/D90pIhJWsAAMg3z.jpg")</f>
        <v>https://pbs.twimg.com/media/D90pIhJWsAAMg3z.jpg</v>
      </c>
      <c r="AM1981" t="s">
        <v>52</v>
      </c>
      <c r="AN1981" t="s">
        <v>53</v>
      </c>
    </row>
    <row r="1982" spans="1:40">
      <c r="A1982" t="s">
        <v>2370</v>
      </c>
      <c r="B1982" t="s">
        <v>6839</v>
      </c>
      <c r="C1982" t="s">
        <v>6842</v>
      </c>
      <c r="D1982" t="s">
        <v>6843</v>
      </c>
      <c r="E1982" t="s">
        <v>6844</v>
      </c>
      <c r="F1982" t="s">
        <v>45</v>
      </c>
      <c r="G1982" t="str">
        <f>HYPERLINK("http://boards.4chan.org/r9k/thread/53058179#p53059954")</f>
        <v>http://boards.4chan.org/r9k/thread/53058179#p53059954</v>
      </c>
      <c r="H1982" t="s">
        <v>46</v>
      </c>
      <c r="N1982" t="s">
        <v>6845</v>
      </c>
      <c r="O1982" t="s">
        <v>6846</v>
      </c>
      <c r="P1982" t="str">
        <f>HYPERLINK("http://boards.4chan.org/r9k/")</f>
        <v>http://boards.4chan.org/r9k/</v>
      </c>
      <c r="R1982" t="s">
        <v>516</v>
      </c>
      <c r="S1982" t="s">
        <v>51</v>
      </c>
      <c r="AM1982" t="s">
        <v>52</v>
      </c>
      <c r="AN1982" t="s">
        <v>53</v>
      </c>
    </row>
    <row r="1983" spans="1:40">
      <c r="A1983" t="s">
        <v>2370</v>
      </c>
      <c r="B1983" t="s">
        <v>1041</v>
      </c>
      <c r="C1983" t="s">
        <v>6847</v>
      </c>
      <c r="D1983" t="s">
        <v>6848</v>
      </c>
      <c r="E1983" t="s">
        <v>6849</v>
      </c>
      <c r="F1983" t="s">
        <v>45</v>
      </c>
      <c r="G1983" t="str">
        <f>HYPERLINK("https://www.youtube.com/watch?v=43cOZtsjLCA")</f>
        <v>https://www.youtube.com/watch?v=43cOZtsjLCA</v>
      </c>
      <c r="H1983" t="s">
        <v>46</v>
      </c>
      <c r="I1983" t="s">
        <v>6850</v>
      </c>
      <c r="J1983" t="str">
        <f>HYPERLINK("https://www.youtube.com/channel/UCYPzRfQHCko--dbd28vuWiQ")</f>
        <v>https://www.youtube.com/channel/UCYPzRfQHCko--dbd28vuWiQ</v>
      </c>
      <c r="K1983">
        <v>317</v>
      </c>
      <c r="N1983" t="s">
        <v>116</v>
      </c>
      <c r="O1983" t="s">
        <v>6850</v>
      </c>
      <c r="P1983" t="str">
        <f>HYPERLINK("https://www.youtube.com/channel/UCYPzRfQHCko--dbd28vuWiQ")</f>
        <v>https://www.youtube.com/channel/UCYPzRfQHCko--dbd28vuWiQ</v>
      </c>
      <c r="Q1983">
        <v>317</v>
      </c>
      <c r="R1983" t="s">
        <v>60</v>
      </c>
      <c r="S1983" t="s">
        <v>6414</v>
      </c>
      <c r="W1983">
        <v>2</v>
      </c>
      <c r="X1983">
        <v>2</v>
      </c>
      <c r="AD1983">
        <v>0</v>
      </c>
      <c r="AE1983">
        <v>0</v>
      </c>
      <c r="AG1983">
        <v>21</v>
      </c>
      <c r="AI1983" t="s">
        <v>52</v>
      </c>
      <c r="AJ1983" t="s">
        <v>52</v>
      </c>
      <c r="AK1983" t="s">
        <v>52</v>
      </c>
      <c r="AL1983" t="str">
        <f>HYPERLINK("https://i.ytimg.com/vi/43cOZtsjLCA/maxresdefault.jpg")</f>
        <v>https://i.ytimg.com/vi/43cOZtsjLCA/maxresdefault.jpg</v>
      </c>
      <c r="AM1983" t="s">
        <v>52</v>
      </c>
      <c r="AN1983" t="s">
        <v>53</v>
      </c>
    </row>
    <row r="1984" spans="1:40">
      <c r="A1984" t="s">
        <v>2370</v>
      </c>
      <c r="B1984" t="s">
        <v>1041</v>
      </c>
      <c r="C1984" t="s">
        <v>6847</v>
      </c>
      <c r="D1984" t="s">
        <v>52</v>
      </c>
      <c r="E1984" t="s">
        <v>6851</v>
      </c>
      <c r="F1984" t="s">
        <v>45</v>
      </c>
      <c r="G1984" t="str">
        <f>HYPERLINK("https://twitter.com/1013206346177499136/status/1143114902942277633")</f>
        <v>https://twitter.com/1013206346177499136/status/1143114902942277633</v>
      </c>
      <c r="H1984" t="s">
        <v>46</v>
      </c>
      <c r="I1984" t="s">
        <v>6852</v>
      </c>
      <c r="J1984" t="str">
        <f>HYPERLINK("http://twitter.com/ru3lvandijk")</f>
        <v>http://twitter.com/ru3lvandijk</v>
      </c>
      <c r="K1984">
        <v>109</v>
      </c>
      <c r="N1984" t="s">
        <v>65</v>
      </c>
      <c r="R1984" t="s">
        <v>60</v>
      </c>
      <c r="S1984" t="s">
        <v>2226</v>
      </c>
      <c r="W1984">
        <v>6</v>
      </c>
      <c r="X1984">
        <v>6</v>
      </c>
      <c r="AE1984">
        <v>0</v>
      </c>
      <c r="AF1984">
        <v>0</v>
      </c>
      <c r="AM1984" t="s">
        <v>52</v>
      </c>
      <c r="AN1984" t="s">
        <v>53</v>
      </c>
    </row>
    <row r="1985" spans="1:40">
      <c r="A1985" t="s">
        <v>2370</v>
      </c>
      <c r="B1985" t="s">
        <v>6853</v>
      </c>
      <c r="C1985" t="s">
        <v>6854</v>
      </c>
      <c r="D1985" t="s">
        <v>52</v>
      </c>
      <c r="E1985" t="s">
        <v>6855</v>
      </c>
      <c r="F1985" t="s">
        <v>45</v>
      </c>
      <c r="G1985" t="str">
        <f>HYPERLINK("https://twitter.com/937618864489115648/status/1143114164631527424")</f>
        <v>https://twitter.com/937618864489115648/status/1143114164631527424</v>
      </c>
      <c r="H1985" t="s">
        <v>46</v>
      </c>
      <c r="I1985" t="s">
        <v>6856</v>
      </c>
      <c r="J1985" t="str">
        <f>HYPERLINK("http://twitter.com/checkeredsmith")</f>
        <v>http://twitter.com/checkeredsmith</v>
      </c>
      <c r="K1985">
        <v>602</v>
      </c>
      <c r="N1985" t="s">
        <v>65</v>
      </c>
      <c r="R1985" t="s">
        <v>60</v>
      </c>
      <c r="W1985">
        <v>0</v>
      </c>
      <c r="X1985">
        <v>0</v>
      </c>
      <c r="AE1985">
        <v>0</v>
      </c>
      <c r="AF1985">
        <v>0</v>
      </c>
      <c r="AM1985" t="s">
        <v>52</v>
      </c>
      <c r="AN1985" t="s">
        <v>53</v>
      </c>
    </row>
    <row r="1986" spans="1:40">
      <c r="A1986" t="s">
        <v>2370</v>
      </c>
      <c r="B1986" t="s">
        <v>1050</v>
      </c>
      <c r="C1986" t="s">
        <v>6492</v>
      </c>
      <c r="D1986" t="s">
        <v>52</v>
      </c>
      <c r="E1986" t="s">
        <v>130</v>
      </c>
      <c r="F1986" t="s">
        <v>131</v>
      </c>
      <c r="G1986" t="str">
        <f>HYPERLINK("https://twitter.com/1083990620069343232/status/1143113588237881345")</f>
        <v>https://twitter.com/1083990620069343232/status/1143113588237881345</v>
      </c>
      <c r="H1986" t="s">
        <v>46</v>
      </c>
      <c r="I1986" t="s">
        <v>6857</v>
      </c>
      <c r="J1986" t="str">
        <f>HYPERLINK("http://twitter.com/MerylTh58711232")</f>
        <v>http://twitter.com/MerylTh58711232</v>
      </c>
      <c r="K1986">
        <v>59</v>
      </c>
      <c r="N1986" t="s">
        <v>65</v>
      </c>
      <c r="R1986" t="s">
        <v>60</v>
      </c>
      <c r="S1986" t="s">
        <v>97</v>
      </c>
      <c r="T1986" t="s">
        <v>177</v>
      </c>
      <c r="U1986" t="s">
        <v>6858</v>
      </c>
      <c r="W1986">
        <v>0</v>
      </c>
      <c r="X1986">
        <v>0</v>
      </c>
      <c r="AE1986">
        <v>0</v>
      </c>
      <c r="AL1986" t="str">
        <f>HYPERLINK("https://pbs.twimg.com/media/D9XTkLWW4AAOYnJ.jpg")</f>
        <v>https://pbs.twimg.com/media/D9XTkLWW4AAOYnJ.jpg</v>
      </c>
      <c r="AM1986" t="s">
        <v>52</v>
      </c>
      <c r="AN1986" t="s">
        <v>53</v>
      </c>
    </row>
    <row r="1987" spans="1:40">
      <c r="A1987" t="s">
        <v>2370</v>
      </c>
      <c r="B1987" t="s">
        <v>6859</v>
      </c>
      <c r="C1987" t="s">
        <v>6860</v>
      </c>
      <c r="D1987" t="s">
        <v>52</v>
      </c>
      <c r="E1987" t="s">
        <v>5686</v>
      </c>
      <c r="F1987" t="s">
        <v>131</v>
      </c>
      <c r="G1987" t="str">
        <f>HYPERLINK("https://twitter.com/214457046/status/1143113140151955456")</f>
        <v>https://twitter.com/214457046/status/1143113140151955456</v>
      </c>
      <c r="H1987" t="s">
        <v>46</v>
      </c>
      <c r="I1987" t="s">
        <v>6861</v>
      </c>
      <c r="J1987" t="str">
        <f>HYPERLINK("http://twitter.com/MisCaz")</f>
        <v>http://twitter.com/MisCaz</v>
      </c>
      <c r="K1987">
        <v>7039</v>
      </c>
      <c r="N1987" t="s">
        <v>65</v>
      </c>
      <c r="R1987" t="s">
        <v>60</v>
      </c>
      <c r="S1987" t="s">
        <v>6862</v>
      </c>
      <c r="T1987" t="s">
        <v>6863</v>
      </c>
      <c r="U1987" t="s">
        <v>6864</v>
      </c>
      <c r="W1987">
        <v>0</v>
      </c>
      <c r="X1987">
        <v>0</v>
      </c>
      <c r="AE1987">
        <v>0</v>
      </c>
      <c r="AL1987" t="str">
        <f>HYPERLINK("https://pbs.twimg.com/media/D90Ty0DXkAAZYgL.jpg")</f>
        <v>https://pbs.twimg.com/media/D90Ty0DXkAAZYgL.jpg</v>
      </c>
      <c r="AM1987" t="s">
        <v>52</v>
      </c>
      <c r="AN1987" t="s">
        <v>53</v>
      </c>
    </row>
    <row r="1988" spans="1:40">
      <c r="A1988" t="s">
        <v>2370</v>
      </c>
      <c r="B1988" t="s">
        <v>6859</v>
      </c>
      <c r="C1988" t="s">
        <v>6865</v>
      </c>
      <c r="D1988" t="s">
        <v>52</v>
      </c>
      <c r="E1988" t="s">
        <v>130</v>
      </c>
      <c r="F1988" t="s">
        <v>131</v>
      </c>
      <c r="G1988" t="str">
        <f>HYPERLINK("https://twitter.com/288714182/status/1143113091779112965")</f>
        <v>https://twitter.com/288714182/status/1143113091779112965</v>
      </c>
      <c r="H1988" t="s">
        <v>46</v>
      </c>
      <c r="I1988" t="s">
        <v>6866</v>
      </c>
      <c r="J1988" t="str">
        <f>HYPERLINK("http://twitter.com/CakeReev")</f>
        <v>http://twitter.com/CakeReev</v>
      </c>
      <c r="K1988">
        <v>938</v>
      </c>
      <c r="N1988" t="s">
        <v>65</v>
      </c>
      <c r="R1988" t="s">
        <v>60</v>
      </c>
      <c r="S1988" t="s">
        <v>6867</v>
      </c>
      <c r="T1988" t="s">
        <v>6868</v>
      </c>
      <c r="U1988" t="s">
        <v>6869</v>
      </c>
      <c r="W1988">
        <v>0</v>
      </c>
      <c r="X1988">
        <v>0</v>
      </c>
      <c r="AE1988">
        <v>0</v>
      </c>
      <c r="AL1988" t="str">
        <f>HYPERLINK("https://pbs.twimg.com/media/D9XTkLWW4AAOYnJ.jpg")</f>
        <v>https://pbs.twimg.com/media/D9XTkLWW4AAOYnJ.jpg</v>
      </c>
      <c r="AM1988" t="s">
        <v>52</v>
      </c>
      <c r="AN1988" t="s">
        <v>53</v>
      </c>
    </row>
    <row r="1989" spans="1:40">
      <c r="A1989" t="s">
        <v>2370</v>
      </c>
      <c r="B1989" t="s">
        <v>6870</v>
      </c>
      <c r="C1989" t="s">
        <v>5536</v>
      </c>
      <c r="D1989" t="s">
        <v>52</v>
      </c>
      <c r="E1989" t="s">
        <v>6871</v>
      </c>
      <c r="F1989" t="s">
        <v>45</v>
      </c>
      <c r="G1989" t="str">
        <f>HYPERLINK("https://www.instagram.com/p/BzFxWUeh5F2")</f>
        <v>https://www.instagram.com/p/BzFxWUeh5F2</v>
      </c>
      <c r="H1989" t="s">
        <v>46</v>
      </c>
      <c r="I1989" t="s">
        <v>52</v>
      </c>
      <c r="J1989" t="str">
        <f>HYPERLINK("http://instagram.com/shmelly.peen")</f>
        <v>http://instagram.com/shmelly.peen</v>
      </c>
      <c r="K1989">
        <v>178</v>
      </c>
      <c r="N1989" t="s">
        <v>59</v>
      </c>
      <c r="O1989" t="s">
        <v>52</v>
      </c>
      <c r="P1989" t="str">
        <f>HYPERLINK("http://instagram.com/shmelly.peen")</f>
        <v>http://instagram.com/shmelly.peen</v>
      </c>
      <c r="Q1989">
        <v>178</v>
      </c>
      <c r="R1989" t="s">
        <v>60</v>
      </c>
      <c r="W1989">
        <v>21</v>
      </c>
      <c r="X1989">
        <v>21</v>
      </c>
      <c r="AE1989">
        <v>0</v>
      </c>
      <c r="AG1989">
        <v>71</v>
      </c>
      <c r="AI1989" t="s">
        <v>108</v>
      </c>
      <c r="AJ1989" t="s">
        <v>458</v>
      </c>
      <c r="AK1989" t="s">
        <v>110</v>
      </c>
      <c r="AL1989" t="str">
        <f>HYPERLINK("https://www.instagram.com/p/BzFxWUeh5F2/media/?size=l")</f>
        <v>https://www.instagram.com/p/BzFxWUeh5F2/media/?size=l</v>
      </c>
      <c r="AM1989" t="s">
        <v>52</v>
      </c>
      <c r="AN1989" t="s">
        <v>53</v>
      </c>
    </row>
    <row r="1990" spans="1:40">
      <c r="A1990" t="s">
        <v>2370</v>
      </c>
      <c r="B1990" t="s">
        <v>6872</v>
      </c>
      <c r="C1990" t="s">
        <v>6860</v>
      </c>
      <c r="D1990" t="s">
        <v>52</v>
      </c>
      <c r="E1990" t="s">
        <v>1194</v>
      </c>
      <c r="F1990" t="s">
        <v>131</v>
      </c>
      <c r="G1990" t="str">
        <f>HYPERLINK("https://twitter.com/1356507480/status/1143112761355853824")</f>
        <v>https://twitter.com/1356507480/status/1143112761355853824</v>
      </c>
      <c r="H1990" t="s">
        <v>46</v>
      </c>
      <c r="I1990" t="s">
        <v>52</v>
      </c>
      <c r="J1990" t="str">
        <f>HYPERLINK("http://twitter.com/httpmeowxx")</f>
        <v>http://twitter.com/httpmeowxx</v>
      </c>
      <c r="K1990">
        <v>375</v>
      </c>
      <c r="N1990" t="s">
        <v>65</v>
      </c>
      <c r="R1990" t="s">
        <v>60</v>
      </c>
      <c r="W1990">
        <v>0</v>
      </c>
      <c r="X1990">
        <v>0</v>
      </c>
      <c r="AE1990">
        <v>0</v>
      </c>
      <c r="AI1990" t="s">
        <v>52</v>
      </c>
      <c r="AJ1990" t="s">
        <v>1196</v>
      </c>
      <c r="AK1990" t="s">
        <v>52</v>
      </c>
      <c r="AL1990" t="str">
        <f>HYPERLINK("https://pbs.twimg.com/media/D9xgk2YXkAAd2ql.jpg")</f>
        <v>https://pbs.twimg.com/media/D9xgk2YXkAAd2ql.jpg</v>
      </c>
      <c r="AM1990" t="s">
        <v>52</v>
      </c>
      <c r="AN1990" t="s">
        <v>53</v>
      </c>
    </row>
    <row r="1991" spans="1:40">
      <c r="A1991" t="s">
        <v>2370</v>
      </c>
      <c r="B1991" t="s">
        <v>6872</v>
      </c>
      <c r="C1991" t="s">
        <v>6873</v>
      </c>
      <c r="D1991" t="s">
        <v>52</v>
      </c>
      <c r="E1991" t="s">
        <v>130</v>
      </c>
      <c r="F1991" t="s">
        <v>131</v>
      </c>
      <c r="G1991" t="str">
        <f>HYPERLINK("https://twitter.com/21482133/status/1143112676215795718")</f>
        <v>https://twitter.com/21482133/status/1143112676215795718</v>
      </c>
      <c r="H1991" t="s">
        <v>46</v>
      </c>
      <c r="I1991" t="s">
        <v>172</v>
      </c>
      <c r="J1991" t="str">
        <f>HYPERLINK("http://twitter.com/andrewricketts")</f>
        <v>http://twitter.com/andrewricketts</v>
      </c>
      <c r="K1991">
        <v>51</v>
      </c>
      <c r="L1991" t="s">
        <v>48</v>
      </c>
      <c r="N1991" t="s">
        <v>65</v>
      </c>
      <c r="R1991" t="s">
        <v>60</v>
      </c>
      <c r="W1991">
        <v>0</v>
      </c>
      <c r="X1991">
        <v>0</v>
      </c>
      <c r="AE1991">
        <v>0</v>
      </c>
      <c r="AL1991" t="str">
        <f>HYPERLINK("https://pbs.twimg.com/media/D9XTkLWW4AAOYnJ.jpg")</f>
        <v>https://pbs.twimg.com/media/D9XTkLWW4AAOYnJ.jpg</v>
      </c>
      <c r="AM1991" t="s">
        <v>52</v>
      </c>
      <c r="AN1991" t="s">
        <v>53</v>
      </c>
    </row>
    <row r="1992" spans="1:40">
      <c r="A1992" t="s">
        <v>2370</v>
      </c>
      <c r="B1992" t="s">
        <v>6872</v>
      </c>
      <c r="C1992" t="s">
        <v>6865</v>
      </c>
      <c r="D1992" t="s">
        <v>52</v>
      </c>
      <c r="E1992" t="s">
        <v>1194</v>
      </c>
      <c r="F1992" t="s">
        <v>131</v>
      </c>
      <c r="G1992" t="str">
        <f>HYPERLINK("https://twitter.com/3032949387/status/1143112643097583617")</f>
        <v>https://twitter.com/3032949387/status/1143112643097583617</v>
      </c>
      <c r="H1992" t="s">
        <v>46</v>
      </c>
      <c r="I1992" t="s">
        <v>6874</v>
      </c>
      <c r="J1992" t="str">
        <f>HYPERLINK("http://twitter.com/jaehnri")</f>
        <v>http://twitter.com/jaehnri</v>
      </c>
      <c r="K1992">
        <v>435</v>
      </c>
      <c r="N1992" t="s">
        <v>65</v>
      </c>
      <c r="R1992" t="s">
        <v>60</v>
      </c>
      <c r="S1992" t="s">
        <v>432</v>
      </c>
      <c r="W1992">
        <v>0</v>
      </c>
      <c r="X1992">
        <v>0</v>
      </c>
      <c r="AE1992">
        <v>0</v>
      </c>
      <c r="AI1992" t="s">
        <v>52</v>
      </c>
      <c r="AJ1992" t="s">
        <v>1196</v>
      </c>
      <c r="AK1992" t="s">
        <v>52</v>
      </c>
      <c r="AL1992" t="str">
        <f>HYPERLINK("https://pbs.twimg.com/media/D9xgk2YXkAAd2ql.jpg")</f>
        <v>https://pbs.twimg.com/media/D9xgk2YXkAAd2ql.jpg</v>
      </c>
      <c r="AM1992" t="s">
        <v>52</v>
      </c>
      <c r="AN1992" t="s">
        <v>53</v>
      </c>
    </row>
    <row r="1993" spans="1:40">
      <c r="A1993" t="s">
        <v>2370</v>
      </c>
      <c r="B1993" t="s">
        <v>6872</v>
      </c>
      <c r="C1993" t="s">
        <v>6875</v>
      </c>
      <c r="D1993" t="s">
        <v>52</v>
      </c>
      <c r="E1993" t="s">
        <v>6876</v>
      </c>
      <c r="F1993" t="s">
        <v>45</v>
      </c>
      <c r="G1993" t="str">
        <f>HYPERLINK("https://www.instagram.com/p/BzFxTvbBZHC")</f>
        <v>https://www.instagram.com/p/BzFxTvbBZHC</v>
      </c>
      <c r="H1993" t="s">
        <v>46</v>
      </c>
      <c r="I1993" t="s">
        <v>6877</v>
      </c>
      <c r="J1993" t="str">
        <f>HYPERLINK("http://instagram.com/tacopacoegypt")</f>
        <v>http://instagram.com/tacopacoegypt</v>
      </c>
      <c r="K1993">
        <v>3854</v>
      </c>
      <c r="N1993" t="s">
        <v>59</v>
      </c>
      <c r="O1993" t="s">
        <v>6877</v>
      </c>
      <c r="P1993" t="str">
        <f>HYPERLINK("http://instagram.com/tacopacoegypt")</f>
        <v>http://instagram.com/tacopacoegypt</v>
      </c>
      <c r="Q1993">
        <v>3854</v>
      </c>
      <c r="R1993" t="s">
        <v>60</v>
      </c>
      <c r="S1993" t="s">
        <v>6878</v>
      </c>
      <c r="T1993" t="s">
        <v>6879</v>
      </c>
      <c r="U1993" t="s">
        <v>6880</v>
      </c>
      <c r="W1993">
        <v>57</v>
      </c>
      <c r="X1993">
        <v>57</v>
      </c>
      <c r="AE1993">
        <v>7</v>
      </c>
      <c r="AI1993" t="s">
        <v>788</v>
      </c>
      <c r="AJ1993" t="s">
        <v>4031</v>
      </c>
      <c r="AK1993" t="s">
        <v>52</v>
      </c>
      <c r="AL1993" t="str">
        <f>HYPERLINK("https://www.instagram.com/p/BzFxTvbBZHC/media/?size=l")</f>
        <v>https://www.instagram.com/p/BzFxTvbBZHC/media/?size=l</v>
      </c>
      <c r="AM1993" t="s">
        <v>52</v>
      </c>
      <c r="AN1993" t="s">
        <v>53</v>
      </c>
    </row>
    <row r="1994" spans="1:40">
      <c r="A1994" t="s">
        <v>2370</v>
      </c>
      <c r="B1994" t="s">
        <v>6872</v>
      </c>
      <c r="C1994" t="s">
        <v>6865</v>
      </c>
      <c r="D1994" t="s">
        <v>52</v>
      </c>
      <c r="E1994" t="s">
        <v>1557</v>
      </c>
      <c r="F1994" t="s">
        <v>95</v>
      </c>
      <c r="G1994" t="str">
        <f>HYPERLINK("https://twitter.com/21482133/status/1143112627733835778")</f>
        <v>https://twitter.com/21482133/status/1143112627733835778</v>
      </c>
      <c r="H1994" t="s">
        <v>46</v>
      </c>
      <c r="I1994" t="s">
        <v>172</v>
      </c>
      <c r="J1994" t="str">
        <f>HYPERLINK("http://twitter.com/andrewricketts")</f>
        <v>http://twitter.com/andrewricketts</v>
      </c>
      <c r="K1994">
        <v>51</v>
      </c>
      <c r="L1994" t="s">
        <v>48</v>
      </c>
      <c r="N1994" t="s">
        <v>65</v>
      </c>
      <c r="R1994" t="s">
        <v>60</v>
      </c>
      <c r="W1994">
        <v>0</v>
      </c>
      <c r="X1994">
        <v>0</v>
      </c>
      <c r="AE1994">
        <v>0</v>
      </c>
      <c r="AF1994">
        <v>0</v>
      </c>
      <c r="AM1994" t="s">
        <v>52</v>
      </c>
      <c r="AN1994" t="s">
        <v>53</v>
      </c>
    </row>
    <row r="1995" spans="1:40">
      <c r="A1995" t="s">
        <v>2370</v>
      </c>
      <c r="B1995" t="s">
        <v>6872</v>
      </c>
      <c r="C1995" t="s">
        <v>6881</v>
      </c>
      <c r="D1995" t="s">
        <v>52</v>
      </c>
      <c r="E1995" t="s">
        <v>526</v>
      </c>
      <c r="F1995" t="s">
        <v>131</v>
      </c>
      <c r="G1995" t="str">
        <f>HYPERLINK("https://twitter.com/123463480/status/1143112589347475456")</f>
        <v>https://twitter.com/123463480/status/1143112589347475456</v>
      </c>
      <c r="H1995" t="s">
        <v>46</v>
      </c>
      <c r="I1995" t="s">
        <v>6882</v>
      </c>
      <c r="J1995" t="str">
        <f>HYPERLINK("http://twitter.com/sakebry")</f>
        <v>http://twitter.com/sakebry</v>
      </c>
      <c r="K1995">
        <v>193</v>
      </c>
      <c r="L1995" t="s">
        <v>48</v>
      </c>
      <c r="N1995" t="s">
        <v>65</v>
      </c>
      <c r="R1995" t="s">
        <v>60</v>
      </c>
      <c r="S1995" t="s">
        <v>437</v>
      </c>
      <c r="T1995" t="s">
        <v>528</v>
      </c>
      <c r="U1995" t="s">
        <v>529</v>
      </c>
      <c r="W1995">
        <v>0</v>
      </c>
      <c r="X1995">
        <v>0</v>
      </c>
      <c r="AE1995">
        <v>0</v>
      </c>
      <c r="AL1995" t="str">
        <f>HYPERLINK("https://pbs.twimg.com/ext_tw_video_thumb/1141360066962100224/pu/img/5_tGc4hLFQwcD07b.jpg")</f>
        <v>https://pbs.twimg.com/ext_tw_video_thumb/1141360066962100224/pu/img/5_tGc4hLFQwcD07b.jpg</v>
      </c>
      <c r="AM1995" t="s">
        <v>52</v>
      </c>
      <c r="AN1995" t="s">
        <v>53</v>
      </c>
    </row>
    <row r="1996" spans="1:40">
      <c r="A1996" t="s">
        <v>2370</v>
      </c>
      <c r="B1996" t="s">
        <v>6872</v>
      </c>
      <c r="C1996" t="s">
        <v>4375</v>
      </c>
      <c r="D1996" t="s">
        <v>52</v>
      </c>
      <c r="E1996" t="s">
        <v>6883</v>
      </c>
      <c r="F1996" t="s">
        <v>45</v>
      </c>
      <c r="G1996" t="str">
        <f>HYPERLINK("https://www.facebook.com/108132199229830/posts/2371821039527590")</f>
        <v>https://www.facebook.com/108132199229830/posts/2371821039527590</v>
      </c>
      <c r="H1996" t="s">
        <v>215</v>
      </c>
      <c r="I1996" t="s">
        <v>6884</v>
      </c>
      <c r="J1996" t="str">
        <f>HYPERLINK("https://www.facebook.com/108132199229830")</f>
        <v>https://www.facebook.com/108132199229830</v>
      </c>
      <c r="K1996">
        <v>9182</v>
      </c>
      <c r="L1996" t="s">
        <v>651</v>
      </c>
      <c r="N1996" t="s">
        <v>1792</v>
      </c>
      <c r="O1996" t="s">
        <v>6884</v>
      </c>
      <c r="P1996" t="str">
        <f>HYPERLINK("https://www.facebook.com/108132199229830")</f>
        <v>https://www.facebook.com/108132199229830</v>
      </c>
      <c r="Q1996">
        <v>9182</v>
      </c>
      <c r="R1996" t="s">
        <v>60</v>
      </c>
      <c r="S1996" t="s">
        <v>51</v>
      </c>
      <c r="W1996">
        <v>0</v>
      </c>
      <c r="X1996">
        <v>0</v>
      </c>
      <c r="Y1996">
        <v>0</v>
      </c>
      <c r="Z1996">
        <v>0</v>
      </c>
      <c r="AA1996">
        <v>0</v>
      </c>
      <c r="AB1996">
        <v>0</v>
      </c>
      <c r="AC1996">
        <v>0</v>
      </c>
      <c r="AE1996">
        <v>2</v>
      </c>
      <c r="AF1996">
        <v>0</v>
      </c>
      <c r="AI1996" t="s">
        <v>52</v>
      </c>
      <c r="AJ1996" t="s">
        <v>52</v>
      </c>
      <c r="AK1996" t="s">
        <v>52</v>
      </c>
      <c r="AL1996" t="str">
        <f>HYPERLINK("https://scontent.xx.fbcdn.net/v/t1.0-9/65147323_2371820976194263_2072281334742515712_n.jpg?_nc_cat=101&amp;_nc_oc=AQmrIRJVMhoLwqmSo3eI6mhhd5AYcnX8JIOXUAKdwRQwjiez_QACkOTJkJqwohA_ADQ&amp;_nc_ht=scontent.xx&amp;oh=0a762c86f027e15ade19bb620049f895&amp;oe=5DBC71D2")</f>
        <v>https://scontent.xx.fbcdn.net/v/t1.0-9/65147323_2371820976194263_2072281334742515712_n.jpg?_nc_cat=101&amp;_nc_oc=AQmrIRJVMhoLwqmSo3eI6mhhd5AYcnX8JIOXUAKdwRQwjiez_QACkOTJkJqwohA_ADQ&amp;_nc_ht=scontent.xx&amp;oh=0a762c86f027e15ade19bb620049f895&amp;oe=5DBC71D2</v>
      </c>
      <c r="AM1996" t="s">
        <v>52</v>
      </c>
      <c r="AN1996" t="s">
        <v>53</v>
      </c>
    </row>
    <row r="1997" spans="1:40">
      <c r="A1997" t="s">
        <v>2370</v>
      </c>
      <c r="B1997" t="s">
        <v>6885</v>
      </c>
      <c r="C1997" t="s">
        <v>6886</v>
      </c>
      <c r="D1997" t="s">
        <v>52</v>
      </c>
      <c r="E1997" t="s">
        <v>6887</v>
      </c>
      <c r="F1997" t="s">
        <v>45</v>
      </c>
      <c r="G1997" t="str">
        <f>HYPERLINK("https://www.instagram.com/p/BzFxOLWnYw7")</f>
        <v>https://www.instagram.com/p/BzFxOLWnYw7</v>
      </c>
      <c r="H1997" t="s">
        <v>46</v>
      </c>
      <c r="I1997" t="s">
        <v>6888</v>
      </c>
      <c r="J1997" t="str">
        <f>HYPERLINK("http://instagram.com/kikiblaise_awc")</f>
        <v>http://instagram.com/kikiblaise_awc</v>
      </c>
      <c r="K1997">
        <v>3833</v>
      </c>
      <c r="N1997" t="s">
        <v>59</v>
      </c>
      <c r="O1997" t="s">
        <v>6888</v>
      </c>
      <c r="P1997" t="str">
        <f>HYPERLINK("http://instagram.com/kikiblaise_awc")</f>
        <v>http://instagram.com/kikiblaise_awc</v>
      </c>
      <c r="Q1997">
        <v>3833</v>
      </c>
      <c r="R1997" t="s">
        <v>60</v>
      </c>
      <c r="W1997">
        <v>148</v>
      </c>
      <c r="X1997">
        <v>148</v>
      </c>
      <c r="AE1997">
        <v>10</v>
      </c>
      <c r="AI1997" t="s">
        <v>108</v>
      </c>
      <c r="AJ1997" t="s">
        <v>52</v>
      </c>
      <c r="AK1997" t="s">
        <v>52</v>
      </c>
      <c r="AL1997" t="str">
        <f>HYPERLINK("https://www.instagram.com/p/BzFxOLWnYw7/media/?size=l")</f>
        <v>https://www.instagram.com/p/BzFxOLWnYw7/media/?size=l</v>
      </c>
      <c r="AM1997" t="s">
        <v>52</v>
      </c>
      <c r="AN1997" t="s">
        <v>53</v>
      </c>
    </row>
    <row r="1998" spans="1:40">
      <c r="A1998" t="s">
        <v>2370</v>
      </c>
      <c r="B1998" t="s">
        <v>1058</v>
      </c>
      <c r="C1998" t="s">
        <v>6889</v>
      </c>
      <c r="D1998" t="s">
        <v>52</v>
      </c>
      <c r="E1998" t="s">
        <v>6890</v>
      </c>
      <c r="F1998" t="s">
        <v>45</v>
      </c>
      <c r="G1998" t="str">
        <f>HYPERLINK("https://www.instagram.com/p/BzFxBhJHaNc")</f>
        <v>https://www.instagram.com/p/BzFxBhJHaNc</v>
      </c>
      <c r="H1998" t="s">
        <v>46</v>
      </c>
      <c r="I1998" t="s">
        <v>6891</v>
      </c>
      <c r="J1998" t="str">
        <f>HYPERLINK("http://instagram.com/therealcopperpiston")</f>
        <v>http://instagram.com/therealcopperpiston</v>
      </c>
      <c r="K1998">
        <v>104</v>
      </c>
      <c r="N1998" t="s">
        <v>59</v>
      </c>
      <c r="O1998" t="s">
        <v>6891</v>
      </c>
      <c r="P1998" t="str">
        <f>HYPERLINK("http://instagram.com/therealcopperpiston")</f>
        <v>http://instagram.com/therealcopperpiston</v>
      </c>
      <c r="Q1998">
        <v>104</v>
      </c>
      <c r="R1998" t="s">
        <v>60</v>
      </c>
      <c r="S1998" t="s">
        <v>6892</v>
      </c>
      <c r="W1998">
        <v>10</v>
      </c>
      <c r="X1998">
        <v>10</v>
      </c>
      <c r="AE1998">
        <v>0</v>
      </c>
      <c r="AL1998" t="str">
        <f>HYPERLINK("https://www.instagram.com/p/BzFxBhJHaNc/media/?size=l")</f>
        <v>https://www.instagram.com/p/BzFxBhJHaNc/media/?size=l</v>
      </c>
      <c r="AM1998" t="s">
        <v>52</v>
      </c>
      <c r="AN1998" t="s">
        <v>53</v>
      </c>
    </row>
    <row r="1999" spans="1:40">
      <c r="A1999" t="s">
        <v>2370</v>
      </c>
      <c r="B1999" t="s">
        <v>1063</v>
      </c>
      <c r="C1999" t="s">
        <v>3745</v>
      </c>
      <c r="D1999" t="s">
        <v>52</v>
      </c>
      <c r="E1999" t="s">
        <v>6893</v>
      </c>
      <c r="F1999" t="s">
        <v>45</v>
      </c>
      <c r="G1999" t="str">
        <f>HYPERLINK("https://www.facebook.com/154615891335532/posts/1593197834143990")</f>
        <v>https://www.facebook.com/154615891335532/posts/1593197834143990</v>
      </c>
      <c r="H1999" t="s">
        <v>46</v>
      </c>
      <c r="I1999" t="s">
        <v>6894</v>
      </c>
      <c r="J1999" t="str">
        <f>HYPERLINK("https://www.facebook.com/154615891335532")</f>
        <v>https://www.facebook.com/154615891335532</v>
      </c>
      <c r="K1999">
        <v>7342</v>
      </c>
      <c r="L1999" t="s">
        <v>651</v>
      </c>
      <c r="N1999" t="s">
        <v>1792</v>
      </c>
      <c r="O1999" t="s">
        <v>6894</v>
      </c>
      <c r="P1999" t="str">
        <f>HYPERLINK("https://www.facebook.com/154615891335532")</f>
        <v>https://www.facebook.com/154615891335532</v>
      </c>
      <c r="Q1999">
        <v>7342</v>
      </c>
      <c r="R1999" t="s">
        <v>60</v>
      </c>
      <c r="W1999">
        <v>56</v>
      </c>
      <c r="X1999">
        <v>36</v>
      </c>
      <c r="Y1999">
        <v>3</v>
      </c>
      <c r="Z1999">
        <v>1</v>
      </c>
      <c r="AA1999">
        <v>16</v>
      </c>
      <c r="AB1999">
        <v>0</v>
      </c>
      <c r="AC1999">
        <v>0</v>
      </c>
      <c r="AE1999">
        <v>22</v>
      </c>
      <c r="AF1999">
        <v>50</v>
      </c>
      <c r="AI1999" t="s">
        <v>108</v>
      </c>
      <c r="AJ1999" t="s">
        <v>659</v>
      </c>
      <c r="AK1999" t="s">
        <v>52</v>
      </c>
      <c r="AL1999" t="str">
        <f>HYPERLINK("https://townsquare.media/site/182/files/2019/06/YouTube.jpg?w=1200&amp;h=0&amp;zc=1&amp;s=0&amp;a=t&amp;q=89")</f>
        <v>https://townsquare.media/site/182/files/2019/06/YouTube.jpg?w=1200&amp;h=0&amp;zc=1&amp;s=0&amp;a=t&amp;q=89</v>
      </c>
      <c r="AM1999" t="s">
        <v>52</v>
      </c>
      <c r="AN1999" t="s">
        <v>53</v>
      </c>
    </row>
    <row r="2000" spans="1:40">
      <c r="A2000" t="s">
        <v>2370</v>
      </c>
      <c r="B2000" t="s">
        <v>6895</v>
      </c>
      <c r="C2000" t="s">
        <v>6896</v>
      </c>
      <c r="D2000" t="s">
        <v>52</v>
      </c>
      <c r="E2000" t="s">
        <v>6897</v>
      </c>
      <c r="F2000" t="s">
        <v>45</v>
      </c>
      <c r="G2000" t="str">
        <f>HYPERLINK("https://twitter.com/3180035654/status/1143111040944812034")</f>
        <v>https://twitter.com/3180035654/status/1143111040944812034</v>
      </c>
      <c r="H2000" t="s">
        <v>46</v>
      </c>
      <c r="I2000" t="s">
        <v>6898</v>
      </c>
      <c r="J2000" t="str">
        <f>HYPERLINK("http://twitter.com/MzVazquez2Cute")</f>
        <v>http://twitter.com/MzVazquez2Cute</v>
      </c>
      <c r="K2000">
        <v>1806</v>
      </c>
      <c r="N2000" t="s">
        <v>65</v>
      </c>
      <c r="R2000" t="s">
        <v>60</v>
      </c>
      <c r="S2000" t="s">
        <v>51</v>
      </c>
      <c r="W2000">
        <v>2</v>
      </c>
      <c r="X2000">
        <v>2</v>
      </c>
      <c r="AE2000">
        <v>0</v>
      </c>
      <c r="AF2000">
        <v>0</v>
      </c>
      <c r="AM2000" t="s">
        <v>52</v>
      </c>
      <c r="AN2000" t="s">
        <v>53</v>
      </c>
    </row>
    <row r="2001" spans="1:40">
      <c r="A2001" t="s">
        <v>2370</v>
      </c>
      <c r="B2001" t="s">
        <v>6899</v>
      </c>
      <c r="C2001" t="s">
        <v>6900</v>
      </c>
      <c r="D2001" t="s">
        <v>52</v>
      </c>
      <c r="E2001" t="s">
        <v>1411</v>
      </c>
      <c r="F2001" t="s">
        <v>45</v>
      </c>
      <c r="G2001" t="str">
        <f>HYPERLINK("https://twitter.com/1471248194/status/1143110859868246017")</f>
        <v>https://twitter.com/1471248194/status/1143110859868246017</v>
      </c>
      <c r="H2001" t="s">
        <v>46</v>
      </c>
      <c r="I2001" t="s">
        <v>6901</v>
      </c>
      <c r="J2001" t="str">
        <f>HYPERLINK("http://twitter.com/amandarinaudo")</f>
        <v>http://twitter.com/amandarinaudo</v>
      </c>
      <c r="K2001">
        <v>689</v>
      </c>
      <c r="N2001" t="s">
        <v>65</v>
      </c>
      <c r="R2001" t="s">
        <v>60</v>
      </c>
      <c r="W2001">
        <v>1</v>
      </c>
      <c r="X2001">
        <v>1</v>
      </c>
      <c r="AE2001">
        <v>0</v>
      </c>
      <c r="AF2001">
        <v>0</v>
      </c>
      <c r="AM2001" t="s">
        <v>52</v>
      </c>
      <c r="AN2001" t="s">
        <v>53</v>
      </c>
    </row>
    <row r="2002" spans="1:40">
      <c r="A2002" t="s">
        <v>2370</v>
      </c>
      <c r="B2002" t="s">
        <v>6902</v>
      </c>
      <c r="C2002" t="s">
        <v>6903</v>
      </c>
      <c r="D2002" t="s">
        <v>52</v>
      </c>
      <c r="E2002" t="s">
        <v>3749</v>
      </c>
      <c r="F2002" t="s">
        <v>71</v>
      </c>
      <c r="G2002" t="str">
        <f>HYPERLINK("https://twitter.com/3374626685/status/1143110720046936065")</f>
        <v>https://twitter.com/3374626685/status/1143110720046936065</v>
      </c>
      <c r="H2002" t="s">
        <v>46</v>
      </c>
      <c r="I2002" t="s">
        <v>6904</v>
      </c>
      <c r="J2002" t="str">
        <f>HYPERLINK("http://twitter.com/BrandonDanster1")</f>
        <v>http://twitter.com/BrandonDanster1</v>
      </c>
      <c r="K2002">
        <v>9</v>
      </c>
      <c r="N2002" t="s">
        <v>65</v>
      </c>
      <c r="R2002" t="s">
        <v>60</v>
      </c>
      <c r="W2002">
        <v>0</v>
      </c>
      <c r="X2002">
        <v>0</v>
      </c>
      <c r="AE2002">
        <v>0</v>
      </c>
      <c r="AF2002">
        <v>0</v>
      </c>
      <c r="AL2002" t="str">
        <f>HYPERLINK("https://pbs.twimg.com/media/D9sAXHUX4AA6vJs.jpg")</f>
        <v>https://pbs.twimg.com/media/D9sAXHUX4AA6vJs.jpg</v>
      </c>
      <c r="AM2002" t="s">
        <v>52</v>
      </c>
      <c r="AN2002" t="s">
        <v>53</v>
      </c>
    </row>
    <row r="2003" spans="1:40">
      <c r="A2003" t="s">
        <v>2370</v>
      </c>
      <c r="B2003" t="s">
        <v>6902</v>
      </c>
      <c r="C2003" t="s">
        <v>6905</v>
      </c>
      <c r="D2003" t="s">
        <v>52</v>
      </c>
      <c r="E2003" t="s">
        <v>6906</v>
      </c>
      <c r="F2003" t="s">
        <v>45</v>
      </c>
      <c r="G2003" t="str">
        <f>HYPERLINK("https://www.instagram.com/p/BzFwanvnr4l")</f>
        <v>https://www.instagram.com/p/BzFwanvnr4l</v>
      </c>
      <c r="H2003" t="s">
        <v>46</v>
      </c>
      <c r="I2003" t="s">
        <v>6907</v>
      </c>
      <c r="J2003" t="str">
        <f>HYPERLINK("http://instagram.com/108performance")</f>
        <v>http://instagram.com/108performance</v>
      </c>
      <c r="K2003">
        <v>14739</v>
      </c>
      <c r="N2003" t="s">
        <v>59</v>
      </c>
      <c r="O2003" t="s">
        <v>6907</v>
      </c>
      <c r="P2003" t="str">
        <f>HYPERLINK("http://instagram.com/108performance")</f>
        <v>http://instagram.com/108performance</v>
      </c>
      <c r="Q2003">
        <v>14739</v>
      </c>
      <c r="R2003" t="s">
        <v>60</v>
      </c>
      <c r="W2003">
        <v>308</v>
      </c>
      <c r="X2003">
        <v>308</v>
      </c>
      <c r="AE2003">
        <v>6</v>
      </c>
      <c r="AI2003" t="s">
        <v>108</v>
      </c>
      <c r="AJ2003" t="s">
        <v>6908</v>
      </c>
      <c r="AK2003" t="s">
        <v>52</v>
      </c>
      <c r="AL2003" t="str">
        <f>HYPERLINK("https://www.instagram.com/p/BzFwanvnr4l/media/?size=l")</f>
        <v>https://www.instagram.com/p/BzFwanvnr4l/media/?size=l</v>
      </c>
      <c r="AM2003" t="s">
        <v>52</v>
      </c>
      <c r="AN2003" t="s">
        <v>53</v>
      </c>
    </row>
    <row r="2004" spans="1:40">
      <c r="A2004" t="s">
        <v>2370</v>
      </c>
      <c r="B2004" t="s">
        <v>6902</v>
      </c>
      <c r="C2004" t="s">
        <v>6896</v>
      </c>
      <c r="D2004" t="s">
        <v>52</v>
      </c>
      <c r="E2004" t="s">
        <v>3749</v>
      </c>
      <c r="F2004" t="s">
        <v>71</v>
      </c>
      <c r="G2004" t="str">
        <f>HYPERLINK("https://twitter.com/1010588851142787072/status/1143110663407099904")</f>
        <v>https://twitter.com/1010588851142787072/status/1143110663407099904</v>
      </c>
      <c r="H2004" t="s">
        <v>46</v>
      </c>
      <c r="I2004" t="s">
        <v>6909</v>
      </c>
      <c r="J2004" t="str">
        <f>HYPERLINK("http://twitter.com/almedamadumo")</f>
        <v>http://twitter.com/almedamadumo</v>
      </c>
      <c r="K2004">
        <v>162</v>
      </c>
      <c r="N2004" t="s">
        <v>65</v>
      </c>
      <c r="R2004" t="s">
        <v>60</v>
      </c>
      <c r="S2004" t="s">
        <v>1071</v>
      </c>
      <c r="T2004" t="s">
        <v>1072</v>
      </c>
      <c r="U2004" t="s">
        <v>1295</v>
      </c>
      <c r="W2004">
        <v>0</v>
      </c>
      <c r="X2004">
        <v>0</v>
      </c>
      <c r="AE2004">
        <v>0</v>
      </c>
      <c r="AF2004">
        <v>0</v>
      </c>
      <c r="AL2004" t="str">
        <f>HYPERLINK("https://pbs.twimg.com/media/D9sAXHUX4AA6vJs.jpg")</f>
        <v>https://pbs.twimg.com/media/D9sAXHUX4AA6vJs.jpg</v>
      </c>
      <c r="AM2004" t="s">
        <v>52</v>
      </c>
      <c r="AN2004" t="s">
        <v>53</v>
      </c>
    </row>
    <row r="2005" spans="1:40">
      <c r="A2005" t="s">
        <v>2370</v>
      </c>
      <c r="B2005" t="s">
        <v>1074</v>
      </c>
      <c r="C2005" t="s">
        <v>6900</v>
      </c>
      <c r="D2005" t="s">
        <v>52</v>
      </c>
      <c r="E2005" t="s">
        <v>6910</v>
      </c>
      <c r="F2005" t="s">
        <v>131</v>
      </c>
      <c r="G2005" t="str">
        <f>HYPERLINK("https://twitter.com/1071735938525597696/status/1143110502048030720")</f>
        <v>https://twitter.com/1071735938525597696/status/1143110502048030720</v>
      </c>
      <c r="H2005" t="s">
        <v>46</v>
      </c>
      <c r="I2005" t="s">
        <v>6911</v>
      </c>
      <c r="J2005" t="str">
        <f>HYPERLINK("http://twitter.com/FreedG0y")</f>
        <v>http://twitter.com/FreedG0y</v>
      </c>
      <c r="K2005">
        <v>396</v>
      </c>
      <c r="N2005" t="s">
        <v>65</v>
      </c>
      <c r="R2005" t="s">
        <v>60</v>
      </c>
      <c r="S2005" t="s">
        <v>1403</v>
      </c>
      <c r="W2005">
        <v>0</v>
      </c>
      <c r="X2005">
        <v>0</v>
      </c>
      <c r="AE2005">
        <v>0</v>
      </c>
      <c r="AM2005" t="s">
        <v>52</v>
      </c>
      <c r="AN2005" t="s">
        <v>53</v>
      </c>
    </row>
    <row r="2006" spans="1:40">
      <c r="A2006" t="s">
        <v>2370</v>
      </c>
      <c r="B2006" t="s">
        <v>1074</v>
      </c>
      <c r="C2006" t="s">
        <v>6912</v>
      </c>
      <c r="D2006" t="s">
        <v>52</v>
      </c>
      <c r="E2006" t="s">
        <v>6913</v>
      </c>
      <c r="F2006" t="s">
        <v>131</v>
      </c>
      <c r="G2006" t="str">
        <f>HYPERLINK("https://twitter.com/946985166811074560/status/1143110272053329926")</f>
        <v>https://twitter.com/946985166811074560/status/1143110272053329926</v>
      </c>
      <c r="H2006" t="s">
        <v>46</v>
      </c>
      <c r="I2006" t="s">
        <v>6914</v>
      </c>
      <c r="J2006" t="str">
        <f>HYPERLINK("http://twitter.com/cherryblood9013")</f>
        <v>http://twitter.com/cherryblood9013</v>
      </c>
      <c r="K2006">
        <v>55</v>
      </c>
      <c r="N2006" t="s">
        <v>65</v>
      </c>
      <c r="R2006" t="s">
        <v>60</v>
      </c>
      <c r="W2006">
        <v>0</v>
      </c>
      <c r="X2006">
        <v>0</v>
      </c>
      <c r="AE2006">
        <v>0</v>
      </c>
      <c r="AL2006" t="str">
        <f>HYPERLINK("https://pbs.twimg.com/media/D8qiUpoU8AAudQF.jpg")</f>
        <v>https://pbs.twimg.com/media/D8qiUpoU8AAudQF.jpg</v>
      </c>
      <c r="AM2006" t="s">
        <v>52</v>
      </c>
      <c r="AN2006" t="s">
        <v>53</v>
      </c>
    </row>
    <row r="2007" spans="1:40">
      <c r="A2007" t="s">
        <v>2370</v>
      </c>
      <c r="B2007" t="s">
        <v>1081</v>
      </c>
      <c r="C2007" t="s">
        <v>6847</v>
      </c>
      <c r="D2007" t="s">
        <v>52</v>
      </c>
      <c r="E2007" t="s">
        <v>6915</v>
      </c>
      <c r="F2007" t="s">
        <v>45</v>
      </c>
      <c r="G2007" t="str">
        <f>HYPERLINK("https://www.instagram.com/p/BzFwOIsHa_U")</f>
        <v>https://www.instagram.com/p/BzFwOIsHa_U</v>
      </c>
      <c r="H2007" t="s">
        <v>46</v>
      </c>
      <c r="I2007" t="s">
        <v>6916</v>
      </c>
      <c r="J2007" t="str">
        <f>HYPERLINK("http://instagram.com/film.buldum")</f>
        <v>http://instagram.com/film.buldum</v>
      </c>
      <c r="K2007">
        <v>1695</v>
      </c>
      <c r="N2007" t="s">
        <v>59</v>
      </c>
      <c r="O2007" t="s">
        <v>6916</v>
      </c>
      <c r="P2007" t="str">
        <f>HYPERLINK("http://instagram.com/film.buldum")</f>
        <v>http://instagram.com/film.buldum</v>
      </c>
      <c r="Q2007">
        <v>1695</v>
      </c>
      <c r="R2007" t="s">
        <v>60</v>
      </c>
      <c r="W2007">
        <v>155</v>
      </c>
      <c r="X2007">
        <v>155</v>
      </c>
      <c r="AE2007">
        <v>7</v>
      </c>
      <c r="AI2007" t="s">
        <v>108</v>
      </c>
      <c r="AJ2007" t="s">
        <v>1182</v>
      </c>
      <c r="AK2007" t="s">
        <v>52</v>
      </c>
      <c r="AL2007" t="str">
        <f>HYPERLINK("https://www.instagram.com/p/BzFwOIsHa_U/media/?size=l")</f>
        <v>https://www.instagram.com/p/BzFwOIsHa_U/media/?size=l</v>
      </c>
      <c r="AM2007" t="s">
        <v>52</v>
      </c>
      <c r="AN2007" t="s">
        <v>53</v>
      </c>
    </row>
    <row r="2008" spans="1:40">
      <c r="A2008" t="s">
        <v>2370</v>
      </c>
      <c r="B2008" t="s">
        <v>6917</v>
      </c>
      <c r="C2008" t="s">
        <v>6918</v>
      </c>
      <c r="D2008" t="s">
        <v>52</v>
      </c>
      <c r="E2008" t="s">
        <v>5686</v>
      </c>
      <c r="F2008" t="s">
        <v>131</v>
      </c>
      <c r="G2008" t="str">
        <f>HYPERLINK("https://twitter.com/1058867384772116485/status/1143109803134337025")</f>
        <v>https://twitter.com/1058867384772116485/status/1143109803134337025</v>
      </c>
      <c r="H2008" t="s">
        <v>46</v>
      </c>
      <c r="I2008" t="s">
        <v>6919</v>
      </c>
      <c r="J2008" t="str">
        <f>HYPERLINK("http://twitter.com/MrT_Khathi")</f>
        <v>http://twitter.com/MrT_Khathi</v>
      </c>
      <c r="K2008">
        <v>327</v>
      </c>
      <c r="N2008" t="s">
        <v>65</v>
      </c>
      <c r="R2008" t="s">
        <v>60</v>
      </c>
      <c r="W2008">
        <v>0</v>
      </c>
      <c r="X2008">
        <v>0</v>
      </c>
      <c r="AE2008">
        <v>0</v>
      </c>
      <c r="AL2008" t="str">
        <f>HYPERLINK("https://pbs.twimg.com/media/D90Ty0DXkAAZYgL.jpg")</f>
        <v>https://pbs.twimg.com/media/D90Ty0DXkAAZYgL.jpg</v>
      </c>
      <c r="AM2008" t="s">
        <v>52</v>
      </c>
      <c r="AN2008" t="s">
        <v>53</v>
      </c>
    </row>
    <row r="2009" spans="1:40">
      <c r="A2009" t="s">
        <v>2370</v>
      </c>
      <c r="B2009" t="s">
        <v>6920</v>
      </c>
      <c r="C2009" t="s">
        <v>6921</v>
      </c>
      <c r="D2009" t="s">
        <v>1043</v>
      </c>
      <c r="E2009" t="s">
        <v>6922</v>
      </c>
      <c r="F2009" t="s">
        <v>45</v>
      </c>
      <c r="G2009" t="str">
        <f>HYPERLINK("https://investtribune.com/1-50-eps-expected-for-pepsico-inc-pep-3")</f>
        <v>https://investtribune.com/1-50-eps-expected-for-pepsico-inc-pep-3</v>
      </c>
      <c r="H2009" t="s">
        <v>46</v>
      </c>
      <c r="I2009" t="s">
        <v>6923</v>
      </c>
      <c r="J2009" t="str">
        <f>HYPERLINK("https://investtribune.com/1-50-eps-expected-for-pepsico-inc-pep-3/")</f>
        <v>https://investtribune.com/1-50-eps-expected-for-pepsico-inc-pep-3/</v>
      </c>
      <c r="L2009" t="s">
        <v>48</v>
      </c>
      <c r="N2009" t="s">
        <v>1046</v>
      </c>
      <c r="R2009" t="s">
        <v>357</v>
      </c>
      <c r="S2009" t="s">
        <v>51</v>
      </c>
      <c r="AL2009" t="str">
        <f>HYPERLINK("https://investtribune.com/wp-content/uploads/logos/Logos/PEP.png")</f>
        <v>https://investtribune.com/wp-content/uploads/logos/Logos/PEP.png</v>
      </c>
      <c r="AM2009" t="s">
        <v>52</v>
      </c>
      <c r="AN2009" t="s">
        <v>53</v>
      </c>
    </row>
    <row r="2010" spans="1:40">
      <c r="A2010" t="s">
        <v>2370</v>
      </c>
      <c r="B2010" t="s">
        <v>6924</v>
      </c>
      <c r="C2010" t="s">
        <v>6847</v>
      </c>
      <c r="D2010" t="s">
        <v>52</v>
      </c>
      <c r="E2010" t="s">
        <v>6925</v>
      </c>
      <c r="F2010" t="s">
        <v>45</v>
      </c>
      <c r="G2010" t="str">
        <f>HYPERLINK("https://www.instagram.com/p/BzFv1lpArPK")</f>
        <v>https://www.instagram.com/p/BzFv1lpArPK</v>
      </c>
      <c r="H2010" t="s">
        <v>46</v>
      </c>
      <c r="I2010" t="s">
        <v>6926</v>
      </c>
      <c r="J2010" t="str">
        <f>HYPERLINK("http://instagram.com/leighbanana")</f>
        <v>http://instagram.com/leighbanana</v>
      </c>
      <c r="K2010">
        <v>2155</v>
      </c>
      <c r="N2010" t="s">
        <v>59</v>
      </c>
      <c r="O2010" t="s">
        <v>6926</v>
      </c>
      <c r="P2010" t="str">
        <f>HYPERLINK("http://instagram.com/leighbanana")</f>
        <v>http://instagram.com/leighbanana</v>
      </c>
      <c r="Q2010">
        <v>2155</v>
      </c>
      <c r="R2010" t="s">
        <v>60</v>
      </c>
      <c r="W2010">
        <v>73</v>
      </c>
      <c r="X2010">
        <v>73</v>
      </c>
      <c r="AE2010">
        <v>7</v>
      </c>
      <c r="AI2010" t="s">
        <v>52</v>
      </c>
      <c r="AJ2010" t="s">
        <v>6927</v>
      </c>
      <c r="AK2010" t="s">
        <v>6928</v>
      </c>
      <c r="AL2010" t="str">
        <f>HYPERLINK("https://www.instagram.com/p/BzFv1lpArPK/media/?size=l")</f>
        <v>https://www.instagram.com/p/BzFv1lpArPK/media/?size=l</v>
      </c>
      <c r="AM2010" t="s">
        <v>52</v>
      </c>
      <c r="AN2010" t="s">
        <v>53</v>
      </c>
    </row>
    <row r="2011" spans="1:40">
      <c r="A2011" t="s">
        <v>2370</v>
      </c>
      <c r="B2011" t="s">
        <v>6929</v>
      </c>
      <c r="C2011" t="s">
        <v>6912</v>
      </c>
      <c r="D2011" t="s">
        <v>52</v>
      </c>
      <c r="E2011" t="s">
        <v>6930</v>
      </c>
      <c r="F2011" t="s">
        <v>71</v>
      </c>
      <c r="G2011" t="str">
        <f>HYPERLINK("https://twitter.com/1041959756/status/1143109138051993601")</f>
        <v>https://twitter.com/1041959756/status/1143109138051993601</v>
      </c>
      <c r="H2011" t="s">
        <v>46</v>
      </c>
      <c r="I2011" t="s">
        <v>6931</v>
      </c>
      <c r="J2011" t="str">
        <f>HYPERLINK("http://twitter.com/ASAP_KaY")</f>
        <v>http://twitter.com/ASAP_KaY</v>
      </c>
      <c r="K2011">
        <v>354</v>
      </c>
      <c r="N2011" t="s">
        <v>65</v>
      </c>
      <c r="R2011" t="s">
        <v>60</v>
      </c>
      <c r="S2011" t="s">
        <v>97</v>
      </c>
      <c r="T2011" t="s">
        <v>177</v>
      </c>
      <c r="U2011" t="s">
        <v>6932</v>
      </c>
      <c r="W2011">
        <v>0</v>
      </c>
      <c r="X2011">
        <v>0</v>
      </c>
      <c r="AE2011">
        <v>0</v>
      </c>
      <c r="AF2011">
        <v>0</v>
      </c>
      <c r="AL2011" t="str">
        <f>HYPERLINK("https://pbs.twimg.com/media/D9sAXHUX4AA6vJs.jpg")</f>
        <v>https://pbs.twimg.com/media/D9sAXHUX4AA6vJs.jpg</v>
      </c>
      <c r="AM2011" t="s">
        <v>52</v>
      </c>
      <c r="AN2011" t="s">
        <v>53</v>
      </c>
    </row>
    <row r="2012" spans="1:40">
      <c r="A2012" t="s">
        <v>2370</v>
      </c>
      <c r="B2012" t="s">
        <v>6933</v>
      </c>
      <c r="C2012" t="s">
        <v>6934</v>
      </c>
      <c r="D2012" t="s">
        <v>52</v>
      </c>
      <c r="E2012" t="s">
        <v>6935</v>
      </c>
      <c r="F2012" t="s">
        <v>95</v>
      </c>
      <c r="G2012" t="str">
        <f>HYPERLINK("https://twitter.com/4330773629/status/1143108959148097538")</f>
        <v>https://twitter.com/4330773629/status/1143108959148097538</v>
      </c>
      <c r="H2012" t="s">
        <v>46</v>
      </c>
      <c r="I2012" t="s">
        <v>6936</v>
      </c>
      <c r="J2012" t="str">
        <f>HYPERLINK("http://twitter.com/Esautariro")</f>
        <v>http://twitter.com/Esautariro</v>
      </c>
      <c r="K2012">
        <v>16</v>
      </c>
      <c r="N2012" t="s">
        <v>65</v>
      </c>
      <c r="R2012" t="s">
        <v>60</v>
      </c>
      <c r="S2012" t="s">
        <v>1071</v>
      </c>
      <c r="T2012" t="s">
        <v>1072</v>
      </c>
      <c r="U2012" t="s">
        <v>1073</v>
      </c>
      <c r="W2012">
        <v>2</v>
      </c>
      <c r="X2012">
        <v>2</v>
      </c>
      <c r="AE2012">
        <v>1</v>
      </c>
      <c r="AF2012">
        <v>0</v>
      </c>
      <c r="AI2012" t="s">
        <v>52</v>
      </c>
      <c r="AJ2012" t="s">
        <v>52</v>
      </c>
      <c r="AK2012" t="s">
        <v>52</v>
      </c>
      <c r="AL2012" t="str">
        <f>HYPERLINK("https://pbs.twimg.com/tweet_video_thumb/D90jh7vXYAED29L.jpg")</f>
        <v>https://pbs.twimg.com/tweet_video_thumb/D90jh7vXYAED29L.jpg</v>
      </c>
      <c r="AM2012" t="s">
        <v>52</v>
      </c>
      <c r="AN2012" t="s">
        <v>53</v>
      </c>
    </row>
    <row r="2013" spans="1:40">
      <c r="A2013" t="s">
        <v>2370</v>
      </c>
      <c r="B2013" t="s">
        <v>6933</v>
      </c>
      <c r="C2013" t="s">
        <v>6934</v>
      </c>
      <c r="D2013" t="s">
        <v>52</v>
      </c>
      <c r="E2013" t="s">
        <v>6937</v>
      </c>
      <c r="F2013" t="s">
        <v>95</v>
      </c>
      <c r="G2013" t="str">
        <f>HYPERLINK("https://twitter.com/1037216142052544514/status/1143108881708736512")</f>
        <v>https://twitter.com/1037216142052544514/status/1143108881708736512</v>
      </c>
      <c r="H2013" t="s">
        <v>46</v>
      </c>
      <c r="I2013" t="s">
        <v>6938</v>
      </c>
      <c r="J2013" t="str">
        <f>HYPERLINK("http://twitter.com/mygsraven")</f>
        <v>http://twitter.com/mygsraven</v>
      </c>
      <c r="K2013">
        <v>1054</v>
      </c>
      <c r="N2013" t="s">
        <v>65</v>
      </c>
      <c r="R2013" t="s">
        <v>60</v>
      </c>
      <c r="S2013" t="s">
        <v>51</v>
      </c>
      <c r="T2013" t="s">
        <v>1657</v>
      </c>
      <c r="U2013" t="s">
        <v>1211</v>
      </c>
      <c r="W2013">
        <v>1</v>
      </c>
      <c r="X2013">
        <v>1</v>
      </c>
      <c r="AE2013">
        <v>1</v>
      </c>
      <c r="AF2013">
        <v>0</v>
      </c>
      <c r="AM2013" t="s">
        <v>52</v>
      </c>
      <c r="AN2013" t="s">
        <v>53</v>
      </c>
    </row>
    <row r="2014" spans="1:40">
      <c r="A2014" t="s">
        <v>2370</v>
      </c>
      <c r="B2014" t="s">
        <v>6939</v>
      </c>
      <c r="C2014" t="s">
        <v>6940</v>
      </c>
      <c r="D2014" t="s">
        <v>52</v>
      </c>
      <c r="E2014" t="s">
        <v>5686</v>
      </c>
      <c r="F2014" t="s">
        <v>131</v>
      </c>
      <c r="G2014" t="str">
        <f>HYPERLINK("https://twitter.com/957521425908330497/status/1143107704879222785")</f>
        <v>https://twitter.com/957521425908330497/status/1143107704879222785</v>
      </c>
      <c r="H2014" t="s">
        <v>46</v>
      </c>
      <c r="I2014" t="s">
        <v>6941</v>
      </c>
      <c r="J2014" t="str">
        <f>HYPERLINK("http://twitter.com/BeautyMazibukoM")</f>
        <v>http://twitter.com/BeautyMazibukoM</v>
      </c>
      <c r="K2014">
        <v>19462</v>
      </c>
      <c r="N2014" t="s">
        <v>65</v>
      </c>
      <c r="R2014" t="s">
        <v>60</v>
      </c>
      <c r="S2014" t="s">
        <v>1071</v>
      </c>
      <c r="T2014" t="s">
        <v>1072</v>
      </c>
      <c r="U2014" t="s">
        <v>1295</v>
      </c>
      <c r="W2014">
        <v>0</v>
      </c>
      <c r="X2014">
        <v>0</v>
      </c>
      <c r="AE2014">
        <v>0</v>
      </c>
      <c r="AL2014" t="str">
        <f>HYPERLINK("https://pbs.twimg.com/media/D90Ty0DXkAAZYgL.jpg")</f>
        <v>https://pbs.twimg.com/media/D90Ty0DXkAAZYgL.jpg</v>
      </c>
      <c r="AM2014" t="s">
        <v>52</v>
      </c>
      <c r="AN2014" t="s">
        <v>53</v>
      </c>
    </row>
    <row r="2015" spans="1:40">
      <c r="A2015" t="s">
        <v>2370</v>
      </c>
      <c r="B2015" t="s">
        <v>6939</v>
      </c>
      <c r="C2015" t="s">
        <v>6942</v>
      </c>
      <c r="D2015" t="s">
        <v>52</v>
      </c>
      <c r="E2015" t="s">
        <v>6943</v>
      </c>
      <c r="F2015" t="s">
        <v>95</v>
      </c>
      <c r="G2015" t="str">
        <f>HYPERLINK("https://twitter.com/1026173149749145602/status/1143107666824351744")</f>
        <v>https://twitter.com/1026173149749145602/status/1143107666824351744</v>
      </c>
      <c r="H2015" t="s">
        <v>46</v>
      </c>
      <c r="I2015" t="s">
        <v>6944</v>
      </c>
      <c r="J2015" t="str">
        <f>HYPERLINK("http://twitter.com/005Julika")</f>
        <v>http://twitter.com/005Julika</v>
      </c>
      <c r="K2015">
        <v>66</v>
      </c>
      <c r="N2015" t="s">
        <v>65</v>
      </c>
      <c r="R2015" t="s">
        <v>60</v>
      </c>
      <c r="W2015">
        <v>1</v>
      </c>
      <c r="X2015">
        <v>1</v>
      </c>
      <c r="AE2015">
        <v>0</v>
      </c>
      <c r="AF2015">
        <v>0</v>
      </c>
      <c r="AM2015" t="s">
        <v>52</v>
      </c>
      <c r="AN2015" t="s">
        <v>53</v>
      </c>
    </row>
    <row r="2016" spans="1:40">
      <c r="A2016" t="s">
        <v>2370</v>
      </c>
      <c r="B2016" t="s">
        <v>6939</v>
      </c>
      <c r="C2016" t="s">
        <v>6945</v>
      </c>
      <c r="D2016" t="s">
        <v>52</v>
      </c>
      <c r="E2016" t="s">
        <v>130</v>
      </c>
      <c r="F2016" t="s">
        <v>131</v>
      </c>
      <c r="G2016" t="str">
        <f>HYPERLINK("https://twitter.com/909715107487371265/status/1143107655881416706")</f>
        <v>https://twitter.com/909715107487371265/status/1143107655881416706</v>
      </c>
      <c r="H2016" t="s">
        <v>46</v>
      </c>
      <c r="I2016" t="s">
        <v>6946</v>
      </c>
      <c r="J2016" t="str">
        <f>HYPERLINK("http://twitter.com/2ophieMD")</f>
        <v>http://twitter.com/2ophieMD</v>
      </c>
      <c r="K2016">
        <v>612</v>
      </c>
      <c r="N2016" t="s">
        <v>65</v>
      </c>
      <c r="R2016" t="s">
        <v>60</v>
      </c>
      <c r="S2016" t="s">
        <v>97</v>
      </c>
      <c r="T2016" t="s">
        <v>177</v>
      </c>
      <c r="W2016">
        <v>0</v>
      </c>
      <c r="X2016">
        <v>0</v>
      </c>
      <c r="AE2016">
        <v>0</v>
      </c>
      <c r="AL2016" t="str">
        <f>HYPERLINK("https://pbs.twimg.com/media/D9XTkLWW4AAOYnJ.jpg")</f>
        <v>https://pbs.twimg.com/media/D9XTkLWW4AAOYnJ.jpg</v>
      </c>
      <c r="AM2016" t="s">
        <v>52</v>
      </c>
      <c r="AN2016" t="s">
        <v>53</v>
      </c>
    </row>
    <row r="2017" spans="1:40">
      <c r="A2017" t="s">
        <v>2370</v>
      </c>
      <c r="B2017" t="s">
        <v>6939</v>
      </c>
      <c r="C2017" t="s">
        <v>5513</v>
      </c>
      <c r="D2017" t="s">
        <v>52</v>
      </c>
      <c r="E2017" t="s">
        <v>6947</v>
      </c>
      <c r="F2017" t="s">
        <v>45</v>
      </c>
      <c r="G2017" t="str">
        <f>HYPERLINK("https://www.instagram.com/p/BzFvA15nr_5")</f>
        <v>https://www.instagram.com/p/BzFvA15nr_5</v>
      </c>
      <c r="H2017" t="s">
        <v>215</v>
      </c>
      <c r="I2017" t="s">
        <v>6948</v>
      </c>
      <c r="J2017" t="str">
        <f>HYPERLINK("http://instagram.com/masterchefmagazinepk")</f>
        <v>http://instagram.com/masterchefmagazinepk</v>
      </c>
      <c r="K2017">
        <v>506886</v>
      </c>
      <c r="N2017" t="s">
        <v>59</v>
      </c>
      <c r="O2017" t="s">
        <v>6948</v>
      </c>
      <c r="P2017" t="str">
        <f>HYPERLINK("http://instagram.com/masterchefmagazinepk")</f>
        <v>http://instagram.com/masterchefmagazinepk</v>
      </c>
      <c r="Q2017">
        <v>506886</v>
      </c>
      <c r="R2017" t="s">
        <v>60</v>
      </c>
      <c r="W2017">
        <v>890</v>
      </c>
      <c r="X2017">
        <v>890</v>
      </c>
      <c r="AE2017">
        <v>0</v>
      </c>
      <c r="AI2017" t="s">
        <v>108</v>
      </c>
      <c r="AJ2017" t="s">
        <v>6949</v>
      </c>
      <c r="AK2017" t="s">
        <v>52</v>
      </c>
      <c r="AL2017" t="str">
        <f>HYPERLINK("https://www.instagram.com/p/BzFvA15nr_5/media/?size=l")</f>
        <v>https://www.instagram.com/p/BzFvA15nr_5/media/?size=l</v>
      </c>
      <c r="AM2017" t="s">
        <v>52</v>
      </c>
      <c r="AN2017" t="s">
        <v>53</v>
      </c>
    </row>
    <row r="2018" spans="1:40">
      <c r="A2018" t="s">
        <v>2370</v>
      </c>
      <c r="B2018" t="s">
        <v>6950</v>
      </c>
      <c r="C2018" t="s">
        <v>6951</v>
      </c>
      <c r="D2018" t="s">
        <v>52</v>
      </c>
      <c r="E2018" t="s">
        <v>6952</v>
      </c>
      <c r="F2018" t="s">
        <v>45</v>
      </c>
      <c r="G2018" t="str">
        <f>HYPERLINK("https://www.instagram.com/p/BzFugb0pX0g")</f>
        <v>https://www.instagram.com/p/BzFugb0pX0g</v>
      </c>
      <c r="H2018" t="s">
        <v>46</v>
      </c>
      <c r="I2018" t="s">
        <v>6953</v>
      </c>
      <c r="J2018" t="str">
        <f>HYPERLINK("http://instagram.com/bearbear_pie")</f>
        <v>http://instagram.com/bearbear_pie</v>
      </c>
      <c r="K2018">
        <v>184</v>
      </c>
      <c r="N2018" t="s">
        <v>59</v>
      </c>
      <c r="O2018" t="s">
        <v>6953</v>
      </c>
      <c r="P2018" t="str">
        <f>HYPERLINK("http://instagram.com/bearbear_pie")</f>
        <v>http://instagram.com/bearbear_pie</v>
      </c>
      <c r="Q2018">
        <v>184</v>
      </c>
      <c r="R2018" t="s">
        <v>60</v>
      </c>
      <c r="S2018" t="s">
        <v>1071</v>
      </c>
      <c r="T2018" t="s">
        <v>3751</v>
      </c>
      <c r="U2018" t="s">
        <v>3752</v>
      </c>
      <c r="W2018">
        <v>35</v>
      </c>
      <c r="X2018">
        <v>35</v>
      </c>
      <c r="AE2018">
        <v>2</v>
      </c>
      <c r="AI2018" t="s">
        <v>108</v>
      </c>
      <c r="AJ2018" t="s">
        <v>6954</v>
      </c>
      <c r="AK2018" t="s">
        <v>52</v>
      </c>
      <c r="AL2018" t="str">
        <f>HYPERLINK("https://www.instagram.com/p/BzFugb0pX0g/media/?size=l")</f>
        <v>https://www.instagram.com/p/BzFugb0pX0g/media/?size=l</v>
      </c>
      <c r="AM2018" t="s">
        <v>52</v>
      </c>
      <c r="AN2018" t="s">
        <v>53</v>
      </c>
    </row>
    <row r="2019" spans="1:40">
      <c r="A2019" t="s">
        <v>2370</v>
      </c>
      <c r="B2019" t="s">
        <v>6955</v>
      </c>
      <c r="C2019" t="s">
        <v>6951</v>
      </c>
      <c r="D2019" t="s">
        <v>52</v>
      </c>
      <c r="E2019" t="s">
        <v>6956</v>
      </c>
      <c r="F2019" t="s">
        <v>95</v>
      </c>
      <c r="G2019" t="str">
        <f>HYPERLINK("https://twitter.com/510407637/status/1143105963643346945")</f>
        <v>https://twitter.com/510407637/status/1143105963643346945</v>
      </c>
      <c r="H2019" t="s">
        <v>215</v>
      </c>
      <c r="I2019" t="s">
        <v>6957</v>
      </c>
      <c r="J2019" t="str">
        <f>HYPERLINK("http://twitter.com/HeluvaGood")</f>
        <v>http://twitter.com/HeluvaGood</v>
      </c>
      <c r="K2019">
        <v>3705</v>
      </c>
      <c r="N2019" t="s">
        <v>65</v>
      </c>
      <c r="R2019" t="s">
        <v>60</v>
      </c>
      <c r="S2019" t="s">
        <v>51</v>
      </c>
      <c r="T2019" t="s">
        <v>380</v>
      </c>
      <c r="U2019" t="s">
        <v>6958</v>
      </c>
      <c r="W2019">
        <v>1</v>
      </c>
      <c r="X2019">
        <v>1</v>
      </c>
      <c r="AE2019">
        <v>0</v>
      </c>
      <c r="AF2019">
        <v>0</v>
      </c>
      <c r="AM2019" t="s">
        <v>52</v>
      </c>
      <c r="AN2019" t="s">
        <v>53</v>
      </c>
    </row>
    <row r="2020" spans="1:40">
      <c r="A2020" t="s">
        <v>2370</v>
      </c>
      <c r="B2020" t="s">
        <v>6955</v>
      </c>
      <c r="C2020" t="s">
        <v>6959</v>
      </c>
      <c r="D2020" t="s">
        <v>52</v>
      </c>
      <c r="E2020" t="s">
        <v>4514</v>
      </c>
      <c r="F2020" t="s">
        <v>71</v>
      </c>
      <c r="G2020" t="str">
        <f>HYPERLINK("https://twitter.com/4292402007/status/1143105843153580033")</f>
        <v>https://twitter.com/4292402007/status/1143105843153580033</v>
      </c>
      <c r="H2020" t="s">
        <v>46</v>
      </c>
      <c r="I2020" t="s">
        <v>6960</v>
      </c>
      <c r="J2020" t="str">
        <f>HYPERLINK("http://twitter.com/anthonydrayto95")</f>
        <v>http://twitter.com/anthonydrayto95</v>
      </c>
      <c r="K2020">
        <v>44</v>
      </c>
      <c r="L2020" t="s">
        <v>48</v>
      </c>
      <c r="N2020" t="s">
        <v>65</v>
      </c>
      <c r="R2020" t="s">
        <v>60</v>
      </c>
      <c r="S2020" t="s">
        <v>51</v>
      </c>
      <c r="T2020" t="s">
        <v>678</v>
      </c>
      <c r="U2020" t="s">
        <v>679</v>
      </c>
      <c r="W2020">
        <v>0</v>
      </c>
      <c r="X2020">
        <v>0</v>
      </c>
      <c r="AE2020">
        <v>0</v>
      </c>
      <c r="AF2020">
        <v>0</v>
      </c>
      <c r="AL2020" t="str">
        <f>HYPERLINK("https://pbs.twimg.com/tweet_video_thumb/D9hvNNzXUAATAS3.jpg")</f>
        <v>https://pbs.twimg.com/tweet_video_thumb/D9hvNNzXUAATAS3.jpg</v>
      </c>
      <c r="AM2020" t="s">
        <v>52</v>
      </c>
      <c r="AN2020" t="s">
        <v>53</v>
      </c>
    </row>
    <row r="2021" spans="1:40">
      <c r="A2021" t="s">
        <v>2370</v>
      </c>
      <c r="B2021" t="s">
        <v>6955</v>
      </c>
      <c r="C2021" t="s">
        <v>6959</v>
      </c>
      <c r="D2021" t="s">
        <v>52</v>
      </c>
      <c r="E2021" t="s">
        <v>1194</v>
      </c>
      <c r="F2021" t="s">
        <v>131</v>
      </c>
      <c r="G2021" t="str">
        <f>HYPERLINK("https://twitter.com/742035565122625536/status/1143105839642923008")</f>
        <v>https://twitter.com/742035565122625536/status/1143105839642923008</v>
      </c>
      <c r="H2021" t="s">
        <v>46</v>
      </c>
      <c r="I2021" t="s">
        <v>52</v>
      </c>
      <c r="J2021" t="str">
        <f>HYPERLINK("http://twitter.com/x_sf_x")</f>
        <v>http://twitter.com/x_sf_x</v>
      </c>
      <c r="K2021">
        <v>163</v>
      </c>
      <c r="N2021" t="s">
        <v>65</v>
      </c>
      <c r="R2021" t="s">
        <v>60</v>
      </c>
      <c r="W2021">
        <v>0</v>
      </c>
      <c r="X2021">
        <v>0</v>
      </c>
      <c r="AE2021">
        <v>0</v>
      </c>
      <c r="AI2021" t="s">
        <v>52</v>
      </c>
      <c r="AJ2021" t="s">
        <v>1196</v>
      </c>
      <c r="AK2021" t="s">
        <v>52</v>
      </c>
      <c r="AL2021" t="str">
        <f>HYPERLINK("https://pbs.twimg.com/media/D9xgk2YXkAAd2ql.jpg")</f>
        <v>https://pbs.twimg.com/media/D9xgk2YXkAAd2ql.jpg</v>
      </c>
      <c r="AM2021" t="s">
        <v>52</v>
      </c>
      <c r="AN2021" t="s">
        <v>53</v>
      </c>
    </row>
    <row r="2022" spans="1:40">
      <c r="A2022" t="s">
        <v>2370</v>
      </c>
      <c r="B2022" t="s">
        <v>1107</v>
      </c>
      <c r="C2022" t="s">
        <v>6961</v>
      </c>
      <c r="D2022" t="s">
        <v>52</v>
      </c>
      <c r="E2022" t="s">
        <v>526</v>
      </c>
      <c r="F2022" t="s">
        <v>131</v>
      </c>
      <c r="G2022" t="str">
        <f>HYPERLINK("https://twitter.com/326446440/status/1143105664409120768")</f>
        <v>https://twitter.com/326446440/status/1143105664409120768</v>
      </c>
      <c r="H2022" t="s">
        <v>46</v>
      </c>
      <c r="I2022" t="s">
        <v>6962</v>
      </c>
      <c r="J2022" t="str">
        <f>HYPERLINK("http://twitter.com/StephCunille")</f>
        <v>http://twitter.com/StephCunille</v>
      </c>
      <c r="K2022">
        <v>628</v>
      </c>
      <c r="N2022" t="s">
        <v>65</v>
      </c>
      <c r="R2022" t="s">
        <v>60</v>
      </c>
      <c r="S2022" t="s">
        <v>437</v>
      </c>
      <c r="T2022" t="s">
        <v>2669</v>
      </c>
      <c r="U2022" t="s">
        <v>6963</v>
      </c>
      <c r="W2022">
        <v>0</v>
      </c>
      <c r="X2022">
        <v>0</v>
      </c>
      <c r="AE2022">
        <v>0</v>
      </c>
      <c r="AI2022" t="s">
        <v>108</v>
      </c>
      <c r="AJ2022" t="s">
        <v>52</v>
      </c>
      <c r="AK2022" t="s">
        <v>52</v>
      </c>
      <c r="AL2022" t="str">
        <f>HYPERLINK("https://pbs.twimg.com/ext_tw_video_thumb/1141360066962100224/pu/img/5_tGc4hLFQwcD07b.jpg")</f>
        <v>https://pbs.twimg.com/ext_tw_video_thumb/1141360066962100224/pu/img/5_tGc4hLFQwcD07b.jpg</v>
      </c>
      <c r="AM2022" t="s">
        <v>52</v>
      </c>
      <c r="AN2022" t="s">
        <v>53</v>
      </c>
    </row>
    <row r="2023" spans="1:40">
      <c r="A2023" t="s">
        <v>2370</v>
      </c>
      <c r="B2023" t="s">
        <v>6964</v>
      </c>
      <c r="C2023" t="s">
        <v>6965</v>
      </c>
      <c r="D2023" t="s">
        <v>52</v>
      </c>
      <c r="E2023" t="s">
        <v>6966</v>
      </c>
      <c r="F2023" t="s">
        <v>45</v>
      </c>
      <c r="G2023" t="str">
        <f>HYPERLINK("https://www.instagram.com/p/BzFt-CnjBMH")</f>
        <v>https://www.instagram.com/p/BzFt-CnjBMH</v>
      </c>
      <c r="H2023" t="s">
        <v>46</v>
      </c>
      <c r="I2023" t="s">
        <v>6967</v>
      </c>
      <c r="J2023" t="str">
        <f>HYPERLINK("http://instagram.com/d00dle5")</f>
        <v>http://instagram.com/d00dle5</v>
      </c>
      <c r="K2023">
        <v>1037</v>
      </c>
      <c r="L2023" t="s">
        <v>48</v>
      </c>
      <c r="N2023" t="s">
        <v>59</v>
      </c>
      <c r="O2023" t="s">
        <v>6967</v>
      </c>
      <c r="P2023" t="str">
        <f>HYPERLINK("http://instagram.com/d00dle5")</f>
        <v>http://instagram.com/d00dle5</v>
      </c>
      <c r="Q2023">
        <v>1037</v>
      </c>
      <c r="R2023" t="s">
        <v>60</v>
      </c>
      <c r="W2023">
        <v>11</v>
      </c>
      <c r="X2023">
        <v>11</v>
      </c>
      <c r="AE2023">
        <v>1</v>
      </c>
      <c r="AL2023" t="str">
        <f>HYPERLINK("https://www.instagram.com/p/BzFt-CnjBMH/media/?size=l")</f>
        <v>https://www.instagram.com/p/BzFt-CnjBMH/media/?size=l</v>
      </c>
      <c r="AM2023" t="s">
        <v>52</v>
      </c>
      <c r="AN2023" t="s">
        <v>53</v>
      </c>
    </row>
    <row r="2024" spans="1:40">
      <c r="A2024" t="s">
        <v>2370</v>
      </c>
      <c r="B2024" t="s">
        <v>6968</v>
      </c>
      <c r="C2024" t="s">
        <v>6965</v>
      </c>
      <c r="D2024" t="s">
        <v>52</v>
      </c>
      <c r="E2024" t="s">
        <v>6969</v>
      </c>
      <c r="F2024" t="s">
        <v>45</v>
      </c>
      <c r="G2024" t="str">
        <f>HYPERLINK("https://www.instagram.com/p/BzFtuM6Jhx5")</f>
        <v>https://www.instagram.com/p/BzFtuM6Jhx5</v>
      </c>
      <c r="H2024" t="s">
        <v>46</v>
      </c>
      <c r="I2024" t="s">
        <v>6953</v>
      </c>
      <c r="J2024" t="str">
        <f>HYPERLINK("http://instagram.com/bearbear_pie")</f>
        <v>http://instagram.com/bearbear_pie</v>
      </c>
      <c r="K2024">
        <v>184</v>
      </c>
      <c r="N2024" t="s">
        <v>59</v>
      </c>
      <c r="O2024" t="s">
        <v>6953</v>
      </c>
      <c r="P2024" t="str">
        <f>HYPERLINK("http://instagram.com/bearbear_pie")</f>
        <v>http://instagram.com/bearbear_pie</v>
      </c>
      <c r="Q2024">
        <v>184</v>
      </c>
      <c r="R2024" t="s">
        <v>60</v>
      </c>
      <c r="S2024" t="s">
        <v>1071</v>
      </c>
      <c r="T2024" t="s">
        <v>3751</v>
      </c>
      <c r="U2024" t="s">
        <v>3752</v>
      </c>
      <c r="W2024">
        <v>34</v>
      </c>
      <c r="X2024">
        <v>34</v>
      </c>
      <c r="AE2024">
        <v>2</v>
      </c>
      <c r="AL2024" t="str">
        <f>HYPERLINK("https://www.instagram.com/p/BzFtuM6Jhx5/media/?size=l")</f>
        <v>https://www.instagram.com/p/BzFtuM6Jhx5/media/?size=l</v>
      </c>
      <c r="AM2024" t="s">
        <v>52</v>
      </c>
      <c r="AN2024" t="s">
        <v>53</v>
      </c>
    </row>
    <row r="2025" spans="1:40">
      <c r="A2025" t="s">
        <v>2370</v>
      </c>
      <c r="B2025" t="s">
        <v>6970</v>
      </c>
      <c r="C2025" t="s">
        <v>6961</v>
      </c>
      <c r="D2025" t="s">
        <v>52</v>
      </c>
      <c r="E2025" t="s">
        <v>6971</v>
      </c>
      <c r="F2025" t="s">
        <v>45</v>
      </c>
      <c r="G2025" t="str">
        <f>HYPERLINK("https://twitter.com/793142819275829248/status/1143104539471622144")</f>
        <v>https://twitter.com/793142819275829248/status/1143104539471622144</v>
      </c>
      <c r="H2025" t="s">
        <v>46</v>
      </c>
      <c r="I2025" t="s">
        <v>6972</v>
      </c>
      <c r="J2025" t="str">
        <f>HYPERLINK("http://twitter.com/_Doxinho")</f>
        <v>http://twitter.com/_Doxinho</v>
      </c>
      <c r="K2025">
        <v>174</v>
      </c>
      <c r="L2025" t="s">
        <v>48</v>
      </c>
      <c r="N2025" t="s">
        <v>65</v>
      </c>
      <c r="R2025" t="s">
        <v>60</v>
      </c>
      <c r="W2025">
        <v>1</v>
      </c>
      <c r="X2025">
        <v>1</v>
      </c>
      <c r="AE2025">
        <v>1</v>
      </c>
      <c r="AF2025">
        <v>0</v>
      </c>
      <c r="AM2025" t="s">
        <v>52</v>
      </c>
      <c r="AN2025" t="s">
        <v>53</v>
      </c>
    </row>
    <row r="2026" spans="1:40">
      <c r="A2026" t="s">
        <v>2370</v>
      </c>
      <c r="B2026" t="s">
        <v>6970</v>
      </c>
      <c r="C2026" t="s">
        <v>6973</v>
      </c>
      <c r="D2026" t="s">
        <v>52</v>
      </c>
      <c r="E2026" t="s">
        <v>6974</v>
      </c>
      <c r="F2026" t="s">
        <v>45</v>
      </c>
      <c r="G2026" t="str">
        <f>HYPERLINK("https://www.instagram.com/p/BzFtn9Eh59X")</f>
        <v>https://www.instagram.com/p/BzFtn9Eh59X</v>
      </c>
      <c r="H2026" t="s">
        <v>215</v>
      </c>
      <c r="I2026" t="s">
        <v>6975</v>
      </c>
      <c r="J2026" t="str">
        <f>HYPERLINK("http://instagram.com/thehealthywellthymama")</f>
        <v>http://instagram.com/thehealthywellthymama</v>
      </c>
      <c r="K2026">
        <v>1709</v>
      </c>
      <c r="L2026" t="s">
        <v>58</v>
      </c>
      <c r="N2026" t="s">
        <v>59</v>
      </c>
      <c r="O2026" t="s">
        <v>6975</v>
      </c>
      <c r="P2026" t="str">
        <f>HYPERLINK("http://instagram.com/thehealthywellthymama")</f>
        <v>http://instagram.com/thehealthywellthymama</v>
      </c>
      <c r="Q2026">
        <v>1709</v>
      </c>
      <c r="R2026" t="s">
        <v>60</v>
      </c>
      <c r="W2026">
        <v>33</v>
      </c>
      <c r="X2026">
        <v>33</v>
      </c>
      <c r="AE2026">
        <v>4</v>
      </c>
      <c r="AL2026" t="str">
        <f>HYPERLINK("https://www.instagram.com/p/BzFtn9Eh59X/media/?size=l")</f>
        <v>https://www.instagram.com/p/BzFtn9Eh59X/media/?size=l</v>
      </c>
      <c r="AM2026" t="s">
        <v>52</v>
      </c>
      <c r="AN2026" t="s">
        <v>53</v>
      </c>
    </row>
    <row r="2027" spans="1:40">
      <c r="A2027" t="s">
        <v>2370</v>
      </c>
      <c r="B2027" t="s">
        <v>1119</v>
      </c>
      <c r="C2027" t="s">
        <v>6976</v>
      </c>
      <c r="D2027" t="s">
        <v>52</v>
      </c>
      <c r="E2027" t="s">
        <v>6977</v>
      </c>
      <c r="F2027" t="s">
        <v>71</v>
      </c>
      <c r="G2027" t="str">
        <f>HYPERLINK("https://twitter.com/895176429721325568/status/1143103271256690689")</f>
        <v>https://twitter.com/895176429721325568/status/1143103271256690689</v>
      </c>
      <c r="H2027" t="s">
        <v>46</v>
      </c>
      <c r="I2027" t="s">
        <v>6978</v>
      </c>
      <c r="J2027" t="str">
        <f>HYPERLINK("http://twitter.com/NSZwane4")</f>
        <v>http://twitter.com/NSZwane4</v>
      </c>
      <c r="K2027">
        <v>164</v>
      </c>
      <c r="N2027" t="s">
        <v>65</v>
      </c>
      <c r="R2027" t="s">
        <v>60</v>
      </c>
      <c r="S2027" t="s">
        <v>1071</v>
      </c>
      <c r="W2027">
        <v>0</v>
      </c>
      <c r="X2027">
        <v>0</v>
      </c>
      <c r="AE2027">
        <v>0</v>
      </c>
      <c r="AF2027">
        <v>0</v>
      </c>
      <c r="AL2027" t="str">
        <f>HYPERLINK("https://pbs.twimg.com/media/D9g19WnXkAAJZTq.jpg")</f>
        <v>https://pbs.twimg.com/media/D9g19WnXkAAJZTq.jpg</v>
      </c>
      <c r="AM2027" t="s">
        <v>52</v>
      </c>
      <c r="AN2027" t="s">
        <v>53</v>
      </c>
    </row>
    <row r="2028" spans="1:40">
      <c r="A2028" t="s">
        <v>2370</v>
      </c>
      <c r="B2028" t="s">
        <v>6979</v>
      </c>
      <c r="C2028" t="s">
        <v>6980</v>
      </c>
      <c r="D2028" t="s">
        <v>52</v>
      </c>
      <c r="E2028" t="s">
        <v>6981</v>
      </c>
      <c r="F2028" t="s">
        <v>71</v>
      </c>
      <c r="G2028" t="str">
        <f>HYPERLINK("https://twitter.com/1106812295408246784/status/1143103179653046274")</f>
        <v>https://twitter.com/1106812295408246784/status/1143103179653046274</v>
      </c>
      <c r="H2028" t="s">
        <v>46</v>
      </c>
      <c r="I2028" t="s">
        <v>6982</v>
      </c>
      <c r="J2028" t="str">
        <f>HYPERLINK("http://twitter.com/baba_kho")</f>
        <v>http://twitter.com/baba_kho</v>
      </c>
      <c r="K2028">
        <v>128</v>
      </c>
      <c r="N2028" t="s">
        <v>65</v>
      </c>
      <c r="R2028" t="s">
        <v>60</v>
      </c>
      <c r="S2028" t="s">
        <v>156</v>
      </c>
      <c r="T2028" t="s">
        <v>6983</v>
      </c>
      <c r="U2028" t="s">
        <v>6984</v>
      </c>
      <c r="W2028">
        <v>0</v>
      </c>
      <c r="X2028">
        <v>0</v>
      </c>
      <c r="AE2028">
        <v>0</v>
      </c>
      <c r="AF2028">
        <v>0</v>
      </c>
      <c r="AI2028" t="s">
        <v>108</v>
      </c>
      <c r="AJ2028" t="s">
        <v>52</v>
      </c>
      <c r="AK2028" t="s">
        <v>52</v>
      </c>
      <c r="AL2028" t="str">
        <f>HYPERLINK("https://pbs.twimg.com/media/D9sAXHUX4AA6vJs.jpg")</f>
        <v>https://pbs.twimg.com/media/D9sAXHUX4AA6vJs.jpg</v>
      </c>
      <c r="AM2028" t="s">
        <v>52</v>
      </c>
      <c r="AN2028" t="s">
        <v>53</v>
      </c>
    </row>
    <row r="2029" spans="1:40">
      <c r="A2029" t="s">
        <v>2370</v>
      </c>
      <c r="B2029" t="s">
        <v>6979</v>
      </c>
      <c r="C2029" t="s">
        <v>6985</v>
      </c>
      <c r="D2029" t="s">
        <v>52</v>
      </c>
      <c r="E2029" t="s">
        <v>1194</v>
      </c>
      <c r="F2029" t="s">
        <v>131</v>
      </c>
      <c r="G2029" t="str">
        <f>HYPERLINK("https://twitter.com/1138108372677324800/status/1143103102695854080")</f>
        <v>https://twitter.com/1138108372677324800/status/1143103102695854080</v>
      </c>
      <c r="H2029" t="s">
        <v>46</v>
      </c>
      <c r="I2029" t="s">
        <v>6986</v>
      </c>
      <c r="J2029" t="str">
        <f>HYPERLINK("http://twitter.com/niesaarazak")</f>
        <v>http://twitter.com/niesaarazak</v>
      </c>
      <c r="K2029">
        <v>23</v>
      </c>
      <c r="N2029" t="s">
        <v>65</v>
      </c>
      <c r="R2029" t="s">
        <v>60</v>
      </c>
      <c r="W2029">
        <v>0</v>
      </c>
      <c r="X2029">
        <v>0</v>
      </c>
      <c r="AE2029">
        <v>0</v>
      </c>
      <c r="AI2029" t="s">
        <v>52</v>
      </c>
      <c r="AJ2029" t="s">
        <v>1196</v>
      </c>
      <c r="AK2029" t="s">
        <v>52</v>
      </c>
      <c r="AL2029" t="str">
        <f>HYPERLINK("https://pbs.twimg.com/media/D9xgk2YXkAAd2ql.jpg")</f>
        <v>https://pbs.twimg.com/media/D9xgk2YXkAAd2ql.jpg</v>
      </c>
      <c r="AM2029" t="s">
        <v>52</v>
      </c>
      <c r="AN2029" t="s">
        <v>53</v>
      </c>
    </row>
    <row r="2030" spans="1:40">
      <c r="A2030" t="s">
        <v>2370</v>
      </c>
      <c r="B2030" t="s">
        <v>6987</v>
      </c>
      <c r="C2030" t="s">
        <v>6988</v>
      </c>
      <c r="D2030" t="s">
        <v>52</v>
      </c>
      <c r="E2030" t="s">
        <v>6989</v>
      </c>
      <c r="F2030" t="s">
        <v>45</v>
      </c>
      <c r="G2030" t="str">
        <f>HYPERLINK("https://www.instagram.com/p/BzFs3Q0JyDo")</f>
        <v>https://www.instagram.com/p/BzFs3Q0JyDo</v>
      </c>
      <c r="H2030" t="s">
        <v>46</v>
      </c>
      <c r="I2030" t="s">
        <v>6953</v>
      </c>
      <c r="J2030" t="str">
        <f>HYPERLINK("http://instagram.com/bearbear_pie")</f>
        <v>http://instagram.com/bearbear_pie</v>
      </c>
      <c r="K2030">
        <v>184</v>
      </c>
      <c r="N2030" t="s">
        <v>59</v>
      </c>
      <c r="O2030" t="s">
        <v>6953</v>
      </c>
      <c r="P2030" t="str">
        <f>HYPERLINK("http://instagram.com/bearbear_pie")</f>
        <v>http://instagram.com/bearbear_pie</v>
      </c>
      <c r="Q2030">
        <v>184</v>
      </c>
      <c r="R2030" t="s">
        <v>60</v>
      </c>
      <c r="S2030" t="s">
        <v>1071</v>
      </c>
      <c r="T2030" t="s">
        <v>3751</v>
      </c>
      <c r="U2030" t="s">
        <v>3752</v>
      </c>
      <c r="W2030">
        <v>33</v>
      </c>
      <c r="X2030">
        <v>33</v>
      </c>
      <c r="AE2030">
        <v>4</v>
      </c>
      <c r="AI2030" t="s">
        <v>52</v>
      </c>
      <c r="AJ2030" t="s">
        <v>6990</v>
      </c>
      <c r="AK2030" t="s">
        <v>52</v>
      </c>
      <c r="AL2030" t="str">
        <f>HYPERLINK("https://www.instagram.com/p/BzFs3Q0JyDo/media/?size=l")</f>
        <v>https://www.instagram.com/p/BzFs3Q0JyDo/media/?size=l</v>
      </c>
      <c r="AM2030" t="s">
        <v>52</v>
      </c>
      <c r="AN2030" t="s">
        <v>53</v>
      </c>
    </row>
    <row r="2031" spans="1:40">
      <c r="A2031" t="s">
        <v>2370</v>
      </c>
      <c r="B2031" t="s">
        <v>6987</v>
      </c>
      <c r="C2031" t="s">
        <v>6991</v>
      </c>
      <c r="D2031" t="s">
        <v>52</v>
      </c>
      <c r="E2031" t="s">
        <v>6992</v>
      </c>
      <c r="F2031" t="s">
        <v>95</v>
      </c>
      <c r="G2031" t="str">
        <f>HYPERLINK("https://twitter.com/1603260882/status/1143102800928399361")</f>
        <v>https://twitter.com/1603260882/status/1143102800928399361</v>
      </c>
      <c r="H2031" t="s">
        <v>215</v>
      </c>
      <c r="I2031" t="s">
        <v>6993</v>
      </c>
      <c r="J2031" t="str">
        <f>HYPERLINK("http://twitter.com/SophiaKomninou")</f>
        <v>http://twitter.com/SophiaKomninou</v>
      </c>
      <c r="K2031">
        <v>807</v>
      </c>
      <c r="N2031" t="s">
        <v>65</v>
      </c>
      <c r="R2031" t="s">
        <v>60</v>
      </c>
      <c r="S2031" t="s">
        <v>97</v>
      </c>
      <c r="T2031" t="s">
        <v>1332</v>
      </c>
      <c r="U2031" t="s">
        <v>6994</v>
      </c>
      <c r="W2031">
        <v>1</v>
      </c>
      <c r="X2031">
        <v>1</v>
      </c>
      <c r="AE2031">
        <v>1</v>
      </c>
      <c r="AF2031">
        <v>0</v>
      </c>
      <c r="AM2031" t="s">
        <v>52</v>
      </c>
      <c r="AN2031" t="s">
        <v>53</v>
      </c>
    </row>
    <row r="2032" spans="1:40">
      <c r="A2032" t="s">
        <v>2370</v>
      </c>
      <c r="B2032" t="s">
        <v>6987</v>
      </c>
      <c r="C2032" t="s">
        <v>5563</v>
      </c>
      <c r="D2032" t="s">
        <v>52</v>
      </c>
      <c r="E2032" t="s">
        <v>6995</v>
      </c>
      <c r="F2032" t="s">
        <v>45</v>
      </c>
      <c r="G2032" t="str">
        <f>HYPERLINK("https://www.instagram.com/p/BzFs1LCgw-7")</f>
        <v>https://www.instagram.com/p/BzFs1LCgw-7</v>
      </c>
      <c r="H2032" t="s">
        <v>46</v>
      </c>
      <c r="I2032" t="s">
        <v>6996</v>
      </c>
      <c r="J2032" t="str">
        <f>HYPERLINK("http://instagram.com/snackstoredelivery")</f>
        <v>http://instagram.com/snackstoredelivery</v>
      </c>
      <c r="K2032">
        <v>234</v>
      </c>
      <c r="L2032" t="s">
        <v>651</v>
      </c>
      <c r="N2032" t="s">
        <v>59</v>
      </c>
      <c r="O2032" t="s">
        <v>6996</v>
      </c>
      <c r="P2032" t="str">
        <f>HYPERLINK("http://instagram.com/snackstoredelivery")</f>
        <v>http://instagram.com/snackstoredelivery</v>
      </c>
      <c r="Q2032">
        <v>234</v>
      </c>
      <c r="R2032" t="s">
        <v>60</v>
      </c>
      <c r="S2032" t="s">
        <v>774</v>
      </c>
      <c r="T2032" t="s">
        <v>3540</v>
      </c>
      <c r="U2032" t="s">
        <v>6997</v>
      </c>
      <c r="W2032">
        <v>20</v>
      </c>
      <c r="X2032">
        <v>20</v>
      </c>
      <c r="AE2032">
        <v>0</v>
      </c>
      <c r="AI2032" t="s">
        <v>108</v>
      </c>
      <c r="AJ2032" t="s">
        <v>6998</v>
      </c>
      <c r="AK2032" t="s">
        <v>52</v>
      </c>
      <c r="AL2032" t="str">
        <f>HYPERLINK("https://www.instagram.com/p/BzFs1LCgw-7/media/?size=l")</f>
        <v>https://www.instagram.com/p/BzFs1LCgw-7/media/?size=l</v>
      </c>
      <c r="AM2032" t="s">
        <v>52</v>
      </c>
      <c r="AN2032" t="s">
        <v>53</v>
      </c>
    </row>
    <row r="2033" spans="1:40">
      <c r="A2033" t="s">
        <v>2370</v>
      </c>
      <c r="B2033" t="s">
        <v>1123</v>
      </c>
      <c r="C2033" t="s">
        <v>6988</v>
      </c>
      <c r="D2033" t="s">
        <v>52</v>
      </c>
      <c r="E2033" t="s">
        <v>6999</v>
      </c>
      <c r="F2033" t="s">
        <v>45</v>
      </c>
      <c r="G2033" t="str">
        <f>HYPERLINK("https://www.instagram.com/p/BzFsvAyp1xq")</f>
        <v>https://www.instagram.com/p/BzFsvAyp1xq</v>
      </c>
      <c r="H2033" t="s">
        <v>46</v>
      </c>
      <c r="I2033" t="s">
        <v>6953</v>
      </c>
      <c r="J2033" t="str">
        <f>HYPERLINK("http://instagram.com/bearbear_pie")</f>
        <v>http://instagram.com/bearbear_pie</v>
      </c>
      <c r="K2033">
        <v>184</v>
      </c>
      <c r="N2033" t="s">
        <v>59</v>
      </c>
      <c r="O2033" t="s">
        <v>6953</v>
      </c>
      <c r="P2033" t="str">
        <f>HYPERLINK("http://instagram.com/bearbear_pie")</f>
        <v>http://instagram.com/bearbear_pie</v>
      </c>
      <c r="Q2033">
        <v>184</v>
      </c>
      <c r="R2033" t="s">
        <v>60</v>
      </c>
      <c r="S2033" t="s">
        <v>1071</v>
      </c>
      <c r="T2033" t="s">
        <v>3751</v>
      </c>
      <c r="U2033" t="s">
        <v>3752</v>
      </c>
      <c r="W2033">
        <v>30</v>
      </c>
      <c r="X2033">
        <v>30</v>
      </c>
      <c r="AE2033">
        <v>2</v>
      </c>
      <c r="AI2033" t="s">
        <v>52</v>
      </c>
      <c r="AJ2033" t="s">
        <v>1196</v>
      </c>
      <c r="AK2033" t="s">
        <v>52</v>
      </c>
      <c r="AL2033" t="str">
        <f>HYPERLINK("https://www.instagram.com/p/BzFsvAyp1xq/media/?size=l")</f>
        <v>https://www.instagram.com/p/BzFsvAyp1xq/media/?size=l</v>
      </c>
      <c r="AM2033" t="s">
        <v>52</v>
      </c>
      <c r="AN2033" t="s">
        <v>53</v>
      </c>
    </row>
    <row r="2034" spans="1:40">
      <c r="A2034" t="s">
        <v>2370</v>
      </c>
      <c r="B2034" t="s">
        <v>1127</v>
      </c>
      <c r="C2034" t="s">
        <v>6959</v>
      </c>
      <c r="D2034" t="s">
        <v>52</v>
      </c>
      <c r="E2034" t="s">
        <v>7000</v>
      </c>
      <c r="F2034" t="s">
        <v>45</v>
      </c>
      <c r="G2034" t="str">
        <f>HYPERLINK("https://www.instagram.com/p/BzFsVPbgEja")</f>
        <v>https://www.instagram.com/p/BzFsVPbgEja</v>
      </c>
      <c r="H2034" t="s">
        <v>46</v>
      </c>
      <c r="I2034" t="s">
        <v>7001</v>
      </c>
      <c r="J2034" t="str">
        <f>HYPERLINK("http://instagram.com/noshkz")</f>
        <v>http://instagram.com/noshkz</v>
      </c>
      <c r="K2034">
        <v>2585</v>
      </c>
      <c r="N2034" t="s">
        <v>59</v>
      </c>
      <c r="O2034" t="s">
        <v>7001</v>
      </c>
      <c r="P2034" t="str">
        <f>HYPERLINK("http://instagram.com/noshkz")</f>
        <v>http://instagram.com/noshkz</v>
      </c>
      <c r="Q2034">
        <v>2585</v>
      </c>
      <c r="R2034" t="s">
        <v>60</v>
      </c>
      <c r="S2034" t="s">
        <v>7002</v>
      </c>
      <c r="W2034">
        <v>46</v>
      </c>
      <c r="X2034">
        <v>46</v>
      </c>
      <c r="AE2034">
        <v>4</v>
      </c>
      <c r="AL2034" t="str">
        <f>HYPERLINK("https://www.instagram.com/p/BzFsVPbgEja/media/?size=l")</f>
        <v>https://www.instagram.com/p/BzFsVPbgEja/media/?size=l</v>
      </c>
      <c r="AM2034" t="s">
        <v>52</v>
      </c>
      <c r="AN2034" t="s">
        <v>53</v>
      </c>
    </row>
    <row r="2035" spans="1:40">
      <c r="A2035" t="s">
        <v>2370</v>
      </c>
      <c r="B2035" t="s">
        <v>1131</v>
      </c>
      <c r="C2035" t="s">
        <v>7003</v>
      </c>
      <c r="D2035" t="s">
        <v>52</v>
      </c>
      <c r="E2035" t="s">
        <v>7004</v>
      </c>
      <c r="F2035" t="s">
        <v>131</v>
      </c>
      <c r="G2035" t="str">
        <f>HYPERLINK("https://twitter.com/3639669854/status/1143101246565339136")</f>
        <v>https://twitter.com/3639669854/status/1143101246565339136</v>
      </c>
      <c r="H2035" t="s">
        <v>46</v>
      </c>
      <c r="I2035" t="s">
        <v>52</v>
      </c>
      <c r="J2035" t="str">
        <f>HYPERLINK("http://twitter.com/hskiwigirl")</f>
        <v>http://twitter.com/hskiwigirl</v>
      </c>
      <c r="K2035">
        <v>509</v>
      </c>
      <c r="N2035" t="s">
        <v>65</v>
      </c>
      <c r="R2035" t="s">
        <v>60</v>
      </c>
      <c r="W2035">
        <v>0</v>
      </c>
      <c r="X2035">
        <v>0</v>
      </c>
      <c r="AE2035">
        <v>0</v>
      </c>
      <c r="AI2035" t="s">
        <v>52</v>
      </c>
      <c r="AJ2035" t="s">
        <v>4290</v>
      </c>
      <c r="AK2035" t="s">
        <v>52</v>
      </c>
      <c r="AL2035" t="str">
        <f>HYPERLINK("https://pbs.twimg.com/media/DyhMsAeU0AIkpNw.jpg")</f>
        <v>https://pbs.twimg.com/media/DyhMsAeU0AIkpNw.jpg</v>
      </c>
      <c r="AM2035" t="s">
        <v>52</v>
      </c>
      <c r="AN2035" t="s">
        <v>53</v>
      </c>
    </row>
    <row r="2036" spans="1:40">
      <c r="A2036" t="s">
        <v>2370</v>
      </c>
      <c r="B2036" t="s">
        <v>7005</v>
      </c>
      <c r="C2036" t="s">
        <v>7006</v>
      </c>
      <c r="D2036" t="s">
        <v>52</v>
      </c>
      <c r="E2036" t="s">
        <v>1605</v>
      </c>
      <c r="F2036" t="s">
        <v>71</v>
      </c>
      <c r="G2036" t="str">
        <f>HYPERLINK("https://twitter.com/1099672812816687104/status/1143101133621202945")</f>
        <v>https://twitter.com/1099672812816687104/status/1143101133621202945</v>
      </c>
      <c r="H2036" t="s">
        <v>215</v>
      </c>
      <c r="I2036" t="s">
        <v>7007</v>
      </c>
      <c r="J2036" t="str">
        <f>HYPERLINK("http://twitter.com/_jamelan")</f>
        <v>http://twitter.com/_jamelan</v>
      </c>
      <c r="K2036">
        <v>85</v>
      </c>
      <c r="N2036" t="s">
        <v>65</v>
      </c>
      <c r="R2036" t="s">
        <v>60</v>
      </c>
      <c r="S2036" t="s">
        <v>1071</v>
      </c>
      <c r="T2036" t="s">
        <v>1072</v>
      </c>
      <c r="U2036" t="s">
        <v>1073</v>
      </c>
      <c r="W2036">
        <v>0</v>
      </c>
      <c r="X2036">
        <v>0</v>
      </c>
      <c r="AE2036">
        <v>0</v>
      </c>
      <c r="AF2036">
        <v>0</v>
      </c>
      <c r="AM2036" t="s">
        <v>52</v>
      </c>
      <c r="AN2036" t="s">
        <v>53</v>
      </c>
    </row>
    <row r="2037" spans="1:40">
      <c r="A2037" t="s">
        <v>2370</v>
      </c>
      <c r="B2037" t="s">
        <v>1137</v>
      </c>
      <c r="C2037" t="s">
        <v>918</v>
      </c>
      <c r="D2037" t="s">
        <v>7008</v>
      </c>
      <c r="E2037" t="s">
        <v>7009</v>
      </c>
      <c r="F2037" t="s">
        <v>45</v>
      </c>
      <c r="G2037" t="str">
        <f>HYPERLINK("https://forums.sherdog.com/threads/paulie-got-paid-7-figures-for-bkfc-fight-vs-artem.3976369/page-7")</f>
        <v>https://forums.sherdog.com/threads/paulie-got-paid-7-figures-for-bkfc-fight-vs-artem.3976369/page-7</v>
      </c>
      <c r="H2037" t="s">
        <v>46</v>
      </c>
      <c r="I2037" t="s">
        <v>7010</v>
      </c>
      <c r="J2037" t="str">
        <f>HYPERLINK("https://forums.sherdog.com/threads/paulie-got-paid-7-figures-for-bkfc-fight-vs-artem.3976369/page-7")</f>
        <v>https://forums.sherdog.com/threads/paulie-got-paid-7-figures-for-bkfc-fight-vs-artem.3976369/page-7</v>
      </c>
      <c r="N2037" t="s">
        <v>1810</v>
      </c>
      <c r="O2037" t="s">
        <v>5712</v>
      </c>
      <c r="P2037" t="str">
        <f>HYPERLINK("https://forums.sherdog.com/forums/ufc-discussion.2/")</f>
        <v>https://forums.sherdog.com/forums/ufc-discussion.2/</v>
      </c>
      <c r="R2037" t="s">
        <v>516</v>
      </c>
      <c r="S2037" t="s">
        <v>51</v>
      </c>
      <c r="AM2037" t="s">
        <v>52</v>
      </c>
      <c r="AN2037" t="s">
        <v>53</v>
      </c>
    </row>
    <row r="2038" spans="1:40">
      <c r="A2038" t="s">
        <v>2370</v>
      </c>
      <c r="B2038" t="s">
        <v>7011</v>
      </c>
      <c r="C2038" t="s">
        <v>7012</v>
      </c>
      <c r="D2038" t="s">
        <v>52</v>
      </c>
      <c r="E2038" t="s">
        <v>1194</v>
      </c>
      <c r="F2038" t="s">
        <v>131</v>
      </c>
      <c r="G2038" t="str">
        <f>HYPERLINK("https://twitter.com/696082512813101057/status/1143100334253969408")</f>
        <v>https://twitter.com/696082512813101057/status/1143100334253969408</v>
      </c>
      <c r="H2038" t="s">
        <v>46</v>
      </c>
      <c r="I2038" t="s">
        <v>7013</v>
      </c>
      <c r="J2038" t="str">
        <f>HYPERLINK("http://twitter.com/rahaf_jaber94")</f>
        <v>http://twitter.com/rahaf_jaber94</v>
      </c>
      <c r="K2038">
        <v>157</v>
      </c>
      <c r="N2038" t="s">
        <v>65</v>
      </c>
      <c r="R2038" t="s">
        <v>60</v>
      </c>
      <c r="W2038">
        <v>0</v>
      </c>
      <c r="X2038">
        <v>0</v>
      </c>
      <c r="AE2038">
        <v>0</v>
      </c>
      <c r="AI2038" t="s">
        <v>52</v>
      </c>
      <c r="AJ2038" t="s">
        <v>1196</v>
      </c>
      <c r="AK2038" t="s">
        <v>52</v>
      </c>
      <c r="AL2038" t="str">
        <f>HYPERLINK("https://pbs.twimg.com/media/D9xgk2YXkAAd2ql.jpg")</f>
        <v>https://pbs.twimg.com/media/D9xgk2YXkAAd2ql.jpg</v>
      </c>
      <c r="AM2038" t="s">
        <v>52</v>
      </c>
      <c r="AN2038" t="s">
        <v>53</v>
      </c>
    </row>
    <row r="2039" spans="1:40">
      <c r="A2039" t="s">
        <v>2370</v>
      </c>
      <c r="B2039" t="s">
        <v>7011</v>
      </c>
      <c r="C2039" t="s">
        <v>7006</v>
      </c>
      <c r="D2039" t="s">
        <v>52</v>
      </c>
      <c r="E2039" t="s">
        <v>1194</v>
      </c>
      <c r="F2039" t="s">
        <v>131</v>
      </c>
      <c r="G2039" t="str">
        <f>HYPERLINK("https://twitter.com/3245722319/status/1143100281992941570")</f>
        <v>https://twitter.com/3245722319/status/1143100281992941570</v>
      </c>
      <c r="H2039" t="s">
        <v>46</v>
      </c>
      <c r="I2039" t="s">
        <v>7014</v>
      </c>
      <c r="J2039" t="str">
        <f>HYPERLINK("http://twitter.com/myladymcmuffin")</f>
        <v>http://twitter.com/myladymcmuffin</v>
      </c>
      <c r="K2039">
        <v>41</v>
      </c>
      <c r="N2039" t="s">
        <v>65</v>
      </c>
      <c r="R2039" t="s">
        <v>60</v>
      </c>
      <c r="S2039" t="s">
        <v>387</v>
      </c>
      <c r="T2039" t="s">
        <v>2981</v>
      </c>
      <c r="U2039" t="s">
        <v>7015</v>
      </c>
      <c r="W2039">
        <v>0</v>
      </c>
      <c r="X2039">
        <v>0</v>
      </c>
      <c r="AE2039">
        <v>0</v>
      </c>
      <c r="AI2039" t="s">
        <v>52</v>
      </c>
      <c r="AJ2039" t="s">
        <v>1196</v>
      </c>
      <c r="AK2039" t="s">
        <v>52</v>
      </c>
      <c r="AL2039" t="str">
        <f>HYPERLINK("https://pbs.twimg.com/media/D9xgk2YXkAAd2ql.jpg")</f>
        <v>https://pbs.twimg.com/media/D9xgk2YXkAAd2ql.jpg</v>
      </c>
      <c r="AM2039" t="s">
        <v>52</v>
      </c>
      <c r="AN2039" t="s">
        <v>53</v>
      </c>
    </row>
    <row r="2040" spans="1:40">
      <c r="A2040" t="s">
        <v>2370</v>
      </c>
      <c r="B2040" t="s">
        <v>7016</v>
      </c>
      <c r="C2040" t="s">
        <v>7017</v>
      </c>
      <c r="D2040" t="s">
        <v>52</v>
      </c>
      <c r="E2040" t="s">
        <v>1194</v>
      </c>
      <c r="F2040" t="s">
        <v>131</v>
      </c>
      <c r="G2040" t="str">
        <f>HYPERLINK("https://twitter.com/800074166/status/1143100189730717696")</f>
        <v>https://twitter.com/800074166/status/1143100189730717696</v>
      </c>
      <c r="H2040" t="s">
        <v>46</v>
      </c>
      <c r="I2040" t="s">
        <v>7018</v>
      </c>
      <c r="J2040" t="str">
        <f>HYPERLINK("http://twitter.com/jctdee")</f>
        <v>http://twitter.com/jctdee</v>
      </c>
      <c r="K2040">
        <v>229</v>
      </c>
      <c r="N2040" t="s">
        <v>65</v>
      </c>
      <c r="R2040" t="s">
        <v>60</v>
      </c>
      <c r="W2040">
        <v>0</v>
      </c>
      <c r="X2040">
        <v>0</v>
      </c>
      <c r="AE2040">
        <v>0</v>
      </c>
      <c r="AI2040" t="s">
        <v>52</v>
      </c>
      <c r="AJ2040" t="s">
        <v>1196</v>
      </c>
      <c r="AK2040" t="s">
        <v>52</v>
      </c>
      <c r="AL2040" t="str">
        <f>HYPERLINK("https://pbs.twimg.com/media/D9xgk2YXkAAd2ql.jpg")</f>
        <v>https://pbs.twimg.com/media/D9xgk2YXkAAd2ql.jpg</v>
      </c>
      <c r="AM2040" t="s">
        <v>52</v>
      </c>
      <c r="AN2040" t="s">
        <v>53</v>
      </c>
    </row>
    <row r="2041" spans="1:40">
      <c r="A2041" t="s">
        <v>2370</v>
      </c>
      <c r="B2041" t="s">
        <v>7016</v>
      </c>
      <c r="C2041" t="s">
        <v>7019</v>
      </c>
      <c r="D2041" t="s">
        <v>52</v>
      </c>
      <c r="E2041" t="s">
        <v>1194</v>
      </c>
      <c r="F2041" t="s">
        <v>131</v>
      </c>
      <c r="G2041" t="str">
        <f>HYPERLINK("https://twitter.com/816621106635403264/status/1143100124689817600")</f>
        <v>https://twitter.com/816621106635403264/status/1143100124689817600</v>
      </c>
      <c r="H2041" t="s">
        <v>46</v>
      </c>
      <c r="I2041" t="s">
        <v>7020</v>
      </c>
      <c r="J2041" t="str">
        <f>HYPERLINK("http://twitter.com/fatu4lyf")</f>
        <v>http://twitter.com/fatu4lyf</v>
      </c>
      <c r="K2041">
        <v>82</v>
      </c>
      <c r="N2041" t="s">
        <v>65</v>
      </c>
      <c r="R2041" t="s">
        <v>60</v>
      </c>
      <c r="S2041" t="s">
        <v>51</v>
      </c>
      <c r="T2041" t="s">
        <v>1669</v>
      </c>
      <c r="U2041" t="s">
        <v>7021</v>
      </c>
      <c r="W2041">
        <v>0</v>
      </c>
      <c r="X2041">
        <v>0</v>
      </c>
      <c r="AE2041">
        <v>0</v>
      </c>
      <c r="AI2041" t="s">
        <v>52</v>
      </c>
      <c r="AJ2041" t="s">
        <v>1196</v>
      </c>
      <c r="AK2041" t="s">
        <v>52</v>
      </c>
      <c r="AL2041" t="str">
        <f>HYPERLINK("https://pbs.twimg.com/media/D9xgk2YXkAAd2ql.jpg")</f>
        <v>https://pbs.twimg.com/media/D9xgk2YXkAAd2ql.jpg</v>
      </c>
      <c r="AM2041" t="s">
        <v>52</v>
      </c>
      <c r="AN2041" t="s">
        <v>53</v>
      </c>
    </row>
    <row r="2042" spans="1:40">
      <c r="A2042" t="s">
        <v>2370</v>
      </c>
      <c r="B2042" t="s">
        <v>7016</v>
      </c>
      <c r="C2042" t="s">
        <v>7019</v>
      </c>
      <c r="D2042" t="s">
        <v>52</v>
      </c>
      <c r="E2042" t="s">
        <v>1194</v>
      </c>
      <c r="F2042" t="s">
        <v>131</v>
      </c>
      <c r="G2042" t="str">
        <f>HYPERLINK("https://twitter.com/4728036981/status/1143100120583626752")</f>
        <v>https://twitter.com/4728036981/status/1143100120583626752</v>
      </c>
      <c r="H2042" t="s">
        <v>46</v>
      </c>
      <c r="I2042" t="s">
        <v>7022</v>
      </c>
      <c r="J2042" t="str">
        <f>HYPERLINK("http://twitter.com/mirridere")</f>
        <v>http://twitter.com/mirridere</v>
      </c>
      <c r="K2042">
        <v>337</v>
      </c>
      <c r="N2042" t="s">
        <v>65</v>
      </c>
      <c r="R2042" t="s">
        <v>60</v>
      </c>
      <c r="S2042" t="s">
        <v>210</v>
      </c>
      <c r="T2042" t="s">
        <v>7023</v>
      </c>
      <c r="U2042" t="s">
        <v>7024</v>
      </c>
      <c r="W2042">
        <v>0</v>
      </c>
      <c r="X2042">
        <v>0</v>
      </c>
      <c r="AE2042">
        <v>0</v>
      </c>
      <c r="AI2042" t="s">
        <v>52</v>
      </c>
      <c r="AJ2042" t="s">
        <v>1196</v>
      </c>
      <c r="AK2042" t="s">
        <v>52</v>
      </c>
      <c r="AL2042" t="str">
        <f>HYPERLINK("https://pbs.twimg.com/media/D9xgk2YXkAAd2ql.jpg")</f>
        <v>https://pbs.twimg.com/media/D9xgk2YXkAAd2ql.jpg</v>
      </c>
      <c r="AM2042" t="s">
        <v>52</v>
      </c>
      <c r="AN2042" t="s">
        <v>53</v>
      </c>
    </row>
    <row r="2043" spans="1:40">
      <c r="A2043" t="s">
        <v>2370</v>
      </c>
      <c r="B2043" t="s">
        <v>7016</v>
      </c>
      <c r="C2043" t="s">
        <v>7025</v>
      </c>
      <c r="D2043" t="s">
        <v>52</v>
      </c>
      <c r="E2043" t="s">
        <v>7026</v>
      </c>
      <c r="F2043" t="s">
        <v>131</v>
      </c>
      <c r="G2043" t="str">
        <f>HYPERLINK("https://twitter.com/449041108/status/1143100058503696384")</f>
        <v>https://twitter.com/449041108/status/1143100058503696384</v>
      </c>
      <c r="H2043" t="s">
        <v>46</v>
      </c>
      <c r="I2043" t="s">
        <v>7027</v>
      </c>
      <c r="J2043" t="str">
        <f>HYPERLINK("http://twitter.com/Nampree")</f>
        <v>http://twitter.com/Nampree</v>
      </c>
      <c r="K2043">
        <v>1193</v>
      </c>
      <c r="N2043" t="s">
        <v>65</v>
      </c>
      <c r="R2043" t="s">
        <v>60</v>
      </c>
      <c r="S2043" t="s">
        <v>1071</v>
      </c>
      <c r="T2043" t="s">
        <v>1072</v>
      </c>
      <c r="U2043" t="s">
        <v>1295</v>
      </c>
      <c r="W2043">
        <v>0</v>
      </c>
      <c r="X2043">
        <v>0</v>
      </c>
      <c r="AE2043">
        <v>0</v>
      </c>
      <c r="AM2043" t="s">
        <v>52</v>
      </c>
      <c r="AN2043" t="s">
        <v>53</v>
      </c>
    </row>
    <row r="2044" spans="1:40">
      <c r="A2044" t="s">
        <v>2370</v>
      </c>
      <c r="B2044" t="s">
        <v>7028</v>
      </c>
      <c r="C2044" t="s">
        <v>7029</v>
      </c>
      <c r="D2044" t="s">
        <v>7030</v>
      </c>
      <c r="E2044" t="s">
        <v>7031</v>
      </c>
      <c r="F2044" t="s">
        <v>95</v>
      </c>
      <c r="G2044" t="str">
        <f>HYPERLINK("http://www.worldstarhiphop.com/videos/video.php?v=wshhf9Tq2hd336lA1VqY#comment-4513933187")</f>
        <v>http://www.worldstarhiphop.com/videos/video.php?v=wshhf9Tq2hd336lA1VqY#comment-4513933187</v>
      </c>
      <c r="H2044" t="s">
        <v>46</v>
      </c>
      <c r="I2044" t="s">
        <v>7032</v>
      </c>
      <c r="J2044" t="str">
        <f>HYPERLINK("https://disqus.com/by/ProBlackman/")</f>
        <v>https://disqus.com/by/ProBlackman/</v>
      </c>
      <c r="K2044">
        <v>2</v>
      </c>
      <c r="N2044" t="s">
        <v>3966</v>
      </c>
      <c r="O2044" t="s">
        <v>3967</v>
      </c>
      <c r="P2044" t="str">
        <f>HYPERLINK("https://disqus.com/home/forum/worldstar/")</f>
        <v>https://disqus.com/home/forum/worldstar/</v>
      </c>
      <c r="R2044" t="s">
        <v>50</v>
      </c>
      <c r="S2044" t="s">
        <v>51</v>
      </c>
      <c r="T2044" t="s">
        <v>173</v>
      </c>
      <c r="U2044" t="s">
        <v>1214</v>
      </c>
      <c r="W2044">
        <v>0</v>
      </c>
      <c r="X2044">
        <v>0</v>
      </c>
      <c r="AM2044" t="s">
        <v>52</v>
      </c>
      <c r="AN2044" t="s">
        <v>53</v>
      </c>
    </row>
    <row r="2045" spans="1:40">
      <c r="A2045" t="s">
        <v>2370</v>
      </c>
      <c r="B2045" t="s">
        <v>7033</v>
      </c>
      <c r="C2045" t="s">
        <v>5586</v>
      </c>
      <c r="D2045" t="s">
        <v>52</v>
      </c>
      <c r="E2045" t="s">
        <v>7034</v>
      </c>
      <c r="F2045" t="s">
        <v>45</v>
      </c>
      <c r="G2045" t="str">
        <f>HYPERLINK("https://www.instagram.com/p/BzFrSd1FX2D")</f>
        <v>https://www.instagram.com/p/BzFrSd1FX2D</v>
      </c>
      <c r="H2045" t="s">
        <v>46</v>
      </c>
      <c r="I2045" t="s">
        <v>7035</v>
      </c>
      <c r="J2045" t="str">
        <f>HYPERLINK("http://instagram.com/dianyayaaa")</f>
        <v>http://instagram.com/dianyayaaa</v>
      </c>
      <c r="K2045">
        <v>8814</v>
      </c>
      <c r="N2045" t="s">
        <v>59</v>
      </c>
      <c r="O2045" t="s">
        <v>7035</v>
      </c>
      <c r="P2045" t="str">
        <f>HYPERLINK("http://instagram.com/dianyayaaa")</f>
        <v>http://instagram.com/dianyayaaa</v>
      </c>
      <c r="Q2045">
        <v>8814</v>
      </c>
      <c r="R2045" t="s">
        <v>60</v>
      </c>
      <c r="S2045" t="s">
        <v>7036</v>
      </c>
      <c r="T2045" t="s">
        <v>7037</v>
      </c>
      <c r="U2045" t="s">
        <v>7038</v>
      </c>
      <c r="W2045">
        <v>138</v>
      </c>
      <c r="X2045">
        <v>138</v>
      </c>
      <c r="AE2045">
        <v>3</v>
      </c>
      <c r="AI2045" t="s">
        <v>108</v>
      </c>
      <c r="AJ2045" t="s">
        <v>977</v>
      </c>
      <c r="AK2045" t="s">
        <v>612</v>
      </c>
      <c r="AL2045" t="str">
        <f>HYPERLINK("https://www.instagram.com/p/BzFrSd1FX2D/media/?size=l")</f>
        <v>https://www.instagram.com/p/BzFrSd1FX2D/media/?size=l</v>
      </c>
      <c r="AM2045" t="s">
        <v>52</v>
      </c>
      <c r="AN2045" t="s">
        <v>53</v>
      </c>
    </row>
    <row r="2046" spans="1:40">
      <c r="A2046" t="s">
        <v>2370</v>
      </c>
      <c r="B2046" t="s">
        <v>7033</v>
      </c>
      <c r="C2046" t="s">
        <v>2998</v>
      </c>
      <c r="D2046" t="s">
        <v>52</v>
      </c>
      <c r="E2046" t="s">
        <v>7039</v>
      </c>
      <c r="F2046" t="s">
        <v>45</v>
      </c>
      <c r="G2046" t="str">
        <f>HYPERLINK("https://www.facebook.com/271798546136/posts/10156741284286137")</f>
        <v>https://www.facebook.com/271798546136/posts/10156741284286137</v>
      </c>
      <c r="H2046" t="s">
        <v>46</v>
      </c>
      <c r="N2046" t="s">
        <v>1792</v>
      </c>
      <c r="O2046" t="s">
        <v>108</v>
      </c>
      <c r="P2046" t="str">
        <f>HYPERLINK("https://www.facebook.com/271798546136")</f>
        <v>https://www.facebook.com/271798546136</v>
      </c>
      <c r="Q2046">
        <v>16726171</v>
      </c>
      <c r="R2046" t="s">
        <v>60</v>
      </c>
      <c r="S2046" t="s">
        <v>1071</v>
      </c>
      <c r="W2046">
        <v>0</v>
      </c>
      <c r="X2046">
        <v>0</v>
      </c>
      <c r="Y2046">
        <v>0</v>
      </c>
      <c r="Z2046">
        <v>0</v>
      </c>
      <c r="AA2046">
        <v>0</v>
      </c>
      <c r="AB2046">
        <v>0</v>
      </c>
      <c r="AC2046">
        <v>0</v>
      </c>
      <c r="AE2046">
        <v>0</v>
      </c>
      <c r="AF2046">
        <v>0</v>
      </c>
      <c r="AM2046" t="s">
        <v>52</v>
      </c>
      <c r="AN2046" t="s">
        <v>53</v>
      </c>
    </row>
    <row r="2047" spans="1:40">
      <c r="A2047" t="s">
        <v>2370</v>
      </c>
      <c r="B2047" t="s">
        <v>7033</v>
      </c>
      <c r="C2047" t="s">
        <v>7040</v>
      </c>
      <c r="D2047" t="s">
        <v>52</v>
      </c>
      <c r="E2047" t="s">
        <v>7041</v>
      </c>
      <c r="F2047" t="s">
        <v>131</v>
      </c>
      <c r="G2047" t="str">
        <f>HYPERLINK("https://twitter.com/107923707/status/1143099233949454338")</f>
        <v>https://twitter.com/107923707/status/1143099233949454338</v>
      </c>
      <c r="H2047" t="s">
        <v>46</v>
      </c>
      <c r="I2047" t="s">
        <v>7042</v>
      </c>
      <c r="J2047" t="str">
        <f>HYPERLINK("http://twitter.com/bndictabolencia")</f>
        <v>http://twitter.com/bndictabolencia</v>
      </c>
      <c r="K2047">
        <v>1821</v>
      </c>
      <c r="N2047" t="s">
        <v>65</v>
      </c>
      <c r="R2047" t="s">
        <v>60</v>
      </c>
      <c r="S2047" t="s">
        <v>226</v>
      </c>
      <c r="T2047" t="s">
        <v>6471</v>
      </c>
      <c r="U2047" t="s">
        <v>7043</v>
      </c>
      <c r="W2047">
        <v>0</v>
      </c>
      <c r="X2047">
        <v>0</v>
      </c>
      <c r="AE2047">
        <v>0</v>
      </c>
      <c r="AM2047" t="s">
        <v>52</v>
      </c>
      <c r="AN2047" t="s">
        <v>53</v>
      </c>
    </row>
    <row r="2048" spans="1:40">
      <c r="A2048" t="s">
        <v>2370</v>
      </c>
      <c r="B2048" t="s">
        <v>1153</v>
      </c>
      <c r="C2048" t="s">
        <v>7025</v>
      </c>
      <c r="D2048" t="s">
        <v>52</v>
      </c>
      <c r="E2048" t="s">
        <v>130</v>
      </c>
      <c r="F2048" t="s">
        <v>131</v>
      </c>
      <c r="G2048" t="str">
        <f>HYPERLINK("https://twitter.com/865996201/status/1143099030924419073")</f>
        <v>https://twitter.com/865996201/status/1143099030924419073</v>
      </c>
      <c r="H2048" t="s">
        <v>46</v>
      </c>
      <c r="I2048" t="s">
        <v>7044</v>
      </c>
      <c r="J2048" t="str">
        <f>HYPERLINK("http://twitter.com/sellins68")</f>
        <v>http://twitter.com/sellins68</v>
      </c>
      <c r="K2048">
        <v>199</v>
      </c>
      <c r="N2048" t="s">
        <v>65</v>
      </c>
      <c r="R2048" t="s">
        <v>60</v>
      </c>
      <c r="W2048">
        <v>0</v>
      </c>
      <c r="X2048">
        <v>0</v>
      </c>
      <c r="AE2048">
        <v>0</v>
      </c>
      <c r="AI2048" t="s">
        <v>108</v>
      </c>
      <c r="AJ2048" t="s">
        <v>52</v>
      </c>
      <c r="AK2048" t="s">
        <v>52</v>
      </c>
      <c r="AL2048" t="str">
        <f>HYPERLINK("https://pbs.twimg.com/media/D9XTkLWW4AAOYnJ.jpg")</f>
        <v>https://pbs.twimg.com/media/D9XTkLWW4AAOYnJ.jpg</v>
      </c>
      <c r="AM2048" t="s">
        <v>52</v>
      </c>
      <c r="AN2048" t="s">
        <v>53</v>
      </c>
    </row>
    <row r="2049" spans="1:40">
      <c r="A2049" t="s">
        <v>2370</v>
      </c>
      <c r="B2049" t="s">
        <v>7045</v>
      </c>
      <c r="C2049" t="s">
        <v>7046</v>
      </c>
      <c r="D2049" t="s">
        <v>52</v>
      </c>
      <c r="E2049" t="s">
        <v>1194</v>
      </c>
      <c r="F2049" t="s">
        <v>131</v>
      </c>
      <c r="G2049" t="str">
        <f>HYPERLINK("https://twitter.com/1113638308041519104/status/1143098077194022914")</f>
        <v>https://twitter.com/1113638308041519104/status/1143098077194022914</v>
      </c>
      <c r="H2049" t="s">
        <v>46</v>
      </c>
      <c r="I2049" t="s">
        <v>7047</v>
      </c>
      <c r="J2049" t="str">
        <f>HYPERLINK("http://twitter.com/raihanaio")</f>
        <v>http://twitter.com/raihanaio</v>
      </c>
      <c r="K2049">
        <v>31</v>
      </c>
      <c r="N2049" t="s">
        <v>65</v>
      </c>
      <c r="R2049" t="s">
        <v>60</v>
      </c>
      <c r="W2049">
        <v>0</v>
      </c>
      <c r="X2049">
        <v>0</v>
      </c>
      <c r="AE2049">
        <v>0</v>
      </c>
      <c r="AI2049" t="s">
        <v>52</v>
      </c>
      <c r="AJ2049" t="s">
        <v>1196</v>
      </c>
      <c r="AK2049" t="s">
        <v>52</v>
      </c>
      <c r="AL2049" t="str">
        <f>HYPERLINK("https://pbs.twimg.com/media/D9xgk2YXkAAd2ql.jpg")</f>
        <v>https://pbs.twimg.com/media/D9xgk2YXkAAd2ql.jpg</v>
      </c>
      <c r="AM2049" t="s">
        <v>52</v>
      </c>
      <c r="AN2049" t="s">
        <v>53</v>
      </c>
    </row>
    <row r="2050" spans="1:40">
      <c r="A2050" t="s">
        <v>2370</v>
      </c>
      <c r="B2050" t="s">
        <v>7045</v>
      </c>
      <c r="C2050" t="s">
        <v>7048</v>
      </c>
      <c r="D2050" t="s">
        <v>52</v>
      </c>
      <c r="E2050" t="s">
        <v>7041</v>
      </c>
      <c r="F2050" t="s">
        <v>131</v>
      </c>
      <c r="G2050" t="str">
        <f>HYPERLINK("https://twitter.com/3023079599/status/1143097990426628096")</f>
        <v>https://twitter.com/3023079599/status/1143097990426628096</v>
      </c>
      <c r="H2050" t="s">
        <v>46</v>
      </c>
      <c r="I2050" t="s">
        <v>7049</v>
      </c>
      <c r="J2050" t="str">
        <f>HYPERLINK("http://twitter.com/lapuski007")</f>
        <v>http://twitter.com/lapuski007</v>
      </c>
      <c r="K2050">
        <v>2921</v>
      </c>
      <c r="N2050" t="s">
        <v>65</v>
      </c>
      <c r="R2050" t="s">
        <v>60</v>
      </c>
      <c r="S2050" t="s">
        <v>387</v>
      </c>
      <c r="T2050" t="s">
        <v>2251</v>
      </c>
      <c r="U2050" t="s">
        <v>2252</v>
      </c>
      <c r="W2050">
        <v>0</v>
      </c>
      <c r="X2050">
        <v>0</v>
      </c>
      <c r="AE2050">
        <v>0</v>
      </c>
      <c r="AM2050" t="s">
        <v>52</v>
      </c>
      <c r="AN2050" t="s">
        <v>53</v>
      </c>
    </row>
    <row r="2051" spans="1:40">
      <c r="A2051" t="s">
        <v>2370</v>
      </c>
      <c r="B2051" t="s">
        <v>1178</v>
      </c>
      <c r="C2051" t="s">
        <v>7050</v>
      </c>
      <c r="D2051" t="s">
        <v>52</v>
      </c>
      <c r="E2051" t="s">
        <v>7041</v>
      </c>
      <c r="F2051" t="s">
        <v>45</v>
      </c>
      <c r="G2051" t="str">
        <f>HYPERLINK("https://twitter.com/984413802/status/1143097917814628352")</f>
        <v>https://twitter.com/984413802/status/1143097917814628352</v>
      </c>
      <c r="H2051" t="s">
        <v>46</v>
      </c>
      <c r="I2051" t="s">
        <v>7051</v>
      </c>
      <c r="J2051" t="str">
        <f>HYPERLINK("http://twitter.com/TheDIYHacks")</f>
        <v>http://twitter.com/TheDIYHacks</v>
      </c>
      <c r="K2051">
        <v>880250</v>
      </c>
      <c r="N2051" t="s">
        <v>65</v>
      </c>
      <c r="R2051" t="s">
        <v>60</v>
      </c>
      <c r="W2051">
        <v>35</v>
      </c>
      <c r="X2051">
        <v>35</v>
      </c>
      <c r="AE2051">
        <v>1</v>
      </c>
      <c r="AF2051">
        <v>5</v>
      </c>
      <c r="AM2051" t="s">
        <v>52</v>
      </c>
      <c r="AN2051" t="s">
        <v>53</v>
      </c>
    </row>
    <row r="2052" spans="1:40">
      <c r="A2052" t="s">
        <v>2370</v>
      </c>
      <c r="B2052" t="s">
        <v>1178</v>
      </c>
      <c r="C2052" t="s">
        <v>7052</v>
      </c>
      <c r="D2052" t="s">
        <v>52</v>
      </c>
      <c r="E2052" t="s">
        <v>1194</v>
      </c>
      <c r="F2052" t="s">
        <v>131</v>
      </c>
      <c r="G2052" t="str">
        <f>HYPERLINK("https://twitter.com/1121990592/status/1143097835149131776")</f>
        <v>https://twitter.com/1121990592/status/1143097835149131776</v>
      </c>
      <c r="H2052" t="s">
        <v>46</v>
      </c>
      <c r="I2052" t="s">
        <v>7053</v>
      </c>
      <c r="J2052" t="str">
        <f>HYPERLINK("http://twitter.com/_ftnoey")</f>
        <v>http://twitter.com/_ftnoey</v>
      </c>
      <c r="K2052">
        <v>145</v>
      </c>
      <c r="N2052" t="s">
        <v>65</v>
      </c>
      <c r="R2052" t="s">
        <v>60</v>
      </c>
      <c r="W2052">
        <v>0</v>
      </c>
      <c r="X2052">
        <v>0</v>
      </c>
      <c r="AE2052">
        <v>0</v>
      </c>
      <c r="AI2052" t="s">
        <v>52</v>
      </c>
      <c r="AJ2052" t="s">
        <v>1196</v>
      </c>
      <c r="AK2052" t="s">
        <v>52</v>
      </c>
      <c r="AL2052" t="str">
        <f>HYPERLINK("https://pbs.twimg.com/media/D9xgk2YXkAAd2ql.jpg")</f>
        <v>https://pbs.twimg.com/media/D9xgk2YXkAAd2ql.jpg</v>
      </c>
      <c r="AM2052" t="s">
        <v>52</v>
      </c>
      <c r="AN2052" t="s">
        <v>53</v>
      </c>
    </row>
    <row r="2053" spans="1:40">
      <c r="A2053" t="s">
        <v>2370</v>
      </c>
      <c r="B2053" t="s">
        <v>1178</v>
      </c>
      <c r="C2053" t="s">
        <v>7052</v>
      </c>
      <c r="D2053" t="s">
        <v>52</v>
      </c>
      <c r="E2053" t="s">
        <v>6644</v>
      </c>
      <c r="F2053" t="s">
        <v>71</v>
      </c>
      <c r="G2053" t="str">
        <f>HYPERLINK("https://twitter.com/189252302/status/1143097805067706369")</f>
        <v>https://twitter.com/189252302/status/1143097805067706369</v>
      </c>
      <c r="H2053" t="s">
        <v>46</v>
      </c>
      <c r="I2053" t="s">
        <v>7054</v>
      </c>
      <c r="J2053" t="str">
        <f>HYPERLINK("http://twitter.com/fuckbopride")</f>
        <v>http://twitter.com/fuckbopride</v>
      </c>
      <c r="K2053">
        <v>364</v>
      </c>
      <c r="N2053" t="s">
        <v>65</v>
      </c>
      <c r="R2053" t="s">
        <v>60</v>
      </c>
      <c r="S2053" t="s">
        <v>1071</v>
      </c>
      <c r="T2053" t="s">
        <v>7055</v>
      </c>
      <c r="U2053" t="s">
        <v>7056</v>
      </c>
      <c r="W2053">
        <v>0</v>
      </c>
      <c r="X2053">
        <v>0</v>
      </c>
      <c r="AE2053">
        <v>0</v>
      </c>
      <c r="AF2053">
        <v>0</v>
      </c>
      <c r="AI2053" t="s">
        <v>52</v>
      </c>
      <c r="AJ2053" t="s">
        <v>6646</v>
      </c>
      <c r="AK2053" t="s">
        <v>680</v>
      </c>
      <c r="AL2053" t="str">
        <f>HYPERLINK("https://pbs.twimg.com/media/D9yR2K8XsAIpe50.jpg")</f>
        <v>https://pbs.twimg.com/media/D9yR2K8XsAIpe50.jpg</v>
      </c>
      <c r="AM2053" t="s">
        <v>52</v>
      </c>
      <c r="AN2053" t="s">
        <v>53</v>
      </c>
    </row>
    <row r="2054" spans="1:40">
      <c r="A2054" t="s">
        <v>2370</v>
      </c>
      <c r="B2054" t="s">
        <v>1178</v>
      </c>
      <c r="C2054" t="s">
        <v>7050</v>
      </c>
      <c r="D2054" t="s">
        <v>52</v>
      </c>
      <c r="E2054" t="s">
        <v>7057</v>
      </c>
      <c r="F2054" t="s">
        <v>131</v>
      </c>
      <c r="G2054" t="str">
        <f>HYPERLINK("https://twitter.com/2494144128/status/1143097712264585217")</f>
        <v>https://twitter.com/2494144128/status/1143097712264585217</v>
      </c>
      <c r="H2054" t="s">
        <v>46</v>
      </c>
      <c r="I2054" t="s">
        <v>7058</v>
      </c>
      <c r="J2054" t="str">
        <f>HYPERLINK("http://twitter.com/dousleepwalk")</f>
        <v>http://twitter.com/dousleepwalk</v>
      </c>
      <c r="K2054">
        <v>719</v>
      </c>
      <c r="N2054" t="s">
        <v>65</v>
      </c>
      <c r="R2054" t="s">
        <v>60</v>
      </c>
      <c r="W2054">
        <v>0</v>
      </c>
      <c r="X2054">
        <v>0</v>
      </c>
      <c r="AE2054">
        <v>0</v>
      </c>
      <c r="AM2054" t="s">
        <v>52</v>
      </c>
      <c r="AN2054" t="s">
        <v>53</v>
      </c>
    </row>
    <row r="2055" spans="1:40">
      <c r="A2055" t="s">
        <v>2370</v>
      </c>
      <c r="B2055" t="s">
        <v>1183</v>
      </c>
      <c r="C2055" t="s">
        <v>7059</v>
      </c>
      <c r="D2055" t="s">
        <v>7060</v>
      </c>
      <c r="E2055" t="s">
        <v>7061</v>
      </c>
      <c r="F2055" t="s">
        <v>45</v>
      </c>
      <c r="G2055" t="str">
        <f>HYPERLINK("https://www.youtube.com/watch?v=9zxISPVOEls")</f>
        <v>https://www.youtube.com/watch?v=9zxISPVOEls</v>
      </c>
      <c r="H2055" t="s">
        <v>46</v>
      </c>
      <c r="I2055" t="s">
        <v>7062</v>
      </c>
      <c r="J2055" t="str">
        <f>HYPERLINK("https://www.youtube.com/channel/UCOQlQX0t6jP52bk-SzHsdYg")</f>
        <v>https://www.youtube.com/channel/UCOQlQX0t6jP52bk-SzHsdYg</v>
      </c>
      <c r="K2055">
        <v>510</v>
      </c>
      <c r="N2055" t="s">
        <v>116</v>
      </c>
      <c r="O2055" t="s">
        <v>7062</v>
      </c>
      <c r="P2055" t="str">
        <f>HYPERLINK("https://www.youtube.com/channel/UCOQlQX0t6jP52bk-SzHsdYg")</f>
        <v>https://www.youtube.com/channel/UCOQlQX0t6jP52bk-SzHsdYg</v>
      </c>
      <c r="Q2055">
        <v>510</v>
      </c>
      <c r="R2055" t="s">
        <v>60</v>
      </c>
      <c r="W2055">
        <v>2</v>
      </c>
      <c r="X2055">
        <v>2</v>
      </c>
      <c r="AD2055">
        <v>0</v>
      </c>
      <c r="AE2055">
        <v>2</v>
      </c>
      <c r="AG2055">
        <v>11</v>
      </c>
      <c r="AI2055" t="s">
        <v>52</v>
      </c>
      <c r="AJ2055" t="s">
        <v>52</v>
      </c>
      <c r="AK2055" t="s">
        <v>52</v>
      </c>
      <c r="AL2055" t="str">
        <f>HYPERLINK("https://i.ytimg.com/vi/9zxISPVOEls/sddefault.jpg")</f>
        <v>https://i.ytimg.com/vi/9zxISPVOEls/sddefault.jpg</v>
      </c>
      <c r="AM2055" t="s">
        <v>52</v>
      </c>
      <c r="AN2055" t="s">
        <v>53</v>
      </c>
    </row>
    <row r="2056" spans="1:40">
      <c r="A2056" t="s">
        <v>2370</v>
      </c>
      <c r="B2056" t="s">
        <v>7063</v>
      </c>
      <c r="C2056" t="s">
        <v>7064</v>
      </c>
      <c r="D2056" t="s">
        <v>52</v>
      </c>
      <c r="E2056" t="s">
        <v>7065</v>
      </c>
      <c r="F2056" t="s">
        <v>45</v>
      </c>
      <c r="G2056" t="str">
        <f>HYPERLINK("https://www.instagram.com/p/BzFqRSfnRql")</f>
        <v>https://www.instagram.com/p/BzFqRSfnRql</v>
      </c>
      <c r="H2056" t="s">
        <v>46</v>
      </c>
      <c r="I2056" t="s">
        <v>7066</v>
      </c>
      <c r="J2056" t="str">
        <f>HYPERLINK("http://instagram.com/cutecoupleinspo")</f>
        <v>http://instagram.com/cutecoupleinspo</v>
      </c>
      <c r="K2056">
        <v>3</v>
      </c>
      <c r="N2056" t="s">
        <v>59</v>
      </c>
      <c r="O2056" t="s">
        <v>7066</v>
      </c>
      <c r="P2056" t="str">
        <f>HYPERLINK("http://instagram.com/cutecoupleinspo")</f>
        <v>http://instagram.com/cutecoupleinspo</v>
      </c>
      <c r="Q2056">
        <v>3</v>
      </c>
      <c r="R2056" t="s">
        <v>60</v>
      </c>
      <c r="W2056">
        <v>15</v>
      </c>
      <c r="X2056">
        <v>15</v>
      </c>
      <c r="AE2056">
        <v>0</v>
      </c>
      <c r="AI2056" t="s">
        <v>108</v>
      </c>
      <c r="AJ2056" t="s">
        <v>52</v>
      </c>
      <c r="AK2056" t="s">
        <v>52</v>
      </c>
      <c r="AL2056" t="str">
        <f>HYPERLINK("https://www.instagram.com/p/BzFqRSfnRql/media/?size=l")</f>
        <v>https://www.instagram.com/p/BzFqRSfnRql/media/?size=l</v>
      </c>
      <c r="AM2056" t="s">
        <v>52</v>
      </c>
      <c r="AN2056" t="s">
        <v>53</v>
      </c>
    </row>
    <row r="2057" spans="1:40">
      <c r="A2057" t="s">
        <v>2370</v>
      </c>
      <c r="B2057" t="s">
        <v>7063</v>
      </c>
      <c r="C2057" t="s">
        <v>7046</v>
      </c>
      <c r="D2057" t="s">
        <v>52</v>
      </c>
      <c r="E2057" t="s">
        <v>5686</v>
      </c>
      <c r="F2057" t="s">
        <v>131</v>
      </c>
      <c r="G2057" t="str">
        <f>HYPERLINK("https://twitter.com/1052471895445114880/status/1143096999354540032")</f>
        <v>https://twitter.com/1052471895445114880/status/1143096999354540032</v>
      </c>
      <c r="H2057" t="s">
        <v>46</v>
      </c>
      <c r="I2057" t="s">
        <v>7067</v>
      </c>
      <c r="J2057" t="str">
        <f>HYPERLINK("http://twitter.com/i_gwinsie")</f>
        <v>http://twitter.com/i_gwinsie</v>
      </c>
      <c r="K2057">
        <v>2110</v>
      </c>
      <c r="N2057" t="s">
        <v>65</v>
      </c>
      <c r="R2057" t="s">
        <v>60</v>
      </c>
      <c r="S2057" t="s">
        <v>1071</v>
      </c>
      <c r="T2057" t="s">
        <v>5506</v>
      </c>
      <c r="U2057" t="s">
        <v>5507</v>
      </c>
      <c r="W2057">
        <v>0</v>
      </c>
      <c r="X2057">
        <v>0</v>
      </c>
      <c r="AE2057">
        <v>0</v>
      </c>
      <c r="AI2057" t="s">
        <v>52</v>
      </c>
      <c r="AJ2057" t="s">
        <v>52</v>
      </c>
      <c r="AK2057" t="s">
        <v>2278</v>
      </c>
      <c r="AL2057" t="str">
        <f>HYPERLINK("https://pbs.twimg.com/media/D90Ty0DXkAAZYgL.jpg")</f>
        <v>https://pbs.twimg.com/media/D90Ty0DXkAAZYgL.jpg</v>
      </c>
      <c r="AM2057" t="s">
        <v>52</v>
      </c>
      <c r="AN2057" t="s">
        <v>53</v>
      </c>
    </row>
    <row r="2058" spans="1:40">
      <c r="A2058" t="s">
        <v>2370</v>
      </c>
      <c r="B2058" t="s">
        <v>7068</v>
      </c>
      <c r="C2058" t="s">
        <v>7069</v>
      </c>
      <c r="D2058" t="s">
        <v>52</v>
      </c>
      <c r="E2058" t="s">
        <v>130</v>
      </c>
      <c r="F2058" t="s">
        <v>131</v>
      </c>
      <c r="G2058" t="str">
        <f>HYPERLINK("https://twitter.com/310764695/status/1143096877166059520")</f>
        <v>https://twitter.com/310764695/status/1143096877166059520</v>
      </c>
      <c r="H2058" t="s">
        <v>46</v>
      </c>
      <c r="I2058" t="s">
        <v>7070</v>
      </c>
      <c r="J2058" t="str">
        <f>HYPERLINK("http://twitter.com/lucyrobinson3")</f>
        <v>http://twitter.com/lucyrobinson3</v>
      </c>
      <c r="K2058">
        <v>971</v>
      </c>
      <c r="N2058" t="s">
        <v>65</v>
      </c>
      <c r="R2058" t="s">
        <v>60</v>
      </c>
      <c r="S2058" t="s">
        <v>97</v>
      </c>
      <c r="T2058" t="s">
        <v>177</v>
      </c>
      <c r="W2058">
        <v>0</v>
      </c>
      <c r="X2058">
        <v>0</v>
      </c>
      <c r="AE2058">
        <v>0</v>
      </c>
      <c r="AI2058" t="s">
        <v>108</v>
      </c>
      <c r="AJ2058" t="s">
        <v>52</v>
      </c>
      <c r="AK2058" t="s">
        <v>52</v>
      </c>
      <c r="AL2058" t="str">
        <f>HYPERLINK("https://pbs.twimg.com/media/D9XTkLWW4AAOYnJ.jpg")</f>
        <v>https://pbs.twimg.com/media/D9XTkLWW4AAOYnJ.jpg</v>
      </c>
      <c r="AM2058" t="s">
        <v>52</v>
      </c>
      <c r="AN2058" t="s">
        <v>53</v>
      </c>
    </row>
    <row r="2059" spans="1:40">
      <c r="A2059" t="s">
        <v>2370</v>
      </c>
      <c r="B2059" t="s">
        <v>7068</v>
      </c>
      <c r="C2059" t="s">
        <v>7071</v>
      </c>
      <c r="D2059" t="s">
        <v>52</v>
      </c>
      <c r="E2059" t="s">
        <v>1194</v>
      </c>
      <c r="F2059" t="s">
        <v>131</v>
      </c>
      <c r="G2059" t="str">
        <f>HYPERLINK("https://twitter.com/92223894/status/1143096804994478081")</f>
        <v>https://twitter.com/92223894/status/1143096804994478081</v>
      </c>
      <c r="H2059" t="s">
        <v>46</v>
      </c>
      <c r="I2059" t="s">
        <v>7072</v>
      </c>
      <c r="J2059" t="str">
        <f>HYPERLINK("http://twitter.com/AkuDennis")</f>
        <v>http://twitter.com/AkuDennis</v>
      </c>
      <c r="K2059">
        <v>763</v>
      </c>
      <c r="N2059" t="s">
        <v>65</v>
      </c>
      <c r="R2059" t="s">
        <v>60</v>
      </c>
      <c r="W2059">
        <v>0</v>
      </c>
      <c r="X2059">
        <v>0</v>
      </c>
      <c r="AE2059">
        <v>0</v>
      </c>
      <c r="AI2059" t="s">
        <v>52</v>
      </c>
      <c r="AJ2059" t="s">
        <v>1196</v>
      </c>
      <c r="AK2059" t="s">
        <v>52</v>
      </c>
      <c r="AL2059" t="str">
        <f>HYPERLINK("https://pbs.twimg.com/media/D9xgk2YXkAAd2ql.jpg")</f>
        <v>https://pbs.twimg.com/media/D9xgk2YXkAAd2ql.jpg</v>
      </c>
      <c r="AM2059" t="s">
        <v>52</v>
      </c>
      <c r="AN2059" t="s">
        <v>53</v>
      </c>
    </row>
    <row r="2060" spans="1:40">
      <c r="A2060" t="s">
        <v>2370</v>
      </c>
      <c r="B2060" t="s">
        <v>7068</v>
      </c>
      <c r="C2060" t="s">
        <v>7069</v>
      </c>
      <c r="D2060" t="s">
        <v>52</v>
      </c>
      <c r="E2060" t="s">
        <v>7073</v>
      </c>
      <c r="F2060" t="s">
        <v>71</v>
      </c>
      <c r="G2060" t="str">
        <f>HYPERLINK("https://twitter.com/284972129/status/1143096774661480448")</f>
        <v>https://twitter.com/284972129/status/1143096774661480448</v>
      </c>
      <c r="H2060" t="s">
        <v>46</v>
      </c>
      <c r="I2060" t="s">
        <v>7074</v>
      </c>
      <c r="J2060" t="str">
        <f>HYPERLINK("http://twitter.com/SphiweNW_GP")</f>
        <v>http://twitter.com/SphiweNW_GP</v>
      </c>
      <c r="K2060">
        <v>2186</v>
      </c>
      <c r="N2060" t="s">
        <v>65</v>
      </c>
      <c r="R2060" t="s">
        <v>60</v>
      </c>
      <c r="S2060" t="s">
        <v>51</v>
      </c>
      <c r="T2060" t="s">
        <v>66</v>
      </c>
      <c r="U2060" t="s">
        <v>7075</v>
      </c>
      <c r="W2060">
        <v>0</v>
      </c>
      <c r="X2060">
        <v>0</v>
      </c>
      <c r="AE2060">
        <v>0</v>
      </c>
      <c r="AF2060">
        <v>0</v>
      </c>
      <c r="AI2060" t="s">
        <v>108</v>
      </c>
      <c r="AJ2060" t="s">
        <v>52</v>
      </c>
      <c r="AK2060" t="s">
        <v>52</v>
      </c>
      <c r="AL2060" t="str">
        <f>HYPERLINK("https://pbs.twimg.com/media/D9sAXHUX4AA6vJs.jpg")</f>
        <v>https://pbs.twimg.com/media/D9sAXHUX4AA6vJs.jpg</v>
      </c>
      <c r="AM2060" t="s">
        <v>52</v>
      </c>
      <c r="AN2060" t="s">
        <v>53</v>
      </c>
    </row>
    <row r="2061" spans="1:40">
      <c r="A2061" t="s">
        <v>2370</v>
      </c>
      <c r="B2061" t="s">
        <v>7068</v>
      </c>
      <c r="C2061" t="s">
        <v>7069</v>
      </c>
      <c r="D2061" t="s">
        <v>52</v>
      </c>
      <c r="E2061" t="s">
        <v>7076</v>
      </c>
      <c r="F2061" t="s">
        <v>131</v>
      </c>
      <c r="G2061" t="str">
        <f>HYPERLINK("https://twitter.com/1078087718440259586/status/1143096754528763904")</f>
        <v>https://twitter.com/1078087718440259586/status/1143096754528763904</v>
      </c>
      <c r="H2061" t="s">
        <v>46</v>
      </c>
      <c r="I2061" t="s">
        <v>7077</v>
      </c>
      <c r="J2061" t="str">
        <f>HYPERLINK("http://twitter.com/imjustAkidbruhh")</f>
        <v>http://twitter.com/imjustAkidbruhh</v>
      </c>
      <c r="K2061">
        <v>237</v>
      </c>
      <c r="N2061" t="s">
        <v>65</v>
      </c>
      <c r="R2061" t="s">
        <v>60</v>
      </c>
      <c r="S2061" t="s">
        <v>7078</v>
      </c>
      <c r="T2061" t="s">
        <v>7079</v>
      </c>
      <c r="U2061" t="s">
        <v>7080</v>
      </c>
      <c r="W2061">
        <v>0</v>
      </c>
      <c r="X2061">
        <v>0</v>
      </c>
      <c r="AE2061">
        <v>0</v>
      </c>
      <c r="AI2061" t="s">
        <v>52</v>
      </c>
      <c r="AJ2061" t="s">
        <v>7081</v>
      </c>
      <c r="AK2061" t="s">
        <v>7082</v>
      </c>
      <c r="AL2061" t="str">
        <f>HYPERLINK("https://pbs.twimg.com/media/D7BVoA9W0AEmCr4.jpg")</f>
        <v>https://pbs.twimg.com/media/D7BVoA9W0AEmCr4.jpg</v>
      </c>
      <c r="AM2061" t="s">
        <v>52</v>
      </c>
      <c r="AN2061" t="s">
        <v>53</v>
      </c>
    </row>
    <row r="2062" spans="1:40">
      <c r="A2062" t="s">
        <v>2370</v>
      </c>
      <c r="B2062" t="s">
        <v>1188</v>
      </c>
      <c r="C2062" t="s">
        <v>7083</v>
      </c>
      <c r="D2062" t="s">
        <v>52</v>
      </c>
      <c r="E2062" t="s">
        <v>5927</v>
      </c>
      <c r="F2062" t="s">
        <v>131</v>
      </c>
      <c r="G2062" t="str">
        <f>HYPERLINK("https://twitter.com/965097592186052608/status/1143096357017677824")</f>
        <v>https://twitter.com/965097592186052608/status/1143096357017677824</v>
      </c>
      <c r="H2062" t="s">
        <v>46</v>
      </c>
      <c r="I2062" t="s">
        <v>7084</v>
      </c>
      <c r="J2062" t="str">
        <f>HYPERLINK("http://twitter.com/RealDisapointed")</f>
        <v>http://twitter.com/RealDisapointed</v>
      </c>
      <c r="K2062">
        <v>1</v>
      </c>
      <c r="N2062" t="s">
        <v>65</v>
      </c>
      <c r="R2062" t="s">
        <v>60</v>
      </c>
      <c r="S2062" t="s">
        <v>774</v>
      </c>
      <c r="T2062" t="s">
        <v>2887</v>
      </c>
      <c r="U2062" t="s">
        <v>6466</v>
      </c>
      <c r="W2062">
        <v>0</v>
      </c>
      <c r="X2062">
        <v>0</v>
      </c>
      <c r="AE2062">
        <v>0</v>
      </c>
      <c r="AM2062" t="s">
        <v>52</v>
      </c>
      <c r="AN2062" t="s">
        <v>53</v>
      </c>
    </row>
    <row r="2063" spans="1:40">
      <c r="A2063" t="s">
        <v>2370</v>
      </c>
      <c r="B2063" t="s">
        <v>1188</v>
      </c>
      <c r="C2063" t="s">
        <v>7083</v>
      </c>
      <c r="D2063" t="s">
        <v>52</v>
      </c>
      <c r="E2063" t="s">
        <v>7085</v>
      </c>
      <c r="F2063" t="s">
        <v>95</v>
      </c>
      <c r="G2063" t="str">
        <f>HYPERLINK("https://twitter.com/128403359/status/1143096285890842624")</f>
        <v>https://twitter.com/128403359/status/1143096285890842624</v>
      </c>
      <c r="H2063" t="s">
        <v>46</v>
      </c>
      <c r="I2063" t="s">
        <v>7086</v>
      </c>
      <c r="J2063" t="str">
        <f>HYPERLINK("http://twitter.com/TexasGal1125")</f>
        <v>http://twitter.com/TexasGal1125</v>
      </c>
      <c r="K2063">
        <v>6521</v>
      </c>
      <c r="N2063" t="s">
        <v>65</v>
      </c>
      <c r="R2063" t="s">
        <v>60</v>
      </c>
      <c r="S2063" t="s">
        <v>51</v>
      </c>
      <c r="T2063" t="s">
        <v>152</v>
      </c>
      <c r="W2063">
        <v>0</v>
      </c>
      <c r="X2063">
        <v>0</v>
      </c>
      <c r="AE2063">
        <v>0</v>
      </c>
      <c r="AF2063">
        <v>0</v>
      </c>
      <c r="AM2063" t="s">
        <v>52</v>
      </c>
      <c r="AN2063" t="s">
        <v>53</v>
      </c>
    </row>
    <row r="2064" spans="1:40">
      <c r="A2064" t="s">
        <v>2370</v>
      </c>
      <c r="B2064" t="s">
        <v>7087</v>
      </c>
      <c r="C2064" t="s">
        <v>7071</v>
      </c>
      <c r="D2064" t="s">
        <v>52</v>
      </c>
      <c r="E2064" t="s">
        <v>7088</v>
      </c>
      <c r="F2064" t="s">
        <v>95</v>
      </c>
      <c r="G2064" t="str">
        <f>HYPERLINK("https://twitter.com/3439727776/status/1143095041726066689")</f>
        <v>https://twitter.com/3439727776/status/1143095041726066689</v>
      </c>
      <c r="H2064" t="s">
        <v>46</v>
      </c>
      <c r="I2064" t="s">
        <v>7089</v>
      </c>
      <c r="J2064" t="str">
        <f>HYPERLINK("http://twitter.com/Thela28")</f>
        <v>http://twitter.com/Thela28</v>
      </c>
      <c r="K2064">
        <v>879</v>
      </c>
      <c r="N2064" t="s">
        <v>65</v>
      </c>
      <c r="R2064" t="s">
        <v>60</v>
      </c>
      <c r="S2064" t="s">
        <v>1071</v>
      </c>
      <c r="T2064" t="s">
        <v>7090</v>
      </c>
      <c r="W2064">
        <v>1</v>
      </c>
      <c r="X2064">
        <v>1</v>
      </c>
      <c r="AE2064">
        <v>1</v>
      </c>
      <c r="AF2064">
        <v>0</v>
      </c>
      <c r="AI2064" t="s">
        <v>52</v>
      </c>
      <c r="AJ2064" t="s">
        <v>52</v>
      </c>
      <c r="AK2064" t="s">
        <v>7091</v>
      </c>
      <c r="AL2064" t="str">
        <f>HYPERLINK("https://pbs.twimg.com/media/D90W3zhXUAAbQHv.jpg")</f>
        <v>https://pbs.twimg.com/media/D90W3zhXUAAbQHv.jpg</v>
      </c>
      <c r="AM2064" t="s">
        <v>52</v>
      </c>
      <c r="AN2064" t="s">
        <v>53</v>
      </c>
    </row>
    <row r="2065" spans="1:40">
      <c r="A2065" t="s">
        <v>2370</v>
      </c>
      <c r="B2065" t="s">
        <v>7087</v>
      </c>
      <c r="C2065" t="s">
        <v>7092</v>
      </c>
      <c r="D2065" t="s">
        <v>7093</v>
      </c>
      <c r="E2065" t="s">
        <v>7094</v>
      </c>
      <c r="F2065" t="s">
        <v>45</v>
      </c>
      <c r="G2065" t="str">
        <f>HYPERLINK("https://www.youtube.com/watch?v=-bziXtDjc8w")</f>
        <v>https://www.youtube.com/watch?v=-bziXtDjc8w</v>
      </c>
      <c r="H2065" t="s">
        <v>46</v>
      </c>
      <c r="I2065" t="s">
        <v>7095</v>
      </c>
      <c r="J2065" t="str">
        <f>HYPERLINK("https://www.youtube.com/channel/UCiXnYhmzpTfWJ-V5HZuY49Q")</f>
        <v>https://www.youtube.com/channel/UCiXnYhmzpTfWJ-V5HZuY49Q</v>
      </c>
      <c r="K2065">
        <v>5512</v>
      </c>
      <c r="L2065" t="s">
        <v>48</v>
      </c>
      <c r="N2065" t="s">
        <v>116</v>
      </c>
      <c r="O2065" t="s">
        <v>7095</v>
      </c>
      <c r="P2065" t="str">
        <f>HYPERLINK("https://www.youtube.com/channel/UCiXnYhmzpTfWJ-V5HZuY49Q")</f>
        <v>https://www.youtube.com/channel/UCiXnYhmzpTfWJ-V5HZuY49Q</v>
      </c>
      <c r="Q2065">
        <v>5512</v>
      </c>
      <c r="R2065" t="s">
        <v>60</v>
      </c>
      <c r="W2065">
        <v>25</v>
      </c>
      <c r="X2065">
        <v>25</v>
      </c>
      <c r="AD2065">
        <v>0</v>
      </c>
      <c r="AE2065">
        <v>10</v>
      </c>
      <c r="AG2065">
        <v>113</v>
      </c>
      <c r="AI2065" t="s">
        <v>52</v>
      </c>
      <c r="AJ2065" t="s">
        <v>268</v>
      </c>
      <c r="AK2065" t="s">
        <v>52</v>
      </c>
      <c r="AL2065" t="str">
        <f>HYPERLINK("https://i.ytimg.com/vi/-bziXtDjc8w/hqdefault.jpg")</f>
        <v>https://i.ytimg.com/vi/-bziXtDjc8w/hqdefault.jpg</v>
      </c>
      <c r="AM2065" t="s">
        <v>52</v>
      </c>
      <c r="AN2065" t="s">
        <v>53</v>
      </c>
    </row>
    <row r="2066" spans="1:40">
      <c r="A2066" t="s">
        <v>2370</v>
      </c>
      <c r="B2066" t="s">
        <v>7096</v>
      </c>
      <c r="C2066" t="s">
        <v>7097</v>
      </c>
      <c r="D2066" t="s">
        <v>52</v>
      </c>
      <c r="E2066" t="s">
        <v>7098</v>
      </c>
      <c r="F2066" t="s">
        <v>131</v>
      </c>
      <c r="G2066" t="str">
        <f>HYPERLINK("https://twitter.com/901054298183872513/status/1143094721671290880")</f>
        <v>https://twitter.com/901054298183872513/status/1143094721671290880</v>
      </c>
      <c r="H2066" t="s">
        <v>215</v>
      </c>
      <c r="I2066" t="s">
        <v>7099</v>
      </c>
      <c r="J2066" t="str">
        <f>HYPERLINK("http://twitter.com/charmainewicks4")</f>
        <v>http://twitter.com/charmainewicks4</v>
      </c>
      <c r="K2066">
        <v>1</v>
      </c>
      <c r="N2066" t="s">
        <v>65</v>
      </c>
      <c r="R2066" t="s">
        <v>60</v>
      </c>
      <c r="W2066">
        <v>0</v>
      </c>
      <c r="X2066">
        <v>0</v>
      </c>
      <c r="AE2066">
        <v>0</v>
      </c>
      <c r="AI2066" t="s">
        <v>108</v>
      </c>
      <c r="AJ2066" t="s">
        <v>4898</v>
      </c>
      <c r="AK2066" t="s">
        <v>52</v>
      </c>
      <c r="AL2066" t="str">
        <f>HYPERLINK("https://pbs.twimg.com/ext_tw_video_thumb/1139606642172026880/pu/img/s5GpULKAthC14gHN.jpg")</f>
        <v>https://pbs.twimg.com/ext_tw_video_thumb/1139606642172026880/pu/img/s5GpULKAthC14gHN.jpg</v>
      </c>
      <c r="AM2066" t="s">
        <v>52</v>
      </c>
      <c r="AN2066" t="s">
        <v>53</v>
      </c>
    </row>
    <row r="2067" spans="1:40">
      <c r="A2067" t="s">
        <v>2370</v>
      </c>
      <c r="B2067" t="s">
        <v>7100</v>
      </c>
      <c r="C2067" t="s">
        <v>7101</v>
      </c>
      <c r="D2067" t="s">
        <v>52</v>
      </c>
      <c r="E2067" t="s">
        <v>7102</v>
      </c>
      <c r="F2067" t="s">
        <v>45</v>
      </c>
      <c r="G2067" t="str">
        <f>HYPERLINK("https://www.instagram.com/p/BzFo1VWHE8j")</f>
        <v>https://www.instagram.com/p/BzFo1VWHE8j</v>
      </c>
      <c r="H2067" t="s">
        <v>46</v>
      </c>
      <c r="I2067" t="s">
        <v>7103</v>
      </c>
      <c r="J2067" t="str">
        <f>HYPERLINK("http://instagram.com/djpauly.d.fan.page")</f>
        <v>http://instagram.com/djpauly.d.fan.page</v>
      </c>
      <c r="K2067">
        <v>18097</v>
      </c>
      <c r="N2067" t="s">
        <v>59</v>
      </c>
      <c r="O2067" t="s">
        <v>7103</v>
      </c>
      <c r="P2067" t="str">
        <f>HYPERLINK("http://instagram.com/djpauly.d.fan.page")</f>
        <v>http://instagram.com/djpauly.d.fan.page</v>
      </c>
      <c r="Q2067">
        <v>18097</v>
      </c>
      <c r="R2067" t="s">
        <v>60</v>
      </c>
      <c r="S2067" t="s">
        <v>51</v>
      </c>
      <c r="T2067" t="s">
        <v>137</v>
      </c>
      <c r="U2067" t="s">
        <v>862</v>
      </c>
      <c r="W2067">
        <v>111</v>
      </c>
      <c r="X2067">
        <v>111</v>
      </c>
      <c r="AE2067">
        <v>2</v>
      </c>
      <c r="AI2067" t="s">
        <v>52</v>
      </c>
      <c r="AJ2067" t="s">
        <v>5656</v>
      </c>
      <c r="AK2067" t="s">
        <v>52</v>
      </c>
      <c r="AL2067" t="str">
        <f>HYPERLINK("https://www.instagram.com/p/BzFo1VWHE8j/media/?size=l")</f>
        <v>https://www.instagram.com/p/BzFo1VWHE8j/media/?size=l</v>
      </c>
      <c r="AM2067" t="s">
        <v>52</v>
      </c>
      <c r="AN2067" t="s">
        <v>53</v>
      </c>
    </row>
    <row r="2068" spans="1:40">
      <c r="A2068" t="s">
        <v>2370</v>
      </c>
      <c r="B2068" t="s">
        <v>7104</v>
      </c>
      <c r="C2068" t="s">
        <v>7105</v>
      </c>
      <c r="D2068" t="s">
        <v>52</v>
      </c>
      <c r="E2068" t="s">
        <v>5686</v>
      </c>
      <c r="F2068" t="s">
        <v>131</v>
      </c>
      <c r="G2068" t="str">
        <f>HYPERLINK("https://twitter.com/939577811140009984/status/1143093695203434496")</f>
        <v>https://twitter.com/939577811140009984/status/1143093695203434496</v>
      </c>
      <c r="H2068" t="s">
        <v>46</v>
      </c>
      <c r="I2068" t="s">
        <v>7106</v>
      </c>
      <c r="J2068" t="str">
        <f>HYPERLINK("http://twitter.com/Thembela_tee")</f>
        <v>http://twitter.com/Thembela_tee</v>
      </c>
      <c r="K2068">
        <v>13275</v>
      </c>
      <c r="N2068" t="s">
        <v>65</v>
      </c>
      <c r="R2068" t="s">
        <v>60</v>
      </c>
      <c r="S2068" t="s">
        <v>1071</v>
      </c>
      <c r="T2068" t="s">
        <v>7090</v>
      </c>
      <c r="U2068" t="s">
        <v>7107</v>
      </c>
      <c r="W2068">
        <v>0</v>
      </c>
      <c r="X2068">
        <v>0</v>
      </c>
      <c r="AE2068">
        <v>0</v>
      </c>
      <c r="AI2068" t="s">
        <v>52</v>
      </c>
      <c r="AJ2068" t="s">
        <v>52</v>
      </c>
      <c r="AK2068" t="s">
        <v>2278</v>
      </c>
      <c r="AL2068" t="str">
        <f>HYPERLINK("https://pbs.twimg.com/media/D90Ty0DXkAAZYgL.jpg")</f>
        <v>https://pbs.twimg.com/media/D90Ty0DXkAAZYgL.jpg</v>
      </c>
      <c r="AM2068" t="s">
        <v>52</v>
      </c>
      <c r="AN2068" t="s">
        <v>53</v>
      </c>
    </row>
    <row r="2069" spans="1:40">
      <c r="A2069" t="s">
        <v>2370</v>
      </c>
      <c r="B2069" t="s">
        <v>7104</v>
      </c>
      <c r="C2069" t="s">
        <v>7105</v>
      </c>
      <c r="D2069" t="s">
        <v>52</v>
      </c>
      <c r="E2069" t="s">
        <v>7108</v>
      </c>
      <c r="F2069" t="s">
        <v>45</v>
      </c>
      <c r="G2069" t="str">
        <f>HYPERLINK("https://twitter.com/1115960961469505536/status/1143093670440316928")</f>
        <v>https://twitter.com/1115960961469505536/status/1143093670440316928</v>
      </c>
      <c r="H2069" t="s">
        <v>215</v>
      </c>
      <c r="I2069" t="s">
        <v>7109</v>
      </c>
      <c r="J2069" t="str">
        <f>HYPERLINK("http://twitter.com/joseIumato")</f>
        <v>http://twitter.com/joseIumato</v>
      </c>
      <c r="K2069">
        <v>105</v>
      </c>
      <c r="N2069" t="s">
        <v>65</v>
      </c>
      <c r="R2069" t="s">
        <v>60</v>
      </c>
      <c r="W2069">
        <v>0</v>
      </c>
      <c r="X2069">
        <v>0</v>
      </c>
      <c r="AE2069">
        <v>0</v>
      </c>
      <c r="AF2069">
        <v>0</v>
      </c>
      <c r="AM2069" t="s">
        <v>52</v>
      </c>
      <c r="AN2069" t="s">
        <v>53</v>
      </c>
    </row>
    <row r="2070" spans="1:40">
      <c r="A2070" t="s">
        <v>2370</v>
      </c>
      <c r="B2070" t="s">
        <v>7110</v>
      </c>
      <c r="C2070" t="s">
        <v>7111</v>
      </c>
      <c r="D2070" t="s">
        <v>52</v>
      </c>
      <c r="E2070" t="s">
        <v>7112</v>
      </c>
      <c r="F2070" t="s">
        <v>71</v>
      </c>
      <c r="G2070" t="str">
        <f>HYPERLINK("https://twitter.com/1136595120583860225/status/1143093594468823040")</f>
        <v>https://twitter.com/1136595120583860225/status/1143093594468823040</v>
      </c>
      <c r="H2070" t="s">
        <v>46</v>
      </c>
      <c r="I2070" t="s">
        <v>7113</v>
      </c>
      <c r="J2070" t="str">
        <f>HYPERLINK("http://twitter.com/percy_darnell")</f>
        <v>http://twitter.com/percy_darnell</v>
      </c>
      <c r="K2070">
        <v>333</v>
      </c>
      <c r="L2070" t="s">
        <v>48</v>
      </c>
      <c r="N2070" t="s">
        <v>65</v>
      </c>
      <c r="R2070" t="s">
        <v>60</v>
      </c>
      <c r="S2070" t="s">
        <v>1071</v>
      </c>
      <c r="T2070" t="s">
        <v>5506</v>
      </c>
      <c r="U2070" t="s">
        <v>5507</v>
      </c>
      <c r="W2070">
        <v>0</v>
      </c>
      <c r="X2070">
        <v>0</v>
      </c>
      <c r="AE2070">
        <v>0</v>
      </c>
      <c r="AF2070">
        <v>0</v>
      </c>
      <c r="AI2070" t="s">
        <v>52</v>
      </c>
      <c r="AJ2070" t="s">
        <v>52</v>
      </c>
      <c r="AK2070" t="s">
        <v>2278</v>
      </c>
      <c r="AL2070" t="str">
        <f>HYPERLINK("https://pbs.twimg.com/media/D90Ty0DXkAAZYgL.jpg")</f>
        <v>https://pbs.twimg.com/media/D90Ty0DXkAAZYgL.jpg</v>
      </c>
      <c r="AM2070" t="s">
        <v>52</v>
      </c>
      <c r="AN2070" t="s">
        <v>53</v>
      </c>
    </row>
    <row r="2071" spans="1:40">
      <c r="A2071" t="s">
        <v>2370</v>
      </c>
      <c r="B2071" t="s">
        <v>1228</v>
      </c>
      <c r="C2071" t="s">
        <v>7114</v>
      </c>
      <c r="D2071" t="s">
        <v>52</v>
      </c>
      <c r="E2071" t="s">
        <v>130</v>
      </c>
      <c r="F2071" t="s">
        <v>131</v>
      </c>
      <c r="G2071" t="str">
        <f>HYPERLINK("https://twitter.com/368815477/status/1143091560365600769")</f>
        <v>https://twitter.com/368815477/status/1143091560365600769</v>
      </c>
      <c r="H2071" t="s">
        <v>46</v>
      </c>
      <c r="I2071" t="s">
        <v>7115</v>
      </c>
      <c r="J2071" t="str">
        <f>HYPERLINK("http://twitter.com/worriedmum46")</f>
        <v>http://twitter.com/worriedmum46</v>
      </c>
      <c r="K2071">
        <v>613</v>
      </c>
      <c r="N2071" t="s">
        <v>65</v>
      </c>
      <c r="R2071" t="s">
        <v>60</v>
      </c>
      <c r="S2071" t="s">
        <v>97</v>
      </c>
      <c r="T2071" t="s">
        <v>177</v>
      </c>
      <c r="U2071" t="s">
        <v>395</v>
      </c>
      <c r="W2071">
        <v>0</v>
      </c>
      <c r="X2071">
        <v>0</v>
      </c>
      <c r="AE2071">
        <v>0</v>
      </c>
      <c r="AI2071" t="s">
        <v>108</v>
      </c>
      <c r="AJ2071" t="s">
        <v>52</v>
      </c>
      <c r="AK2071" t="s">
        <v>52</v>
      </c>
      <c r="AL2071" t="str">
        <f>HYPERLINK("https://pbs.twimg.com/media/D9XTkLWW4AAOYnJ.jpg")</f>
        <v>https://pbs.twimg.com/media/D9XTkLWW4AAOYnJ.jpg</v>
      </c>
      <c r="AM2071" t="s">
        <v>52</v>
      </c>
      <c r="AN2071" t="s">
        <v>53</v>
      </c>
    </row>
    <row r="2072" spans="1:40">
      <c r="A2072" t="s">
        <v>2370</v>
      </c>
      <c r="B2072" t="s">
        <v>7116</v>
      </c>
      <c r="C2072" t="s">
        <v>7117</v>
      </c>
      <c r="D2072" t="s">
        <v>52</v>
      </c>
      <c r="E2072" t="s">
        <v>7118</v>
      </c>
      <c r="F2072" t="s">
        <v>71</v>
      </c>
      <c r="G2072" t="str">
        <f>HYPERLINK("https://twitter.com/73884382/status/1143090953667919872")</f>
        <v>https://twitter.com/73884382/status/1143090953667919872</v>
      </c>
      <c r="H2072" t="s">
        <v>46</v>
      </c>
      <c r="I2072" t="s">
        <v>7119</v>
      </c>
      <c r="J2072" t="str">
        <f>HYPERLINK("http://twitter.com/IamClemoh")</f>
        <v>http://twitter.com/IamClemoh</v>
      </c>
      <c r="K2072">
        <v>717</v>
      </c>
      <c r="L2072" t="s">
        <v>48</v>
      </c>
      <c r="N2072" t="s">
        <v>65</v>
      </c>
      <c r="R2072" t="s">
        <v>60</v>
      </c>
      <c r="W2072">
        <v>0</v>
      </c>
      <c r="X2072">
        <v>0</v>
      </c>
      <c r="AE2072">
        <v>0</v>
      </c>
      <c r="AF2072">
        <v>0</v>
      </c>
      <c r="AI2072" t="s">
        <v>108</v>
      </c>
      <c r="AJ2072" t="s">
        <v>52</v>
      </c>
      <c r="AK2072" t="s">
        <v>52</v>
      </c>
      <c r="AL2072" t="str">
        <f>HYPERLINK("https://pbs.twimg.com/media/D9sAXHUX4AA6vJs.jpg")</f>
        <v>https://pbs.twimg.com/media/D9sAXHUX4AA6vJs.jpg</v>
      </c>
      <c r="AM2072" t="s">
        <v>52</v>
      </c>
      <c r="AN2072" t="s">
        <v>53</v>
      </c>
    </row>
    <row r="2073" spans="1:40">
      <c r="A2073" t="s">
        <v>2370</v>
      </c>
      <c r="B2073" t="s">
        <v>7120</v>
      </c>
      <c r="C2073" t="s">
        <v>7121</v>
      </c>
      <c r="D2073" t="s">
        <v>52</v>
      </c>
      <c r="E2073" t="s">
        <v>1194</v>
      </c>
      <c r="F2073" t="s">
        <v>131</v>
      </c>
      <c r="G2073" t="str">
        <f>HYPERLINK("https://twitter.com/3271330752/status/1143090846536835073")</f>
        <v>https://twitter.com/3271330752/status/1143090846536835073</v>
      </c>
      <c r="H2073" t="s">
        <v>46</v>
      </c>
      <c r="I2073" t="s">
        <v>7122</v>
      </c>
      <c r="J2073" t="str">
        <f>HYPERLINK("http://twitter.com/srnatakia")</f>
        <v>http://twitter.com/srnatakia</v>
      </c>
      <c r="K2073">
        <v>244</v>
      </c>
      <c r="N2073" t="s">
        <v>65</v>
      </c>
      <c r="R2073" t="s">
        <v>60</v>
      </c>
      <c r="S2073" t="s">
        <v>51</v>
      </c>
      <c r="T2073" t="s">
        <v>173</v>
      </c>
      <c r="U2073" t="s">
        <v>3886</v>
      </c>
      <c r="W2073">
        <v>0</v>
      </c>
      <c r="X2073">
        <v>0</v>
      </c>
      <c r="AE2073">
        <v>0</v>
      </c>
      <c r="AI2073" t="s">
        <v>52</v>
      </c>
      <c r="AJ2073" t="s">
        <v>1196</v>
      </c>
      <c r="AK2073" t="s">
        <v>52</v>
      </c>
      <c r="AL2073" t="str">
        <f>HYPERLINK("https://pbs.twimg.com/media/D9xgk2YXkAAd2ql.jpg")</f>
        <v>https://pbs.twimg.com/media/D9xgk2YXkAAd2ql.jpg</v>
      </c>
      <c r="AM2073" t="s">
        <v>52</v>
      </c>
      <c r="AN2073" t="s">
        <v>53</v>
      </c>
    </row>
    <row r="2074" spans="1:40">
      <c r="A2074" t="s">
        <v>2370</v>
      </c>
      <c r="B2074" t="s">
        <v>7123</v>
      </c>
      <c r="C2074" t="s">
        <v>7124</v>
      </c>
      <c r="D2074" t="s">
        <v>52</v>
      </c>
      <c r="E2074" t="s">
        <v>7125</v>
      </c>
      <c r="F2074" t="s">
        <v>45</v>
      </c>
      <c r="G2074" t="str">
        <f>HYPERLINK("https://twitter.com/1624925983/status/1143089813093924864")</f>
        <v>https://twitter.com/1624925983/status/1143089813093924864</v>
      </c>
      <c r="H2074" t="s">
        <v>46</v>
      </c>
      <c r="I2074" t="s">
        <v>7126</v>
      </c>
      <c r="J2074" t="str">
        <f>HYPERLINK("http://twitter.com/FlamingBot")</f>
        <v>http://twitter.com/FlamingBot</v>
      </c>
      <c r="K2074">
        <v>38</v>
      </c>
      <c r="N2074" t="s">
        <v>65</v>
      </c>
      <c r="R2074" t="s">
        <v>60</v>
      </c>
      <c r="W2074">
        <v>0</v>
      </c>
      <c r="X2074">
        <v>0</v>
      </c>
      <c r="AE2074">
        <v>0</v>
      </c>
      <c r="AF2074">
        <v>0</v>
      </c>
      <c r="AM2074" t="s">
        <v>52</v>
      </c>
      <c r="AN2074" t="s">
        <v>53</v>
      </c>
    </row>
    <row r="2075" spans="1:40">
      <c r="A2075" t="s">
        <v>2370</v>
      </c>
      <c r="B2075" t="s">
        <v>7123</v>
      </c>
      <c r="C2075" t="s">
        <v>7127</v>
      </c>
      <c r="D2075" t="s">
        <v>7128</v>
      </c>
      <c r="E2075" t="s">
        <v>7129</v>
      </c>
      <c r="F2075" t="s">
        <v>45</v>
      </c>
      <c r="G2075" t="str">
        <f>HYPERLINK("https://www.reddit.com/r/ChapoTrapHouse/comments/c485m4/youtube_still_sucks/?sort=new#thing_t1_erx2ofr")</f>
        <v>https://www.reddit.com/r/ChapoTrapHouse/comments/c485m4/youtube_still_sucks/?sort=new#thing_t1_erx2ofr</v>
      </c>
      <c r="H2075" t="s">
        <v>46</v>
      </c>
      <c r="I2075" t="s">
        <v>7130</v>
      </c>
      <c r="J2075" t="str">
        <f>HYPERLINK("https://www.reddit.com/r/ChapoTrapHouse/comments/c485m4/youtube_still_sucks/?sort=new#thing_t1_erx2ofr")</f>
        <v>https://www.reddit.com/r/ChapoTrapHouse/comments/c485m4/youtube_still_sucks/?sort=new#thing_t1_erx2ofr</v>
      </c>
      <c r="N2075" t="s">
        <v>545</v>
      </c>
      <c r="O2075" t="s">
        <v>7131</v>
      </c>
      <c r="P2075" t="str">
        <f>HYPERLINK("https://www.reddit.com/r/google")</f>
        <v>https://www.reddit.com/r/google</v>
      </c>
      <c r="R2075" t="s">
        <v>516</v>
      </c>
      <c r="S2075" t="s">
        <v>51</v>
      </c>
      <c r="AM2075" t="s">
        <v>52</v>
      </c>
      <c r="AN2075" t="s">
        <v>53</v>
      </c>
    </row>
    <row r="2076" spans="1:40">
      <c r="A2076" t="s">
        <v>2370</v>
      </c>
      <c r="B2076" t="s">
        <v>7132</v>
      </c>
      <c r="C2076" t="s">
        <v>7133</v>
      </c>
      <c r="D2076" t="s">
        <v>52</v>
      </c>
      <c r="E2076" t="s">
        <v>130</v>
      </c>
      <c r="F2076" t="s">
        <v>131</v>
      </c>
      <c r="G2076" t="str">
        <f>HYPERLINK("https://twitter.com/30423952/status/1143089146178785280")</f>
        <v>https://twitter.com/30423952/status/1143089146178785280</v>
      </c>
      <c r="H2076" t="s">
        <v>46</v>
      </c>
      <c r="I2076" t="s">
        <v>7134</v>
      </c>
      <c r="J2076" t="str">
        <f>HYPERLINK("http://twitter.com/pixie_rees")</f>
        <v>http://twitter.com/pixie_rees</v>
      </c>
      <c r="K2076">
        <v>2477</v>
      </c>
      <c r="N2076" t="s">
        <v>65</v>
      </c>
      <c r="R2076" t="s">
        <v>60</v>
      </c>
      <c r="S2076" t="s">
        <v>97</v>
      </c>
      <c r="T2076" t="s">
        <v>177</v>
      </c>
      <c r="U2076" t="s">
        <v>7135</v>
      </c>
      <c r="W2076">
        <v>0</v>
      </c>
      <c r="X2076">
        <v>0</v>
      </c>
      <c r="AE2076">
        <v>0</v>
      </c>
      <c r="AI2076" t="s">
        <v>108</v>
      </c>
      <c r="AJ2076" t="s">
        <v>52</v>
      </c>
      <c r="AK2076" t="s">
        <v>52</v>
      </c>
      <c r="AL2076" t="str">
        <f>HYPERLINK("https://pbs.twimg.com/media/D9XTkLWW4AAOYnJ.jpg")</f>
        <v>https://pbs.twimg.com/media/D9XTkLWW4AAOYnJ.jpg</v>
      </c>
      <c r="AM2076" t="s">
        <v>52</v>
      </c>
      <c r="AN2076" t="s">
        <v>53</v>
      </c>
    </row>
    <row r="2077" spans="1:40">
      <c r="A2077" t="s">
        <v>2370</v>
      </c>
      <c r="B2077" t="s">
        <v>7136</v>
      </c>
      <c r="C2077" t="s">
        <v>7137</v>
      </c>
      <c r="D2077" t="s">
        <v>52</v>
      </c>
      <c r="E2077" t="s">
        <v>7138</v>
      </c>
      <c r="F2077" t="s">
        <v>95</v>
      </c>
      <c r="G2077" t="str">
        <f>HYPERLINK("https://twitter.com/4851680649/status/1143088835020099584")</f>
        <v>https://twitter.com/4851680649/status/1143088835020099584</v>
      </c>
      <c r="H2077" t="s">
        <v>46</v>
      </c>
      <c r="I2077" t="s">
        <v>7139</v>
      </c>
      <c r="J2077" t="str">
        <f>HYPERLINK("http://twitter.com/ottoecamn")</f>
        <v>http://twitter.com/ottoecamn</v>
      </c>
      <c r="K2077">
        <v>1</v>
      </c>
      <c r="N2077" t="s">
        <v>65</v>
      </c>
      <c r="R2077" t="s">
        <v>60</v>
      </c>
      <c r="W2077">
        <v>0</v>
      </c>
      <c r="X2077">
        <v>0</v>
      </c>
      <c r="AE2077">
        <v>0</v>
      </c>
      <c r="AF2077">
        <v>0</v>
      </c>
      <c r="AM2077" t="s">
        <v>52</v>
      </c>
      <c r="AN2077" t="s">
        <v>53</v>
      </c>
    </row>
    <row r="2078" spans="1:40">
      <c r="A2078" t="s">
        <v>2370</v>
      </c>
      <c r="B2078" t="s">
        <v>7136</v>
      </c>
      <c r="C2078" t="s">
        <v>7140</v>
      </c>
      <c r="D2078" t="s">
        <v>52</v>
      </c>
      <c r="E2078" t="s">
        <v>7141</v>
      </c>
      <c r="F2078" t="s">
        <v>45</v>
      </c>
      <c r="G2078" t="str">
        <f>HYPERLINK("https://twitter.com/624196181/status/1143088754699059200")</f>
        <v>https://twitter.com/624196181/status/1143088754699059200</v>
      </c>
      <c r="H2078" t="s">
        <v>215</v>
      </c>
      <c r="I2078" t="s">
        <v>7142</v>
      </c>
      <c r="J2078" t="str">
        <f>HYPERLINK("http://twitter.com/mayhthr")</f>
        <v>http://twitter.com/mayhthr</v>
      </c>
      <c r="K2078">
        <v>182</v>
      </c>
      <c r="N2078" t="s">
        <v>65</v>
      </c>
      <c r="R2078" t="s">
        <v>60</v>
      </c>
      <c r="S2078" t="s">
        <v>2226</v>
      </c>
      <c r="W2078">
        <v>12</v>
      </c>
      <c r="X2078">
        <v>12</v>
      </c>
      <c r="AE2078">
        <v>2</v>
      </c>
      <c r="AF2078">
        <v>0</v>
      </c>
      <c r="AM2078" t="s">
        <v>52</v>
      </c>
      <c r="AN2078" t="s">
        <v>53</v>
      </c>
    </row>
    <row r="2079" spans="1:40">
      <c r="A2079" t="s">
        <v>2370</v>
      </c>
      <c r="B2079" t="s">
        <v>7136</v>
      </c>
      <c r="C2079" t="s">
        <v>7143</v>
      </c>
      <c r="D2079" t="s">
        <v>52</v>
      </c>
      <c r="E2079" t="s">
        <v>7144</v>
      </c>
      <c r="F2079" t="s">
        <v>45</v>
      </c>
      <c r="G2079" t="str">
        <f>HYPERLINK("https://www.instagram.com/p/BzFmZ2Whqjq")</f>
        <v>https://www.instagram.com/p/BzFmZ2Whqjq</v>
      </c>
      <c r="H2079" t="s">
        <v>46</v>
      </c>
      <c r="I2079" t="s">
        <v>7145</v>
      </c>
      <c r="J2079" t="str">
        <f>HYPERLINK("http://instagram.com/everythingaustophil")</f>
        <v>http://instagram.com/everythingaustophil</v>
      </c>
      <c r="K2079">
        <v>1513</v>
      </c>
      <c r="N2079" t="s">
        <v>59</v>
      </c>
      <c r="O2079" t="s">
        <v>7145</v>
      </c>
      <c r="P2079" t="str">
        <f>HYPERLINK("http://instagram.com/everythingaustophil")</f>
        <v>http://instagram.com/everythingaustophil</v>
      </c>
      <c r="Q2079">
        <v>1513</v>
      </c>
      <c r="R2079" t="s">
        <v>60</v>
      </c>
      <c r="W2079">
        <v>0</v>
      </c>
      <c r="X2079">
        <v>0</v>
      </c>
      <c r="AE2079">
        <v>0</v>
      </c>
      <c r="AI2079" t="s">
        <v>108</v>
      </c>
      <c r="AJ2079" t="s">
        <v>1853</v>
      </c>
      <c r="AK2079" t="s">
        <v>52</v>
      </c>
      <c r="AL2079" t="str">
        <f>HYPERLINK("https://www.instagram.com/p/BzFmZ2Whqjq/media/?size=l")</f>
        <v>https://www.instagram.com/p/BzFmZ2Whqjq/media/?size=l</v>
      </c>
      <c r="AM2079" t="s">
        <v>52</v>
      </c>
      <c r="AN2079" t="s">
        <v>53</v>
      </c>
    </row>
    <row r="2080" spans="1:40">
      <c r="A2080" t="s">
        <v>2370</v>
      </c>
      <c r="B2080" t="s">
        <v>7136</v>
      </c>
      <c r="C2080" t="s">
        <v>7146</v>
      </c>
      <c r="D2080" t="s">
        <v>52</v>
      </c>
      <c r="E2080" t="s">
        <v>1194</v>
      </c>
      <c r="F2080" t="s">
        <v>131</v>
      </c>
      <c r="G2080" t="str">
        <f>HYPERLINK("https://twitter.com/886209404684484608/status/1143088655793156097")</f>
        <v>https://twitter.com/886209404684484608/status/1143088655793156097</v>
      </c>
      <c r="H2080" t="s">
        <v>46</v>
      </c>
      <c r="I2080" t="s">
        <v>7147</v>
      </c>
      <c r="J2080" t="str">
        <f>HYPERLINK("http://twitter.com/Fareezsharip")</f>
        <v>http://twitter.com/Fareezsharip</v>
      </c>
      <c r="K2080">
        <v>90</v>
      </c>
      <c r="N2080" t="s">
        <v>65</v>
      </c>
      <c r="R2080" t="s">
        <v>60</v>
      </c>
      <c r="W2080">
        <v>0</v>
      </c>
      <c r="X2080">
        <v>0</v>
      </c>
      <c r="AE2080">
        <v>0</v>
      </c>
      <c r="AI2080" t="s">
        <v>52</v>
      </c>
      <c r="AJ2080" t="s">
        <v>1196</v>
      </c>
      <c r="AK2080" t="s">
        <v>52</v>
      </c>
      <c r="AL2080" t="str">
        <f>HYPERLINK("https://pbs.twimg.com/media/D9xgk2YXkAAd2ql.jpg")</f>
        <v>https://pbs.twimg.com/media/D9xgk2YXkAAd2ql.jpg</v>
      </c>
      <c r="AM2080" t="s">
        <v>52</v>
      </c>
      <c r="AN2080" t="s">
        <v>53</v>
      </c>
    </row>
    <row r="2081" spans="1:40">
      <c r="A2081" t="s">
        <v>2370</v>
      </c>
      <c r="B2081" t="s">
        <v>7148</v>
      </c>
      <c r="C2081" t="s">
        <v>7149</v>
      </c>
      <c r="D2081" t="s">
        <v>52</v>
      </c>
      <c r="E2081" t="s">
        <v>130</v>
      </c>
      <c r="F2081" t="s">
        <v>131</v>
      </c>
      <c r="G2081" t="str">
        <f>HYPERLINK("https://twitter.com/28322907/status/1143088316121849856")</f>
        <v>https://twitter.com/28322907/status/1143088316121849856</v>
      </c>
      <c r="H2081" t="s">
        <v>46</v>
      </c>
      <c r="I2081" t="s">
        <v>7150</v>
      </c>
      <c r="J2081" t="str">
        <f>HYPERLINK("http://twitter.com/starshineforme")</f>
        <v>http://twitter.com/starshineforme</v>
      </c>
      <c r="K2081">
        <v>2616</v>
      </c>
      <c r="N2081" t="s">
        <v>65</v>
      </c>
      <c r="R2081" t="s">
        <v>60</v>
      </c>
      <c r="S2081" t="s">
        <v>97</v>
      </c>
      <c r="T2081" t="s">
        <v>177</v>
      </c>
      <c r="U2081" t="s">
        <v>7151</v>
      </c>
      <c r="W2081">
        <v>0</v>
      </c>
      <c r="X2081">
        <v>0</v>
      </c>
      <c r="AE2081">
        <v>0</v>
      </c>
      <c r="AI2081" t="s">
        <v>108</v>
      </c>
      <c r="AJ2081" t="s">
        <v>52</v>
      </c>
      <c r="AK2081" t="s">
        <v>52</v>
      </c>
      <c r="AL2081" t="str">
        <f>HYPERLINK("https://pbs.twimg.com/media/D9XTkLWW4AAOYnJ.jpg")</f>
        <v>https://pbs.twimg.com/media/D9XTkLWW4AAOYnJ.jpg</v>
      </c>
      <c r="AM2081" t="s">
        <v>52</v>
      </c>
      <c r="AN2081" t="s">
        <v>53</v>
      </c>
    </row>
    <row r="2082" spans="1:40">
      <c r="A2082" t="s">
        <v>2370</v>
      </c>
      <c r="B2082" t="s">
        <v>7148</v>
      </c>
      <c r="C2082" t="s">
        <v>7152</v>
      </c>
      <c r="D2082" t="s">
        <v>52</v>
      </c>
      <c r="E2082" t="s">
        <v>7153</v>
      </c>
      <c r="F2082" t="s">
        <v>95</v>
      </c>
      <c r="G2082" t="str">
        <f>HYPERLINK("https://twitter.com/713193287172153345/status/1143088304646062080")</f>
        <v>https://twitter.com/713193287172153345/status/1143088304646062080</v>
      </c>
      <c r="H2082" t="s">
        <v>46</v>
      </c>
      <c r="I2082" t="s">
        <v>7154</v>
      </c>
      <c r="J2082" t="str">
        <f>HYPERLINK("http://twitter.com/CallSignPharah")</f>
        <v>http://twitter.com/CallSignPharah</v>
      </c>
      <c r="K2082">
        <v>413</v>
      </c>
      <c r="N2082" t="s">
        <v>65</v>
      </c>
      <c r="R2082" t="s">
        <v>60</v>
      </c>
      <c r="S2082" t="s">
        <v>6878</v>
      </c>
      <c r="T2082" t="s">
        <v>7155</v>
      </c>
      <c r="W2082">
        <v>0</v>
      </c>
      <c r="X2082">
        <v>0</v>
      </c>
      <c r="AE2082">
        <v>1</v>
      </c>
      <c r="AF2082">
        <v>0</v>
      </c>
      <c r="AM2082" t="s">
        <v>52</v>
      </c>
      <c r="AN2082" t="s">
        <v>53</v>
      </c>
    </row>
    <row r="2083" spans="1:40">
      <c r="A2083" t="s">
        <v>2370</v>
      </c>
      <c r="B2083" t="s">
        <v>7148</v>
      </c>
      <c r="C2083" t="s">
        <v>7140</v>
      </c>
      <c r="D2083" t="s">
        <v>52</v>
      </c>
      <c r="E2083" t="s">
        <v>6280</v>
      </c>
      <c r="F2083" t="s">
        <v>71</v>
      </c>
      <c r="G2083" t="str">
        <f>HYPERLINK("https://twitter.com/2525109315/status/1143088236635611137")</f>
        <v>https://twitter.com/2525109315/status/1143088236635611137</v>
      </c>
      <c r="H2083" t="s">
        <v>46</v>
      </c>
      <c r="I2083" t="s">
        <v>7156</v>
      </c>
      <c r="J2083" t="str">
        <f>HYPERLINK("http://twitter.com/Khanyokuhle3")</f>
        <v>http://twitter.com/Khanyokuhle3</v>
      </c>
      <c r="K2083">
        <v>1306</v>
      </c>
      <c r="N2083" t="s">
        <v>65</v>
      </c>
      <c r="R2083" t="s">
        <v>60</v>
      </c>
      <c r="S2083" t="s">
        <v>7157</v>
      </c>
      <c r="T2083" t="s">
        <v>7158</v>
      </c>
      <c r="U2083" t="s">
        <v>7159</v>
      </c>
      <c r="W2083">
        <v>0</v>
      </c>
      <c r="X2083">
        <v>0</v>
      </c>
      <c r="AE2083">
        <v>0</v>
      </c>
      <c r="AF2083">
        <v>0</v>
      </c>
      <c r="AM2083" t="s">
        <v>52</v>
      </c>
      <c r="AN2083" t="s">
        <v>53</v>
      </c>
    </row>
    <row r="2084" spans="1:40">
      <c r="A2084" t="s">
        <v>2370</v>
      </c>
      <c r="B2084" t="s">
        <v>7160</v>
      </c>
      <c r="C2084" t="s">
        <v>7161</v>
      </c>
      <c r="D2084" t="s">
        <v>52</v>
      </c>
      <c r="E2084" t="s">
        <v>130</v>
      </c>
      <c r="F2084" t="s">
        <v>131</v>
      </c>
      <c r="G2084" t="str">
        <f>HYPERLINK("https://twitter.com/22853668/status/1143086807304867841")</f>
        <v>https://twitter.com/22853668/status/1143086807304867841</v>
      </c>
      <c r="H2084" t="s">
        <v>46</v>
      </c>
      <c r="I2084" t="s">
        <v>4330</v>
      </c>
      <c r="J2084" t="str">
        <f>HYPERLINK("http://twitter.com/hannahlw85")</f>
        <v>http://twitter.com/hannahlw85</v>
      </c>
      <c r="K2084">
        <v>650</v>
      </c>
      <c r="N2084" t="s">
        <v>65</v>
      </c>
      <c r="R2084" t="s">
        <v>60</v>
      </c>
      <c r="W2084">
        <v>0</v>
      </c>
      <c r="X2084">
        <v>0</v>
      </c>
      <c r="AE2084">
        <v>0</v>
      </c>
      <c r="AI2084" t="s">
        <v>108</v>
      </c>
      <c r="AJ2084" t="s">
        <v>52</v>
      </c>
      <c r="AK2084" t="s">
        <v>52</v>
      </c>
      <c r="AL2084" t="str">
        <f>HYPERLINK("https://pbs.twimg.com/media/D9XTkLWW4AAOYnJ.jpg")</f>
        <v>https://pbs.twimg.com/media/D9XTkLWW4AAOYnJ.jpg</v>
      </c>
      <c r="AM2084" t="s">
        <v>52</v>
      </c>
      <c r="AN2084" t="s">
        <v>53</v>
      </c>
    </row>
    <row r="2085" spans="1:40">
      <c r="A2085" t="s">
        <v>2370</v>
      </c>
      <c r="B2085" t="s">
        <v>7160</v>
      </c>
      <c r="C2085" t="s">
        <v>7162</v>
      </c>
      <c r="D2085" t="s">
        <v>7163</v>
      </c>
      <c r="E2085" t="s">
        <v>7164</v>
      </c>
      <c r="F2085" t="s">
        <v>45</v>
      </c>
      <c r="G2085" t="str">
        <f>HYPERLINK("http://www.scandinavianhomestaging.com/new-mountain-dew-flavor.html")</f>
        <v>http://www.scandinavianhomestaging.com/new-mountain-dew-flavor.html</v>
      </c>
      <c r="H2085" t="s">
        <v>46</v>
      </c>
      <c r="N2085" t="s">
        <v>7165</v>
      </c>
      <c r="R2085" t="s">
        <v>50</v>
      </c>
      <c r="S2085" t="s">
        <v>51</v>
      </c>
      <c r="AM2085" t="s">
        <v>52</v>
      </c>
      <c r="AN2085" t="s">
        <v>53</v>
      </c>
    </row>
    <row r="2086" spans="1:40">
      <c r="A2086" t="s">
        <v>2370</v>
      </c>
      <c r="B2086" t="s">
        <v>7166</v>
      </c>
      <c r="C2086" t="s">
        <v>7167</v>
      </c>
      <c r="D2086" t="s">
        <v>52</v>
      </c>
      <c r="E2086" t="s">
        <v>7168</v>
      </c>
      <c r="F2086" t="s">
        <v>131</v>
      </c>
      <c r="G2086" t="str">
        <f>HYPERLINK("https://twitter.com/379151042/status/1143086443947937792")</f>
        <v>https://twitter.com/379151042/status/1143086443947937792</v>
      </c>
      <c r="H2086" t="s">
        <v>91</v>
      </c>
      <c r="I2086" t="s">
        <v>7169</v>
      </c>
      <c r="J2086" t="str">
        <f>HYPERLINK("http://twitter.com/Zugambi")</f>
        <v>http://twitter.com/Zugambi</v>
      </c>
      <c r="K2086">
        <v>7375</v>
      </c>
      <c r="N2086" t="s">
        <v>65</v>
      </c>
      <c r="R2086" t="s">
        <v>60</v>
      </c>
      <c r="S2086" t="s">
        <v>315</v>
      </c>
      <c r="T2086" t="s">
        <v>7170</v>
      </c>
      <c r="U2086" t="s">
        <v>7171</v>
      </c>
      <c r="W2086">
        <v>0</v>
      </c>
      <c r="X2086">
        <v>0</v>
      </c>
      <c r="AE2086">
        <v>0</v>
      </c>
      <c r="AM2086" t="s">
        <v>52</v>
      </c>
      <c r="AN2086" t="s">
        <v>53</v>
      </c>
    </row>
    <row r="2087" spans="1:40">
      <c r="A2087" t="s">
        <v>2370</v>
      </c>
      <c r="B2087" t="s">
        <v>7172</v>
      </c>
      <c r="C2087" t="s">
        <v>7161</v>
      </c>
      <c r="D2087" t="s">
        <v>52</v>
      </c>
      <c r="E2087" t="s">
        <v>7173</v>
      </c>
      <c r="F2087" t="s">
        <v>131</v>
      </c>
      <c r="G2087" t="str">
        <f>HYPERLINK("https://twitter.com/394546953/status/1143086274942820352")</f>
        <v>https://twitter.com/394546953/status/1143086274942820352</v>
      </c>
      <c r="H2087" t="s">
        <v>46</v>
      </c>
      <c r="I2087" t="s">
        <v>7174</v>
      </c>
      <c r="J2087" t="str">
        <f>HYPERLINK("http://twitter.com/MoveablePress")</f>
        <v>http://twitter.com/MoveablePress</v>
      </c>
      <c r="K2087">
        <v>3230</v>
      </c>
      <c r="N2087" t="s">
        <v>65</v>
      </c>
      <c r="R2087" t="s">
        <v>60</v>
      </c>
      <c r="S2087" t="s">
        <v>97</v>
      </c>
      <c r="T2087" t="s">
        <v>177</v>
      </c>
      <c r="U2087" t="s">
        <v>2031</v>
      </c>
      <c r="W2087">
        <v>0</v>
      </c>
      <c r="X2087">
        <v>0</v>
      </c>
      <c r="AE2087">
        <v>0</v>
      </c>
      <c r="AM2087" t="s">
        <v>52</v>
      </c>
      <c r="AN2087" t="s">
        <v>53</v>
      </c>
    </row>
    <row r="2088" spans="1:40">
      <c r="A2088" t="s">
        <v>2370</v>
      </c>
      <c r="B2088" t="s">
        <v>7175</v>
      </c>
      <c r="C2088" t="s">
        <v>7176</v>
      </c>
      <c r="D2088" t="s">
        <v>52</v>
      </c>
      <c r="E2088" t="s">
        <v>7177</v>
      </c>
      <c r="F2088" t="s">
        <v>45</v>
      </c>
      <c r="G2088" t="str">
        <f>HYPERLINK("https://www.facebook.com/521931584834790/posts/872822756412336")</f>
        <v>https://www.facebook.com/521931584834790/posts/872822756412336</v>
      </c>
      <c r="H2088" t="s">
        <v>46</v>
      </c>
      <c r="I2088" t="s">
        <v>7178</v>
      </c>
      <c r="J2088" t="str">
        <f>HYPERLINK("https://www.facebook.com/521931584834790")</f>
        <v>https://www.facebook.com/521931584834790</v>
      </c>
      <c r="K2088">
        <v>22460</v>
      </c>
      <c r="L2088" t="s">
        <v>651</v>
      </c>
      <c r="N2088" t="s">
        <v>1792</v>
      </c>
      <c r="O2088" t="s">
        <v>7178</v>
      </c>
      <c r="P2088" t="str">
        <f>HYPERLINK("https://www.facebook.com/521931584834790")</f>
        <v>https://www.facebook.com/521931584834790</v>
      </c>
      <c r="Q2088">
        <v>22460</v>
      </c>
      <c r="R2088" t="s">
        <v>60</v>
      </c>
      <c r="S2088" t="s">
        <v>6878</v>
      </c>
      <c r="W2088">
        <v>151</v>
      </c>
      <c r="X2088">
        <v>125</v>
      </c>
      <c r="Y2088">
        <v>19</v>
      </c>
      <c r="Z2088">
        <v>1</v>
      </c>
      <c r="AA2088">
        <v>5</v>
      </c>
      <c r="AB2088">
        <v>0</v>
      </c>
      <c r="AC2088">
        <v>1</v>
      </c>
      <c r="AE2088">
        <v>17</v>
      </c>
      <c r="AF2088">
        <v>3</v>
      </c>
      <c r="AI2088" t="s">
        <v>788</v>
      </c>
      <c r="AJ2088" t="s">
        <v>3129</v>
      </c>
      <c r="AK2088" t="s">
        <v>52</v>
      </c>
      <c r="AL2088" t="str">
        <f>HYPERLINK("https://scontent.xx.fbcdn.net/v/t1.0-9/s720x720/64867249_872822433079035_6752202963185303552_o.jpg?_nc_cat=111&amp;_nc_oc=AQkebNCMxCAMDMspjrYRJ7voRAPsjX2QSlXzGk386wgFeFn0dwOq2TKtt9_CBdNDKYA&amp;_nc_ht=scontent.xx&amp;oh=503821a29451e58b38addc5523180a3a&amp;oe=5D80B8CF")</f>
        <v>https://scontent.xx.fbcdn.net/v/t1.0-9/s720x720/64867249_872822433079035_6752202963185303552_o.jpg?_nc_cat=111&amp;_nc_oc=AQkebNCMxCAMDMspjrYRJ7voRAPsjX2QSlXzGk386wgFeFn0dwOq2TKtt9_CBdNDKYA&amp;_nc_ht=scontent.xx&amp;oh=503821a29451e58b38addc5523180a3a&amp;oe=5D80B8CF</v>
      </c>
      <c r="AM2088" t="s">
        <v>52</v>
      </c>
      <c r="AN2088" t="s">
        <v>53</v>
      </c>
    </row>
    <row r="2089" spans="1:40">
      <c r="A2089" t="s">
        <v>2370</v>
      </c>
      <c r="B2089" t="s">
        <v>7179</v>
      </c>
      <c r="C2089" t="s">
        <v>7180</v>
      </c>
      <c r="D2089" t="s">
        <v>52</v>
      </c>
      <c r="E2089" t="s">
        <v>130</v>
      </c>
      <c r="F2089" t="s">
        <v>131</v>
      </c>
      <c r="G2089" t="str">
        <f>HYPERLINK("https://twitter.com/600884673/status/1143085670560407553")</f>
        <v>https://twitter.com/600884673/status/1143085670560407553</v>
      </c>
      <c r="H2089" t="s">
        <v>46</v>
      </c>
      <c r="I2089" t="s">
        <v>7181</v>
      </c>
      <c r="J2089" t="str">
        <f>HYPERLINK("http://twitter.com/Nikkee_noo")</f>
        <v>http://twitter.com/Nikkee_noo</v>
      </c>
      <c r="K2089">
        <v>1803</v>
      </c>
      <c r="N2089" t="s">
        <v>65</v>
      </c>
      <c r="R2089" t="s">
        <v>60</v>
      </c>
      <c r="S2089" t="s">
        <v>97</v>
      </c>
      <c r="T2089" t="s">
        <v>177</v>
      </c>
      <c r="U2089" t="s">
        <v>1559</v>
      </c>
      <c r="W2089">
        <v>0</v>
      </c>
      <c r="X2089">
        <v>0</v>
      </c>
      <c r="AE2089">
        <v>0</v>
      </c>
      <c r="AI2089" t="s">
        <v>108</v>
      </c>
      <c r="AJ2089" t="s">
        <v>52</v>
      </c>
      <c r="AK2089" t="s">
        <v>52</v>
      </c>
      <c r="AL2089" t="str">
        <f>HYPERLINK("https://pbs.twimg.com/media/D9XTkLWW4AAOYnJ.jpg")</f>
        <v>https://pbs.twimg.com/media/D9XTkLWW4AAOYnJ.jpg</v>
      </c>
      <c r="AM2089" t="s">
        <v>52</v>
      </c>
      <c r="AN2089" t="s">
        <v>53</v>
      </c>
    </row>
    <row r="2090" spans="1:40">
      <c r="A2090" t="s">
        <v>2370</v>
      </c>
      <c r="B2090" t="s">
        <v>7182</v>
      </c>
      <c r="C2090" t="s">
        <v>7183</v>
      </c>
      <c r="D2090" t="s">
        <v>52</v>
      </c>
      <c r="E2090" t="s">
        <v>4226</v>
      </c>
      <c r="F2090" t="s">
        <v>45</v>
      </c>
      <c r="G2090" t="str">
        <f>HYPERLINK("https://twitter.com/22784635/status/1143085157148221440")</f>
        <v>https://twitter.com/22784635/status/1143085157148221440</v>
      </c>
      <c r="H2090" t="s">
        <v>46</v>
      </c>
      <c r="I2090" t="s">
        <v>7184</v>
      </c>
      <c r="J2090" t="str">
        <f>HYPERLINK("http://twitter.com/WNOtweet")</f>
        <v>http://twitter.com/WNOtweet</v>
      </c>
      <c r="K2090">
        <v>32641</v>
      </c>
      <c r="N2090" t="s">
        <v>65</v>
      </c>
      <c r="R2090" t="s">
        <v>60</v>
      </c>
      <c r="S2090" t="s">
        <v>387</v>
      </c>
      <c r="T2090" t="s">
        <v>953</v>
      </c>
      <c r="U2090" t="s">
        <v>7185</v>
      </c>
      <c r="W2090">
        <v>3</v>
      </c>
      <c r="X2090">
        <v>3</v>
      </c>
      <c r="AE2090">
        <v>0</v>
      </c>
      <c r="AF2090">
        <v>1</v>
      </c>
      <c r="AI2090" t="s">
        <v>52</v>
      </c>
      <c r="AJ2090" t="s">
        <v>52</v>
      </c>
      <c r="AK2090" t="s">
        <v>52</v>
      </c>
      <c r="AL2090" t="str">
        <f>HYPERLINK("https://pbs.twimg.com/media/D90N5JHWsAAfj6U.jpg")</f>
        <v>https://pbs.twimg.com/media/D90N5JHWsAAfj6U.jpg</v>
      </c>
      <c r="AM2090" t="s">
        <v>52</v>
      </c>
      <c r="AN2090" t="s">
        <v>53</v>
      </c>
    </row>
    <row r="2091" spans="1:40">
      <c r="A2091" t="s">
        <v>2370</v>
      </c>
      <c r="B2091" t="s">
        <v>7186</v>
      </c>
      <c r="C2091" t="s">
        <v>7187</v>
      </c>
      <c r="D2091" t="s">
        <v>52</v>
      </c>
      <c r="E2091" t="s">
        <v>130</v>
      </c>
      <c r="F2091" t="s">
        <v>131</v>
      </c>
      <c r="G2091" t="str">
        <f>HYPERLINK("https://twitter.com/2754853750/status/1143084302797889537")</f>
        <v>https://twitter.com/2754853750/status/1143084302797889537</v>
      </c>
      <c r="H2091" t="s">
        <v>46</v>
      </c>
      <c r="I2091" t="s">
        <v>7188</v>
      </c>
      <c r="J2091" t="str">
        <f>HYPERLINK("http://twitter.com/lily05ruby08")</f>
        <v>http://twitter.com/lily05ruby08</v>
      </c>
      <c r="K2091">
        <v>1302</v>
      </c>
      <c r="N2091" t="s">
        <v>65</v>
      </c>
      <c r="R2091" t="s">
        <v>60</v>
      </c>
      <c r="S2091" t="s">
        <v>97</v>
      </c>
      <c r="T2091" t="s">
        <v>177</v>
      </c>
      <c r="U2091" t="s">
        <v>395</v>
      </c>
      <c r="W2091">
        <v>0</v>
      </c>
      <c r="X2091">
        <v>0</v>
      </c>
      <c r="AE2091">
        <v>0</v>
      </c>
      <c r="AI2091" t="s">
        <v>108</v>
      </c>
      <c r="AJ2091" t="s">
        <v>52</v>
      </c>
      <c r="AK2091" t="s">
        <v>52</v>
      </c>
      <c r="AL2091" t="str">
        <f>HYPERLINK("https://pbs.twimg.com/media/D9XTkLWW4AAOYnJ.jpg")</f>
        <v>https://pbs.twimg.com/media/D9XTkLWW4AAOYnJ.jpg</v>
      </c>
      <c r="AM2091" t="s">
        <v>52</v>
      </c>
      <c r="AN2091" t="s">
        <v>53</v>
      </c>
    </row>
    <row r="2092" spans="1:40">
      <c r="A2092" t="s">
        <v>2370</v>
      </c>
      <c r="B2092" t="s">
        <v>1282</v>
      </c>
      <c r="C2092" t="s">
        <v>7189</v>
      </c>
      <c r="D2092" t="s">
        <v>52</v>
      </c>
      <c r="E2092" t="s">
        <v>7190</v>
      </c>
      <c r="F2092" t="s">
        <v>45</v>
      </c>
      <c r="G2092" t="str">
        <f>HYPERLINK("https://www.instagram.com/p/BzFj_O4nzvk")</f>
        <v>https://www.instagram.com/p/BzFj_O4nzvk</v>
      </c>
      <c r="H2092" t="s">
        <v>46</v>
      </c>
      <c r="I2092" t="s">
        <v>7191</v>
      </c>
      <c r="J2092" t="str">
        <f>HYPERLINK("http://instagram.com/bombaychocnnut")</f>
        <v>http://instagram.com/bombaychocnnut</v>
      </c>
      <c r="K2092">
        <v>385</v>
      </c>
      <c r="N2092" t="s">
        <v>59</v>
      </c>
      <c r="O2092" t="s">
        <v>7191</v>
      </c>
      <c r="P2092" t="str">
        <f>HYPERLINK("http://instagram.com/bombaychocnnut")</f>
        <v>http://instagram.com/bombaychocnnut</v>
      </c>
      <c r="Q2092">
        <v>385</v>
      </c>
      <c r="R2092" t="s">
        <v>60</v>
      </c>
      <c r="S2092" t="s">
        <v>325</v>
      </c>
      <c r="T2092" t="s">
        <v>326</v>
      </c>
      <c r="U2092" t="s">
        <v>327</v>
      </c>
      <c r="W2092">
        <v>6</v>
      </c>
      <c r="X2092">
        <v>6</v>
      </c>
      <c r="AE2092">
        <v>0</v>
      </c>
      <c r="AI2092" t="s">
        <v>108</v>
      </c>
      <c r="AJ2092" t="s">
        <v>659</v>
      </c>
      <c r="AK2092" t="s">
        <v>52</v>
      </c>
      <c r="AL2092" t="str">
        <f>HYPERLINK("https://www.instagram.com/p/BzFj_O4nzvk/media/?size=l")</f>
        <v>https://www.instagram.com/p/BzFj_O4nzvk/media/?size=l</v>
      </c>
      <c r="AM2092" t="s">
        <v>52</v>
      </c>
      <c r="AN2092" t="s">
        <v>53</v>
      </c>
    </row>
    <row r="2093" spans="1:40">
      <c r="A2093" t="s">
        <v>2370</v>
      </c>
      <c r="B2093" t="s">
        <v>1287</v>
      </c>
      <c r="C2093" t="s">
        <v>7192</v>
      </c>
      <c r="D2093" t="s">
        <v>52</v>
      </c>
      <c r="E2093" t="s">
        <v>4296</v>
      </c>
      <c r="F2093" t="s">
        <v>131</v>
      </c>
      <c r="G2093" t="str">
        <f>HYPERLINK("https://twitter.com/705409197538746372/status/1143083176727928833")</f>
        <v>https://twitter.com/705409197538746372/status/1143083176727928833</v>
      </c>
      <c r="H2093" t="s">
        <v>46</v>
      </c>
      <c r="I2093" t="s">
        <v>7193</v>
      </c>
      <c r="J2093" t="str">
        <f>HYPERLINK("http://twitter.com/perscieyjr")</f>
        <v>http://twitter.com/perscieyjr</v>
      </c>
      <c r="K2093">
        <v>490</v>
      </c>
      <c r="N2093" t="s">
        <v>65</v>
      </c>
      <c r="R2093" t="s">
        <v>60</v>
      </c>
      <c r="S2093" t="s">
        <v>5817</v>
      </c>
      <c r="W2093">
        <v>0</v>
      </c>
      <c r="X2093">
        <v>0</v>
      </c>
      <c r="AE2093">
        <v>0</v>
      </c>
      <c r="AI2093" t="s">
        <v>108</v>
      </c>
      <c r="AJ2093" t="s">
        <v>52</v>
      </c>
      <c r="AK2093" t="s">
        <v>52</v>
      </c>
      <c r="AL2093" t="str">
        <f>HYPERLINK("https://pbs.twimg.com/media/D9sAXHUX4AA6vJs.jpg")</f>
        <v>https://pbs.twimg.com/media/D9sAXHUX4AA6vJs.jpg</v>
      </c>
      <c r="AM2093" t="s">
        <v>52</v>
      </c>
      <c r="AN2093" t="s">
        <v>53</v>
      </c>
    </row>
    <row r="2094" spans="1:40">
      <c r="A2094" t="s">
        <v>2370</v>
      </c>
      <c r="B2094" t="s">
        <v>1287</v>
      </c>
      <c r="C2094" t="s">
        <v>7194</v>
      </c>
      <c r="D2094" t="s">
        <v>52</v>
      </c>
      <c r="E2094" t="s">
        <v>7195</v>
      </c>
      <c r="F2094" t="s">
        <v>131</v>
      </c>
      <c r="G2094" t="str">
        <f>HYPERLINK("https://twitter.com/726877392036225024/status/1143083101993594880")</f>
        <v>https://twitter.com/726877392036225024/status/1143083101993594880</v>
      </c>
      <c r="H2094" t="s">
        <v>46</v>
      </c>
      <c r="I2094" t="s">
        <v>7196</v>
      </c>
      <c r="J2094" t="str">
        <f>HYPERLINK("http://twitter.com/villainbabyy")</f>
        <v>http://twitter.com/villainbabyy</v>
      </c>
      <c r="K2094">
        <v>594</v>
      </c>
      <c r="N2094" t="s">
        <v>65</v>
      </c>
      <c r="R2094" t="s">
        <v>60</v>
      </c>
      <c r="S2094" t="s">
        <v>51</v>
      </c>
      <c r="T2094" t="s">
        <v>173</v>
      </c>
      <c r="U2094" t="s">
        <v>7197</v>
      </c>
      <c r="W2094">
        <v>0</v>
      </c>
      <c r="X2094">
        <v>0</v>
      </c>
      <c r="AE2094">
        <v>0</v>
      </c>
      <c r="AM2094" t="s">
        <v>52</v>
      </c>
      <c r="AN2094" t="s">
        <v>53</v>
      </c>
    </row>
    <row r="2095" spans="1:40">
      <c r="A2095" t="s">
        <v>2370</v>
      </c>
      <c r="B2095" t="s">
        <v>1291</v>
      </c>
      <c r="C2095" t="s">
        <v>7194</v>
      </c>
      <c r="D2095" t="s">
        <v>52</v>
      </c>
      <c r="E2095" t="s">
        <v>1194</v>
      </c>
      <c r="F2095" t="s">
        <v>131</v>
      </c>
      <c r="G2095" t="str">
        <f>HYPERLINK("https://twitter.com/2800729176/status/1143083083547103233")</f>
        <v>https://twitter.com/2800729176/status/1143083083547103233</v>
      </c>
      <c r="H2095" t="s">
        <v>46</v>
      </c>
      <c r="I2095" t="s">
        <v>7198</v>
      </c>
      <c r="J2095" t="str">
        <f>HYPERLINK("http://twitter.com/kacey_luv17")</f>
        <v>http://twitter.com/kacey_luv17</v>
      </c>
      <c r="K2095">
        <v>185</v>
      </c>
      <c r="N2095" t="s">
        <v>65</v>
      </c>
      <c r="R2095" t="s">
        <v>60</v>
      </c>
      <c r="W2095">
        <v>0</v>
      </c>
      <c r="X2095">
        <v>0</v>
      </c>
      <c r="AE2095">
        <v>0</v>
      </c>
      <c r="AI2095" t="s">
        <v>52</v>
      </c>
      <c r="AJ2095" t="s">
        <v>1196</v>
      </c>
      <c r="AK2095" t="s">
        <v>52</v>
      </c>
      <c r="AL2095" t="str">
        <f>HYPERLINK("https://pbs.twimg.com/media/D9xgk2YXkAAd2ql.jpg")</f>
        <v>https://pbs.twimg.com/media/D9xgk2YXkAAd2ql.jpg</v>
      </c>
      <c r="AM2095" t="s">
        <v>52</v>
      </c>
      <c r="AN2095" t="s">
        <v>53</v>
      </c>
    </row>
    <row r="2096" spans="1:40">
      <c r="A2096" t="s">
        <v>2370</v>
      </c>
      <c r="B2096" t="s">
        <v>1291</v>
      </c>
      <c r="C2096" t="s">
        <v>5021</v>
      </c>
      <c r="D2096" t="s">
        <v>52</v>
      </c>
      <c r="E2096" t="s">
        <v>7199</v>
      </c>
      <c r="F2096" t="s">
        <v>45</v>
      </c>
      <c r="G2096" t="str">
        <f>HYPERLINK("https://www.facebook.com/253645897993906/posts/3434728246552306")</f>
        <v>https://www.facebook.com/253645897993906/posts/3434728246552306</v>
      </c>
      <c r="H2096" t="s">
        <v>46</v>
      </c>
      <c r="I2096" t="s">
        <v>7200</v>
      </c>
      <c r="J2096" t="str">
        <f>HYPERLINK("https://www.facebook.com/253645897993906")</f>
        <v>https://www.facebook.com/253645897993906</v>
      </c>
      <c r="K2096">
        <v>24360</v>
      </c>
      <c r="L2096" t="s">
        <v>651</v>
      </c>
      <c r="N2096" t="s">
        <v>1792</v>
      </c>
      <c r="O2096" t="s">
        <v>7200</v>
      </c>
      <c r="P2096" t="str">
        <f>HYPERLINK("https://www.facebook.com/253645897993906")</f>
        <v>https://www.facebook.com/253645897993906</v>
      </c>
      <c r="Q2096">
        <v>24360</v>
      </c>
      <c r="R2096" t="s">
        <v>60</v>
      </c>
      <c r="S2096" t="s">
        <v>325</v>
      </c>
      <c r="W2096">
        <v>3</v>
      </c>
      <c r="X2096">
        <v>3</v>
      </c>
      <c r="Y2096">
        <v>0</v>
      </c>
      <c r="Z2096">
        <v>0</v>
      </c>
      <c r="AA2096">
        <v>0</v>
      </c>
      <c r="AB2096">
        <v>0</v>
      </c>
      <c r="AC2096">
        <v>0</v>
      </c>
      <c r="AE2096">
        <v>0</v>
      </c>
      <c r="AF2096">
        <v>0</v>
      </c>
      <c r="AI2096" t="s">
        <v>108</v>
      </c>
      <c r="AJ2096" t="s">
        <v>659</v>
      </c>
      <c r="AK2096" t="s">
        <v>52</v>
      </c>
      <c r="AL2096" t="str">
        <f>HYPERLINK("https://scontent.xx.fbcdn.net/v/t1.0-9/p720x720/65010208_3434727903219007_6024728910191656960_n.jpg?_nc_cat=103&amp;_nc_oc=AQmzuUFdv_JZXGcZD4iSFfPcsBuKoN0VmdQ9UxZR0TsYHnz2Au5Te6fQfM7pIS0oaZA&amp;_nc_ht=scontent.xx&amp;oh=e8fd8db780c48c7ef3803727a39a5b84&amp;oe=5D894C6F")</f>
        <v>https://scontent.xx.fbcdn.net/v/t1.0-9/p720x720/65010208_3434727903219007_6024728910191656960_n.jpg?_nc_cat=103&amp;_nc_oc=AQmzuUFdv_JZXGcZD4iSFfPcsBuKoN0VmdQ9UxZR0TsYHnz2Au5Te6fQfM7pIS0oaZA&amp;_nc_ht=scontent.xx&amp;oh=e8fd8db780c48c7ef3803727a39a5b84&amp;oe=5D894C6F</v>
      </c>
      <c r="AM2096" t="s">
        <v>52</v>
      </c>
      <c r="AN2096" t="s">
        <v>53</v>
      </c>
    </row>
    <row r="2097" spans="1:40">
      <c r="A2097" t="s">
        <v>2370</v>
      </c>
      <c r="B2097" t="s">
        <v>1291</v>
      </c>
      <c r="C2097" t="s">
        <v>7201</v>
      </c>
      <c r="D2097" t="s">
        <v>52</v>
      </c>
      <c r="E2097" t="s">
        <v>7202</v>
      </c>
      <c r="F2097" t="s">
        <v>45</v>
      </c>
      <c r="G2097" t="str">
        <f>HYPERLINK("https://twitter.com/3316298223/status/1143082873035079681")</f>
        <v>https://twitter.com/3316298223/status/1143082873035079681</v>
      </c>
      <c r="H2097" t="s">
        <v>46</v>
      </c>
      <c r="I2097" t="s">
        <v>7203</v>
      </c>
      <c r="J2097" t="str">
        <f>HYPERLINK("http://twitter.com/cobraclubpics")</f>
        <v>http://twitter.com/cobraclubpics</v>
      </c>
      <c r="K2097">
        <v>14</v>
      </c>
      <c r="N2097" t="s">
        <v>65</v>
      </c>
      <c r="R2097" t="s">
        <v>60</v>
      </c>
      <c r="W2097">
        <v>0</v>
      </c>
      <c r="X2097">
        <v>0</v>
      </c>
      <c r="AE2097">
        <v>0</v>
      </c>
      <c r="AF2097">
        <v>0</v>
      </c>
      <c r="AI2097" t="s">
        <v>52</v>
      </c>
      <c r="AJ2097" t="s">
        <v>52</v>
      </c>
      <c r="AK2097" t="s">
        <v>52</v>
      </c>
      <c r="AL2097" t="str">
        <f>HYPERLINK("https://pbs.twimg.com/media/D90L0MAXUAEUBdz.jpg")</f>
        <v>https://pbs.twimg.com/media/D90L0MAXUAEUBdz.jpg</v>
      </c>
      <c r="AM2097" t="s">
        <v>52</v>
      </c>
      <c r="AN2097" t="s">
        <v>53</v>
      </c>
    </row>
    <row r="2098" spans="1:40">
      <c r="A2098" t="s">
        <v>2370</v>
      </c>
      <c r="B2098" t="s">
        <v>1299</v>
      </c>
      <c r="C2098" t="s">
        <v>6050</v>
      </c>
      <c r="D2098" t="s">
        <v>7204</v>
      </c>
      <c r="E2098" t="s">
        <v>7205</v>
      </c>
      <c r="F2098" t="s">
        <v>45</v>
      </c>
      <c r="G2098" t="str">
        <f>HYPERLINK("https://www.youtube.com/watch?v=EuWVklimlks")</f>
        <v>https://www.youtube.com/watch?v=EuWVklimlks</v>
      </c>
      <c r="H2098" t="s">
        <v>46</v>
      </c>
      <c r="I2098" t="s">
        <v>7206</v>
      </c>
      <c r="J2098" t="str">
        <f>HYPERLINK("https://www.youtube.com/channel/UCTn-5ugdYA1wpVJgo_Km3qg")</f>
        <v>https://www.youtube.com/channel/UCTn-5ugdYA1wpVJgo_Km3qg</v>
      </c>
      <c r="K2098">
        <v>17</v>
      </c>
      <c r="N2098" t="s">
        <v>116</v>
      </c>
      <c r="O2098" t="s">
        <v>7206</v>
      </c>
      <c r="P2098" t="str">
        <f>HYPERLINK("https://www.youtube.com/channel/UCTn-5ugdYA1wpVJgo_Km3qg")</f>
        <v>https://www.youtube.com/channel/UCTn-5ugdYA1wpVJgo_Km3qg</v>
      </c>
      <c r="Q2098">
        <v>17</v>
      </c>
      <c r="R2098" t="s">
        <v>60</v>
      </c>
      <c r="W2098">
        <v>8</v>
      </c>
      <c r="X2098">
        <v>8</v>
      </c>
      <c r="AD2098">
        <v>0</v>
      </c>
      <c r="AE2098">
        <v>14</v>
      </c>
      <c r="AG2098">
        <v>31</v>
      </c>
      <c r="AI2098" t="s">
        <v>108</v>
      </c>
      <c r="AJ2098" t="s">
        <v>52</v>
      </c>
      <c r="AK2098" t="s">
        <v>52</v>
      </c>
      <c r="AL2098" t="str">
        <f>HYPERLINK("https://i.ytimg.com/vi/EuWVklimlks/maxresdefault.jpg")</f>
        <v>https://i.ytimg.com/vi/EuWVklimlks/maxresdefault.jpg</v>
      </c>
      <c r="AM2098" t="s">
        <v>52</v>
      </c>
      <c r="AN2098" t="s">
        <v>53</v>
      </c>
    </row>
    <row r="2099" spans="1:40">
      <c r="A2099" t="s">
        <v>2370</v>
      </c>
      <c r="B2099" t="s">
        <v>7207</v>
      </c>
      <c r="C2099" t="s">
        <v>7208</v>
      </c>
      <c r="D2099" t="s">
        <v>52</v>
      </c>
      <c r="E2099" t="s">
        <v>7209</v>
      </c>
      <c r="F2099" t="s">
        <v>71</v>
      </c>
      <c r="G2099" t="str">
        <f>HYPERLINK("https://twitter.com/700325000/status/1143082242358566912")</f>
        <v>https://twitter.com/700325000/status/1143082242358566912</v>
      </c>
      <c r="H2099" t="s">
        <v>46</v>
      </c>
      <c r="I2099" t="s">
        <v>7210</v>
      </c>
      <c r="J2099" t="str">
        <f>HYPERLINK("http://twitter.com/carolinevdade")</f>
        <v>http://twitter.com/carolinevdade</v>
      </c>
      <c r="K2099">
        <v>376</v>
      </c>
      <c r="L2099" t="s">
        <v>58</v>
      </c>
      <c r="N2099" t="s">
        <v>65</v>
      </c>
      <c r="R2099" t="s">
        <v>60</v>
      </c>
      <c r="W2099">
        <v>8</v>
      </c>
      <c r="X2099">
        <v>8</v>
      </c>
      <c r="AE2099">
        <v>2</v>
      </c>
      <c r="AF2099">
        <v>0</v>
      </c>
      <c r="AM2099" t="s">
        <v>52</v>
      </c>
      <c r="AN2099" t="s">
        <v>53</v>
      </c>
    </row>
    <row r="2100" spans="1:40">
      <c r="A2100" t="s">
        <v>2370</v>
      </c>
      <c r="B2100" t="s">
        <v>7211</v>
      </c>
      <c r="C2100" t="s">
        <v>7187</v>
      </c>
      <c r="D2100" t="s">
        <v>7212</v>
      </c>
      <c r="E2100" t="s">
        <v>7213</v>
      </c>
      <c r="F2100" t="s">
        <v>45</v>
      </c>
      <c r="G2100" t="str">
        <f>HYPERLINK("https://www.youtube.com/watch?v=ZqAifLJKX0w")</f>
        <v>https://www.youtube.com/watch?v=ZqAifLJKX0w</v>
      </c>
      <c r="H2100" t="s">
        <v>46</v>
      </c>
      <c r="I2100" t="s">
        <v>7214</v>
      </c>
      <c r="J2100" t="str">
        <f>HYPERLINK("https://www.youtube.com/channel/UCTzrA28_q18Yh7xZ29lPA5g")</f>
        <v>https://www.youtube.com/channel/UCTzrA28_q18Yh7xZ29lPA5g</v>
      </c>
      <c r="K2100">
        <v>280</v>
      </c>
      <c r="L2100" t="s">
        <v>48</v>
      </c>
      <c r="N2100" t="s">
        <v>116</v>
      </c>
      <c r="O2100" t="s">
        <v>7214</v>
      </c>
      <c r="P2100" t="str">
        <f>HYPERLINK("https://www.youtube.com/channel/UCTzrA28_q18Yh7xZ29lPA5g")</f>
        <v>https://www.youtube.com/channel/UCTzrA28_q18Yh7xZ29lPA5g</v>
      </c>
      <c r="Q2100">
        <v>280</v>
      </c>
      <c r="R2100" t="s">
        <v>60</v>
      </c>
      <c r="W2100">
        <v>0</v>
      </c>
      <c r="X2100">
        <v>0</v>
      </c>
      <c r="AD2100">
        <v>0</v>
      </c>
      <c r="AE2100">
        <v>0</v>
      </c>
      <c r="AG2100">
        <v>8</v>
      </c>
      <c r="AI2100" t="s">
        <v>52</v>
      </c>
      <c r="AJ2100" t="s">
        <v>458</v>
      </c>
      <c r="AK2100" t="s">
        <v>7215</v>
      </c>
      <c r="AL2100" t="str">
        <f>HYPERLINK("https://i.ytimg.com/vi/ZqAifLJKX0w/sddefault.jpg")</f>
        <v>https://i.ytimg.com/vi/ZqAifLJKX0w/sddefault.jpg</v>
      </c>
      <c r="AM2100" t="s">
        <v>52</v>
      </c>
      <c r="AN2100" t="s">
        <v>53</v>
      </c>
    </row>
    <row r="2101" spans="1:40">
      <c r="A2101" t="s">
        <v>2370</v>
      </c>
      <c r="B2101" t="s">
        <v>7216</v>
      </c>
      <c r="C2101" t="s">
        <v>7217</v>
      </c>
      <c r="D2101" t="s">
        <v>52</v>
      </c>
      <c r="E2101" t="s">
        <v>130</v>
      </c>
      <c r="F2101" t="s">
        <v>131</v>
      </c>
      <c r="G2101" t="str">
        <f>HYPERLINK("https://twitter.com/2724410978/status/1143080458550464512")</f>
        <v>https://twitter.com/2724410978/status/1143080458550464512</v>
      </c>
      <c r="H2101" t="s">
        <v>46</v>
      </c>
      <c r="I2101" t="s">
        <v>7218</v>
      </c>
      <c r="J2101" t="str">
        <f>HYPERLINK("http://twitter.com/ComperHobbit")</f>
        <v>http://twitter.com/ComperHobbit</v>
      </c>
      <c r="K2101">
        <v>986</v>
      </c>
      <c r="N2101" t="s">
        <v>65</v>
      </c>
      <c r="R2101" t="s">
        <v>60</v>
      </c>
      <c r="S2101" t="s">
        <v>97</v>
      </c>
      <c r="T2101" t="s">
        <v>177</v>
      </c>
      <c r="U2101" t="s">
        <v>2031</v>
      </c>
      <c r="W2101">
        <v>0</v>
      </c>
      <c r="X2101">
        <v>0</v>
      </c>
      <c r="AE2101">
        <v>0</v>
      </c>
      <c r="AI2101" t="s">
        <v>108</v>
      </c>
      <c r="AJ2101" t="s">
        <v>52</v>
      </c>
      <c r="AK2101" t="s">
        <v>52</v>
      </c>
      <c r="AL2101" t="str">
        <f>HYPERLINK("https://pbs.twimg.com/media/D9XTkLWW4AAOYnJ.jpg")</f>
        <v>https://pbs.twimg.com/media/D9XTkLWW4AAOYnJ.jpg</v>
      </c>
      <c r="AM2101" t="s">
        <v>52</v>
      </c>
      <c r="AN2101" t="s">
        <v>53</v>
      </c>
    </row>
    <row r="2102" spans="1:40">
      <c r="A2102" t="s">
        <v>2370</v>
      </c>
      <c r="B2102" t="s">
        <v>7216</v>
      </c>
      <c r="C2102" t="s">
        <v>7217</v>
      </c>
      <c r="D2102" t="s">
        <v>52</v>
      </c>
      <c r="E2102" t="s">
        <v>7219</v>
      </c>
      <c r="F2102" t="s">
        <v>95</v>
      </c>
      <c r="G2102" t="str">
        <f>HYPERLINK("https://twitter.com/934842482461995008/status/1143080435850678272")</f>
        <v>https://twitter.com/934842482461995008/status/1143080435850678272</v>
      </c>
      <c r="H2102" t="s">
        <v>46</v>
      </c>
      <c r="I2102" t="s">
        <v>7220</v>
      </c>
      <c r="J2102" t="str">
        <f>HYPERLINK("http://twitter.com/stylinsonpicky")</f>
        <v>http://twitter.com/stylinsonpicky</v>
      </c>
      <c r="K2102">
        <v>1239</v>
      </c>
      <c r="L2102" t="s">
        <v>48</v>
      </c>
      <c r="N2102" t="s">
        <v>65</v>
      </c>
      <c r="R2102" t="s">
        <v>60</v>
      </c>
      <c r="S2102" t="s">
        <v>701</v>
      </c>
      <c r="T2102" t="s">
        <v>2528</v>
      </c>
      <c r="U2102" t="s">
        <v>2816</v>
      </c>
      <c r="W2102">
        <v>0</v>
      </c>
      <c r="X2102">
        <v>0</v>
      </c>
      <c r="AE2102">
        <v>0</v>
      </c>
      <c r="AF2102">
        <v>0</v>
      </c>
      <c r="AM2102" t="s">
        <v>52</v>
      </c>
      <c r="AN2102" t="s">
        <v>53</v>
      </c>
    </row>
    <row r="2103" spans="1:40">
      <c r="A2103" t="s">
        <v>2370</v>
      </c>
      <c r="B2103" t="s">
        <v>7216</v>
      </c>
      <c r="C2103" t="s">
        <v>7221</v>
      </c>
      <c r="D2103" t="s">
        <v>52</v>
      </c>
      <c r="E2103" t="s">
        <v>7222</v>
      </c>
      <c r="F2103" t="s">
        <v>45</v>
      </c>
      <c r="G2103" t="str">
        <f>HYPERLINK("https://twitter.com/1136823254/status/1143080365906649088")</f>
        <v>https://twitter.com/1136823254/status/1143080365906649088</v>
      </c>
      <c r="H2103" t="s">
        <v>91</v>
      </c>
      <c r="I2103" t="s">
        <v>7223</v>
      </c>
      <c r="J2103" t="str">
        <f>HYPERLINK("http://twitter.com/AngryLeviathan")</f>
        <v>http://twitter.com/AngryLeviathan</v>
      </c>
      <c r="K2103">
        <v>273</v>
      </c>
      <c r="N2103" t="s">
        <v>65</v>
      </c>
      <c r="R2103" t="s">
        <v>60</v>
      </c>
      <c r="S2103" t="s">
        <v>7078</v>
      </c>
      <c r="W2103">
        <v>3</v>
      </c>
      <c r="X2103">
        <v>3</v>
      </c>
      <c r="AE2103">
        <v>1</v>
      </c>
      <c r="AF2103">
        <v>0</v>
      </c>
      <c r="AM2103" t="s">
        <v>52</v>
      </c>
      <c r="AN2103" t="s">
        <v>53</v>
      </c>
    </row>
    <row r="2104" spans="1:40">
      <c r="A2104" t="s">
        <v>2370</v>
      </c>
      <c r="B2104" t="s">
        <v>7216</v>
      </c>
      <c r="C2104" t="s">
        <v>7187</v>
      </c>
      <c r="D2104" t="s">
        <v>52</v>
      </c>
      <c r="E2104" t="s">
        <v>7224</v>
      </c>
      <c r="F2104" t="s">
        <v>45</v>
      </c>
      <c r="G2104" t="str">
        <f>HYPERLINK("https://www.instagram.com/p/BzFimWkgIoH")</f>
        <v>https://www.instagram.com/p/BzFimWkgIoH</v>
      </c>
      <c r="H2104" t="s">
        <v>215</v>
      </c>
      <c r="I2104" t="s">
        <v>7225</v>
      </c>
      <c r="J2104" t="str">
        <f>HYPERLINK("http://instagram.com/sir_jasper_jagermuffin")</f>
        <v>http://instagram.com/sir_jasper_jagermuffin</v>
      </c>
      <c r="K2104">
        <v>111</v>
      </c>
      <c r="L2104" t="s">
        <v>48</v>
      </c>
      <c r="N2104" t="s">
        <v>59</v>
      </c>
      <c r="O2104" t="s">
        <v>7225</v>
      </c>
      <c r="P2104" t="str">
        <f>HYPERLINK("http://instagram.com/sir_jasper_jagermuffin")</f>
        <v>http://instagram.com/sir_jasper_jagermuffin</v>
      </c>
      <c r="Q2104">
        <v>111</v>
      </c>
      <c r="R2104" t="s">
        <v>60</v>
      </c>
      <c r="W2104">
        <v>10</v>
      </c>
      <c r="X2104">
        <v>10</v>
      </c>
      <c r="AE2104">
        <v>0</v>
      </c>
      <c r="AG2104">
        <v>12</v>
      </c>
      <c r="AI2104" t="s">
        <v>52</v>
      </c>
      <c r="AJ2104" t="s">
        <v>1196</v>
      </c>
      <c r="AK2104" t="s">
        <v>52</v>
      </c>
      <c r="AL2104" t="str">
        <f>HYPERLINK("https://www.instagram.com/p/BzFimWkgIoH/media/?size=l")</f>
        <v>https://www.instagram.com/p/BzFimWkgIoH/media/?size=l</v>
      </c>
      <c r="AM2104" t="s">
        <v>52</v>
      </c>
      <c r="AN2104" t="s">
        <v>53</v>
      </c>
    </row>
    <row r="2105" spans="1:40">
      <c r="A2105" t="s">
        <v>2370</v>
      </c>
      <c r="B2105" t="s">
        <v>1353</v>
      </c>
      <c r="C2105" t="s">
        <v>7221</v>
      </c>
      <c r="D2105" t="s">
        <v>52</v>
      </c>
      <c r="E2105" t="s">
        <v>7226</v>
      </c>
      <c r="F2105" t="s">
        <v>131</v>
      </c>
      <c r="G2105" t="str">
        <f>HYPERLINK("https://twitter.com/4185517696/status/1143079310917558273")</f>
        <v>https://twitter.com/4185517696/status/1143079310917558273</v>
      </c>
      <c r="H2105" t="s">
        <v>46</v>
      </c>
      <c r="I2105" t="s">
        <v>7227</v>
      </c>
      <c r="J2105" t="str">
        <f>HYPERLINK("http://twitter.com/mumigegpoid")</f>
        <v>http://twitter.com/mumigegpoid</v>
      </c>
      <c r="K2105">
        <v>181</v>
      </c>
      <c r="N2105" t="s">
        <v>65</v>
      </c>
      <c r="R2105" t="s">
        <v>60</v>
      </c>
      <c r="W2105">
        <v>0</v>
      </c>
      <c r="X2105">
        <v>0</v>
      </c>
      <c r="AE2105">
        <v>0</v>
      </c>
      <c r="AM2105" t="s">
        <v>52</v>
      </c>
      <c r="AN2105" t="s">
        <v>53</v>
      </c>
    </row>
    <row r="2106" spans="1:40">
      <c r="A2106" t="s">
        <v>2370</v>
      </c>
      <c r="B2106" t="s">
        <v>1353</v>
      </c>
      <c r="C2106" t="s">
        <v>7228</v>
      </c>
      <c r="D2106" t="s">
        <v>52</v>
      </c>
      <c r="E2106" t="s">
        <v>7226</v>
      </c>
      <c r="F2106" t="s">
        <v>95</v>
      </c>
      <c r="G2106" t="str">
        <f>HYPERLINK("https://twitter.com/820675539941945345/status/1143079096198545408")</f>
        <v>https://twitter.com/820675539941945345/status/1143079096198545408</v>
      </c>
      <c r="H2106" t="s">
        <v>46</v>
      </c>
      <c r="I2106" t="s">
        <v>7229</v>
      </c>
      <c r="J2106" t="str">
        <f>HYPERLINK("http://twitter.com/f14a4e")</f>
        <v>http://twitter.com/f14a4e</v>
      </c>
      <c r="K2106">
        <v>26</v>
      </c>
      <c r="N2106" t="s">
        <v>65</v>
      </c>
      <c r="R2106" t="s">
        <v>60</v>
      </c>
      <c r="W2106">
        <v>1</v>
      </c>
      <c r="X2106">
        <v>1</v>
      </c>
      <c r="AE2106">
        <v>0</v>
      </c>
      <c r="AF2106">
        <v>1</v>
      </c>
      <c r="AM2106" t="s">
        <v>52</v>
      </c>
      <c r="AN2106" t="s">
        <v>53</v>
      </c>
    </row>
    <row r="2107" spans="1:40">
      <c r="A2107" t="s">
        <v>2370</v>
      </c>
      <c r="B2107" t="s">
        <v>7230</v>
      </c>
      <c r="C2107" t="s">
        <v>7231</v>
      </c>
      <c r="D2107" t="s">
        <v>52</v>
      </c>
      <c r="E2107" t="s">
        <v>7232</v>
      </c>
      <c r="F2107" t="s">
        <v>45</v>
      </c>
      <c r="G2107" t="str">
        <f>HYPERLINK("https://twitter.com/746702620945965060/status/1143078425416146944")</f>
        <v>https://twitter.com/746702620945965060/status/1143078425416146944</v>
      </c>
      <c r="H2107" t="s">
        <v>46</v>
      </c>
      <c r="I2107" t="s">
        <v>7233</v>
      </c>
      <c r="J2107" t="str">
        <f>HYPERLINK("http://twitter.com/Dunkdenki")</f>
        <v>http://twitter.com/Dunkdenki</v>
      </c>
      <c r="K2107">
        <v>302</v>
      </c>
      <c r="N2107" t="s">
        <v>65</v>
      </c>
      <c r="R2107" t="s">
        <v>60</v>
      </c>
      <c r="S2107" t="s">
        <v>1643</v>
      </c>
      <c r="T2107" t="s">
        <v>6554</v>
      </c>
      <c r="U2107" t="s">
        <v>7234</v>
      </c>
      <c r="W2107">
        <v>0</v>
      </c>
      <c r="X2107">
        <v>0</v>
      </c>
      <c r="AE2107">
        <v>2</v>
      </c>
      <c r="AF2107">
        <v>0</v>
      </c>
      <c r="AM2107" t="s">
        <v>52</v>
      </c>
      <c r="AN2107" t="s">
        <v>53</v>
      </c>
    </row>
    <row r="2108" spans="1:40">
      <c r="A2108" t="s">
        <v>2370</v>
      </c>
      <c r="B2108" t="s">
        <v>7230</v>
      </c>
      <c r="C2108" t="s">
        <v>7231</v>
      </c>
      <c r="D2108" t="s">
        <v>52</v>
      </c>
      <c r="E2108" t="s">
        <v>7235</v>
      </c>
      <c r="F2108" t="s">
        <v>45</v>
      </c>
      <c r="G2108" t="str">
        <f>HYPERLINK("https://twitter.com/3022389001/status/1143078405136478208")</f>
        <v>https://twitter.com/3022389001/status/1143078405136478208</v>
      </c>
      <c r="H2108" t="s">
        <v>46</v>
      </c>
      <c r="I2108" t="s">
        <v>7236</v>
      </c>
      <c r="J2108" t="str">
        <f>HYPERLINK("http://twitter.com/xxjangasxx")</f>
        <v>http://twitter.com/xxjangasxx</v>
      </c>
      <c r="K2108">
        <v>530</v>
      </c>
      <c r="N2108" t="s">
        <v>65</v>
      </c>
      <c r="R2108" t="s">
        <v>60</v>
      </c>
      <c r="W2108">
        <v>0</v>
      </c>
      <c r="X2108">
        <v>0</v>
      </c>
      <c r="AE2108">
        <v>0</v>
      </c>
      <c r="AF2108">
        <v>0</v>
      </c>
      <c r="AM2108" t="s">
        <v>52</v>
      </c>
      <c r="AN2108" t="s">
        <v>53</v>
      </c>
    </row>
    <row r="2109" spans="1:40">
      <c r="A2109" t="s">
        <v>2370</v>
      </c>
      <c r="B2109" t="s">
        <v>7230</v>
      </c>
      <c r="C2109" t="s">
        <v>7237</v>
      </c>
      <c r="D2109" t="s">
        <v>52</v>
      </c>
      <c r="E2109" t="s">
        <v>7238</v>
      </c>
      <c r="F2109" t="s">
        <v>71</v>
      </c>
      <c r="G2109" t="str">
        <f>HYPERLINK("https://twitter.com/905190716019802112/status/1143078356323328000")</f>
        <v>https://twitter.com/905190716019802112/status/1143078356323328000</v>
      </c>
      <c r="H2109" t="s">
        <v>46</v>
      </c>
      <c r="I2109" t="s">
        <v>7239</v>
      </c>
      <c r="J2109" t="str">
        <f>HYPERLINK("http://twitter.com/ivxmmiv")</f>
        <v>http://twitter.com/ivxmmiv</v>
      </c>
      <c r="K2109">
        <v>54</v>
      </c>
      <c r="N2109" t="s">
        <v>65</v>
      </c>
      <c r="R2109" t="s">
        <v>60</v>
      </c>
      <c r="S2109" t="s">
        <v>51</v>
      </c>
      <c r="T2109" t="s">
        <v>152</v>
      </c>
      <c r="U2109" t="s">
        <v>7240</v>
      </c>
      <c r="W2109">
        <v>0</v>
      </c>
      <c r="X2109">
        <v>0</v>
      </c>
      <c r="AE2109">
        <v>0</v>
      </c>
      <c r="AF2109">
        <v>0</v>
      </c>
      <c r="AI2109" t="s">
        <v>52</v>
      </c>
      <c r="AJ2109" t="s">
        <v>7241</v>
      </c>
      <c r="AK2109" t="s">
        <v>52</v>
      </c>
      <c r="AL2109" t="str">
        <f>HYPERLINK("https://pbs.twimg.com/media/D5UarOtXoAcNL7x.jpg")</f>
        <v>https://pbs.twimg.com/media/D5UarOtXoAcNL7x.jpg</v>
      </c>
      <c r="AM2109" t="s">
        <v>52</v>
      </c>
      <c r="AN2109" t="s">
        <v>53</v>
      </c>
    </row>
    <row r="2110" spans="1:40">
      <c r="A2110" t="s">
        <v>2370</v>
      </c>
      <c r="B2110" t="s">
        <v>7242</v>
      </c>
      <c r="C2110" t="s">
        <v>7127</v>
      </c>
      <c r="D2110" t="s">
        <v>7243</v>
      </c>
      <c r="E2110" t="s">
        <v>7244</v>
      </c>
      <c r="F2110" t="s">
        <v>45</v>
      </c>
      <c r="G2110" t="str">
        <f>HYPERLINK("https://www.reddit.com/r/space/comments/c4bwvx/soviet_cosmonaut_sergei_krikalev_stuck_in_space/?sort=new#thing_t1_erwmale")</f>
        <v>https://www.reddit.com/r/space/comments/c4bwvx/soviet_cosmonaut_sergei_krikalev_stuck_in_space/?sort=new#thing_t1_erwmale</v>
      </c>
      <c r="H2110" t="s">
        <v>46</v>
      </c>
      <c r="I2110" t="s">
        <v>7245</v>
      </c>
      <c r="J2110" t="str">
        <f>HYPERLINK("https://www.reddit.com/r/space/comments/c4bwvx/soviet_cosmonaut_sergei_krikalev_stuck_in_space/?sort=new#thing_t1_erwmale")</f>
        <v>https://www.reddit.com/r/space/comments/c4bwvx/soviet_cosmonaut_sergei_krikalev_stuck_in_space/?sort=new#thing_t1_erwmale</v>
      </c>
      <c r="N2110" t="s">
        <v>545</v>
      </c>
      <c r="O2110" t="s">
        <v>7246</v>
      </c>
      <c r="P2110" t="str">
        <f>HYPERLINK("https://www.reddit.com/r/OldSchoolCool/")</f>
        <v>https://www.reddit.com/r/OldSchoolCool/</v>
      </c>
      <c r="R2110" t="s">
        <v>516</v>
      </c>
      <c r="S2110" t="s">
        <v>51</v>
      </c>
      <c r="AM2110" t="s">
        <v>52</v>
      </c>
      <c r="AN2110" t="s">
        <v>53</v>
      </c>
    </row>
    <row r="2111" spans="1:40">
      <c r="A2111" t="s">
        <v>2370</v>
      </c>
      <c r="B2111" t="s">
        <v>7247</v>
      </c>
      <c r="C2111" t="s">
        <v>7228</v>
      </c>
      <c r="D2111" t="s">
        <v>52</v>
      </c>
      <c r="E2111" t="s">
        <v>7248</v>
      </c>
      <c r="F2111" t="s">
        <v>45</v>
      </c>
      <c r="G2111" t="str">
        <f>HYPERLINK("https://www.instagram.com/p/BzFhKKZjd5Y")</f>
        <v>https://www.instagram.com/p/BzFhKKZjd5Y</v>
      </c>
      <c r="H2111" t="s">
        <v>46</v>
      </c>
      <c r="I2111" t="s">
        <v>7249</v>
      </c>
      <c r="J2111" t="str">
        <f>HYPERLINK("http://instagram.com/japindustries")</f>
        <v>http://instagram.com/japindustries</v>
      </c>
      <c r="K2111">
        <v>32</v>
      </c>
      <c r="N2111" t="s">
        <v>59</v>
      </c>
      <c r="O2111" t="s">
        <v>7249</v>
      </c>
      <c r="P2111" t="str">
        <f>HYPERLINK("http://instagram.com/japindustries")</f>
        <v>http://instagram.com/japindustries</v>
      </c>
      <c r="Q2111">
        <v>32</v>
      </c>
      <c r="R2111" t="s">
        <v>60</v>
      </c>
      <c r="W2111">
        <v>15</v>
      </c>
      <c r="X2111">
        <v>15</v>
      </c>
      <c r="AE2111">
        <v>1</v>
      </c>
      <c r="AG2111">
        <v>57</v>
      </c>
      <c r="AI2111" t="s">
        <v>108</v>
      </c>
      <c r="AJ2111" t="s">
        <v>7250</v>
      </c>
      <c r="AK2111" t="s">
        <v>7251</v>
      </c>
      <c r="AL2111" t="str">
        <f>HYPERLINK("https://www.instagram.com/p/BzFhKKZjd5Y/media/?size=l")</f>
        <v>https://www.instagram.com/p/BzFhKKZjd5Y/media/?size=l</v>
      </c>
      <c r="AM2111" t="s">
        <v>52</v>
      </c>
      <c r="AN2111" t="s">
        <v>53</v>
      </c>
    </row>
    <row r="2112" spans="1:40">
      <c r="A2112" t="s">
        <v>2370</v>
      </c>
      <c r="B2112" t="s">
        <v>7252</v>
      </c>
      <c r="C2112" t="s">
        <v>7253</v>
      </c>
      <c r="D2112" t="s">
        <v>52</v>
      </c>
      <c r="E2112" t="s">
        <v>1194</v>
      </c>
      <c r="F2112" t="s">
        <v>131</v>
      </c>
      <c r="G2112" t="str">
        <f>HYPERLINK("https://twitter.com/2834404502/status/1143076584821338113")</f>
        <v>https://twitter.com/2834404502/status/1143076584821338113</v>
      </c>
      <c r="H2112" t="s">
        <v>46</v>
      </c>
      <c r="I2112" t="s">
        <v>7254</v>
      </c>
      <c r="J2112" t="str">
        <f>HYPERLINK("http://twitter.com/spiralknight549")</f>
        <v>http://twitter.com/spiralknight549</v>
      </c>
      <c r="K2112">
        <v>29</v>
      </c>
      <c r="L2112" t="s">
        <v>48</v>
      </c>
      <c r="N2112" t="s">
        <v>65</v>
      </c>
      <c r="R2112" t="s">
        <v>60</v>
      </c>
      <c r="W2112">
        <v>0</v>
      </c>
      <c r="X2112">
        <v>0</v>
      </c>
      <c r="AE2112">
        <v>0</v>
      </c>
      <c r="AI2112" t="s">
        <v>52</v>
      </c>
      <c r="AJ2112" t="s">
        <v>1196</v>
      </c>
      <c r="AK2112" t="s">
        <v>52</v>
      </c>
      <c r="AL2112" t="str">
        <f>HYPERLINK("https://pbs.twimg.com/media/D9xgk2YXkAAd2ql.jpg")</f>
        <v>https://pbs.twimg.com/media/D9xgk2YXkAAd2ql.jpg</v>
      </c>
      <c r="AM2112" t="s">
        <v>52</v>
      </c>
      <c r="AN2112" t="s">
        <v>53</v>
      </c>
    </row>
    <row r="2113" spans="1:40">
      <c r="A2113" t="s">
        <v>2370</v>
      </c>
      <c r="B2113" t="s">
        <v>7252</v>
      </c>
      <c r="C2113" t="s">
        <v>7255</v>
      </c>
      <c r="D2113" t="s">
        <v>52</v>
      </c>
      <c r="E2113" t="s">
        <v>7256</v>
      </c>
      <c r="F2113" t="s">
        <v>71</v>
      </c>
      <c r="G2113" t="str">
        <f>HYPERLINK("https://twitter.com/1011961087/status/1143076576696795136")</f>
        <v>https://twitter.com/1011961087/status/1143076576696795136</v>
      </c>
      <c r="H2113" t="s">
        <v>46</v>
      </c>
      <c r="I2113" t="s">
        <v>7257</v>
      </c>
      <c r="J2113" t="str">
        <f>HYPERLINK("http://twitter.com/danielriflo")</f>
        <v>http://twitter.com/danielriflo</v>
      </c>
      <c r="K2113">
        <v>167</v>
      </c>
      <c r="N2113" t="s">
        <v>65</v>
      </c>
      <c r="R2113" t="s">
        <v>60</v>
      </c>
      <c r="S2113" t="s">
        <v>437</v>
      </c>
      <c r="T2113" t="s">
        <v>7258</v>
      </c>
      <c r="W2113">
        <v>1</v>
      </c>
      <c r="X2113">
        <v>1</v>
      </c>
      <c r="AE2113">
        <v>0</v>
      </c>
      <c r="AF2113">
        <v>0</v>
      </c>
      <c r="AI2113" t="s">
        <v>108</v>
      </c>
      <c r="AJ2113" t="s">
        <v>52</v>
      </c>
      <c r="AK2113" t="s">
        <v>52</v>
      </c>
      <c r="AL2113" t="str">
        <f>HYPERLINK("https://pbs.twimg.com/tweet_video_thumb/D9hvNNzXUAATAS3.jpg")</f>
        <v>https://pbs.twimg.com/tweet_video_thumb/D9hvNNzXUAATAS3.jpg</v>
      </c>
      <c r="AM2113" t="s">
        <v>52</v>
      </c>
      <c r="AN2113" t="s">
        <v>53</v>
      </c>
    </row>
    <row r="2114" spans="1:40">
      <c r="A2114" t="s">
        <v>2370</v>
      </c>
      <c r="B2114" t="s">
        <v>7259</v>
      </c>
      <c r="C2114" t="s">
        <v>7260</v>
      </c>
      <c r="D2114" t="s">
        <v>52</v>
      </c>
      <c r="E2114" t="s">
        <v>7261</v>
      </c>
      <c r="F2114" t="s">
        <v>71</v>
      </c>
      <c r="G2114" t="str">
        <f>HYPERLINK("https://twitter.com/988911000/status/1143075943805792256")</f>
        <v>https://twitter.com/988911000/status/1143075943805792256</v>
      </c>
      <c r="H2114" t="s">
        <v>46</v>
      </c>
      <c r="I2114" t="s">
        <v>7262</v>
      </c>
      <c r="J2114" t="str">
        <f>HYPERLINK("http://twitter.com/Mazi94_")</f>
        <v>http://twitter.com/Mazi94_</v>
      </c>
      <c r="K2114">
        <v>365</v>
      </c>
      <c r="N2114" t="s">
        <v>65</v>
      </c>
      <c r="R2114" t="s">
        <v>60</v>
      </c>
      <c r="S2114" t="s">
        <v>1071</v>
      </c>
      <c r="T2114" t="s">
        <v>1072</v>
      </c>
      <c r="U2114" t="s">
        <v>1073</v>
      </c>
      <c r="W2114">
        <v>0</v>
      </c>
      <c r="X2114">
        <v>0</v>
      </c>
      <c r="AE2114">
        <v>0</v>
      </c>
      <c r="AF2114">
        <v>0</v>
      </c>
      <c r="AM2114" t="s">
        <v>52</v>
      </c>
      <c r="AN2114" t="s">
        <v>53</v>
      </c>
    </row>
    <row r="2115" spans="1:40">
      <c r="A2115" t="s">
        <v>2370</v>
      </c>
      <c r="B2115" t="s">
        <v>7263</v>
      </c>
      <c r="C2115" t="s">
        <v>7264</v>
      </c>
      <c r="D2115" t="s">
        <v>52</v>
      </c>
      <c r="E2115" t="s">
        <v>7195</v>
      </c>
      <c r="F2115" t="s">
        <v>131</v>
      </c>
      <c r="G2115" t="str">
        <f>HYPERLINK("https://twitter.com/2432789869/status/1143075585935204352")</f>
        <v>https://twitter.com/2432789869/status/1143075585935204352</v>
      </c>
      <c r="H2115" t="s">
        <v>46</v>
      </c>
      <c r="I2115" t="s">
        <v>7265</v>
      </c>
      <c r="J2115" t="str">
        <f>HYPERLINK("http://twitter.com/kay9fool")</f>
        <v>http://twitter.com/kay9fool</v>
      </c>
      <c r="K2115">
        <v>515</v>
      </c>
      <c r="N2115" t="s">
        <v>65</v>
      </c>
      <c r="R2115" t="s">
        <v>60</v>
      </c>
      <c r="S2115" t="s">
        <v>387</v>
      </c>
      <c r="T2115" t="s">
        <v>2981</v>
      </c>
      <c r="U2115" t="s">
        <v>7015</v>
      </c>
      <c r="W2115">
        <v>0</v>
      </c>
      <c r="X2115">
        <v>0</v>
      </c>
      <c r="AE2115">
        <v>0</v>
      </c>
      <c r="AM2115" t="s">
        <v>52</v>
      </c>
      <c r="AN2115" t="s">
        <v>53</v>
      </c>
    </row>
    <row r="2116" spans="1:40">
      <c r="A2116" t="s">
        <v>2370</v>
      </c>
      <c r="B2116" t="s">
        <v>1387</v>
      </c>
      <c r="C2116" t="s">
        <v>7266</v>
      </c>
      <c r="D2116" t="s">
        <v>7267</v>
      </c>
      <c r="E2116" t="s">
        <v>7268</v>
      </c>
      <c r="F2116" t="s">
        <v>95</v>
      </c>
      <c r="G2116" t="str">
        <f>HYPERLINK("https://disqus.com/home/discussion/channel-faithnotbuildings/welcome_to_a_motivational_monday_15/#comment-4513879235")</f>
        <v>https://disqus.com/home/discussion/channel-faithnotbuildings/welcome_to_a_motivational_monday_15/#comment-4513879235</v>
      </c>
      <c r="H2116" t="s">
        <v>46</v>
      </c>
      <c r="I2116" t="s">
        <v>7269</v>
      </c>
      <c r="J2116" t="str">
        <f>HYPERLINK("https://disqus.com/by/CaliCheeseSucks/")</f>
        <v>https://disqus.com/by/CaliCheeseSucks/</v>
      </c>
      <c r="K2116">
        <v>0</v>
      </c>
      <c r="N2116" t="s">
        <v>5770</v>
      </c>
      <c r="O2116" t="s">
        <v>7270</v>
      </c>
      <c r="P2116" t="str">
        <f>HYPERLINK("https://disqus.com/home/channel/faithnotbuildings/")</f>
        <v>https://disqus.com/home/channel/faithnotbuildings/</v>
      </c>
      <c r="Q2116">
        <v>9058</v>
      </c>
      <c r="R2116" t="s">
        <v>50</v>
      </c>
      <c r="W2116">
        <v>0</v>
      </c>
      <c r="X2116">
        <v>0</v>
      </c>
      <c r="AL2116" t="s">
        <v>7271</v>
      </c>
      <c r="AM2116" t="s">
        <v>52</v>
      </c>
      <c r="AN2116" t="s">
        <v>53</v>
      </c>
    </row>
    <row r="2117" spans="1:40">
      <c r="A2117" t="s">
        <v>2370</v>
      </c>
      <c r="B2117" t="s">
        <v>1400</v>
      </c>
      <c r="C2117" t="s">
        <v>7272</v>
      </c>
      <c r="D2117" t="s">
        <v>52</v>
      </c>
      <c r="E2117" t="s">
        <v>7273</v>
      </c>
      <c r="F2117" t="s">
        <v>71</v>
      </c>
      <c r="G2117" t="str">
        <f>HYPERLINK("https://twitter.com/1140421892500873216/status/1143073915528515585")</f>
        <v>https://twitter.com/1140421892500873216/status/1143073915528515585</v>
      </c>
      <c r="H2117" t="s">
        <v>46</v>
      </c>
      <c r="I2117" t="s">
        <v>7274</v>
      </c>
      <c r="J2117" t="str">
        <f>HYPERLINK("http://twitter.com/DaFemaleWeezy1_")</f>
        <v>http://twitter.com/DaFemaleWeezy1_</v>
      </c>
      <c r="K2117">
        <v>102</v>
      </c>
      <c r="N2117" t="s">
        <v>65</v>
      </c>
      <c r="R2117" t="s">
        <v>60</v>
      </c>
      <c r="W2117">
        <v>2</v>
      </c>
      <c r="X2117">
        <v>2</v>
      </c>
      <c r="AE2117">
        <v>1</v>
      </c>
      <c r="AF2117">
        <v>1</v>
      </c>
      <c r="AM2117" t="s">
        <v>52</v>
      </c>
      <c r="AN2117" t="s">
        <v>53</v>
      </c>
    </row>
    <row r="2118" spans="1:40">
      <c r="A2118" t="s">
        <v>2370</v>
      </c>
      <c r="B2118" t="s">
        <v>1400</v>
      </c>
      <c r="C2118" t="s">
        <v>7275</v>
      </c>
      <c r="D2118" t="s">
        <v>7276</v>
      </c>
      <c r="E2118" t="s">
        <v>7277</v>
      </c>
      <c r="F2118" t="s">
        <v>45</v>
      </c>
      <c r="G2118" t="str">
        <f>HYPERLINK("https://us.forums.blizzard.com/en/wow/t/food-and-drinks-that-you-hate-but-everyone-likes/196451#post-17")</f>
        <v>https://us.forums.blizzard.com/en/wow/t/food-and-drinks-that-you-hate-but-everyone-likes/196451#post-17</v>
      </c>
      <c r="H2118" t="s">
        <v>46</v>
      </c>
      <c r="I2118" t="s">
        <v>7278</v>
      </c>
      <c r="J2118" t="str">
        <f>HYPERLINK("https://us.forums.blizzard.com/en/wow/t/food-and-drinks-that-you-hate-but-everyone-likes/196451#post-17")</f>
        <v>https://us.forums.blizzard.com/en/wow/t/food-and-drinks-that-you-hate-but-everyone-likes/196451#post-17</v>
      </c>
      <c r="N2118" t="s">
        <v>7279</v>
      </c>
      <c r="O2118" t="s">
        <v>7280</v>
      </c>
      <c r="P2118" t="str">
        <f>HYPERLINK("https://us.forums.blizzard.com/en/wow/c/off-topic")</f>
        <v>https://us.forums.blizzard.com/en/wow/c/off-topic</v>
      </c>
      <c r="R2118" t="s">
        <v>516</v>
      </c>
      <c r="S2118" t="s">
        <v>51</v>
      </c>
      <c r="AM2118" t="s">
        <v>52</v>
      </c>
      <c r="AN2118" t="s">
        <v>53</v>
      </c>
    </row>
    <row r="2119" spans="1:40">
      <c r="A2119" t="s">
        <v>2370</v>
      </c>
      <c r="B2119" t="s">
        <v>7281</v>
      </c>
      <c r="C2119" t="s">
        <v>6258</v>
      </c>
      <c r="D2119" t="s">
        <v>52</v>
      </c>
      <c r="E2119" t="s">
        <v>7282</v>
      </c>
      <c r="F2119" t="s">
        <v>45</v>
      </c>
      <c r="G2119" t="str">
        <f>HYPERLINK("https://www.instagram.com/p/BzFfhWdh0Cq")</f>
        <v>https://www.instagram.com/p/BzFfhWdh0Cq</v>
      </c>
      <c r="H2119" t="s">
        <v>46</v>
      </c>
      <c r="I2119" t="s">
        <v>7283</v>
      </c>
      <c r="J2119" t="str">
        <f>HYPERLINK("http://instagram.com/wely_loog")</f>
        <v>http://instagram.com/wely_loog</v>
      </c>
      <c r="K2119">
        <v>33</v>
      </c>
      <c r="N2119" t="s">
        <v>59</v>
      </c>
      <c r="O2119" t="s">
        <v>7283</v>
      </c>
      <c r="P2119" t="str">
        <f>HYPERLINK("http://instagram.com/wely_loog")</f>
        <v>http://instagram.com/wely_loog</v>
      </c>
      <c r="Q2119">
        <v>33</v>
      </c>
      <c r="R2119" t="s">
        <v>60</v>
      </c>
      <c r="W2119">
        <v>2</v>
      </c>
      <c r="X2119">
        <v>2</v>
      </c>
      <c r="AE2119">
        <v>0</v>
      </c>
      <c r="AI2119" t="s">
        <v>108</v>
      </c>
      <c r="AJ2119" t="s">
        <v>52</v>
      </c>
      <c r="AK2119" t="s">
        <v>52</v>
      </c>
      <c r="AL2119" t="str">
        <f>HYPERLINK("https://www.instagram.com/p/BzFfhWdh0Cq/media/?size=l")</f>
        <v>https://www.instagram.com/p/BzFfhWdh0Cq/media/?size=l</v>
      </c>
      <c r="AM2119" t="s">
        <v>52</v>
      </c>
      <c r="AN2119" t="s">
        <v>53</v>
      </c>
    </row>
    <row r="2120" spans="1:40">
      <c r="A2120" t="s">
        <v>2370</v>
      </c>
      <c r="B2120" t="s">
        <v>7281</v>
      </c>
      <c r="C2120" t="s">
        <v>7284</v>
      </c>
      <c r="D2120" t="s">
        <v>52</v>
      </c>
      <c r="E2120" t="s">
        <v>7285</v>
      </c>
      <c r="F2120" t="s">
        <v>45</v>
      </c>
      <c r="G2120" t="str">
        <f>HYPERLINK("https://twitter.com/807145591528628224/status/1143073424019001344")</f>
        <v>https://twitter.com/807145591528628224/status/1143073424019001344</v>
      </c>
      <c r="H2120" t="s">
        <v>46</v>
      </c>
      <c r="I2120" t="s">
        <v>7286</v>
      </c>
      <c r="J2120" t="str">
        <f>HYPERLINK("http://twitter.com/bunnymerlin69")</f>
        <v>http://twitter.com/bunnymerlin69</v>
      </c>
      <c r="K2120">
        <v>626</v>
      </c>
      <c r="N2120" t="s">
        <v>65</v>
      </c>
      <c r="R2120" t="s">
        <v>60</v>
      </c>
      <c r="S2120" t="s">
        <v>7287</v>
      </c>
      <c r="U2120" t="s">
        <v>7288</v>
      </c>
      <c r="W2120">
        <v>0</v>
      </c>
      <c r="X2120">
        <v>0</v>
      </c>
      <c r="AE2120">
        <v>0</v>
      </c>
      <c r="AF2120">
        <v>0</v>
      </c>
      <c r="AM2120" t="s">
        <v>52</v>
      </c>
      <c r="AN2120" t="s">
        <v>53</v>
      </c>
    </row>
    <row r="2121" spans="1:40">
      <c r="A2121" t="s">
        <v>2370</v>
      </c>
      <c r="B2121" t="s">
        <v>7281</v>
      </c>
      <c r="C2121" t="s">
        <v>7284</v>
      </c>
      <c r="D2121" t="s">
        <v>52</v>
      </c>
      <c r="E2121" t="s">
        <v>4507</v>
      </c>
      <c r="F2121" t="s">
        <v>131</v>
      </c>
      <c r="G2121" t="str">
        <f>HYPERLINK("https://twitter.com/846668395281973249/status/1143073370356908034")</f>
        <v>https://twitter.com/846668395281973249/status/1143073370356908034</v>
      </c>
      <c r="H2121" t="s">
        <v>46</v>
      </c>
      <c r="I2121" t="s">
        <v>7289</v>
      </c>
      <c r="J2121" t="str">
        <f>HYPERLINK("http://twitter.com/ilovemyBLcouple")</f>
        <v>http://twitter.com/ilovemyBLcouple</v>
      </c>
      <c r="K2121">
        <v>132</v>
      </c>
      <c r="N2121" t="s">
        <v>65</v>
      </c>
      <c r="R2121" t="s">
        <v>60</v>
      </c>
      <c r="S2121" t="s">
        <v>4488</v>
      </c>
      <c r="W2121">
        <v>0</v>
      </c>
      <c r="X2121">
        <v>0</v>
      </c>
      <c r="AE2121">
        <v>0</v>
      </c>
      <c r="AM2121" t="s">
        <v>52</v>
      </c>
      <c r="AN2121" t="s">
        <v>53</v>
      </c>
    </row>
    <row r="2122" spans="1:40">
      <c r="A2122" t="s">
        <v>2370</v>
      </c>
      <c r="B2122" t="s">
        <v>1437</v>
      </c>
      <c r="C2122" t="s">
        <v>7290</v>
      </c>
      <c r="D2122" t="s">
        <v>7291</v>
      </c>
      <c r="E2122" t="s">
        <v>7292</v>
      </c>
      <c r="F2122" t="s">
        <v>45</v>
      </c>
      <c r="G2122" t="str">
        <f>HYPERLINK("https://www.youtube.com/watch?v=e0ddldSZzUE")</f>
        <v>https://www.youtube.com/watch?v=e0ddldSZzUE</v>
      </c>
      <c r="H2122" t="s">
        <v>215</v>
      </c>
      <c r="I2122" t="s">
        <v>7293</v>
      </c>
      <c r="J2122" t="str">
        <f>HYPERLINK("https://www.youtube.com/channel/UCogQhaVJwujpFaLG4VcTF8w")</f>
        <v>https://www.youtube.com/channel/UCogQhaVJwujpFaLG4VcTF8w</v>
      </c>
      <c r="K2122">
        <v>54</v>
      </c>
      <c r="N2122" t="s">
        <v>116</v>
      </c>
      <c r="O2122" t="s">
        <v>7293</v>
      </c>
      <c r="P2122" t="str">
        <f>HYPERLINK("https://www.youtube.com/channel/UCogQhaVJwujpFaLG4VcTF8w")</f>
        <v>https://www.youtube.com/channel/UCogQhaVJwujpFaLG4VcTF8w</v>
      </c>
      <c r="Q2122">
        <v>54</v>
      </c>
      <c r="R2122" t="s">
        <v>60</v>
      </c>
      <c r="W2122">
        <v>2</v>
      </c>
      <c r="X2122">
        <v>2</v>
      </c>
      <c r="AD2122">
        <v>1</v>
      </c>
      <c r="AE2122">
        <v>1</v>
      </c>
      <c r="AG2122">
        <v>13</v>
      </c>
      <c r="AI2122" t="s">
        <v>108</v>
      </c>
      <c r="AJ2122" t="s">
        <v>52</v>
      </c>
      <c r="AK2122" t="s">
        <v>52</v>
      </c>
      <c r="AL2122" t="str">
        <f>HYPERLINK("https://i.ytimg.com/vi/e0ddldSZzUE/hqdefault.jpg")</f>
        <v>https://i.ytimg.com/vi/e0ddldSZzUE/hqdefault.jpg</v>
      </c>
      <c r="AM2122" t="s">
        <v>52</v>
      </c>
      <c r="AN2122" t="s">
        <v>53</v>
      </c>
    </row>
    <row r="2123" spans="1:40">
      <c r="A2123" t="s">
        <v>2370</v>
      </c>
      <c r="B2123" t="s">
        <v>1440</v>
      </c>
      <c r="C2123" t="s">
        <v>7294</v>
      </c>
      <c r="D2123" t="s">
        <v>52</v>
      </c>
      <c r="E2123" t="s">
        <v>4296</v>
      </c>
      <c r="F2123" t="s">
        <v>131</v>
      </c>
      <c r="G2123" t="str">
        <f>HYPERLINK("https://twitter.com/1016618091067961345/status/1143071189411213312")</f>
        <v>https://twitter.com/1016618091067961345/status/1143071189411213312</v>
      </c>
      <c r="H2123" t="s">
        <v>46</v>
      </c>
      <c r="I2123" t="s">
        <v>7295</v>
      </c>
      <c r="J2123" t="str">
        <f>HYPERLINK("http://twitter.com/nisha_rapson")</f>
        <v>http://twitter.com/nisha_rapson</v>
      </c>
      <c r="K2123">
        <v>6616</v>
      </c>
      <c r="N2123" t="s">
        <v>65</v>
      </c>
      <c r="R2123" t="s">
        <v>60</v>
      </c>
      <c r="S2123" t="s">
        <v>5817</v>
      </c>
      <c r="W2123">
        <v>0</v>
      </c>
      <c r="X2123">
        <v>0</v>
      </c>
      <c r="AE2123">
        <v>0</v>
      </c>
      <c r="AI2123" t="s">
        <v>108</v>
      </c>
      <c r="AJ2123" t="s">
        <v>52</v>
      </c>
      <c r="AK2123" t="s">
        <v>52</v>
      </c>
      <c r="AL2123" t="str">
        <f>HYPERLINK("https://pbs.twimg.com/media/D9sAXHUX4AA6vJs.jpg")</f>
        <v>https://pbs.twimg.com/media/D9sAXHUX4AA6vJs.jpg</v>
      </c>
      <c r="AM2123" t="s">
        <v>52</v>
      </c>
      <c r="AN2123" t="s">
        <v>53</v>
      </c>
    </row>
    <row r="2124" spans="1:40">
      <c r="A2124" t="s">
        <v>2370</v>
      </c>
      <c r="B2124" t="s">
        <v>1440</v>
      </c>
      <c r="C2124" t="s">
        <v>7296</v>
      </c>
      <c r="D2124" t="s">
        <v>52</v>
      </c>
      <c r="E2124" t="s">
        <v>7297</v>
      </c>
      <c r="F2124" t="s">
        <v>45</v>
      </c>
      <c r="G2124" t="str">
        <f>HYPERLINK("https://twitter.com/899829556974112768/status/1143071108377260032")</f>
        <v>https://twitter.com/899829556974112768/status/1143071108377260032</v>
      </c>
      <c r="H2124" t="s">
        <v>46</v>
      </c>
      <c r="I2124" t="s">
        <v>7298</v>
      </c>
      <c r="J2124" t="str">
        <f>HYPERLINK("http://twitter.com/wackasshomo")</f>
        <v>http://twitter.com/wackasshomo</v>
      </c>
      <c r="K2124">
        <v>83</v>
      </c>
      <c r="N2124" t="s">
        <v>65</v>
      </c>
      <c r="R2124" t="s">
        <v>60</v>
      </c>
      <c r="S2124" t="s">
        <v>156</v>
      </c>
      <c r="T2124" t="s">
        <v>7299</v>
      </c>
      <c r="U2124" t="s">
        <v>7300</v>
      </c>
      <c r="W2124">
        <v>1</v>
      </c>
      <c r="X2124">
        <v>1</v>
      </c>
      <c r="AE2124">
        <v>1</v>
      </c>
      <c r="AF2124">
        <v>1</v>
      </c>
      <c r="AM2124" t="s">
        <v>52</v>
      </c>
      <c r="AN2124" t="s">
        <v>53</v>
      </c>
    </row>
    <row r="2125" spans="1:40">
      <c r="A2125" t="s">
        <v>2370</v>
      </c>
      <c r="B2125" t="s">
        <v>1440</v>
      </c>
      <c r="C2125" t="s">
        <v>7296</v>
      </c>
      <c r="D2125" t="s">
        <v>52</v>
      </c>
      <c r="E2125" t="s">
        <v>3749</v>
      </c>
      <c r="F2125" t="s">
        <v>71</v>
      </c>
      <c r="G2125" t="str">
        <f>HYPERLINK("https://twitter.com/1016618091067961345/status/1143071092447338496")</f>
        <v>https://twitter.com/1016618091067961345/status/1143071092447338496</v>
      </c>
      <c r="H2125" t="s">
        <v>46</v>
      </c>
      <c r="I2125" t="s">
        <v>7295</v>
      </c>
      <c r="J2125" t="str">
        <f>HYPERLINK("http://twitter.com/nisha_rapson")</f>
        <v>http://twitter.com/nisha_rapson</v>
      </c>
      <c r="K2125">
        <v>6616</v>
      </c>
      <c r="N2125" t="s">
        <v>65</v>
      </c>
      <c r="R2125" t="s">
        <v>60</v>
      </c>
      <c r="S2125" t="s">
        <v>5817</v>
      </c>
      <c r="W2125">
        <v>0</v>
      </c>
      <c r="X2125">
        <v>0</v>
      </c>
      <c r="AE2125">
        <v>0</v>
      </c>
      <c r="AF2125">
        <v>0</v>
      </c>
      <c r="AI2125" t="s">
        <v>108</v>
      </c>
      <c r="AJ2125" t="s">
        <v>52</v>
      </c>
      <c r="AK2125" t="s">
        <v>52</v>
      </c>
      <c r="AL2125" t="str">
        <f>HYPERLINK("https://pbs.twimg.com/media/D9sAXHUX4AA6vJs.jpg")</f>
        <v>https://pbs.twimg.com/media/D9sAXHUX4AA6vJs.jpg</v>
      </c>
      <c r="AM2125" t="s">
        <v>52</v>
      </c>
      <c r="AN2125" t="s">
        <v>53</v>
      </c>
    </row>
    <row r="2126" spans="1:40">
      <c r="A2126" t="s">
        <v>2370</v>
      </c>
      <c r="B2126" t="s">
        <v>1440</v>
      </c>
      <c r="C2126" t="s">
        <v>7296</v>
      </c>
      <c r="D2126" t="s">
        <v>52</v>
      </c>
      <c r="E2126" t="s">
        <v>1194</v>
      </c>
      <c r="F2126" t="s">
        <v>131</v>
      </c>
      <c r="G2126" t="str">
        <f>HYPERLINK("https://twitter.com/2337998323/status/1143071061736448000")</f>
        <v>https://twitter.com/2337998323/status/1143071061736448000</v>
      </c>
      <c r="H2126" t="s">
        <v>46</v>
      </c>
      <c r="I2126" t="s">
        <v>172</v>
      </c>
      <c r="J2126" t="str">
        <f>HYPERLINK("http://twitter.com/ThePuffySheep")</f>
        <v>http://twitter.com/ThePuffySheep</v>
      </c>
      <c r="K2126">
        <v>35</v>
      </c>
      <c r="L2126" t="s">
        <v>48</v>
      </c>
      <c r="N2126" t="s">
        <v>65</v>
      </c>
      <c r="R2126" t="s">
        <v>60</v>
      </c>
      <c r="S2126" t="s">
        <v>51</v>
      </c>
      <c r="T2126" t="s">
        <v>4405</v>
      </c>
      <c r="W2126">
        <v>0</v>
      </c>
      <c r="X2126">
        <v>0</v>
      </c>
      <c r="AE2126">
        <v>0</v>
      </c>
      <c r="AI2126" t="s">
        <v>52</v>
      </c>
      <c r="AJ2126" t="s">
        <v>1196</v>
      </c>
      <c r="AK2126" t="s">
        <v>52</v>
      </c>
      <c r="AL2126" t="str">
        <f>HYPERLINK("https://pbs.twimg.com/media/D9xgk2YXkAAd2ql.jpg")</f>
        <v>https://pbs.twimg.com/media/D9xgk2YXkAAd2ql.jpg</v>
      </c>
      <c r="AM2126" t="s">
        <v>52</v>
      </c>
      <c r="AN2126" t="s">
        <v>53</v>
      </c>
    </row>
    <row r="2127" spans="1:40">
      <c r="A2127" t="s">
        <v>2370</v>
      </c>
      <c r="B2127" t="s">
        <v>7301</v>
      </c>
      <c r="C2127" t="s">
        <v>7302</v>
      </c>
      <c r="D2127" t="s">
        <v>7303</v>
      </c>
      <c r="E2127" t="s">
        <v>7304</v>
      </c>
      <c r="F2127" t="s">
        <v>45</v>
      </c>
      <c r="G2127" t="str">
        <f>HYPERLINK("https://www.youtube.com/watch?v=NefATPOmf-Y")</f>
        <v>https://www.youtube.com/watch?v=NefATPOmf-Y</v>
      </c>
      <c r="H2127" t="s">
        <v>46</v>
      </c>
      <c r="I2127" t="s">
        <v>7305</v>
      </c>
      <c r="J2127" t="str">
        <f>HYPERLINK("https://www.youtube.com/channel/UCUHLiMC3zohiy6rqQGfstSA")</f>
        <v>https://www.youtube.com/channel/UCUHLiMC3zohiy6rqQGfstSA</v>
      </c>
      <c r="K2127">
        <v>59</v>
      </c>
      <c r="N2127" t="s">
        <v>116</v>
      </c>
      <c r="O2127" t="s">
        <v>7305</v>
      </c>
      <c r="P2127" t="str">
        <f>HYPERLINK("https://www.youtube.com/channel/UCUHLiMC3zohiy6rqQGfstSA")</f>
        <v>https://www.youtube.com/channel/UCUHLiMC3zohiy6rqQGfstSA</v>
      </c>
      <c r="Q2127">
        <v>59</v>
      </c>
      <c r="R2127" t="s">
        <v>60</v>
      </c>
      <c r="W2127">
        <v>0</v>
      </c>
      <c r="X2127">
        <v>0</v>
      </c>
      <c r="AD2127">
        <v>0</v>
      </c>
      <c r="AE2127">
        <v>0</v>
      </c>
      <c r="AG2127">
        <v>2</v>
      </c>
      <c r="AI2127" t="s">
        <v>52</v>
      </c>
      <c r="AJ2127" t="s">
        <v>4898</v>
      </c>
      <c r="AK2127" t="s">
        <v>52</v>
      </c>
      <c r="AL2127" t="str">
        <f>HYPERLINK("https://i.ytimg.com/vi/NefATPOmf-Y/maxresdefault_live.jpg")</f>
        <v>https://i.ytimg.com/vi/NefATPOmf-Y/maxresdefault_live.jpg</v>
      </c>
      <c r="AM2127" t="s">
        <v>52</v>
      </c>
      <c r="AN2127" t="s">
        <v>53</v>
      </c>
    </row>
    <row r="2128" spans="1:40">
      <c r="A2128" t="s">
        <v>2370</v>
      </c>
      <c r="B2128" t="s">
        <v>1457</v>
      </c>
      <c r="C2128" t="s">
        <v>7294</v>
      </c>
      <c r="D2128" t="s">
        <v>52</v>
      </c>
      <c r="E2128" t="s">
        <v>7306</v>
      </c>
      <c r="F2128" t="s">
        <v>131</v>
      </c>
      <c r="G2128" t="str">
        <f>HYPERLINK("https://twitter.com/614655137/status/1143070679522304000")</f>
        <v>https://twitter.com/614655137/status/1143070679522304000</v>
      </c>
      <c r="H2128" t="s">
        <v>215</v>
      </c>
      <c r="I2128" t="s">
        <v>7307</v>
      </c>
      <c r="J2128" t="str">
        <f>HYPERLINK("http://twitter.com/voidflame")</f>
        <v>http://twitter.com/voidflame</v>
      </c>
      <c r="K2128">
        <v>2415</v>
      </c>
      <c r="N2128" t="s">
        <v>65</v>
      </c>
      <c r="R2128" t="s">
        <v>60</v>
      </c>
      <c r="S2128" t="s">
        <v>51</v>
      </c>
      <c r="T2128" t="s">
        <v>380</v>
      </c>
      <c r="U2128" t="s">
        <v>7308</v>
      </c>
      <c r="W2128">
        <v>0</v>
      </c>
      <c r="X2128">
        <v>0</v>
      </c>
      <c r="AE2128">
        <v>0</v>
      </c>
      <c r="AM2128" t="s">
        <v>52</v>
      </c>
      <c r="AN2128" t="s">
        <v>53</v>
      </c>
    </row>
    <row r="2129" spans="1:40">
      <c r="A2129" t="s">
        <v>2370</v>
      </c>
      <c r="B2129" t="s">
        <v>1457</v>
      </c>
      <c r="C2129" t="s">
        <v>7309</v>
      </c>
      <c r="D2129" t="s">
        <v>52</v>
      </c>
      <c r="E2129" t="s">
        <v>7310</v>
      </c>
      <c r="F2129" t="s">
        <v>45</v>
      </c>
      <c r="G2129" t="str">
        <f>HYPERLINK("https://twitter.com/968840403414810625/status/1143070651231735810")</f>
        <v>https://twitter.com/968840403414810625/status/1143070651231735810</v>
      </c>
      <c r="H2129" t="s">
        <v>91</v>
      </c>
      <c r="I2129" t="s">
        <v>7311</v>
      </c>
      <c r="J2129" t="str">
        <f>HYPERLINK("http://twitter.com/rainnxyz")</f>
        <v>http://twitter.com/rainnxyz</v>
      </c>
      <c r="K2129">
        <v>1236</v>
      </c>
      <c r="N2129" t="s">
        <v>65</v>
      </c>
      <c r="R2129" t="s">
        <v>60</v>
      </c>
      <c r="W2129">
        <v>14</v>
      </c>
      <c r="X2129">
        <v>14</v>
      </c>
      <c r="AE2129">
        <v>3</v>
      </c>
      <c r="AF2129">
        <v>0</v>
      </c>
      <c r="AI2129" t="s">
        <v>52</v>
      </c>
      <c r="AJ2129" t="s">
        <v>3551</v>
      </c>
      <c r="AK2129" t="s">
        <v>52</v>
      </c>
      <c r="AL2129" t="str">
        <f>HYPERLINK("https://pbs.twimg.com/media/D90AkoMXoAA2Duk.png")</f>
        <v>https://pbs.twimg.com/media/D90AkoMXoAA2Duk.png</v>
      </c>
      <c r="AM2129" t="s">
        <v>52</v>
      </c>
      <c r="AN2129" t="s">
        <v>53</v>
      </c>
    </row>
    <row r="2130" spans="1:40">
      <c r="A2130" t="s">
        <v>2370</v>
      </c>
      <c r="B2130" t="s">
        <v>7312</v>
      </c>
      <c r="C2130" t="s">
        <v>7284</v>
      </c>
      <c r="D2130" t="s">
        <v>52</v>
      </c>
      <c r="E2130" t="s">
        <v>7313</v>
      </c>
      <c r="F2130" t="s">
        <v>45</v>
      </c>
      <c r="G2130" t="str">
        <f>HYPERLINK("https://www.instagram.com/p/BzFeH8Eg-Ai")</f>
        <v>https://www.instagram.com/p/BzFeH8Eg-Ai</v>
      </c>
      <c r="H2130" t="s">
        <v>46</v>
      </c>
      <c r="I2130" t="s">
        <v>7314</v>
      </c>
      <c r="J2130" t="str">
        <f>HYPERLINK("http://instagram.com/lordisyoung")</f>
        <v>http://instagram.com/lordisyoung</v>
      </c>
      <c r="K2130">
        <v>49</v>
      </c>
      <c r="L2130" t="s">
        <v>48</v>
      </c>
      <c r="N2130" t="s">
        <v>59</v>
      </c>
      <c r="O2130" t="s">
        <v>7314</v>
      </c>
      <c r="P2130" t="str">
        <f>HYPERLINK("http://instagram.com/lordisyoung")</f>
        <v>http://instagram.com/lordisyoung</v>
      </c>
      <c r="Q2130">
        <v>49</v>
      </c>
      <c r="R2130" t="s">
        <v>60</v>
      </c>
      <c r="W2130">
        <v>5</v>
      </c>
      <c r="X2130">
        <v>5</v>
      </c>
      <c r="AE2130">
        <v>0</v>
      </c>
      <c r="AI2130" t="s">
        <v>108</v>
      </c>
      <c r="AJ2130" t="s">
        <v>942</v>
      </c>
      <c r="AK2130" t="s">
        <v>52</v>
      </c>
      <c r="AL2130" t="str">
        <f>HYPERLINK("https://www.instagram.com/p/BzFeH8Eg-Ai/media/?size=l")</f>
        <v>https://www.instagram.com/p/BzFeH8Eg-Ai/media/?size=l</v>
      </c>
      <c r="AM2130" t="s">
        <v>52</v>
      </c>
      <c r="AN2130" t="s">
        <v>53</v>
      </c>
    </row>
    <row r="2131" spans="1:40">
      <c r="A2131" t="s">
        <v>2370</v>
      </c>
      <c r="B2131" t="s">
        <v>7312</v>
      </c>
      <c r="C2131" t="s">
        <v>6854</v>
      </c>
      <c r="D2131" t="s">
        <v>7315</v>
      </c>
      <c r="E2131" t="s">
        <v>7316</v>
      </c>
      <c r="F2131" t="s">
        <v>45</v>
      </c>
      <c r="G2131" t="str">
        <f>HYPERLINK("http://www.scandinavianhomestaging.com/pictures-of-cheese-sticks.html")</f>
        <v>http://www.scandinavianhomestaging.com/pictures-of-cheese-sticks.html</v>
      </c>
      <c r="H2131" t="s">
        <v>46</v>
      </c>
      <c r="N2131" t="s">
        <v>7165</v>
      </c>
      <c r="R2131" t="s">
        <v>50</v>
      </c>
      <c r="S2131" t="s">
        <v>51</v>
      </c>
      <c r="AM2131" t="s">
        <v>52</v>
      </c>
      <c r="AN2131" t="s">
        <v>53</v>
      </c>
    </row>
    <row r="2132" spans="1:40">
      <c r="A2132" t="s">
        <v>2370</v>
      </c>
      <c r="B2132" t="s">
        <v>1483</v>
      </c>
      <c r="C2132" t="s">
        <v>7317</v>
      </c>
      <c r="D2132" t="s">
        <v>52</v>
      </c>
      <c r="E2132" t="s">
        <v>7318</v>
      </c>
      <c r="F2132" t="s">
        <v>131</v>
      </c>
      <c r="G2132" t="str">
        <f>HYPERLINK("https://twitter.com/708580351/status/1143068411704090624")</f>
        <v>https://twitter.com/708580351/status/1143068411704090624</v>
      </c>
      <c r="H2132" t="s">
        <v>46</v>
      </c>
      <c r="I2132" t="s">
        <v>52</v>
      </c>
      <c r="J2132" t="str">
        <f>HYPERLINK("http://twitter.com/maniskordaze")</f>
        <v>http://twitter.com/maniskordaze</v>
      </c>
      <c r="K2132">
        <v>568</v>
      </c>
      <c r="N2132" t="s">
        <v>65</v>
      </c>
      <c r="R2132" t="s">
        <v>60</v>
      </c>
      <c r="W2132">
        <v>0</v>
      </c>
      <c r="X2132">
        <v>0</v>
      </c>
      <c r="AE2132">
        <v>0</v>
      </c>
      <c r="AM2132" t="s">
        <v>52</v>
      </c>
      <c r="AN2132" t="s">
        <v>53</v>
      </c>
    </row>
    <row r="2133" spans="1:40">
      <c r="A2133" t="s">
        <v>2370</v>
      </c>
      <c r="B2133" t="s">
        <v>1483</v>
      </c>
      <c r="C2133" t="s">
        <v>7319</v>
      </c>
      <c r="D2133" t="s">
        <v>52</v>
      </c>
      <c r="E2133" t="s">
        <v>7320</v>
      </c>
      <c r="F2133" t="s">
        <v>45</v>
      </c>
      <c r="G2133" t="str">
        <f>HYPERLINK("https://www.instagram.com/p/BzFdIjshXqa")</f>
        <v>https://www.instagram.com/p/BzFdIjshXqa</v>
      </c>
      <c r="H2133" t="s">
        <v>46</v>
      </c>
      <c r="I2133" t="s">
        <v>7321</v>
      </c>
      <c r="J2133" t="str">
        <f>HYPERLINK("http://instagram.com/gr8basin8")</f>
        <v>http://instagram.com/gr8basin8</v>
      </c>
      <c r="K2133">
        <v>407</v>
      </c>
      <c r="L2133" t="s">
        <v>58</v>
      </c>
      <c r="N2133" t="s">
        <v>59</v>
      </c>
      <c r="O2133" t="s">
        <v>7321</v>
      </c>
      <c r="P2133" t="str">
        <f>HYPERLINK("http://instagram.com/gr8basin8")</f>
        <v>http://instagram.com/gr8basin8</v>
      </c>
      <c r="Q2133">
        <v>407</v>
      </c>
      <c r="R2133" t="s">
        <v>60</v>
      </c>
      <c r="W2133">
        <v>15</v>
      </c>
      <c r="X2133">
        <v>15</v>
      </c>
      <c r="AE2133">
        <v>1</v>
      </c>
      <c r="AI2133" t="s">
        <v>52</v>
      </c>
      <c r="AJ2133" t="s">
        <v>7322</v>
      </c>
      <c r="AK2133" t="s">
        <v>52</v>
      </c>
      <c r="AL2133" t="str">
        <f>HYPERLINK("https://www.instagram.com/p/BzFdIjshXqa/media/?size=l")</f>
        <v>https://www.instagram.com/p/BzFdIjshXqa/media/?size=l</v>
      </c>
      <c r="AM2133" t="s">
        <v>52</v>
      </c>
      <c r="AN2133" t="s">
        <v>53</v>
      </c>
    </row>
    <row r="2134" spans="1:40">
      <c r="A2134" t="s">
        <v>2370</v>
      </c>
      <c r="B2134" t="s">
        <v>1489</v>
      </c>
      <c r="C2134" t="s">
        <v>7208</v>
      </c>
      <c r="D2134" t="s">
        <v>7323</v>
      </c>
      <c r="E2134" t="s">
        <v>7324</v>
      </c>
      <c r="F2134" t="s">
        <v>45</v>
      </c>
      <c r="G2134" t="str">
        <f>HYPERLINK("https://mayfieldrecorder.com/2019/06/24/pepsico-inc-nasdaqpep-stake-increased-by-usca-ria-llc.html")</f>
        <v>https://mayfieldrecorder.com/2019/06/24/pepsico-inc-nasdaqpep-stake-increased-by-usca-ria-llc.html</v>
      </c>
      <c r="H2134" t="s">
        <v>91</v>
      </c>
      <c r="I2134" t="s">
        <v>2537</v>
      </c>
      <c r="J2134" t="str">
        <f>HYPERLINK("https://mayfieldrecorder.com/2019/06/24/pepsico-inc-nasdaqpep-stake-increased-by-usca-ria-llc.html")</f>
        <v>https://mayfieldrecorder.com/2019/06/24/pepsico-inc-nasdaqpep-stake-increased-by-usca-ria-llc.html</v>
      </c>
      <c r="L2134" t="s">
        <v>48</v>
      </c>
      <c r="N2134" t="s">
        <v>356</v>
      </c>
      <c r="R2134" t="s">
        <v>357</v>
      </c>
      <c r="S2134" t="s">
        <v>51</v>
      </c>
      <c r="AM2134" t="s">
        <v>52</v>
      </c>
      <c r="AN2134" t="s">
        <v>53</v>
      </c>
    </row>
    <row r="2135" spans="1:40">
      <c r="A2135" t="s">
        <v>2370</v>
      </c>
      <c r="B2135" t="s">
        <v>1489</v>
      </c>
      <c r="C2135" t="s">
        <v>7208</v>
      </c>
      <c r="D2135" t="s">
        <v>7325</v>
      </c>
      <c r="E2135" t="s">
        <v>7326</v>
      </c>
      <c r="F2135" t="s">
        <v>45</v>
      </c>
      <c r="G2135" t="str">
        <f>HYPERLINK("https://mayfieldrecorder.com/2019/06/24/pepsico-inc-nasdaqpep-shares-sold-by-private-wealth-advisors-inc.html")</f>
        <v>https://mayfieldrecorder.com/2019/06/24/pepsico-inc-nasdaqpep-shares-sold-by-private-wealth-advisors-inc.html</v>
      </c>
      <c r="H2135" t="s">
        <v>46</v>
      </c>
      <c r="I2135" t="s">
        <v>2537</v>
      </c>
      <c r="J2135" t="str">
        <f>HYPERLINK("https://mayfieldrecorder.com/2019/06/24/pepsico-inc-nasdaqpep-shares-sold-by-private-wealth-advisors-inc.html")</f>
        <v>https://mayfieldrecorder.com/2019/06/24/pepsico-inc-nasdaqpep-shares-sold-by-private-wealth-advisors-inc.html</v>
      </c>
      <c r="L2135" t="s">
        <v>48</v>
      </c>
      <c r="N2135" t="s">
        <v>356</v>
      </c>
      <c r="R2135" t="s">
        <v>357</v>
      </c>
      <c r="S2135" t="s">
        <v>51</v>
      </c>
      <c r="AM2135" t="s">
        <v>52</v>
      </c>
      <c r="AN2135" t="s">
        <v>53</v>
      </c>
    </row>
    <row r="2136" spans="1:40">
      <c r="A2136" t="s">
        <v>2370</v>
      </c>
      <c r="B2136" t="s">
        <v>1489</v>
      </c>
      <c r="C2136" t="s">
        <v>7208</v>
      </c>
      <c r="D2136" t="s">
        <v>7327</v>
      </c>
      <c r="E2136" t="s">
        <v>7328</v>
      </c>
      <c r="F2136" t="s">
        <v>45</v>
      </c>
      <c r="G2136" t="str">
        <f>HYPERLINK("https://mayfieldrecorder.com/2019/06/24/standard-life-aberdeen-plc-sells-327727-shares-of-pepsico-inc-nasdaqpep.html")</f>
        <v>https://mayfieldrecorder.com/2019/06/24/standard-life-aberdeen-plc-sells-327727-shares-of-pepsico-inc-nasdaqpep.html</v>
      </c>
      <c r="H2136" t="s">
        <v>91</v>
      </c>
      <c r="I2136" t="s">
        <v>355</v>
      </c>
      <c r="J2136" t="str">
        <f>HYPERLINK("https://mayfieldrecorder.com/2019/06/24/standard-life-aberdeen-plc-sells-327727-shares-of-pepsico-inc-nasdaqpep.html")</f>
        <v>https://mayfieldrecorder.com/2019/06/24/standard-life-aberdeen-plc-sells-327727-shares-of-pepsico-inc-nasdaqpep.html</v>
      </c>
      <c r="L2136" t="s">
        <v>48</v>
      </c>
      <c r="N2136" t="s">
        <v>356</v>
      </c>
      <c r="R2136" t="s">
        <v>357</v>
      </c>
      <c r="S2136" t="s">
        <v>51</v>
      </c>
      <c r="AM2136" t="s">
        <v>52</v>
      </c>
      <c r="AN2136" t="s">
        <v>53</v>
      </c>
    </row>
    <row r="2137" spans="1:40">
      <c r="A2137" t="s">
        <v>2370</v>
      </c>
      <c r="B2137" t="s">
        <v>7329</v>
      </c>
      <c r="C2137" t="s">
        <v>7330</v>
      </c>
      <c r="D2137" t="s">
        <v>52</v>
      </c>
      <c r="E2137" t="s">
        <v>7331</v>
      </c>
      <c r="F2137" t="s">
        <v>45</v>
      </c>
      <c r="G2137" t="str">
        <f>HYPERLINK("https://twitter.com/1317211490/status/1143067183033049089")</f>
        <v>https://twitter.com/1317211490/status/1143067183033049089</v>
      </c>
      <c r="H2137" t="s">
        <v>46</v>
      </c>
      <c r="I2137" t="s">
        <v>7332</v>
      </c>
      <c r="J2137" t="str">
        <f>HYPERLINK("http://twitter.com/RiotRejects")</f>
        <v>http://twitter.com/RiotRejects</v>
      </c>
      <c r="K2137">
        <v>18</v>
      </c>
      <c r="N2137" t="s">
        <v>65</v>
      </c>
      <c r="R2137" t="s">
        <v>60</v>
      </c>
      <c r="W2137">
        <v>0</v>
      </c>
      <c r="X2137">
        <v>0</v>
      </c>
      <c r="AE2137">
        <v>0</v>
      </c>
      <c r="AF2137">
        <v>0</v>
      </c>
      <c r="AM2137" t="s">
        <v>52</v>
      </c>
      <c r="AN2137" t="s">
        <v>53</v>
      </c>
    </row>
    <row r="2138" spans="1:40">
      <c r="A2138" t="s">
        <v>2370</v>
      </c>
      <c r="B2138" t="s">
        <v>7329</v>
      </c>
      <c r="C2138" t="s">
        <v>7309</v>
      </c>
      <c r="D2138" t="s">
        <v>52</v>
      </c>
      <c r="E2138" t="s">
        <v>7333</v>
      </c>
      <c r="F2138" t="s">
        <v>45</v>
      </c>
      <c r="G2138" t="str">
        <f>HYPERLINK("https://www.instagram.com/p/BzFcncygrwG")</f>
        <v>https://www.instagram.com/p/BzFcncygrwG</v>
      </c>
      <c r="H2138" t="s">
        <v>46</v>
      </c>
      <c r="I2138" t="s">
        <v>7334</v>
      </c>
      <c r="J2138" t="str">
        <f>HYPERLINK("http://instagram.com/rotaractclubofcvs")</f>
        <v>http://instagram.com/rotaractclubofcvs</v>
      </c>
      <c r="K2138">
        <v>468</v>
      </c>
      <c r="N2138" t="s">
        <v>59</v>
      </c>
      <c r="O2138" t="s">
        <v>7334</v>
      </c>
      <c r="P2138" t="str">
        <f>HYPERLINK("http://instagram.com/rotaractclubofcvs")</f>
        <v>http://instagram.com/rotaractclubofcvs</v>
      </c>
      <c r="Q2138">
        <v>468</v>
      </c>
      <c r="R2138" t="s">
        <v>60</v>
      </c>
      <c r="S2138" t="s">
        <v>315</v>
      </c>
      <c r="T2138" t="s">
        <v>7335</v>
      </c>
      <c r="U2138" t="s">
        <v>7336</v>
      </c>
      <c r="W2138">
        <v>49</v>
      </c>
      <c r="X2138">
        <v>49</v>
      </c>
      <c r="AE2138">
        <v>1</v>
      </c>
      <c r="AI2138" t="s">
        <v>52</v>
      </c>
      <c r="AJ2138" t="s">
        <v>7337</v>
      </c>
      <c r="AK2138" t="s">
        <v>52</v>
      </c>
      <c r="AL2138" t="str">
        <f>HYPERLINK("https://www.instagram.com/p/BzFcncygrwG/media/?size=l")</f>
        <v>https://www.instagram.com/p/BzFcncygrwG/media/?size=l</v>
      </c>
      <c r="AM2138" t="s">
        <v>52</v>
      </c>
      <c r="AN2138" t="s">
        <v>53</v>
      </c>
    </row>
    <row r="2139" spans="1:40">
      <c r="A2139" t="s">
        <v>2370</v>
      </c>
      <c r="B2139" t="s">
        <v>7329</v>
      </c>
      <c r="C2139" t="s">
        <v>7338</v>
      </c>
      <c r="D2139" t="s">
        <v>52</v>
      </c>
      <c r="E2139" t="s">
        <v>3749</v>
      </c>
      <c r="F2139" t="s">
        <v>71</v>
      </c>
      <c r="G2139" t="str">
        <f>HYPERLINK("https://twitter.com/106916284/status/1143067064778842112")</f>
        <v>https://twitter.com/106916284/status/1143067064778842112</v>
      </c>
      <c r="H2139" t="s">
        <v>46</v>
      </c>
      <c r="I2139" t="s">
        <v>7339</v>
      </c>
      <c r="J2139" t="str">
        <f>HYPERLINK("http://twitter.com/IsaacMbaegbu")</f>
        <v>http://twitter.com/IsaacMbaegbu</v>
      </c>
      <c r="K2139">
        <v>1829</v>
      </c>
      <c r="L2139" t="s">
        <v>48</v>
      </c>
      <c r="N2139" t="s">
        <v>65</v>
      </c>
      <c r="R2139" t="s">
        <v>60</v>
      </c>
      <c r="W2139">
        <v>0</v>
      </c>
      <c r="X2139">
        <v>0</v>
      </c>
      <c r="AE2139">
        <v>0</v>
      </c>
      <c r="AF2139">
        <v>0</v>
      </c>
      <c r="AI2139" t="s">
        <v>108</v>
      </c>
      <c r="AJ2139" t="s">
        <v>52</v>
      </c>
      <c r="AK2139" t="s">
        <v>52</v>
      </c>
      <c r="AL2139" t="str">
        <f>HYPERLINK("https://pbs.twimg.com/media/D9sAXHUX4AA6vJs.jpg")</f>
        <v>https://pbs.twimg.com/media/D9sAXHUX4AA6vJs.jpg</v>
      </c>
      <c r="AM2139" t="s">
        <v>52</v>
      </c>
      <c r="AN2139" t="s">
        <v>53</v>
      </c>
    </row>
    <row r="2140" spans="1:40">
      <c r="A2140" t="s">
        <v>2370</v>
      </c>
      <c r="B2140" t="s">
        <v>1498</v>
      </c>
      <c r="C2140" t="s">
        <v>7340</v>
      </c>
      <c r="D2140" t="s">
        <v>52</v>
      </c>
      <c r="E2140" t="s">
        <v>1194</v>
      </c>
      <c r="F2140" t="s">
        <v>131</v>
      </c>
      <c r="G2140" t="str">
        <f>HYPERLINK("https://twitter.com/1647007004/status/1143066953189249025")</f>
        <v>https://twitter.com/1647007004/status/1143066953189249025</v>
      </c>
      <c r="H2140" t="s">
        <v>46</v>
      </c>
      <c r="I2140" t="s">
        <v>7341</v>
      </c>
      <c r="J2140" t="str">
        <f>HYPERLINK("http://twitter.com/nuwairahlutfi")</f>
        <v>http://twitter.com/nuwairahlutfi</v>
      </c>
      <c r="K2140">
        <v>805</v>
      </c>
      <c r="N2140" t="s">
        <v>65</v>
      </c>
      <c r="R2140" t="s">
        <v>60</v>
      </c>
      <c r="S2140" t="s">
        <v>1741</v>
      </c>
      <c r="T2140" t="s">
        <v>6386</v>
      </c>
      <c r="U2140" t="s">
        <v>7342</v>
      </c>
      <c r="W2140">
        <v>0</v>
      </c>
      <c r="X2140">
        <v>0</v>
      </c>
      <c r="AE2140">
        <v>0</v>
      </c>
      <c r="AI2140" t="s">
        <v>52</v>
      </c>
      <c r="AJ2140" t="s">
        <v>1196</v>
      </c>
      <c r="AK2140" t="s">
        <v>52</v>
      </c>
      <c r="AL2140" t="str">
        <f>HYPERLINK("https://pbs.twimg.com/media/D9xgk2YXkAAd2ql.jpg")</f>
        <v>https://pbs.twimg.com/media/D9xgk2YXkAAd2ql.jpg</v>
      </c>
      <c r="AM2140" t="s">
        <v>52</v>
      </c>
      <c r="AN2140" t="s">
        <v>53</v>
      </c>
    </row>
    <row r="2141" spans="1:40">
      <c r="A2141" t="s">
        <v>2370</v>
      </c>
      <c r="B2141" t="s">
        <v>1498</v>
      </c>
      <c r="C2141" t="s">
        <v>7343</v>
      </c>
      <c r="D2141" t="s">
        <v>52</v>
      </c>
      <c r="E2141" t="s">
        <v>1194</v>
      </c>
      <c r="F2141" t="s">
        <v>131</v>
      </c>
      <c r="G2141" t="str">
        <f>HYPERLINK("https://twitter.com/1353657588/status/1143066840261890048")</f>
        <v>https://twitter.com/1353657588/status/1143066840261890048</v>
      </c>
      <c r="H2141" t="s">
        <v>46</v>
      </c>
      <c r="I2141" t="s">
        <v>7344</v>
      </c>
      <c r="J2141" t="str">
        <f>HYPERLINK("http://twitter.com/Esoesunperro")</f>
        <v>http://twitter.com/Esoesunperro</v>
      </c>
      <c r="K2141">
        <v>400</v>
      </c>
      <c r="N2141" t="s">
        <v>65</v>
      </c>
      <c r="R2141" t="s">
        <v>60</v>
      </c>
      <c r="W2141">
        <v>0</v>
      </c>
      <c r="X2141">
        <v>0</v>
      </c>
      <c r="AE2141">
        <v>0</v>
      </c>
      <c r="AI2141" t="s">
        <v>52</v>
      </c>
      <c r="AJ2141" t="s">
        <v>1196</v>
      </c>
      <c r="AK2141" t="s">
        <v>52</v>
      </c>
      <c r="AL2141" t="str">
        <f>HYPERLINK("https://pbs.twimg.com/media/D9xgk2YXkAAd2ql.jpg")</f>
        <v>https://pbs.twimg.com/media/D9xgk2YXkAAd2ql.jpg</v>
      </c>
      <c r="AM2141" t="s">
        <v>52</v>
      </c>
      <c r="AN2141" t="s">
        <v>53</v>
      </c>
    </row>
    <row r="2142" spans="1:40">
      <c r="A2142" t="s">
        <v>2370</v>
      </c>
      <c r="B2142" t="s">
        <v>1512</v>
      </c>
      <c r="C2142" t="s">
        <v>7345</v>
      </c>
      <c r="D2142" t="s">
        <v>52</v>
      </c>
      <c r="E2142" t="s">
        <v>7346</v>
      </c>
      <c r="F2142" t="s">
        <v>95</v>
      </c>
      <c r="G2142" t="str">
        <f>HYPERLINK("https://twitter.com/1858937576/status/1143066273603096576")</f>
        <v>https://twitter.com/1858937576/status/1143066273603096576</v>
      </c>
      <c r="H2142" t="s">
        <v>46</v>
      </c>
      <c r="I2142" t="s">
        <v>7347</v>
      </c>
      <c r="J2142" t="str">
        <f>HYPERLINK("http://twitter.com/muvamoonbeam")</f>
        <v>http://twitter.com/muvamoonbeam</v>
      </c>
      <c r="K2142">
        <v>1419</v>
      </c>
      <c r="N2142" t="s">
        <v>65</v>
      </c>
      <c r="R2142" t="s">
        <v>60</v>
      </c>
      <c r="S2142" t="s">
        <v>1034</v>
      </c>
      <c r="U2142" t="s">
        <v>7348</v>
      </c>
      <c r="W2142">
        <v>2</v>
      </c>
      <c r="X2142">
        <v>2</v>
      </c>
      <c r="AE2142">
        <v>1</v>
      </c>
      <c r="AF2142">
        <v>0</v>
      </c>
      <c r="AI2142" t="s">
        <v>52</v>
      </c>
      <c r="AJ2142" t="s">
        <v>52</v>
      </c>
      <c r="AK2142" t="s">
        <v>110</v>
      </c>
      <c r="AL2142" t="str">
        <f>HYPERLINK("https://pbs.twimg.com/tweet_video_thumb/D9z8tvzW4AAz6BB.jpg")</f>
        <v>https://pbs.twimg.com/tweet_video_thumb/D9z8tvzW4AAz6BB.jpg</v>
      </c>
      <c r="AM2142" t="s">
        <v>52</v>
      </c>
      <c r="AN2142" t="s">
        <v>53</v>
      </c>
    </row>
    <row r="2143" spans="1:40">
      <c r="A2143" t="s">
        <v>2370</v>
      </c>
      <c r="B2143" t="s">
        <v>1518</v>
      </c>
      <c r="C2143" t="s">
        <v>7349</v>
      </c>
      <c r="D2143" t="s">
        <v>52</v>
      </c>
      <c r="E2143" t="s">
        <v>7350</v>
      </c>
      <c r="F2143" t="s">
        <v>45</v>
      </c>
      <c r="G2143" t="str">
        <f>HYPERLINK("https://www.instagram.com/p/BzFcK9UD6mq")</f>
        <v>https://www.instagram.com/p/BzFcK9UD6mq</v>
      </c>
      <c r="H2143" t="s">
        <v>46</v>
      </c>
      <c r="I2143" t="s">
        <v>7351</v>
      </c>
      <c r="J2143" t="str">
        <f>HYPERLINK("http://instagram.com/normal.bir.icon")</f>
        <v>http://instagram.com/normal.bir.icon</v>
      </c>
      <c r="K2143">
        <v>342</v>
      </c>
      <c r="N2143" t="s">
        <v>59</v>
      </c>
      <c r="O2143" t="s">
        <v>7351</v>
      </c>
      <c r="P2143" t="str">
        <f>HYPERLINK("http://instagram.com/normal.bir.icon")</f>
        <v>http://instagram.com/normal.bir.icon</v>
      </c>
      <c r="Q2143">
        <v>342</v>
      </c>
      <c r="R2143" t="s">
        <v>60</v>
      </c>
      <c r="S2143" t="s">
        <v>592</v>
      </c>
      <c r="T2143" t="s">
        <v>7352</v>
      </c>
      <c r="U2143" t="s">
        <v>7353</v>
      </c>
      <c r="W2143">
        <v>19</v>
      </c>
      <c r="X2143">
        <v>19</v>
      </c>
      <c r="AE2143">
        <v>1</v>
      </c>
      <c r="AI2143" t="s">
        <v>108</v>
      </c>
      <c r="AJ2143" t="s">
        <v>7354</v>
      </c>
      <c r="AK2143" t="s">
        <v>4550</v>
      </c>
      <c r="AL2143" t="str">
        <f>HYPERLINK("https://www.instagram.com/p/BzFcK9UD6mq/media/?size=l")</f>
        <v>https://www.instagram.com/p/BzFcK9UD6mq/media/?size=l</v>
      </c>
      <c r="AM2143" t="s">
        <v>52</v>
      </c>
      <c r="AN2143" t="s">
        <v>53</v>
      </c>
    </row>
    <row r="2144" spans="1:40">
      <c r="A2144" t="s">
        <v>2370</v>
      </c>
      <c r="B2144" t="s">
        <v>7355</v>
      </c>
      <c r="C2144" t="s">
        <v>7356</v>
      </c>
      <c r="D2144" t="s">
        <v>52</v>
      </c>
      <c r="E2144" t="s">
        <v>7357</v>
      </c>
      <c r="F2144" t="s">
        <v>95</v>
      </c>
      <c r="G2144" t="str">
        <f>HYPERLINK("https://twitter.com/17988923/status/1143065602140954624")</f>
        <v>https://twitter.com/17988923/status/1143065602140954624</v>
      </c>
      <c r="H2144" t="s">
        <v>46</v>
      </c>
      <c r="I2144" t="s">
        <v>1496</v>
      </c>
      <c r="J2144" t="str">
        <f>HYPERLINK("http://twitter.com/PassionPopSoc")</f>
        <v>http://twitter.com/PassionPopSoc</v>
      </c>
      <c r="K2144">
        <v>194</v>
      </c>
      <c r="N2144" t="s">
        <v>65</v>
      </c>
      <c r="R2144" t="s">
        <v>60</v>
      </c>
      <c r="S2144" t="s">
        <v>444</v>
      </c>
      <c r="T2144" t="s">
        <v>1062</v>
      </c>
      <c r="U2144" t="s">
        <v>1497</v>
      </c>
      <c r="W2144">
        <v>3</v>
      </c>
      <c r="X2144">
        <v>3</v>
      </c>
      <c r="AE2144">
        <v>1</v>
      </c>
      <c r="AF2144">
        <v>0</v>
      </c>
      <c r="AI2144" t="s">
        <v>52</v>
      </c>
      <c r="AJ2144" t="s">
        <v>52</v>
      </c>
      <c r="AK2144" t="s">
        <v>7358</v>
      </c>
      <c r="AL2144" t="str">
        <f>HYPERLINK("https://pbs.twimg.com/tweet_video_thumb/D9z8GUsU4AAoMev.jpg")</f>
        <v>https://pbs.twimg.com/tweet_video_thumb/D9z8GUsU4AAoMev.jpg</v>
      </c>
      <c r="AM2144" t="s">
        <v>52</v>
      </c>
      <c r="AN2144" t="s">
        <v>53</v>
      </c>
    </row>
    <row r="2145" spans="1:40">
      <c r="A2145" t="s">
        <v>2370</v>
      </c>
      <c r="B2145" t="s">
        <v>1546</v>
      </c>
      <c r="C2145" t="s">
        <v>3177</v>
      </c>
      <c r="D2145" t="s">
        <v>7359</v>
      </c>
      <c r="E2145" t="s">
        <v>7360</v>
      </c>
      <c r="F2145" t="s">
        <v>45</v>
      </c>
      <c r="G2145" t="str">
        <f>HYPERLINK("http://boards.4chan.org/pol/thread/217292799#p217294624")</f>
        <v>http://boards.4chan.org/pol/thread/217292799#p217294624</v>
      </c>
      <c r="H2145" t="s">
        <v>46</v>
      </c>
      <c r="N2145" t="s">
        <v>6845</v>
      </c>
      <c r="O2145" t="s">
        <v>7361</v>
      </c>
      <c r="P2145" t="str">
        <f>HYPERLINK("http://boards.4chan.org/pol/")</f>
        <v>http://boards.4chan.org/pol/</v>
      </c>
      <c r="R2145" t="s">
        <v>516</v>
      </c>
      <c r="S2145" t="s">
        <v>51</v>
      </c>
      <c r="AM2145" t="s">
        <v>52</v>
      </c>
      <c r="AN2145" t="s">
        <v>53</v>
      </c>
    </row>
    <row r="2146" spans="1:40">
      <c r="A2146" t="s">
        <v>2370</v>
      </c>
      <c r="B2146" t="s">
        <v>1549</v>
      </c>
      <c r="C2146" t="s">
        <v>7362</v>
      </c>
      <c r="D2146" t="s">
        <v>52</v>
      </c>
      <c r="E2146" t="s">
        <v>7363</v>
      </c>
      <c r="F2146" t="s">
        <v>45</v>
      </c>
      <c r="G2146" t="str">
        <f>HYPERLINK("https://www.instagram.com/p/BzFbEGKlwwY")</f>
        <v>https://www.instagram.com/p/BzFbEGKlwwY</v>
      </c>
      <c r="H2146" t="s">
        <v>46</v>
      </c>
      <c r="I2146" t="s">
        <v>7364</v>
      </c>
      <c r="J2146" t="str">
        <f>HYPERLINK("http://instagram.com/team_avengers_end_game")</f>
        <v>http://instagram.com/team_avengers_end_game</v>
      </c>
      <c r="K2146">
        <v>600</v>
      </c>
      <c r="L2146" t="s">
        <v>48</v>
      </c>
      <c r="N2146" t="s">
        <v>59</v>
      </c>
      <c r="O2146" t="s">
        <v>7364</v>
      </c>
      <c r="P2146" t="str">
        <f>HYPERLINK("http://instagram.com/team_avengers_end_game")</f>
        <v>http://instagram.com/team_avengers_end_game</v>
      </c>
      <c r="Q2146">
        <v>600</v>
      </c>
      <c r="R2146" t="s">
        <v>60</v>
      </c>
      <c r="W2146">
        <v>23</v>
      </c>
      <c r="X2146">
        <v>23</v>
      </c>
      <c r="AE2146">
        <v>0</v>
      </c>
      <c r="AG2146">
        <v>61</v>
      </c>
      <c r="AI2146" t="s">
        <v>108</v>
      </c>
      <c r="AJ2146" t="s">
        <v>52</v>
      </c>
      <c r="AK2146" t="s">
        <v>52</v>
      </c>
      <c r="AL2146" t="str">
        <f>HYPERLINK("https://www.instagram.com/p/BzFbEGKlwwY/media/?size=l")</f>
        <v>https://www.instagram.com/p/BzFbEGKlwwY/media/?size=l</v>
      </c>
      <c r="AM2146" t="s">
        <v>52</v>
      </c>
      <c r="AN2146" t="s">
        <v>53</v>
      </c>
    </row>
    <row r="2147" spans="1:40">
      <c r="A2147" t="s">
        <v>2370</v>
      </c>
      <c r="B2147" t="s">
        <v>1555</v>
      </c>
      <c r="C2147" t="s">
        <v>7365</v>
      </c>
      <c r="D2147" t="s">
        <v>52</v>
      </c>
      <c r="E2147" t="s">
        <v>130</v>
      </c>
      <c r="F2147" t="s">
        <v>131</v>
      </c>
      <c r="G2147" t="str">
        <f>HYPERLINK("https://twitter.com/156643154/status/1143063574736265217")</f>
        <v>https://twitter.com/156643154/status/1143063574736265217</v>
      </c>
      <c r="H2147" t="s">
        <v>46</v>
      </c>
      <c r="I2147" t="s">
        <v>7366</v>
      </c>
      <c r="J2147" t="str">
        <f>HYPERLINK("http://twitter.com/Trudeestweets")</f>
        <v>http://twitter.com/Trudeestweets</v>
      </c>
      <c r="K2147">
        <v>3866</v>
      </c>
      <c r="N2147" t="s">
        <v>65</v>
      </c>
      <c r="R2147" t="s">
        <v>60</v>
      </c>
      <c r="S2147" t="s">
        <v>97</v>
      </c>
      <c r="T2147" t="s">
        <v>177</v>
      </c>
      <c r="U2147" t="s">
        <v>2803</v>
      </c>
      <c r="W2147">
        <v>0</v>
      </c>
      <c r="X2147">
        <v>0</v>
      </c>
      <c r="AE2147">
        <v>0</v>
      </c>
      <c r="AI2147" t="s">
        <v>108</v>
      </c>
      <c r="AJ2147" t="s">
        <v>52</v>
      </c>
      <c r="AK2147" t="s">
        <v>52</v>
      </c>
      <c r="AL2147" t="str">
        <f>HYPERLINK("https://pbs.twimg.com/media/D9XTkLWW4AAOYnJ.jpg")</f>
        <v>https://pbs.twimg.com/media/D9XTkLWW4AAOYnJ.jpg</v>
      </c>
      <c r="AM2147" t="s">
        <v>52</v>
      </c>
      <c r="AN2147" t="s">
        <v>53</v>
      </c>
    </row>
    <row r="2148" spans="1:40">
      <c r="A2148" t="s">
        <v>2370</v>
      </c>
      <c r="B2148" t="s">
        <v>1561</v>
      </c>
      <c r="C2148" t="s">
        <v>7367</v>
      </c>
      <c r="D2148" t="s">
        <v>52</v>
      </c>
      <c r="E2148" t="s">
        <v>7368</v>
      </c>
      <c r="F2148" t="s">
        <v>45</v>
      </c>
      <c r="G2148" t="str">
        <f>HYPERLINK("https://www.instagram.com/p/BzFaytLAF-2")</f>
        <v>https://www.instagram.com/p/BzFaytLAF-2</v>
      </c>
      <c r="H2148" t="s">
        <v>46</v>
      </c>
      <c r="I2148" t="s">
        <v>7369</v>
      </c>
      <c r="J2148" t="str">
        <f>HYPERLINK("http://instagram.com/kyenn.a")</f>
        <v>http://instagram.com/kyenn.a</v>
      </c>
      <c r="K2148">
        <v>1</v>
      </c>
      <c r="N2148" t="s">
        <v>59</v>
      </c>
      <c r="O2148" t="s">
        <v>7369</v>
      </c>
      <c r="P2148" t="str">
        <f>HYPERLINK("http://instagram.com/kyenn.a")</f>
        <v>http://instagram.com/kyenn.a</v>
      </c>
      <c r="Q2148">
        <v>1</v>
      </c>
      <c r="R2148" t="s">
        <v>60</v>
      </c>
      <c r="W2148">
        <v>4</v>
      </c>
      <c r="X2148">
        <v>4</v>
      </c>
      <c r="AE2148">
        <v>0</v>
      </c>
      <c r="AI2148" t="s">
        <v>52</v>
      </c>
      <c r="AJ2148" t="s">
        <v>7370</v>
      </c>
      <c r="AK2148" t="s">
        <v>52</v>
      </c>
      <c r="AL2148" t="str">
        <f>HYPERLINK("https://www.instagram.com/p/BzFaytLAF-2/media/?size=l")</f>
        <v>https://www.instagram.com/p/BzFaytLAF-2/media/?size=l</v>
      </c>
      <c r="AM2148" t="s">
        <v>52</v>
      </c>
      <c r="AN2148" t="s">
        <v>53</v>
      </c>
    </row>
    <row r="2149" spans="1:40">
      <c r="A2149" t="s">
        <v>2370</v>
      </c>
      <c r="B2149" t="s">
        <v>7371</v>
      </c>
      <c r="C2149" t="s">
        <v>7372</v>
      </c>
      <c r="D2149" t="s">
        <v>52</v>
      </c>
      <c r="E2149" t="s">
        <v>1194</v>
      </c>
      <c r="F2149" t="s">
        <v>131</v>
      </c>
      <c r="G2149" t="str">
        <f>HYPERLINK("https://twitter.com/1127929951657897989/status/1143062674789588993")</f>
        <v>https://twitter.com/1127929951657897989/status/1143062674789588993</v>
      </c>
      <c r="H2149" t="s">
        <v>46</v>
      </c>
      <c r="I2149" t="s">
        <v>7373</v>
      </c>
      <c r="J2149" t="str">
        <f>HYPERLINK("http://twitter.com/BoukhSu")</f>
        <v>http://twitter.com/BoukhSu</v>
      </c>
      <c r="K2149">
        <v>12</v>
      </c>
      <c r="N2149" t="s">
        <v>65</v>
      </c>
      <c r="R2149" t="s">
        <v>60</v>
      </c>
      <c r="W2149">
        <v>0</v>
      </c>
      <c r="X2149">
        <v>0</v>
      </c>
      <c r="AE2149">
        <v>0</v>
      </c>
      <c r="AI2149" t="s">
        <v>52</v>
      </c>
      <c r="AJ2149" t="s">
        <v>1196</v>
      </c>
      <c r="AK2149" t="s">
        <v>52</v>
      </c>
      <c r="AL2149" t="str">
        <f>HYPERLINK("https://pbs.twimg.com/media/D9xgk2YXkAAd2ql.jpg")</f>
        <v>https://pbs.twimg.com/media/D9xgk2YXkAAd2ql.jpg</v>
      </c>
      <c r="AM2149" t="s">
        <v>52</v>
      </c>
      <c r="AN2149" t="s">
        <v>53</v>
      </c>
    </row>
    <row r="2150" spans="1:40">
      <c r="A2150" t="s">
        <v>2370</v>
      </c>
      <c r="B2150" t="s">
        <v>7371</v>
      </c>
      <c r="C2150" t="s">
        <v>7374</v>
      </c>
      <c r="D2150" t="s">
        <v>52</v>
      </c>
      <c r="E2150" t="s">
        <v>7375</v>
      </c>
      <c r="F2150" t="s">
        <v>45</v>
      </c>
      <c r="G2150" t="str">
        <f>HYPERLINK("https://www.instagram.com/p/BzFaj6YH6Ea")</f>
        <v>https://www.instagram.com/p/BzFaj6YH6Ea</v>
      </c>
      <c r="H2150" t="s">
        <v>46</v>
      </c>
      <c r="I2150" t="s">
        <v>7376</v>
      </c>
      <c r="J2150" t="str">
        <f>HYPERLINK("http://instagram.com/poppylaneandco2016")</f>
        <v>http://instagram.com/poppylaneandco2016</v>
      </c>
      <c r="K2150">
        <v>482</v>
      </c>
      <c r="N2150" t="s">
        <v>59</v>
      </c>
      <c r="O2150" t="s">
        <v>7376</v>
      </c>
      <c r="P2150" t="str">
        <f>HYPERLINK("http://instagram.com/poppylaneandco2016")</f>
        <v>http://instagram.com/poppylaneandco2016</v>
      </c>
      <c r="Q2150">
        <v>482</v>
      </c>
      <c r="R2150" t="s">
        <v>60</v>
      </c>
      <c r="W2150">
        <v>6</v>
      </c>
      <c r="X2150">
        <v>6</v>
      </c>
      <c r="AE2150">
        <v>0</v>
      </c>
      <c r="AI2150" t="s">
        <v>52</v>
      </c>
      <c r="AJ2150" t="s">
        <v>461</v>
      </c>
      <c r="AK2150" t="s">
        <v>52</v>
      </c>
      <c r="AL2150" t="str">
        <f>HYPERLINK("https://www.instagram.com/p/BzFaj6YH6Ea/media/?size=l")</f>
        <v>https://www.instagram.com/p/BzFaj6YH6Ea/media/?size=l</v>
      </c>
      <c r="AM2150" t="s">
        <v>52</v>
      </c>
      <c r="AN2150" t="s">
        <v>53</v>
      </c>
    </row>
    <row r="2151" spans="1:40">
      <c r="A2151" t="s">
        <v>2370</v>
      </c>
      <c r="B2151" t="s">
        <v>7377</v>
      </c>
      <c r="C2151" t="s">
        <v>7378</v>
      </c>
      <c r="D2151" t="s">
        <v>52</v>
      </c>
      <c r="E2151" t="s">
        <v>7379</v>
      </c>
      <c r="F2151" t="s">
        <v>45</v>
      </c>
      <c r="G2151" t="str">
        <f>HYPERLINK("https://twitter.com/942854496526278656/status/1143061156279382016")</f>
        <v>https://twitter.com/942854496526278656/status/1143061156279382016</v>
      </c>
      <c r="H2151" t="s">
        <v>46</v>
      </c>
      <c r="I2151" t="s">
        <v>7380</v>
      </c>
      <c r="J2151" t="str">
        <f>HYPERLINK("http://twitter.com/lovetaramarie21")</f>
        <v>http://twitter.com/lovetaramarie21</v>
      </c>
      <c r="K2151">
        <v>41</v>
      </c>
      <c r="N2151" t="s">
        <v>65</v>
      </c>
      <c r="R2151" t="s">
        <v>60</v>
      </c>
      <c r="W2151">
        <v>0</v>
      </c>
      <c r="X2151">
        <v>0</v>
      </c>
      <c r="AE2151">
        <v>0</v>
      </c>
      <c r="AF2151">
        <v>0</v>
      </c>
      <c r="AM2151" t="s">
        <v>52</v>
      </c>
      <c r="AN2151" t="s">
        <v>53</v>
      </c>
    </row>
    <row r="2152" spans="1:40">
      <c r="A2152" t="s">
        <v>2370</v>
      </c>
      <c r="B2152" t="s">
        <v>7377</v>
      </c>
      <c r="C2152" t="s">
        <v>7381</v>
      </c>
      <c r="D2152" t="s">
        <v>52</v>
      </c>
      <c r="E2152" t="s">
        <v>1194</v>
      </c>
      <c r="F2152" t="s">
        <v>131</v>
      </c>
      <c r="G2152" t="str">
        <f>HYPERLINK("https://twitter.com/1115758777385414656/status/1143060948724281344")</f>
        <v>https://twitter.com/1115758777385414656/status/1143060948724281344</v>
      </c>
      <c r="H2152" t="s">
        <v>46</v>
      </c>
      <c r="I2152" t="s">
        <v>7382</v>
      </c>
      <c r="J2152" t="str">
        <f>HYPERLINK("http://twitter.com/baeuby")</f>
        <v>http://twitter.com/baeuby</v>
      </c>
      <c r="K2152">
        <v>1360</v>
      </c>
      <c r="N2152" t="s">
        <v>65</v>
      </c>
      <c r="R2152" t="s">
        <v>60</v>
      </c>
      <c r="W2152">
        <v>0</v>
      </c>
      <c r="X2152">
        <v>0</v>
      </c>
      <c r="AE2152">
        <v>0</v>
      </c>
      <c r="AI2152" t="s">
        <v>52</v>
      </c>
      <c r="AJ2152" t="s">
        <v>1196</v>
      </c>
      <c r="AK2152" t="s">
        <v>52</v>
      </c>
      <c r="AL2152" t="str">
        <f>HYPERLINK("https://pbs.twimg.com/media/D9xgk2YXkAAd2ql.jpg")</f>
        <v>https://pbs.twimg.com/media/D9xgk2YXkAAd2ql.jpg</v>
      </c>
      <c r="AM2152" t="s">
        <v>52</v>
      </c>
      <c r="AN2152" t="s">
        <v>53</v>
      </c>
    </row>
    <row r="2153" spans="1:40">
      <c r="A2153" t="s">
        <v>2370</v>
      </c>
      <c r="B2153" t="s">
        <v>1588</v>
      </c>
      <c r="C2153" t="s">
        <v>7381</v>
      </c>
      <c r="D2153" t="s">
        <v>52</v>
      </c>
      <c r="E2153" t="s">
        <v>1194</v>
      </c>
      <c r="F2153" t="s">
        <v>131</v>
      </c>
      <c r="G2153" t="str">
        <f>HYPERLINK("https://twitter.com/759425534422114304/status/1143060934098862081")</f>
        <v>https://twitter.com/759425534422114304/status/1143060934098862081</v>
      </c>
      <c r="H2153" t="s">
        <v>46</v>
      </c>
      <c r="I2153" t="s">
        <v>7383</v>
      </c>
      <c r="J2153" t="str">
        <f>HYPERLINK("http://twitter.com/loturzelchen")</f>
        <v>http://twitter.com/loturzelchen</v>
      </c>
      <c r="K2153">
        <v>57</v>
      </c>
      <c r="L2153" t="s">
        <v>58</v>
      </c>
      <c r="N2153" t="s">
        <v>65</v>
      </c>
      <c r="R2153" t="s">
        <v>60</v>
      </c>
      <c r="W2153">
        <v>0</v>
      </c>
      <c r="X2153">
        <v>0</v>
      </c>
      <c r="AE2153">
        <v>0</v>
      </c>
      <c r="AI2153" t="s">
        <v>52</v>
      </c>
      <c r="AJ2153" t="s">
        <v>1196</v>
      </c>
      <c r="AK2153" t="s">
        <v>52</v>
      </c>
      <c r="AL2153" t="str">
        <f>HYPERLINK("https://pbs.twimg.com/media/D9xgk2YXkAAd2ql.jpg")</f>
        <v>https://pbs.twimg.com/media/D9xgk2YXkAAd2ql.jpg</v>
      </c>
      <c r="AM2153" t="s">
        <v>52</v>
      </c>
      <c r="AN2153" t="s">
        <v>53</v>
      </c>
    </row>
    <row r="2154" spans="1:40">
      <c r="A2154" t="s">
        <v>2370</v>
      </c>
      <c r="B2154" t="s">
        <v>1588</v>
      </c>
      <c r="C2154" t="s">
        <v>7384</v>
      </c>
      <c r="D2154" t="s">
        <v>52</v>
      </c>
      <c r="E2154" t="s">
        <v>3749</v>
      </c>
      <c r="F2154" t="s">
        <v>71</v>
      </c>
      <c r="G2154" t="str">
        <f>HYPERLINK("https://twitter.com/924901176105226240/status/1143060908941414401")</f>
        <v>https://twitter.com/924901176105226240/status/1143060908941414401</v>
      </c>
      <c r="H2154" t="s">
        <v>46</v>
      </c>
      <c r="I2154" t="s">
        <v>7385</v>
      </c>
      <c r="J2154" t="str">
        <f>HYPERLINK("http://twitter.com/Spo0o0o0oky")</f>
        <v>http://twitter.com/Spo0o0o0oky</v>
      </c>
      <c r="K2154">
        <v>65</v>
      </c>
      <c r="N2154" t="s">
        <v>65</v>
      </c>
      <c r="R2154" t="s">
        <v>60</v>
      </c>
      <c r="W2154">
        <v>0</v>
      </c>
      <c r="X2154">
        <v>0</v>
      </c>
      <c r="AE2154">
        <v>0</v>
      </c>
      <c r="AF2154">
        <v>0</v>
      </c>
      <c r="AI2154" t="s">
        <v>108</v>
      </c>
      <c r="AJ2154" t="s">
        <v>52</v>
      </c>
      <c r="AK2154" t="s">
        <v>52</v>
      </c>
      <c r="AL2154" t="str">
        <f>HYPERLINK("https://pbs.twimg.com/media/D9sAXHUX4AA6vJs.jpg")</f>
        <v>https://pbs.twimg.com/media/D9sAXHUX4AA6vJs.jpg</v>
      </c>
      <c r="AM2154" t="s">
        <v>52</v>
      </c>
      <c r="AN2154" t="s">
        <v>53</v>
      </c>
    </row>
    <row r="2155" spans="1:40">
      <c r="A2155" t="s">
        <v>2370</v>
      </c>
      <c r="B2155" t="s">
        <v>1588</v>
      </c>
      <c r="C2155" t="s">
        <v>7386</v>
      </c>
      <c r="D2155" t="s">
        <v>52</v>
      </c>
      <c r="E2155" t="s">
        <v>3749</v>
      </c>
      <c r="F2155" t="s">
        <v>71</v>
      </c>
      <c r="G2155" t="str">
        <f>HYPERLINK("https://twitter.com/3478549342/status/1143060840733642752")</f>
        <v>https://twitter.com/3478549342/status/1143060840733642752</v>
      </c>
      <c r="H2155" t="s">
        <v>46</v>
      </c>
      <c r="I2155" t="s">
        <v>7387</v>
      </c>
      <c r="J2155" t="str">
        <f>HYPERLINK("http://twitter.com/NameIsSiphelele")</f>
        <v>http://twitter.com/NameIsSiphelele</v>
      </c>
      <c r="K2155">
        <v>234</v>
      </c>
      <c r="N2155" t="s">
        <v>65</v>
      </c>
      <c r="R2155" t="s">
        <v>60</v>
      </c>
      <c r="S2155" t="s">
        <v>1071</v>
      </c>
      <c r="T2155" t="s">
        <v>1072</v>
      </c>
      <c r="U2155" t="s">
        <v>7388</v>
      </c>
      <c r="W2155">
        <v>0</v>
      </c>
      <c r="X2155">
        <v>0</v>
      </c>
      <c r="AE2155">
        <v>0</v>
      </c>
      <c r="AF2155">
        <v>0</v>
      </c>
      <c r="AI2155" t="s">
        <v>108</v>
      </c>
      <c r="AJ2155" t="s">
        <v>52</v>
      </c>
      <c r="AK2155" t="s">
        <v>52</v>
      </c>
      <c r="AL2155" t="str">
        <f>HYPERLINK("https://pbs.twimg.com/media/D9sAXHUX4AA6vJs.jpg")</f>
        <v>https://pbs.twimg.com/media/D9sAXHUX4AA6vJs.jpg</v>
      </c>
      <c r="AM2155" t="s">
        <v>52</v>
      </c>
      <c r="AN2155" t="s">
        <v>53</v>
      </c>
    </row>
    <row r="2156" spans="1:40">
      <c r="A2156" t="s">
        <v>2370</v>
      </c>
      <c r="B2156" t="s">
        <v>7389</v>
      </c>
      <c r="C2156" t="s">
        <v>7390</v>
      </c>
      <c r="D2156" t="s">
        <v>52</v>
      </c>
      <c r="E2156" t="s">
        <v>526</v>
      </c>
      <c r="F2156" t="s">
        <v>131</v>
      </c>
      <c r="G2156" t="str">
        <f>HYPERLINK("https://twitter.com/838648095072190464/status/1143059258222809088")</f>
        <v>https://twitter.com/838648095072190464/status/1143059258222809088</v>
      </c>
      <c r="H2156" t="s">
        <v>46</v>
      </c>
      <c r="I2156" t="s">
        <v>7391</v>
      </c>
      <c r="J2156" t="str">
        <f>HYPERLINK("http://twitter.com/JavoLpz")</f>
        <v>http://twitter.com/JavoLpz</v>
      </c>
      <c r="K2156">
        <v>71</v>
      </c>
      <c r="N2156" t="s">
        <v>65</v>
      </c>
      <c r="R2156" t="s">
        <v>60</v>
      </c>
      <c r="S2156" t="s">
        <v>437</v>
      </c>
      <c r="T2156" t="s">
        <v>4145</v>
      </c>
      <c r="U2156" t="s">
        <v>4146</v>
      </c>
      <c r="W2156">
        <v>0</v>
      </c>
      <c r="X2156">
        <v>0</v>
      </c>
      <c r="AE2156">
        <v>0</v>
      </c>
      <c r="AI2156" t="s">
        <v>108</v>
      </c>
      <c r="AJ2156" t="s">
        <v>52</v>
      </c>
      <c r="AK2156" t="s">
        <v>52</v>
      </c>
      <c r="AL2156" t="str">
        <f>HYPERLINK("https://pbs.twimg.com/ext_tw_video_thumb/1141360066962100224/pu/img/5_tGc4hLFQwcD07b.jpg")</f>
        <v>https://pbs.twimg.com/ext_tw_video_thumb/1141360066962100224/pu/img/5_tGc4hLFQwcD07b.jpg</v>
      </c>
      <c r="AM2156" t="s">
        <v>52</v>
      </c>
      <c r="AN2156" t="s">
        <v>53</v>
      </c>
    </row>
    <row r="2157" spans="1:40">
      <c r="A2157" t="s">
        <v>2370</v>
      </c>
      <c r="B2157" t="s">
        <v>7389</v>
      </c>
      <c r="C2157" t="s">
        <v>7392</v>
      </c>
      <c r="D2157" t="s">
        <v>52</v>
      </c>
      <c r="E2157" t="s">
        <v>7393</v>
      </c>
      <c r="F2157" t="s">
        <v>95</v>
      </c>
      <c r="G2157" t="str">
        <f>HYPERLINK("https://twitter.com/511677939/status/1143059193018093568")</f>
        <v>https://twitter.com/511677939/status/1143059193018093568</v>
      </c>
      <c r="H2157" t="s">
        <v>46</v>
      </c>
      <c r="I2157" t="s">
        <v>7394</v>
      </c>
      <c r="J2157" t="str">
        <f>HYPERLINK("http://twitter.com/jo_jocherry")</f>
        <v>http://twitter.com/jo_jocherry</v>
      </c>
      <c r="K2157">
        <v>1444</v>
      </c>
      <c r="N2157" t="s">
        <v>65</v>
      </c>
      <c r="R2157" t="s">
        <v>60</v>
      </c>
      <c r="W2157">
        <v>0</v>
      </c>
      <c r="X2157">
        <v>0</v>
      </c>
      <c r="AE2157">
        <v>0</v>
      </c>
      <c r="AF2157">
        <v>0</v>
      </c>
      <c r="AM2157" t="s">
        <v>52</v>
      </c>
      <c r="AN2157" t="s">
        <v>53</v>
      </c>
    </row>
    <row r="2158" spans="1:40">
      <c r="A2158" t="s">
        <v>2370</v>
      </c>
      <c r="B2158" t="s">
        <v>1611</v>
      </c>
      <c r="C2158" t="s">
        <v>7395</v>
      </c>
      <c r="D2158" t="s">
        <v>52</v>
      </c>
      <c r="E2158" t="s">
        <v>3749</v>
      </c>
      <c r="F2158" t="s">
        <v>71</v>
      </c>
      <c r="G2158" t="str">
        <f>HYPERLINK("https://twitter.com/947995861/status/1143059153625255936")</f>
        <v>https://twitter.com/947995861/status/1143059153625255936</v>
      </c>
      <c r="H2158" t="s">
        <v>46</v>
      </c>
      <c r="I2158" t="s">
        <v>7396</v>
      </c>
      <c r="J2158" t="str">
        <f>HYPERLINK("http://twitter.com/_OkikiolaA")</f>
        <v>http://twitter.com/_OkikiolaA</v>
      </c>
      <c r="K2158">
        <v>342</v>
      </c>
      <c r="N2158" t="s">
        <v>65</v>
      </c>
      <c r="R2158" t="s">
        <v>60</v>
      </c>
      <c r="S2158" t="s">
        <v>1592</v>
      </c>
      <c r="T2158" t="s">
        <v>7397</v>
      </c>
      <c r="U2158" t="s">
        <v>7397</v>
      </c>
      <c r="W2158">
        <v>0</v>
      </c>
      <c r="X2158">
        <v>0</v>
      </c>
      <c r="AE2158">
        <v>0</v>
      </c>
      <c r="AF2158">
        <v>0</v>
      </c>
      <c r="AI2158" t="s">
        <v>108</v>
      </c>
      <c r="AJ2158" t="s">
        <v>52</v>
      </c>
      <c r="AK2158" t="s">
        <v>52</v>
      </c>
      <c r="AL2158" t="str">
        <f>HYPERLINK("https://pbs.twimg.com/media/D9sAXHUX4AA6vJs.jpg")</f>
        <v>https://pbs.twimg.com/media/D9sAXHUX4AA6vJs.jpg</v>
      </c>
      <c r="AM2158" t="s">
        <v>52</v>
      </c>
      <c r="AN2158" t="s">
        <v>53</v>
      </c>
    </row>
    <row r="2159" spans="1:40">
      <c r="A2159" t="s">
        <v>2370</v>
      </c>
      <c r="B2159" t="s">
        <v>1611</v>
      </c>
      <c r="C2159" t="s">
        <v>7398</v>
      </c>
      <c r="D2159" t="s">
        <v>52</v>
      </c>
      <c r="E2159" t="s">
        <v>130</v>
      </c>
      <c r="F2159" t="s">
        <v>131</v>
      </c>
      <c r="G2159" t="str">
        <f>HYPERLINK("https://twitter.com/511677939/status/1143059110058962944")</f>
        <v>https://twitter.com/511677939/status/1143059110058962944</v>
      </c>
      <c r="H2159" t="s">
        <v>46</v>
      </c>
      <c r="I2159" t="s">
        <v>7394</v>
      </c>
      <c r="J2159" t="str">
        <f>HYPERLINK("http://twitter.com/jo_jocherry")</f>
        <v>http://twitter.com/jo_jocherry</v>
      </c>
      <c r="K2159">
        <v>1444</v>
      </c>
      <c r="N2159" t="s">
        <v>65</v>
      </c>
      <c r="R2159" t="s">
        <v>60</v>
      </c>
      <c r="W2159">
        <v>0</v>
      </c>
      <c r="X2159">
        <v>0</v>
      </c>
      <c r="AE2159">
        <v>0</v>
      </c>
      <c r="AI2159" t="s">
        <v>108</v>
      </c>
      <c r="AJ2159" t="s">
        <v>52</v>
      </c>
      <c r="AK2159" t="s">
        <v>52</v>
      </c>
      <c r="AL2159" t="str">
        <f>HYPERLINK("https://pbs.twimg.com/media/D9XTkLWW4AAOYnJ.jpg")</f>
        <v>https://pbs.twimg.com/media/D9XTkLWW4AAOYnJ.jpg</v>
      </c>
      <c r="AM2159" t="s">
        <v>52</v>
      </c>
      <c r="AN2159" t="s">
        <v>53</v>
      </c>
    </row>
    <row r="2160" spans="1:40">
      <c r="A2160" t="s">
        <v>2370</v>
      </c>
      <c r="B2160" t="s">
        <v>1611</v>
      </c>
      <c r="C2160" t="s">
        <v>7384</v>
      </c>
      <c r="D2160" t="s">
        <v>52</v>
      </c>
      <c r="E2160" t="s">
        <v>7399</v>
      </c>
      <c r="F2160" t="s">
        <v>45</v>
      </c>
      <c r="G2160" t="str">
        <f>HYPERLINK("https://www.instagram.com/p/BzFY7EUFfvr")</f>
        <v>https://www.instagram.com/p/BzFY7EUFfvr</v>
      </c>
      <c r="H2160" t="s">
        <v>46</v>
      </c>
      <c r="I2160" t="s">
        <v>7400</v>
      </c>
      <c r="J2160" t="str">
        <f>HYPERLINK("http://instagram.com/waroengkomik")</f>
        <v>http://instagram.com/waroengkomik</v>
      </c>
      <c r="K2160">
        <v>431</v>
      </c>
      <c r="N2160" t="s">
        <v>59</v>
      </c>
      <c r="O2160" t="s">
        <v>7400</v>
      </c>
      <c r="P2160" t="str">
        <f>HYPERLINK("http://instagram.com/waroengkomik")</f>
        <v>http://instagram.com/waroengkomik</v>
      </c>
      <c r="Q2160">
        <v>431</v>
      </c>
      <c r="R2160" t="s">
        <v>60</v>
      </c>
      <c r="W2160">
        <v>34</v>
      </c>
      <c r="X2160">
        <v>34</v>
      </c>
      <c r="AE2160">
        <v>0</v>
      </c>
      <c r="AI2160" t="s">
        <v>52</v>
      </c>
      <c r="AJ2160" t="s">
        <v>458</v>
      </c>
      <c r="AK2160" t="s">
        <v>52</v>
      </c>
      <c r="AL2160" t="str">
        <f>HYPERLINK("https://www.instagram.com/p/BzFY7EUFfvr/media/?size=l")</f>
        <v>https://www.instagram.com/p/BzFY7EUFfvr/media/?size=l</v>
      </c>
      <c r="AM2160" t="s">
        <v>52</v>
      </c>
      <c r="AN2160" t="s">
        <v>53</v>
      </c>
    </row>
    <row r="2161" spans="1:40">
      <c r="A2161" t="s">
        <v>2370</v>
      </c>
      <c r="B2161" t="s">
        <v>1626</v>
      </c>
      <c r="C2161" t="s">
        <v>7401</v>
      </c>
      <c r="D2161" t="s">
        <v>52</v>
      </c>
      <c r="E2161" t="s">
        <v>7402</v>
      </c>
      <c r="F2161" t="s">
        <v>45</v>
      </c>
      <c r="G2161" t="str">
        <f>HYPERLINK("https://www.facebook.com/37940325366/posts/10161962792725367")</f>
        <v>https://www.facebook.com/37940325366/posts/10161962792725367</v>
      </c>
      <c r="H2161" t="s">
        <v>46</v>
      </c>
      <c r="N2161" t="s">
        <v>1792</v>
      </c>
      <c r="O2161" t="s">
        <v>7403</v>
      </c>
      <c r="P2161" t="str">
        <f>HYPERLINK("https://www.facebook.com/37940325366")</f>
        <v>https://www.facebook.com/37940325366</v>
      </c>
      <c r="Q2161">
        <v>2332824</v>
      </c>
      <c r="R2161" t="s">
        <v>60</v>
      </c>
      <c r="W2161">
        <v>0</v>
      </c>
      <c r="X2161">
        <v>0</v>
      </c>
      <c r="Y2161">
        <v>0</v>
      </c>
      <c r="Z2161">
        <v>0</v>
      </c>
      <c r="AA2161">
        <v>0</v>
      </c>
      <c r="AB2161">
        <v>0</v>
      </c>
      <c r="AC2161">
        <v>0</v>
      </c>
      <c r="AE2161">
        <v>0</v>
      </c>
      <c r="AF2161">
        <v>0</v>
      </c>
      <c r="AM2161" t="s">
        <v>52</v>
      </c>
      <c r="AN2161" t="s">
        <v>53</v>
      </c>
    </row>
    <row r="2162" spans="1:40">
      <c r="A2162" t="s">
        <v>2370</v>
      </c>
      <c r="B2162" t="s">
        <v>7404</v>
      </c>
      <c r="C2162" t="s">
        <v>7405</v>
      </c>
      <c r="D2162" t="s">
        <v>7406</v>
      </c>
      <c r="E2162" t="s">
        <v>7407</v>
      </c>
      <c r="F2162" t="s">
        <v>45</v>
      </c>
      <c r="G2162" t="str">
        <f>HYPERLINK("https://www.youtube.com/watch?v=RBUH1kkUlnM")</f>
        <v>https://www.youtube.com/watch?v=RBUH1kkUlnM</v>
      </c>
      <c r="H2162" t="s">
        <v>46</v>
      </c>
      <c r="I2162" t="s">
        <v>7408</v>
      </c>
      <c r="J2162" t="str">
        <f>HYPERLINK("https://www.youtube.com/channel/UCm38kum_VIenqEasFFXof0g")</f>
        <v>https://www.youtube.com/channel/UCm38kum_VIenqEasFFXof0g</v>
      </c>
      <c r="K2162">
        <v>1</v>
      </c>
      <c r="N2162" t="s">
        <v>116</v>
      </c>
      <c r="O2162" t="s">
        <v>7408</v>
      </c>
      <c r="P2162" t="str">
        <f>HYPERLINK("https://www.youtube.com/channel/UCm38kum_VIenqEasFFXof0g")</f>
        <v>https://www.youtube.com/channel/UCm38kum_VIenqEasFFXof0g</v>
      </c>
      <c r="Q2162">
        <v>1</v>
      </c>
      <c r="R2162" t="s">
        <v>60</v>
      </c>
      <c r="S2162" t="s">
        <v>774</v>
      </c>
      <c r="W2162">
        <v>1</v>
      </c>
      <c r="X2162">
        <v>1</v>
      </c>
      <c r="AD2162">
        <v>0</v>
      </c>
      <c r="AE2162">
        <v>0</v>
      </c>
      <c r="AG2162">
        <v>9</v>
      </c>
      <c r="AI2162" t="s">
        <v>52</v>
      </c>
      <c r="AJ2162" t="s">
        <v>52</v>
      </c>
      <c r="AK2162" t="s">
        <v>341</v>
      </c>
      <c r="AL2162" t="str">
        <f>HYPERLINK("https://i.ytimg.com/vi/RBUH1kkUlnM/hqdefault.jpg")</f>
        <v>https://i.ytimg.com/vi/RBUH1kkUlnM/hqdefault.jpg</v>
      </c>
      <c r="AM2162" t="s">
        <v>52</v>
      </c>
      <c r="AN2162" t="s">
        <v>53</v>
      </c>
    </row>
    <row r="2163" spans="1:40">
      <c r="A2163" t="s">
        <v>2370</v>
      </c>
      <c r="B2163" t="s">
        <v>7404</v>
      </c>
      <c r="C2163" t="s">
        <v>7409</v>
      </c>
      <c r="D2163" t="s">
        <v>52</v>
      </c>
      <c r="E2163" t="s">
        <v>7410</v>
      </c>
      <c r="F2163" t="s">
        <v>95</v>
      </c>
      <c r="G2163" t="str">
        <f>HYPERLINK("https://twitter.com/1170774631/status/1143057934139584513")</f>
        <v>https://twitter.com/1170774631/status/1143057934139584513</v>
      </c>
      <c r="H2163" t="s">
        <v>46</v>
      </c>
      <c r="I2163" t="s">
        <v>7411</v>
      </c>
      <c r="J2163" t="str">
        <f>HYPERLINK("http://twitter.com/kyralaurenm")</f>
        <v>http://twitter.com/kyralaurenm</v>
      </c>
      <c r="K2163">
        <v>1967</v>
      </c>
      <c r="N2163" t="s">
        <v>65</v>
      </c>
      <c r="R2163" t="s">
        <v>60</v>
      </c>
      <c r="W2163">
        <v>3</v>
      </c>
      <c r="X2163">
        <v>3</v>
      </c>
      <c r="AE2163">
        <v>0</v>
      </c>
      <c r="AF2163">
        <v>0</v>
      </c>
      <c r="AM2163" t="s">
        <v>52</v>
      </c>
      <c r="AN2163" t="s">
        <v>53</v>
      </c>
    </row>
    <row r="2164" spans="1:40">
      <c r="A2164" t="s">
        <v>2370</v>
      </c>
      <c r="B2164" t="s">
        <v>1646</v>
      </c>
      <c r="C2164" t="s">
        <v>7392</v>
      </c>
      <c r="D2164" t="s">
        <v>52</v>
      </c>
      <c r="E2164" t="s">
        <v>7412</v>
      </c>
      <c r="F2164" t="s">
        <v>45</v>
      </c>
      <c r="G2164" t="str">
        <f>HYPERLINK("https://twitter.com/1002084518088486914/status/1143057491426590720")</f>
        <v>https://twitter.com/1002084518088486914/status/1143057491426590720</v>
      </c>
      <c r="H2164" t="s">
        <v>46</v>
      </c>
      <c r="I2164" t="s">
        <v>7413</v>
      </c>
      <c r="J2164" t="str">
        <f>HYPERLINK("http://twitter.com/_breannaisabel_")</f>
        <v>http://twitter.com/_breannaisabel_</v>
      </c>
      <c r="K2164">
        <v>155</v>
      </c>
      <c r="N2164" t="s">
        <v>65</v>
      </c>
      <c r="R2164" t="s">
        <v>60</v>
      </c>
      <c r="S2164" t="s">
        <v>51</v>
      </c>
      <c r="T2164" t="s">
        <v>173</v>
      </c>
      <c r="U2164" t="s">
        <v>4516</v>
      </c>
      <c r="W2164">
        <v>9</v>
      </c>
      <c r="X2164">
        <v>9</v>
      </c>
      <c r="AE2164">
        <v>0</v>
      </c>
      <c r="AF2164">
        <v>0</v>
      </c>
      <c r="AM2164" t="s">
        <v>52</v>
      </c>
      <c r="AN2164" t="s">
        <v>53</v>
      </c>
    </row>
    <row r="2165" spans="1:40">
      <c r="A2165" t="s">
        <v>2370</v>
      </c>
      <c r="B2165" t="s">
        <v>1651</v>
      </c>
      <c r="C2165" t="s">
        <v>7414</v>
      </c>
      <c r="D2165" t="s">
        <v>52</v>
      </c>
      <c r="E2165" t="s">
        <v>7415</v>
      </c>
      <c r="F2165" t="s">
        <v>45</v>
      </c>
      <c r="G2165" t="str">
        <f>HYPERLINK("https://twitter.com/891153450691514376/status/1143057316402487296")</f>
        <v>https://twitter.com/891153450691514376/status/1143057316402487296</v>
      </c>
      <c r="H2165" t="s">
        <v>46</v>
      </c>
      <c r="I2165" t="s">
        <v>7416</v>
      </c>
      <c r="J2165" t="str">
        <f>HYPERLINK("http://twitter.com/fadh_kentang")</f>
        <v>http://twitter.com/fadh_kentang</v>
      </c>
      <c r="K2165">
        <v>455</v>
      </c>
      <c r="N2165" t="s">
        <v>65</v>
      </c>
      <c r="R2165" t="s">
        <v>60</v>
      </c>
      <c r="S2165" t="s">
        <v>1741</v>
      </c>
      <c r="T2165" t="s">
        <v>7417</v>
      </c>
      <c r="U2165" t="s">
        <v>7418</v>
      </c>
      <c r="W2165">
        <v>6</v>
      </c>
      <c r="X2165">
        <v>6</v>
      </c>
      <c r="AE2165">
        <v>0</v>
      </c>
      <c r="AF2165">
        <v>0</v>
      </c>
      <c r="AM2165" t="s">
        <v>52</v>
      </c>
      <c r="AN2165" t="s">
        <v>53</v>
      </c>
    </row>
    <row r="2166" spans="1:40">
      <c r="A2166" t="s">
        <v>2370</v>
      </c>
      <c r="B2166" t="s">
        <v>7419</v>
      </c>
      <c r="C2166" t="s">
        <v>7420</v>
      </c>
      <c r="D2166" t="s">
        <v>52</v>
      </c>
      <c r="E2166" t="s">
        <v>7421</v>
      </c>
      <c r="F2166" t="s">
        <v>45</v>
      </c>
      <c r="G2166" t="str">
        <f>HYPERLINK("https://twitter.com/50516617/status/1143056767464722432")</f>
        <v>https://twitter.com/50516617/status/1143056767464722432</v>
      </c>
      <c r="H2166" t="s">
        <v>46</v>
      </c>
      <c r="I2166" t="s">
        <v>7422</v>
      </c>
      <c r="J2166" t="str">
        <f>HYPERLINK("http://twitter.com/max___ONLINE")</f>
        <v>http://twitter.com/max___ONLINE</v>
      </c>
      <c r="K2166">
        <v>162</v>
      </c>
      <c r="N2166" t="s">
        <v>65</v>
      </c>
      <c r="R2166" t="s">
        <v>60</v>
      </c>
      <c r="S2166" t="s">
        <v>7423</v>
      </c>
      <c r="W2166">
        <v>0</v>
      </c>
      <c r="X2166">
        <v>0</v>
      </c>
      <c r="AE2166">
        <v>0</v>
      </c>
      <c r="AF2166">
        <v>0</v>
      </c>
      <c r="AM2166" t="s">
        <v>52</v>
      </c>
      <c r="AN2166" t="s">
        <v>53</v>
      </c>
    </row>
    <row r="2167" spans="1:40">
      <c r="A2167" t="s">
        <v>2370</v>
      </c>
      <c r="B2167" t="s">
        <v>7424</v>
      </c>
      <c r="C2167" t="s">
        <v>7425</v>
      </c>
      <c r="D2167" t="s">
        <v>52</v>
      </c>
      <c r="E2167" t="s">
        <v>4514</v>
      </c>
      <c r="F2167" t="s">
        <v>71</v>
      </c>
      <c r="G2167" t="str">
        <f>HYPERLINK("https://twitter.com/2505799520/status/1143056548241035264")</f>
        <v>https://twitter.com/2505799520/status/1143056548241035264</v>
      </c>
      <c r="H2167" t="s">
        <v>46</v>
      </c>
      <c r="I2167" t="s">
        <v>7426</v>
      </c>
      <c r="J2167" t="str">
        <f>HYPERLINK("http://twitter.com/Hermanislonely")</f>
        <v>http://twitter.com/Hermanislonely</v>
      </c>
      <c r="K2167">
        <v>5</v>
      </c>
      <c r="N2167" t="s">
        <v>65</v>
      </c>
      <c r="R2167" t="s">
        <v>60</v>
      </c>
      <c r="S2167" t="s">
        <v>51</v>
      </c>
      <c r="T2167" t="s">
        <v>199</v>
      </c>
      <c r="U2167" t="s">
        <v>7427</v>
      </c>
      <c r="W2167">
        <v>0</v>
      </c>
      <c r="X2167">
        <v>0</v>
      </c>
      <c r="AE2167">
        <v>0</v>
      </c>
      <c r="AF2167">
        <v>0</v>
      </c>
      <c r="AI2167" t="s">
        <v>108</v>
      </c>
      <c r="AJ2167" t="s">
        <v>52</v>
      </c>
      <c r="AK2167" t="s">
        <v>52</v>
      </c>
      <c r="AL2167" t="str">
        <f>HYPERLINK("https://pbs.twimg.com/tweet_video_thumb/D9hvNNzXUAATAS3.jpg")</f>
        <v>https://pbs.twimg.com/tweet_video_thumb/D9hvNNzXUAATAS3.jpg</v>
      </c>
      <c r="AM2167" t="s">
        <v>52</v>
      </c>
      <c r="AN2167" t="s">
        <v>53</v>
      </c>
    </row>
    <row r="2168" spans="1:40">
      <c r="A2168" t="s">
        <v>2370</v>
      </c>
      <c r="B2168" t="s">
        <v>1674</v>
      </c>
      <c r="C2168" t="s">
        <v>7405</v>
      </c>
      <c r="D2168" t="s">
        <v>52</v>
      </c>
      <c r="E2168" t="s">
        <v>1194</v>
      </c>
      <c r="F2168" t="s">
        <v>131</v>
      </c>
      <c r="G2168" t="str">
        <f>HYPERLINK("https://twitter.com/2248198771/status/1143056304522612737")</f>
        <v>https://twitter.com/2248198771/status/1143056304522612737</v>
      </c>
      <c r="H2168" t="s">
        <v>46</v>
      </c>
      <c r="I2168" t="s">
        <v>7428</v>
      </c>
      <c r="J2168" t="str">
        <f>HYPERLINK("http://twitter.com/ariela_arii")</f>
        <v>http://twitter.com/ariela_arii</v>
      </c>
      <c r="K2168">
        <v>1141</v>
      </c>
      <c r="N2168" t="s">
        <v>65</v>
      </c>
      <c r="R2168" t="s">
        <v>60</v>
      </c>
      <c r="S2168" t="s">
        <v>51</v>
      </c>
      <c r="T2168" t="s">
        <v>152</v>
      </c>
      <c r="U2168" t="s">
        <v>7429</v>
      </c>
      <c r="W2168">
        <v>0</v>
      </c>
      <c r="X2168">
        <v>0</v>
      </c>
      <c r="AE2168">
        <v>0</v>
      </c>
      <c r="AI2168" t="s">
        <v>52</v>
      </c>
      <c r="AJ2168" t="s">
        <v>1196</v>
      </c>
      <c r="AK2168" t="s">
        <v>52</v>
      </c>
      <c r="AL2168" t="str">
        <f>HYPERLINK("https://pbs.twimg.com/media/D9xgk2YXkAAd2ql.jpg")</f>
        <v>https://pbs.twimg.com/media/D9xgk2YXkAAd2ql.jpg</v>
      </c>
      <c r="AM2168" t="s">
        <v>52</v>
      </c>
      <c r="AN2168" t="s">
        <v>53</v>
      </c>
    </row>
    <row r="2169" spans="1:40">
      <c r="A2169" t="s">
        <v>2370</v>
      </c>
      <c r="B2169" t="s">
        <v>1674</v>
      </c>
      <c r="C2169" t="s">
        <v>7405</v>
      </c>
      <c r="D2169" t="s">
        <v>52</v>
      </c>
      <c r="E2169" t="s">
        <v>5743</v>
      </c>
      <c r="F2169" t="s">
        <v>131</v>
      </c>
      <c r="G2169" t="str">
        <f>HYPERLINK("https://twitter.com/1340307960/status/1143056299984326656")</f>
        <v>https://twitter.com/1340307960/status/1143056299984326656</v>
      </c>
      <c r="H2169" t="s">
        <v>46</v>
      </c>
      <c r="I2169" t="s">
        <v>7430</v>
      </c>
      <c r="J2169" t="str">
        <f>HYPERLINK("http://twitter.com/Ncognito88")</f>
        <v>http://twitter.com/Ncognito88</v>
      </c>
      <c r="K2169">
        <v>441</v>
      </c>
      <c r="N2169" t="s">
        <v>65</v>
      </c>
      <c r="R2169" t="s">
        <v>60</v>
      </c>
      <c r="S2169" t="s">
        <v>51</v>
      </c>
      <c r="T2169" t="s">
        <v>851</v>
      </c>
      <c r="W2169">
        <v>0</v>
      </c>
      <c r="X2169">
        <v>0</v>
      </c>
      <c r="AE2169">
        <v>0</v>
      </c>
      <c r="AM2169" t="s">
        <v>52</v>
      </c>
      <c r="AN2169" t="s">
        <v>53</v>
      </c>
    </row>
    <row r="2170" spans="1:40">
      <c r="A2170" t="s">
        <v>2370</v>
      </c>
      <c r="B2170" t="s">
        <v>1674</v>
      </c>
      <c r="C2170" t="s">
        <v>7405</v>
      </c>
      <c r="D2170" t="s">
        <v>52</v>
      </c>
      <c r="E2170" t="s">
        <v>1194</v>
      </c>
      <c r="F2170" t="s">
        <v>131</v>
      </c>
      <c r="G2170" t="str">
        <f>HYPERLINK("https://twitter.com/1110166606796201987/status/1143056279214141440")</f>
        <v>https://twitter.com/1110166606796201987/status/1143056279214141440</v>
      </c>
      <c r="H2170" t="s">
        <v>46</v>
      </c>
      <c r="I2170" t="s">
        <v>52</v>
      </c>
      <c r="J2170" t="str">
        <f>HYPERLINK("http://twitter.com/_bittermagic_")</f>
        <v>http://twitter.com/_bittermagic_</v>
      </c>
      <c r="K2170">
        <v>188</v>
      </c>
      <c r="N2170" t="s">
        <v>65</v>
      </c>
      <c r="R2170" t="s">
        <v>60</v>
      </c>
      <c r="W2170">
        <v>0</v>
      </c>
      <c r="X2170">
        <v>0</v>
      </c>
      <c r="AE2170">
        <v>0</v>
      </c>
      <c r="AI2170" t="s">
        <v>52</v>
      </c>
      <c r="AJ2170" t="s">
        <v>1196</v>
      </c>
      <c r="AK2170" t="s">
        <v>52</v>
      </c>
      <c r="AL2170" t="str">
        <f>HYPERLINK("https://pbs.twimg.com/media/D9xgk2YXkAAd2ql.jpg")</f>
        <v>https://pbs.twimg.com/media/D9xgk2YXkAAd2ql.jpg</v>
      </c>
      <c r="AM2170" t="s">
        <v>52</v>
      </c>
      <c r="AN2170" t="s">
        <v>53</v>
      </c>
    </row>
    <row r="2171" spans="1:40">
      <c r="A2171" t="s">
        <v>2370</v>
      </c>
      <c r="B2171" t="s">
        <v>1674</v>
      </c>
      <c r="C2171" t="s">
        <v>7431</v>
      </c>
      <c r="D2171" t="s">
        <v>52</v>
      </c>
      <c r="E2171" t="s">
        <v>7432</v>
      </c>
      <c r="F2171" t="s">
        <v>95</v>
      </c>
      <c r="G2171" t="str">
        <f>HYPERLINK("https://twitter.com/1089056398585954304/status/1143056217595678720")</f>
        <v>https://twitter.com/1089056398585954304/status/1143056217595678720</v>
      </c>
      <c r="H2171" t="s">
        <v>46</v>
      </c>
      <c r="I2171" t="s">
        <v>7433</v>
      </c>
      <c r="J2171" t="str">
        <f>HYPERLINK("http://twitter.com/L34NDY")</f>
        <v>http://twitter.com/L34NDY</v>
      </c>
      <c r="K2171">
        <v>73</v>
      </c>
      <c r="N2171" t="s">
        <v>65</v>
      </c>
      <c r="R2171" t="s">
        <v>60</v>
      </c>
      <c r="S2171" t="s">
        <v>51</v>
      </c>
      <c r="T2171" t="s">
        <v>7434</v>
      </c>
      <c r="U2171" t="s">
        <v>7435</v>
      </c>
      <c r="W2171">
        <v>1</v>
      </c>
      <c r="X2171">
        <v>1</v>
      </c>
      <c r="AE2171">
        <v>0</v>
      </c>
      <c r="AF2171">
        <v>0</v>
      </c>
      <c r="AM2171" t="s">
        <v>52</v>
      </c>
      <c r="AN2171" t="s">
        <v>53</v>
      </c>
    </row>
    <row r="2172" spans="1:40">
      <c r="A2172" t="s">
        <v>2370</v>
      </c>
      <c r="B2172" t="s">
        <v>1680</v>
      </c>
      <c r="C2172" t="s">
        <v>7414</v>
      </c>
      <c r="D2172" t="s">
        <v>52</v>
      </c>
      <c r="E2172" t="s">
        <v>4859</v>
      </c>
      <c r="F2172" t="s">
        <v>131</v>
      </c>
      <c r="G2172" t="str">
        <f>HYPERLINK("https://twitter.com/2300746874/status/1143056071642103813")</f>
        <v>https://twitter.com/2300746874/status/1143056071642103813</v>
      </c>
      <c r="H2172" t="s">
        <v>215</v>
      </c>
      <c r="I2172" t="s">
        <v>7436</v>
      </c>
      <c r="J2172" t="str">
        <f>HYPERLINK("http://twitter.com/Itssreall_")</f>
        <v>http://twitter.com/Itssreall_</v>
      </c>
      <c r="K2172">
        <v>726</v>
      </c>
      <c r="N2172" t="s">
        <v>65</v>
      </c>
      <c r="R2172" t="s">
        <v>60</v>
      </c>
      <c r="S2172" t="s">
        <v>51</v>
      </c>
      <c r="T2172" t="s">
        <v>2420</v>
      </c>
      <c r="U2172" t="s">
        <v>2421</v>
      </c>
      <c r="W2172">
        <v>0</v>
      </c>
      <c r="X2172">
        <v>0</v>
      </c>
      <c r="AE2172">
        <v>0</v>
      </c>
      <c r="AM2172" t="s">
        <v>52</v>
      </c>
      <c r="AN2172" t="s">
        <v>53</v>
      </c>
    </row>
    <row r="2173" spans="1:40">
      <c r="A2173" t="s">
        <v>2370</v>
      </c>
      <c r="B2173" t="s">
        <v>1680</v>
      </c>
      <c r="C2173" t="s">
        <v>7437</v>
      </c>
      <c r="D2173" t="s">
        <v>52</v>
      </c>
      <c r="E2173" t="s">
        <v>4296</v>
      </c>
      <c r="F2173" t="s">
        <v>131</v>
      </c>
      <c r="G2173" t="str">
        <f>HYPERLINK("https://twitter.com/3094051526/status/1143055976012111872")</f>
        <v>https://twitter.com/3094051526/status/1143055976012111872</v>
      </c>
      <c r="H2173" t="s">
        <v>46</v>
      </c>
      <c r="I2173" t="s">
        <v>7438</v>
      </c>
      <c r="J2173" t="str">
        <f>HYPERLINK("http://twitter.com/DarylVickerman")</f>
        <v>http://twitter.com/DarylVickerman</v>
      </c>
      <c r="K2173">
        <v>134</v>
      </c>
      <c r="L2173" t="s">
        <v>48</v>
      </c>
      <c r="N2173" t="s">
        <v>65</v>
      </c>
      <c r="R2173" t="s">
        <v>60</v>
      </c>
      <c r="S2173" t="s">
        <v>4594</v>
      </c>
      <c r="T2173" t="s">
        <v>5059</v>
      </c>
      <c r="U2173" t="s">
        <v>7439</v>
      </c>
      <c r="W2173">
        <v>0</v>
      </c>
      <c r="X2173">
        <v>0</v>
      </c>
      <c r="AE2173">
        <v>0</v>
      </c>
      <c r="AI2173" t="s">
        <v>108</v>
      </c>
      <c r="AJ2173" t="s">
        <v>52</v>
      </c>
      <c r="AK2173" t="s">
        <v>52</v>
      </c>
      <c r="AL2173" t="str">
        <f>HYPERLINK("https://pbs.twimg.com/media/D9sAXHUX4AA6vJs.jpg")</f>
        <v>https://pbs.twimg.com/media/D9sAXHUX4AA6vJs.jpg</v>
      </c>
      <c r="AM2173" t="s">
        <v>52</v>
      </c>
      <c r="AN2173" t="s">
        <v>53</v>
      </c>
    </row>
    <row r="2174" spans="1:40">
      <c r="A2174" t="s">
        <v>2370</v>
      </c>
      <c r="B2174" t="s">
        <v>7440</v>
      </c>
      <c r="C2174" t="s">
        <v>7441</v>
      </c>
      <c r="D2174" t="s">
        <v>52</v>
      </c>
      <c r="E2174" t="s">
        <v>1194</v>
      </c>
      <c r="F2174" t="s">
        <v>131</v>
      </c>
      <c r="G2174" t="str">
        <f>HYPERLINK("https://twitter.com/298928600/status/1143055811742064643")</f>
        <v>https://twitter.com/298928600/status/1143055811742064643</v>
      </c>
      <c r="H2174" t="s">
        <v>46</v>
      </c>
      <c r="I2174" t="s">
        <v>7442</v>
      </c>
      <c r="J2174" t="str">
        <f>HYPERLINK("http://twitter.com/moonxhalo")</f>
        <v>http://twitter.com/moonxhalo</v>
      </c>
      <c r="K2174">
        <v>810</v>
      </c>
      <c r="N2174" t="s">
        <v>65</v>
      </c>
      <c r="R2174" t="s">
        <v>60</v>
      </c>
      <c r="W2174">
        <v>0</v>
      </c>
      <c r="X2174">
        <v>0</v>
      </c>
      <c r="AE2174">
        <v>0</v>
      </c>
      <c r="AI2174" t="s">
        <v>52</v>
      </c>
      <c r="AJ2174" t="s">
        <v>1196</v>
      </c>
      <c r="AK2174" t="s">
        <v>52</v>
      </c>
      <c r="AL2174" t="str">
        <f>HYPERLINK("https://pbs.twimg.com/media/D9xgk2YXkAAd2ql.jpg")</f>
        <v>https://pbs.twimg.com/media/D9xgk2YXkAAd2ql.jpg</v>
      </c>
      <c r="AM2174" t="s">
        <v>52</v>
      </c>
      <c r="AN2174" t="s">
        <v>53</v>
      </c>
    </row>
    <row r="2175" spans="1:40">
      <c r="A2175" t="s">
        <v>2370</v>
      </c>
      <c r="B2175" t="s">
        <v>7440</v>
      </c>
      <c r="C2175" t="s">
        <v>7441</v>
      </c>
      <c r="D2175" t="s">
        <v>52</v>
      </c>
      <c r="E2175" t="s">
        <v>3749</v>
      </c>
      <c r="F2175" t="s">
        <v>71</v>
      </c>
      <c r="G2175" t="str">
        <f>HYPERLINK("https://twitter.com/2264420878/status/1143055792502923264")</f>
        <v>https://twitter.com/2264420878/status/1143055792502923264</v>
      </c>
      <c r="H2175" t="s">
        <v>46</v>
      </c>
      <c r="I2175" t="s">
        <v>7443</v>
      </c>
      <c r="J2175" t="str">
        <f>HYPERLINK("http://twitter.com/_JessikaGouws_")</f>
        <v>http://twitter.com/_JessikaGouws_</v>
      </c>
      <c r="K2175">
        <v>8019</v>
      </c>
      <c r="N2175" t="s">
        <v>65</v>
      </c>
      <c r="R2175" t="s">
        <v>60</v>
      </c>
      <c r="S2175" t="s">
        <v>1071</v>
      </c>
      <c r="T2175" t="s">
        <v>3751</v>
      </c>
      <c r="U2175" t="s">
        <v>3752</v>
      </c>
      <c r="W2175">
        <v>0</v>
      </c>
      <c r="X2175">
        <v>0</v>
      </c>
      <c r="AE2175">
        <v>0</v>
      </c>
      <c r="AF2175">
        <v>0</v>
      </c>
      <c r="AI2175" t="s">
        <v>108</v>
      </c>
      <c r="AJ2175" t="s">
        <v>52</v>
      </c>
      <c r="AK2175" t="s">
        <v>52</v>
      </c>
      <c r="AL2175" t="str">
        <f>HYPERLINK("https://pbs.twimg.com/media/D9sAXHUX4AA6vJs.jpg")</f>
        <v>https://pbs.twimg.com/media/D9sAXHUX4AA6vJs.jpg</v>
      </c>
      <c r="AM2175" t="s">
        <v>52</v>
      </c>
      <c r="AN2175" t="s">
        <v>53</v>
      </c>
    </row>
    <row r="2176" spans="1:40">
      <c r="A2176" t="s">
        <v>2370</v>
      </c>
      <c r="B2176" t="s">
        <v>7444</v>
      </c>
      <c r="C2176" t="s">
        <v>7445</v>
      </c>
      <c r="D2176" t="s">
        <v>52</v>
      </c>
      <c r="E2176" t="s">
        <v>7446</v>
      </c>
      <c r="F2176" t="s">
        <v>131</v>
      </c>
      <c r="G2176" t="str">
        <f>HYPERLINK("https://twitter.com/2446179529/status/1143055609534849024")</f>
        <v>https://twitter.com/2446179529/status/1143055609534849024</v>
      </c>
      <c r="H2176" t="s">
        <v>46</v>
      </c>
      <c r="I2176" t="s">
        <v>7447</v>
      </c>
      <c r="J2176" t="str">
        <f>HYPERLINK("http://twitter.com/hjoongr")</f>
        <v>http://twitter.com/hjoongr</v>
      </c>
      <c r="K2176">
        <v>1929</v>
      </c>
      <c r="N2176" t="s">
        <v>65</v>
      </c>
      <c r="R2176" t="s">
        <v>60</v>
      </c>
      <c r="W2176">
        <v>0</v>
      </c>
      <c r="X2176">
        <v>0</v>
      </c>
      <c r="AE2176">
        <v>0</v>
      </c>
      <c r="AM2176" t="s">
        <v>52</v>
      </c>
      <c r="AN2176" t="s">
        <v>53</v>
      </c>
    </row>
    <row r="2177" spans="1:40">
      <c r="A2177" t="s">
        <v>2370</v>
      </c>
      <c r="B2177" t="s">
        <v>1686</v>
      </c>
      <c r="C2177" t="s">
        <v>7448</v>
      </c>
      <c r="D2177" t="s">
        <v>7449</v>
      </c>
      <c r="E2177" t="s">
        <v>7450</v>
      </c>
      <c r="F2177" t="s">
        <v>45</v>
      </c>
      <c r="G2177" t="str">
        <f>HYPERLINK("https://www.topbargains.com.au/woolworths-12-price-food-grocery-specials-starts-wed-26th-june-325419")</f>
        <v>https://www.topbargains.com.au/woolworths-12-price-food-grocery-specials-starts-wed-26th-june-325419</v>
      </c>
      <c r="H2177" t="s">
        <v>46</v>
      </c>
      <c r="I2177" t="s">
        <v>7451</v>
      </c>
      <c r="J2177" t="str">
        <f>HYPERLINK("https://www.topbargains.com.au/woolworths-12-price-food-grocery-specials-starts-wed-26th-june-325419")</f>
        <v>https://www.topbargains.com.au/woolworths-12-price-food-grocery-specials-starts-wed-26th-june-325419</v>
      </c>
      <c r="N2177" t="s">
        <v>7452</v>
      </c>
      <c r="R2177" t="s">
        <v>50</v>
      </c>
      <c r="S2177" t="s">
        <v>774</v>
      </c>
      <c r="AM2177" t="s">
        <v>52</v>
      </c>
      <c r="AN2177" t="s">
        <v>53</v>
      </c>
    </row>
    <row r="2178" spans="1:40">
      <c r="A2178" t="s">
        <v>2370</v>
      </c>
      <c r="B2178" t="s">
        <v>1694</v>
      </c>
      <c r="C2178" t="s">
        <v>7453</v>
      </c>
      <c r="D2178" t="s">
        <v>52</v>
      </c>
      <c r="E2178" t="s">
        <v>7454</v>
      </c>
      <c r="F2178" t="s">
        <v>45</v>
      </c>
      <c r="G2178" t="str">
        <f>HYPERLINK("https://www.instagram.com/p/BzFW2uhFpP8")</f>
        <v>https://www.instagram.com/p/BzFW2uhFpP8</v>
      </c>
      <c r="H2178" t="s">
        <v>46</v>
      </c>
      <c r="I2178" t="s">
        <v>7455</v>
      </c>
      <c r="J2178" t="str">
        <f>HYPERLINK("http://instagram.com/farrelcomics")</f>
        <v>http://instagram.com/farrelcomics</v>
      </c>
      <c r="K2178">
        <v>2299</v>
      </c>
      <c r="N2178" t="s">
        <v>59</v>
      </c>
      <c r="O2178" t="s">
        <v>7455</v>
      </c>
      <c r="P2178" t="str">
        <f>HYPERLINK("http://instagram.com/farrelcomics")</f>
        <v>http://instagram.com/farrelcomics</v>
      </c>
      <c r="Q2178">
        <v>2299</v>
      </c>
      <c r="R2178" t="s">
        <v>60</v>
      </c>
      <c r="W2178">
        <v>60</v>
      </c>
      <c r="X2178">
        <v>60</v>
      </c>
      <c r="AE2178">
        <v>15</v>
      </c>
      <c r="AI2178" t="s">
        <v>52</v>
      </c>
      <c r="AJ2178" t="s">
        <v>458</v>
      </c>
      <c r="AK2178" t="s">
        <v>52</v>
      </c>
      <c r="AL2178" t="str">
        <f>HYPERLINK("https://www.instagram.com/p/BzFW2uhFpP8/media/?size=l")</f>
        <v>https://www.instagram.com/p/BzFW2uhFpP8/media/?size=l</v>
      </c>
      <c r="AM2178" t="s">
        <v>52</v>
      </c>
      <c r="AN2178" t="s">
        <v>53</v>
      </c>
    </row>
    <row r="2179" spans="1:40">
      <c r="A2179" t="s">
        <v>2370</v>
      </c>
      <c r="B2179" t="s">
        <v>7456</v>
      </c>
      <c r="C2179" t="s">
        <v>6550</v>
      </c>
      <c r="D2179" t="s">
        <v>52</v>
      </c>
      <c r="E2179" t="s">
        <v>7457</v>
      </c>
      <c r="F2179" t="s">
        <v>45</v>
      </c>
      <c r="G2179" t="str">
        <f>HYPERLINK("https://www.instagram.com/p/BzFWiO0n1kM")</f>
        <v>https://www.instagram.com/p/BzFWiO0n1kM</v>
      </c>
      <c r="H2179" t="s">
        <v>46</v>
      </c>
      <c r="I2179" t="s">
        <v>7458</v>
      </c>
      <c r="J2179" t="str">
        <f>HYPERLINK("http://instagram.com/fire_hookah_lounge")</f>
        <v>http://instagram.com/fire_hookah_lounge</v>
      </c>
      <c r="K2179">
        <v>809</v>
      </c>
      <c r="N2179" t="s">
        <v>59</v>
      </c>
      <c r="O2179" t="s">
        <v>7458</v>
      </c>
      <c r="P2179" t="str">
        <f>HYPERLINK("http://instagram.com/fire_hookah_lounge")</f>
        <v>http://instagram.com/fire_hookah_lounge</v>
      </c>
      <c r="Q2179">
        <v>809</v>
      </c>
      <c r="R2179" t="s">
        <v>60</v>
      </c>
      <c r="S2179" t="s">
        <v>51</v>
      </c>
      <c r="T2179" t="s">
        <v>173</v>
      </c>
      <c r="U2179" t="s">
        <v>7459</v>
      </c>
      <c r="W2179">
        <v>32</v>
      </c>
      <c r="X2179">
        <v>32</v>
      </c>
      <c r="AE2179">
        <v>2</v>
      </c>
      <c r="AI2179" t="s">
        <v>108</v>
      </c>
      <c r="AJ2179" t="s">
        <v>7460</v>
      </c>
      <c r="AK2179" t="s">
        <v>52</v>
      </c>
      <c r="AL2179" t="str">
        <f>HYPERLINK("https://www.instagram.com/p/BzFWiO0n1kM/media/?size=l")</f>
        <v>https://www.instagram.com/p/BzFWiO0n1kM/media/?size=l</v>
      </c>
      <c r="AM2179" t="s">
        <v>52</v>
      </c>
      <c r="AN2179" t="s">
        <v>53</v>
      </c>
    </row>
    <row r="2180" spans="1:40">
      <c r="A2180" t="s">
        <v>2370</v>
      </c>
      <c r="B2180" t="s">
        <v>1710</v>
      </c>
      <c r="C2180" t="s">
        <v>7453</v>
      </c>
      <c r="D2180" t="s">
        <v>52</v>
      </c>
      <c r="E2180" t="s">
        <v>1194</v>
      </c>
      <c r="F2180" t="s">
        <v>131</v>
      </c>
      <c r="G2180" t="str">
        <f>HYPERLINK("https://twitter.com/2602536890/status/1143053120420765696")</f>
        <v>https://twitter.com/2602536890/status/1143053120420765696</v>
      </c>
      <c r="H2180" t="s">
        <v>46</v>
      </c>
      <c r="I2180" t="s">
        <v>7461</v>
      </c>
      <c r="J2180" t="str">
        <f>HYPERLINK("http://twitter.com/Nutmegzy2")</f>
        <v>http://twitter.com/Nutmegzy2</v>
      </c>
      <c r="K2180">
        <v>98</v>
      </c>
      <c r="N2180" t="s">
        <v>65</v>
      </c>
      <c r="R2180" t="s">
        <v>60</v>
      </c>
      <c r="S2180" t="s">
        <v>1592</v>
      </c>
      <c r="T2180" t="s">
        <v>7462</v>
      </c>
      <c r="U2180" t="s">
        <v>7463</v>
      </c>
      <c r="W2180">
        <v>0</v>
      </c>
      <c r="X2180">
        <v>0</v>
      </c>
      <c r="AE2180">
        <v>0</v>
      </c>
      <c r="AI2180" t="s">
        <v>52</v>
      </c>
      <c r="AJ2180" t="s">
        <v>1196</v>
      </c>
      <c r="AK2180" t="s">
        <v>52</v>
      </c>
      <c r="AL2180" t="str">
        <f>HYPERLINK("https://pbs.twimg.com/media/D9xgk2YXkAAd2ql.jpg")</f>
        <v>https://pbs.twimg.com/media/D9xgk2YXkAAd2ql.jpg</v>
      </c>
      <c r="AM2180" t="s">
        <v>52</v>
      </c>
      <c r="AN2180" t="s">
        <v>53</v>
      </c>
    </row>
    <row r="2181" spans="1:40">
      <c r="A2181" t="s">
        <v>2370</v>
      </c>
      <c r="B2181" t="s">
        <v>1710</v>
      </c>
      <c r="C2181" t="s">
        <v>7453</v>
      </c>
      <c r="D2181" t="s">
        <v>52</v>
      </c>
      <c r="E2181" t="s">
        <v>1194</v>
      </c>
      <c r="F2181" t="s">
        <v>131</v>
      </c>
      <c r="G2181" t="str">
        <f>HYPERLINK("https://twitter.com/2798259600/status/1143053073058807809")</f>
        <v>https://twitter.com/2798259600/status/1143053073058807809</v>
      </c>
      <c r="H2181" t="s">
        <v>46</v>
      </c>
      <c r="I2181" t="s">
        <v>7464</v>
      </c>
      <c r="J2181" t="str">
        <f>HYPERLINK("http://twitter.com/0HMYDADDARIO")</f>
        <v>http://twitter.com/0HMYDADDARIO</v>
      </c>
      <c r="K2181">
        <v>13178</v>
      </c>
      <c r="N2181" t="s">
        <v>65</v>
      </c>
      <c r="R2181" t="s">
        <v>60</v>
      </c>
      <c r="S2181" t="s">
        <v>97</v>
      </c>
      <c r="T2181" t="s">
        <v>177</v>
      </c>
      <c r="U2181" t="s">
        <v>395</v>
      </c>
      <c r="W2181">
        <v>0</v>
      </c>
      <c r="X2181">
        <v>0</v>
      </c>
      <c r="AE2181">
        <v>0</v>
      </c>
      <c r="AI2181" t="s">
        <v>52</v>
      </c>
      <c r="AJ2181" t="s">
        <v>1196</v>
      </c>
      <c r="AK2181" t="s">
        <v>52</v>
      </c>
      <c r="AL2181" t="str">
        <f>HYPERLINK("https://pbs.twimg.com/media/D9xgk2YXkAAd2ql.jpg")</f>
        <v>https://pbs.twimg.com/media/D9xgk2YXkAAd2ql.jpg</v>
      </c>
      <c r="AM2181" t="s">
        <v>52</v>
      </c>
      <c r="AN2181" t="s">
        <v>53</v>
      </c>
    </row>
    <row r="2182" spans="1:40">
      <c r="A2182" t="s">
        <v>2370</v>
      </c>
      <c r="B2182" t="s">
        <v>1713</v>
      </c>
      <c r="C2182" t="s">
        <v>7465</v>
      </c>
      <c r="D2182" t="s">
        <v>52</v>
      </c>
      <c r="E2182" t="s">
        <v>7466</v>
      </c>
      <c r="F2182" t="s">
        <v>95</v>
      </c>
      <c r="G2182" t="str">
        <f>HYPERLINK("https://twitter.com/769965439925489664/status/1143052875997728770")</f>
        <v>https://twitter.com/769965439925489664/status/1143052875997728770</v>
      </c>
      <c r="H2182" t="s">
        <v>46</v>
      </c>
      <c r="I2182" t="s">
        <v>7467</v>
      </c>
      <c r="J2182" t="str">
        <f>HYPERLINK("http://twitter.com/wownerd1369")</f>
        <v>http://twitter.com/wownerd1369</v>
      </c>
      <c r="K2182">
        <v>142</v>
      </c>
      <c r="N2182" t="s">
        <v>65</v>
      </c>
      <c r="R2182" t="s">
        <v>60</v>
      </c>
      <c r="W2182">
        <v>0</v>
      </c>
      <c r="X2182">
        <v>0</v>
      </c>
      <c r="AE2182">
        <v>0</v>
      </c>
      <c r="AF2182">
        <v>0</v>
      </c>
      <c r="AM2182" t="s">
        <v>52</v>
      </c>
      <c r="AN2182" t="s">
        <v>53</v>
      </c>
    </row>
    <row r="2183" spans="1:40">
      <c r="A2183" t="s">
        <v>2370</v>
      </c>
      <c r="B2183" t="s">
        <v>1713</v>
      </c>
      <c r="C2183" t="s">
        <v>7465</v>
      </c>
      <c r="D2183" t="s">
        <v>52</v>
      </c>
      <c r="E2183" t="s">
        <v>7468</v>
      </c>
      <c r="F2183" t="s">
        <v>95</v>
      </c>
      <c r="G2183" t="str">
        <f>HYPERLINK("https://twitter.com/1129885724378095616/status/1143052855202500608")</f>
        <v>https://twitter.com/1129885724378095616/status/1143052855202500608</v>
      </c>
      <c r="H2183" t="s">
        <v>46</v>
      </c>
      <c r="I2183" t="s">
        <v>7469</v>
      </c>
      <c r="J2183" t="str">
        <f>HYPERLINK("http://twitter.com/horyoks")</f>
        <v>http://twitter.com/horyoks</v>
      </c>
      <c r="K2183">
        <v>228</v>
      </c>
      <c r="N2183" t="s">
        <v>65</v>
      </c>
      <c r="R2183" t="s">
        <v>60</v>
      </c>
      <c r="S2183" t="s">
        <v>2290</v>
      </c>
      <c r="T2183" t="s">
        <v>6341</v>
      </c>
      <c r="U2183" t="s">
        <v>7470</v>
      </c>
      <c r="W2183">
        <v>0</v>
      </c>
      <c r="X2183">
        <v>0</v>
      </c>
      <c r="AE2183">
        <v>1</v>
      </c>
      <c r="AF2183">
        <v>0</v>
      </c>
      <c r="AM2183" t="s">
        <v>52</v>
      </c>
      <c r="AN2183" t="s">
        <v>53</v>
      </c>
    </row>
    <row r="2184" spans="1:40">
      <c r="A2184" t="s">
        <v>2370</v>
      </c>
      <c r="B2184" t="s">
        <v>1713</v>
      </c>
      <c r="C2184" t="s">
        <v>7471</v>
      </c>
      <c r="D2184" t="s">
        <v>52</v>
      </c>
      <c r="E2184" t="s">
        <v>1194</v>
      </c>
      <c r="F2184" t="s">
        <v>131</v>
      </c>
      <c r="G2184" t="str">
        <f>HYPERLINK("https://twitter.com/2805433454/status/1143052793110024192")</f>
        <v>https://twitter.com/2805433454/status/1143052793110024192</v>
      </c>
      <c r="H2184" t="s">
        <v>46</v>
      </c>
      <c r="I2184" t="s">
        <v>7472</v>
      </c>
      <c r="J2184" t="str">
        <f>HYPERLINK("http://twitter.com/syahirahkmrjs")</f>
        <v>http://twitter.com/syahirahkmrjs</v>
      </c>
      <c r="K2184">
        <v>102</v>
      </c>
      <c r="N2184" t="s">
        <v>65</v>
      </c>
      <c r="R2184" t="s">
        <v>60</v>
      </c>
      <c r="W2184">
        <v>0</v>
      </c>
      <c r="X2184">
        <v>0</v>
      </c>
      <c r="AE2184">
        <v>0</v>
      </c>
      <c r="AI2184" t="s">
        <v>52</v>
      </c>
      <c r="AJ2184" t="s">
        <v>1196</v>
      </c>
      <c r="AK2184" t="s">
        <v>52</v>
      </c>
      <c r="AL2184" t="str">
        <f>HYPERLINK("https://pbs.twimg.com/media/D9xgk2YXkAAd2ql.jpg")</f>
        <v>https://pbs.twimg.com/media/D9xgk2YXkAAd2ql.jpg</v>
      </c>
      <c r="AM2184" t="s">
        <v>52</v>
      </c>
      <c r="AN2184" t="s">
        <v>53</v>
      </c>
    </row>
    <row r="2185" spans="1:40">
      <c r="A2185" t="s">
        <v>2370</v>
      </c>
      <c r="B2185" t="s">
        <v>1713</v>
      </c>
      <c r="C2185" t="s">
        <v>7473</v>
      </c>
      <c r="D2185" t="s">
        <v>52</v>
      </c>
      <c r="E2185" t="s">
        <v>1194</v>
      </c>
      <c r="F2185" t="s">
        <v>131</v>
      </c>
      <c r="G2185" t="str">
        <f>HYPERLINK("https://twitter.com/749307702501781504/status/1143052709026680833")</f>
        <v>https://twitter.com/749307702501781504/status/1143052709026680833</v>
      </c>
      <c r="H2185" t="s">
        <v>46</v>
      </c>
      <c r="I2185" t="s">
        <v>7474</v>
      </c>
      <c r="J2185" t="str">
        <f>HYPERLINK("http://twitter.com/dezzna_")</f>
        <v>http://twitter.com/dezzna_</v>
      </c>
      <c r="K2185">
        <v>117</v>
      </c>
      <c r="N2185" t="s">
        <v>65</v>
      </c>
      <c r="R2185" t="s">
        <v>60</v>
      </c>
      <c r="S2185" t="s">
        <v>51</v>
      </c>
      <c r="T2185" t="s">
        <v>173</v>
      </c>
      <c r="U2185" t="s">
        <v>1214</v>
      </c>
      <c r="W2185">
        <v>0</v>
      </c>
      <c r="X2185">
        <v>0</v>
      </c>
      <c r="AE2185">
        <v>0</v>
      </c>
      <c r="AI2185" t="s">
        <v>52</v>
      </c>
      <c r="AJ2185" t="s">
        <v>1196</v>
      </c>
      <c r="AK2185" t="s">
        <v>52</v>
      </c>
      <c r="AL2185" t="str">
        <f>HYPERLINK("https://pbs.twimg.com/media/D9xgk2YXkAAd2ql.jpg")</f>
        <v>https://pbs.twimg.com/media/D9xgk2YXkAAd2ql.jpg</v>
      </c>
      <c r="AM2185" t="s">
        <v>52</v>
      </c>
      <c r="AN2185" t="s">
        <v>53</v>
      </c>
    </row>
    <row r="2186" spans="1:40">
      <c r="A2186" t="s">
        <v>2370</v>
      </c>
      <c r="B2186" t="s">
        <v>1713</v>
      </c>
      <c r="C2186" t="s">
        <v>7475</v>
      </c>
      <c r="D2186" t="s">
        <v>52</v>
      </c>
      <c r="E2186" t="s">
        <v>3749</v>
      </c>
      <c r="F2186" t="s">
        <v>71</v>
      </c>
      <c r="G2186" t="str">
        <f>HYPERLINK("https://twitter.com/918410296905162753/status/1143052669445169152")</f>
        <v>https://twitter.com/918410296905162753/status/1143052669445169152</v>
      </c>
      <c r="H2186" t="s">
        <v>46</v>
      </c>
      <c r="I2186" t="s">
        <v>7476</v>
      </c>
      <c r="J2186" t="str">
        <f>HYPERLINK("http://twitter.com/BraWaNextDoor")</f>
        <v>http://twitter.com/BraWaNextDoor</v>
      </c>
      <c r="K2186">
        <v>926</v>
      </c>
      <c r="N2186" t="s">
        <v>65</v>
      </c>
      <c r="R2186" t="s">
        <v>60</v>
      </c>
      <c r="S2186" t="s">
        <v>1071</v>
      </c>
      <c r="W2186">
        <v>0</v>
      </c>
      <c r="X2186">
        <v>0</v>
      </c>
      <c r="AE2186">
        <v>0</v>
      </c>
      <c r="AF2186">
        <v>0</v>
      </c>
      <c r="AI2186" t="s">
        <v>108</v>
      </c>
      <c r="AJ2186" t="s">
        <v>52</v>
      </c>
      <c r="AK2186" t="s">
        <v>52</v>
      </c>
      <c r="AL2186" t="str">
        <f>HYPERLINK("https://pbs.twimg.com/media/D9sAXHUX4AA6vJs.jpg")</f>
        <v>https://pbs.twimg.com/media/D9sAXHUX4AA6vJs.jpg</v>
      </c>
      <c r="AM2186" t="s">
        <v>52</v>
      </c>
      <c r="AN2186" t="s">
        <v>53</v>
      </c>
    </row>
    <row r="2187" spans="1:40">
      <c r="A2187" t="s">
        <v>2370</v>
      </c>
      <c r="B2187" t="s">
        <v>1713</v>
      </c>
      <c r="C2187" t="s">
        <v>7477</v>
      </c>
      <c r="D2187" t="s">
        <v>52</v>
      </c>
      <c r="E2187" t="s">
        <v>7478</v>
      </c>
      <c r="F2187" t="s">
        <v>71</v>
      </c>
      <c r="G2187" t="str">
        <f>HYPERLINK("https://twitter.com/22582939/status/1143052656434278401")</f>
        <v>https://twitter.com/22582939/status/1143052656434278401</v>
      </c>
      <c r="H2187" t="s">
        <v>91</v>
      </c>
      <c r="I2187" t="s">
        <v>7479</v>
      </c>
      <c r="J2187" t="str">
        <f>HYPERLINK("http://twitter.com/brodiesaurusrex")</f>
        <v>http://twitter.com/brodiesaurusrex</v>
      </c>
      <c r="K2187">
        <v>156</v>
      </c>
      <c r="N2187" t="s">
        <v>65</v>
      </c>
      <c r="R2187" t="s">
        <v>60</v>
      </c>
      <c r="S2187" t="s">
        <v>2226</v>
      </c>
      <c r="T2187" t="s">
        <v>7480</v>
      </c>
      <c r="U2187" t="s">
        <v>7481</v>
      </c>
      <c r="W2187">
        <v>1</v>
      </c>
      <c r="X2187">
        <v>1</v>
      </c>
      <c r="AE2187">
        <v>0</v>
      </c>
      <c r="AF2187">
        <v>0</v>
      </c>
      <c r="AM2187" t="s">
        <v>52</v>
      </c>
      <c r="AN2187" t="s">
        <v>53</v>
      </c>
    </row>
    <row r="2188" spans="1:40">
      <c r="A2188" t="s">
        <v>2370</v>
      </c>
      <c r="B2188" t="s">
        <v>7482</v>
      </c>
      <c r="C2188" t="s">
        <v>7477</v>
      </c>
      <c r="D2188" t="s">
        <v>52</v>
      </c>
      <c r="E2188" t="s">
        <v>7483</v>
      </c>
      <c r="F2188" t="s">
        <v>45</v>
      </c>
      <c r="G2188" t="str">
        <f>HYPERLINK("https://www.instagram.com/p/BzFVvyin0rD")</f>
        <v>https://www.instagram.com/p/BzFVvyin0rD</v>
      </c>
      <c r="H2188" t="s">
        <v>46</v>
      </c>
      <c r="I2188" t="s">
        <v>7484</v>
      </c>
      <c r="J2188" t="str">
        <f>HYPERLINK("http://instagram.com/neneseats")</f>
        <v>http://instagram.com/neneseats</v>
      </c>
      <c r="K2188">
        <v>1184</v>
      </c>
      <c r="N2188" t="s">
        <v>59</v>
      </c>
      <c r="O2188" t="s">
        <v>7484</v>
      </c>
      <c r="P2188" t="str">
        <f>HYPERLINK("http://instagram.com/neneseats")</f>
        <v>http://instagram.com/neneseats</v>
      </c>
      <c r="Q2188">
        <v>1184</v>
      </c>
      <c r="R2188" t="s">
        <v>60</v>
      </c>
      <c r="S2188" t="s">
        <v>51</v>
      </c>
      <c r="T2188" t="s">
        <v>2420</v>
      </c>
      <c r="U2188" t="s">
        <v>2421</v>
      </c>
      <c r="W2188">
        <v>16</v>
      </c>
      <c r="X2188">
        <v>16</v>
      </c>
      <c r="AE2188">
        <v>3</v>
      </c>
      <c r="AI2188" t="s">
        <v>52</v>
      </c>
      <c r="AJ2188" t="s">
        <v>52</v>
      </c>
      <c r="AK2188" t="s">
        <v>341</v>
      </c>
      <c r="AL2188" t="str">
        <f>HYPERLINK("https://www.instagram.com/p/BzFVvyin0rD/media/?size=l")</f>
        <v>https://www.instagram.com/p/BzFVvyin0rD/media/?size=l</v>
      </c>
      <c r="AM2188" t="s">
        <v>52</v>
      </c>
      <c r="AN2188" t="s">
        <v>53</v>
      </c>
    </row>
    <row r="2189" spans="1:40">
      <c r="A2189" t="s">
        <v>2370</v>
      </c>
      <c r="B2189" t="s">
        <v>7485</v>
      </c>
      <c r="C2189" t="s">
        <v>7486</v>
      </c>
      <c r="D2189" t="s">
        <v>52</v>
      </c>
      <c r="E2189" t="s">
        <v>7487</v>
      </c>
      <c r="F2189" t="s">
        <v>45</v>
      </c>
      <c r="G2189" t="str">
        <f>HYPERLINK("https://twitter.com/2957653176/status/1143051284397907968")</f>
        <v>https://twitter.com/2957653176/status/1143051284397907968</v>
      </c>
      <c r="H2189" t="s">
        <v>46</v>
      </c>
      <c r="I2189" t="s">
        <v>7488</v>
      </c>
      <c r="J2189" t="str">
        <f>HYPERLINK("http://twitter.com/Patrick98423194")</f>
        <v>http://twitter.com/Patrick98423194</v>
      </c>
      <c r="K2189">
        <v>191</v>
      </c>
      <c r="N2189" t="s">
        <v>65</v>
      </c>
      <c r="R2189" t="s">
        <v>60</v>
      </c>
      <c r="S2189" t="s">
        <v>325</v>
      </c>
      <c r="W2189">
        <v>0</v>
      </c>
      <c r="X2189">
        <v>0</v>
      </c>
      <c r="AE2189">
        <v>0</v>
      </c>
      <c r="AF2189">
        <v>0</v>
      </c>
      <c r="AM2189" t="s">
        <v>52</v>
      </c>
      <c r="AN2189" t="s">
        <v>53</v>
      </c>
    </row>
    <row r="2190" spans="1:40">
      <c r="A2190" t="s">
        <v>2370</v>
      </c>
      <c r="B2190" t="s">
        <v>1719</v>
      </c>
      <c r="C2190" t="s">
        <v>7489</v>
      </c>
      <c r="D2190" t="s">
        <v>52</v>
      </c>
      <c r="E2190" t="s">
        <v>3749</v>
      </c>
      <c r="F2190" t="s">
        <v>71</v>
      </c>
      <c r="G2190" t="str">
        <f>HYPERLINK("https://twitter.com/4850556197/status/1143051055997042688")</f>
        <v>https://twitter.com/4850556197/status/1143051055997042688</v>
      </c>
      <c r="H2190" t="s">
        <v>46</v>
      </c>
      <c r="I2190" t="s">
        <v>7490</v>
      </c>
      <c r="J2190" t="str">
        <f>HYPERLINK("http://twitter.com/Kamz_Exquisite1")</f>
        <v>http://twitter.com/Kamz_Exquisite1</v>
      </c>
      <c r="K2190">
        <v>152</v>
      </c>
      <c r="N2190" t="s">
        <v>65</v>
      </c>
      <c r="R2190" t="s">
        <v>60</v>
      </c>
      <c r="S2190" t="s">
        <v>5817</v>
      </c>
      <c r="W2190">
        <v>0</v>
      </c>
      <c r="X2190">
        <v>0</v>
      </c>
      <c r="AE2190">
        <v>0</v>
      </c>
      <c r="AF2190">
        <v>0</v>
      </c>
      <c r="AI2190" t="s">
        <v>108</v>
      </c>
      <c r="AJ2190" t="s">
        <v>52</v>
      </c>
      <c r="AK2190" t="s">
        <v>52</v>
      </c>
      <c r="AL2190" t="str">
        <f>HYPERLINK("https://pbs.twimg.com/media/D9sAXHUX4AA6vJs.jpg")</f>
        <v>https://pbs.twimg.com/media/D9sAXHUX4AA6vJs.jpg</v>
      </c>
      <c r="AM2190" t="s">
        <v>52</v>
      </c>
      <c r="AN2190" t="s">
        <v>53</v>
      </c>
    </row>
    <row r="2191" spans="1:40">
      <c r="A2191" t="s">
        <v>2370</v>
      </c>
      <c r="B2191" t="s">
        <v>1719</v>
      </c>
      <c r="C2191" t="s">
        <v>7489</v>
      </c>
      <c r="D2191" t="s">
        <v>52</v>
      </c>
      <c r="E2191" t="s">
        <v>1194</v>
      </c>
      <c r="F2191" t="s">
        <v>131</v>
      </c>
      <c r="G2191" t="str">
        <f>HYPERLINK("https://twitter.com/1263897127/status/1143051056730894336")</f>
        <v>https://twitter.com/1263897127/status/1143051056730894336</v>
      </c>
      <c r="H2191" t="s">
        <v>46</v>
      </c>
      <c r="I2191" t="s">
        <v>7491</v>
      </c>
      <c r="J2191" t="str">
        <f>HYPERLINK("http://twitter.com/What_Faye_Says")</f>
        <v>http://twitter.com/What_Faye_Says</v>
      </c>
      <c r="K2191">
        <v>142</v>
      </c>
      <c r="N2191" t="s">
        <v>65</v>
      </c>
      <c r="R2191" t="s">
        <v>60</v>
      </c>
      <c r="W2191">
        <v>0</v>
      </c>
      <c r="X2191">
        <v>0</v>
      </c>
      <c r="AE2191">
        <v>0</v>
      </c>
      <c r="AI2191" t="s">
        <v>52</v>
      </c>
      <c r="AJ2191" t="s">
        <v>1196</v>
      </c>
      <c r="AK2191" t="s">
        <v>52</v>
      </c>
      <c r="AL2191" t="str">
        <f>HYPERLINK("https://pbs.twimg.com/media/D9xgk2YXkAAd2ql.jpg")</f>
        <v>https://pbs.twimg.com/media/D9xgk2YXkAAd2ql.jpg</v>
      </c>
      <c r="AM2191" t="s">
        <v>52</v>
      </c>
      <c r="AN2191" t="s">
        <v>53</v>
      </c>
    </row>
    <row r="2192" spans="1:40">
      <c r="A2192" t="s">
        <v>2370</v>
      </c>
      <c r="B2192" t="s">
        <v>1719</v>
      </c>
      <c r="C2192" t="s">
        <v>7489</v>
      </c>
      <c r="D2192" t="s">
        <v>52</v>
      </c>
      <c r="E2192" t="s">
        <v>7492</v>
      </c>
      <c r="F2192" t="s">
        <v>45</v>
      </c>
      <c r="G2192" t="str">
        <f>HYPERLINK("https://twitter.com/1008584287430561793/status/1143051013294833664")</f>
        <v>https://twitter.com/1008584287430561793/status/1143051013294833664</v>
      </c>
      <c r="H2192" t="s">
        <v>46</v>
      </c>
      <c r="I2192" t="s">
        <v>7493</v>
      </c>
      <c r="J2192" t="str">
        <f>HYPERLINK("http://twitter.com/shawtyndistress")</f>
        <v>http://twitter.com/shawtyndistress</v>
      </c>
      <c r="K2192">
        <v>514</v>
      </c>
      <c r="N2192" t="s">
        <v>65</v>
      </c>
      <c r="R2192" t="s">
        <v>60</v>
      </c>
      <c r="W2192">
        <v>3</v>
      </c>
      <c r="X2192">
        <v>3</v>
      </c>
      <c r="AE2192">
        <v>2</v>
      </c>
      <c r="AF2192">
        <v>0</v>
      </c>
      <c r="AM2192" t="s">
        <v>52</v>
      </c>
      <c r="AN2192" t="s">
        <v>53</v>
      </c>
    </row>
    <row r="2193" spans="1:40">
      <c r="A2193" t="s">
        <v>2370</v>
      </c>
      <c r="B2193" t="s">
        <v>1719</v>
      </c>
      <c r="C2193" t="s">
        <v>7489</v>
      </c>
      <c r="D2193" t="s">
        <v>52</v>
      </c>
      <c r="E2193" t="s">
        <v>1194</v>
      </c>
      <c r="F2193" t="s">
        <v>131</v>
      </c>
      <c r="G2193" t="str">
        <f>HYPERLINK("https://twitter.com/315729571/status/1143051000103804929")</f>
        <v>https://twitter.com/315729571/status/1143051000103804929</v>
      </c>
      <c r="H2193" t="s">
        <v>46</v>
      </c>
      <c r="I2193" t="s">
        <v>7494</v>
      </c>
      <c r="J2193" t="str">
        <f>HYPERLINK("http://twitter.com/HuseyinDarky")</f>
        <v>http://twitter.com/HuseyinDarky</v>
      </c>
      <c r="K2193">
        <v>214</v>
      </c>
      <c r="N2193" t="s">
        <v>65</v>
      </c>
      <c r="R2193" t="s">
        <v>60</v>
      </c>
      <c r="S2193" t="s">
        <v>592</v>
      </c>
      <c r="W2193">
        <v>0</v>
      </c>
      <c r="X2193">
        <v>0</v>
      </c>
      <c r="AE2193">
        <v>0</v>
      </c>
      <c r="AI2193" t="s">
        <v>52</v>
      </c>
      <c r="AJ2193" t="s">
        <v>1196</v>
      </c>
      <c r="AK2193" t="s">
        <v>52</v>
      </c>
      <c r="AL2193" t="str">
        <f>HYPERLINK("https://pbs.twimg.com/media/D9xgk2YXkAAd2ql.jpg")</f>
        <v>https://pbs.twimg.com/media/D9xgk2YXkAAd2ql.jpg</v>
      </c>
      <c r="AM2193" t="s">
        <v>52</v>
      </c>
      <c r="AN2193" t="s">
        <v>53</v>
      </c>
    </row>
    <row r="2194" spans="1:40">
      <c r="A2194" t="s">
        <v>2370</v>
      </c>
      <c r="B2194" t="s">
        <v>1719</v>
      </c>
      <c r="C2194" t="s">
        <v>7495</v>
      </c>
      <c r="D2194" t="s">
        <v>52</v>
      </c>
      <c r="E2194" t="s">
        <v>3749</v>
      </c>
      <c r="F2194" t="s">
        <v>71</v>
      </c>
      <c r="G2194" t="str">
        <f>HYPERLINK("https://twitter.com/784503378/status/1143050946014056450")</f>
        <v>https://twitter.com/784503378/status/1143050946014056450</v>
      </c>
      <c r="H2194" t="s">
        <v>46</v>
      </c>
      <c r="I2194" t="s">
        <v>7496</v>
      </c>
      <c r="J2194" t="str">
        <f>HYPERLINK("http://twitter.com/MrMoMarumo")</f>
        <v>http://twitter.com/MrMoMarumo</v>
      </c>
      <c r="K2194">
        <v>1355</v>
      </c>
      <c r="N2194" t="s">
        <v>65</v>
      </c>
      <c r="R2194" t="s">
        <v>60</v>
      </c>
      <c r="S2194" t="s">
        <v>1071</v>
      </c>
      <c r="T2194" t="s">
        <v>1072</v>
      </c>
      <c r="U2194" t="s">
        <v>1073</v>
      </c>
      <c r="W2194">
        <v>0</v>
      </c>
      <c r="X2194">
        <v>0</v>
      </c>
      <c r="AE2194">
        <v>0</v>
      </c>
      <c r="AF2194">
        <v>0</v>
      </c>
      <c r="AI2194" t="s">
        <v>108</v>
      </c>
      <c r="AJ2194" t="s">
        <v>52</v>
      </c>
      <c r="AK2194" t="s">
        <v>52</v>
      </c>
      <c r="AL2194" t="str">
        <f>HYPERLINK("https://pbs.twimg.com/media/D9sAXHUX4AA6vJs.jpg")</f>
        <v>https://pbs.twimg.com/media/D9sAXHUX4AA6vJs.jpg</v>
      </c>
      <c r="AM2194" t="s">
        <v>52</v>
      </c>
      <c r="AN2194" t="s">
        <v>53</v>
      </c>
    </row>
    <row r="2195" spans="1:40">
      <c r="A2195" t="s">
        <v>2370</v>
      </c>
      <c r="B2195" t="s">
        <v>1719</v>
      </c>
      <c r="C2195" t="s">
        <v>7208</v>
      </c>
      <c r="D2195" t="s">
        <v>7497</v>
      </c>
      <c r="E2195" t="s">
        <v>7498</v>
      </c>
      <c r="F2195" t="s">
        <v>45</v>
      </c>
      <c r="G2195" t="str">
        <f>HYPERLINK("https://mayfieldrecorder.com/2019/06/24/gilbert-cook-inc-takes-288000-position-in-pepsico-inc-nasdaqpep.html")</f>
        <v>https://mayfieldrecorder.com/2019/06/24/gilbert-cook-inc-takes-288000-position-in-pepsico-inc-nasdaqpep.html</v>
      </c>
      <c r="H2195" t="s">
        <v>91</v>
      </c>
      <c r="I2195" t="s">
        <v>5762</v>
      </c>
      <c r="J2195" t="str">
        <f>HYPERLINK("https://mayfieldrecorder.com/2019/06/24/gilbert-cook-inc-takes-288000-position-in-pepsico-inc-nasdaqpep.html")</f>
        <v>https://mayfieldrecorder.com/2019/06/24/gilbert-cook-inc-takes-288000-position-in-pepsico-inc-nasdaqpep.html</v>
      </c>
      <c r="L2195" t="s">
        <v>58</v>
      </c>
      <c r="N2195" t="s">
        <v>356</v>
      </c>
      <c r="R2195" t="s">
        <v>357</v>
      </c>
      <c r="S2195" t="s">
        <v>51</v>
      </c>
      <c r="AM2195" t="s">
        <v>52</v>
      </c>
      <c r="AN2195" t="s">
        <v>53</v>
      </c>
    </row>
    <row r="2196" spans="1:40">
      <c r="A2196" t="s">
        <v>2370</v>
      </c>
      <c r="B2196" t="s">
        <v>7499</v>
      </c>
      <c r="C2196" t="s">
        <v>7486</v>
      </c>
      <c r="D2196" t="s">
        <v>52</v>
      </c>
      <c r="E2196" t="s">
        <v>3749</v>
      </c>
      <c r="F2196" t="s">
        <v>71</v>
      </c>
      <c r="G2196" t="str">
        <f>HYPERLINK("https://twitter.com/1702744116/status/1143050832528715776")</f>
        <v>https://twitter.com/1702744116/status/1143050832528715776</v>
      </c>
      <c r="H2196" t="s">
        <v>46</v>
      </c>
      <c r="I2196" t="s">
        <v>7500</v>
      </c>
      <c r="J2196" t="str">
        <f>HYPERLINK("http://twitter.com/NameIsEvans")</f>
        <v>http://twitter.com/NameIsEvans</v>
      </c>
      <c r="K2196">
        <v>1777</v>
      </c>
      <c r="N2196" t="s">
        <v>65</v>
      </c>
      <c r="R2196" t="s">
        <v>60</v>
      </c>
      <c r="S2196" t="s">
        <v>1774</v>
      </c>
      <c r="T2196" t="s">
        <v>1775</v>
      </c>
      <c r="U2196" t="s">
        <v>4091</v>
      </c>
      <c r="W2196">
        <v>0</v>
      </c>
      <c r="X2196">
        <v>0</v>
      </c>
      <c r="AE2196">
        <v>0</v>
      </c>
      <c r="AF2196">
        <v>0</v>
      </c>
      <c r="AI2196" t="s">
        <v>108</v>
      </c>
      <c r="AJ2196" t="s">
        <v>52</v>
      </c>
      <c r="AK2196" t="s">
        <v>52</v>
      </c>
      <c r="AL2196" t="str">
        <f>HYPERLINK("https://pbs.twimg.com/media/D9sAXHUX4AA6vJs.jpg")</f>
        <v>https://pbs.twimg.com/media/D9sAXHUX4AA6vJs.jpg</v>
      </c>
      <c r="AM2196" t="s">
        <v>52</v>
      </c>
      <c r="AN2196" t="s">
        <v>53</v>
      </c>
    </row>
    <row r="2197" spans="1:40">
      <c r="A2197" t="s">
        <v>2370</v>
      </c>
      <c r="B2197" t="s">
        <v>7499</v>
      </c>
      <c r="C2197" t="s">
        <v>7486</v>
      </c>
      <c r="D2197" t="s">
        <v>52</v>
      </c>
      <c r="E2197" t="s">
        <v>6324</v>
      </c>
      <c r="F2197" t="s">
        <v>45</v>
      </c>
      <c r="G2197" t="str">
        <f>HYPERLINK("https://twitter.com/754816588650602496/status/1143050804527534080")</f>
        <v>https://twitter.com/754816588650602496/status/1143050804527534080</v>
      </c>
      <c r="H2197" t="s">
        <v>215</v>
      </c>
      <c r="I2197" t="s">
        <v>7501</v>
      </c>
      <c r="J2197" t="str">
        <f>HYPERLINK("http://twitter.com/Pinksheepbot")</f>
        <v>http://twitter.com/Pinksheepbot</v>
      </c>
      <c r="K2197">
        <v>51</v>
      </c>
      <c r="N2197" t="s">
        <v>65</v>
      </c>
      <c r="R2197" t="s">
        <v>60</v>
      </c>
      <c r="S2197" t="s">
        <v>51</v>
      </c>
      <c r="T2197" t="s">
        <v>1669</v>
      </c>
      <c r="U2197" t="s">
        <v>7021</v>
      </c>
      <c r="W2197">
        <v>0</v>
      </c>
      <c r="X2197">
        <v>0</v>
      </c>
      <c r="AE2197">
        <v>0</v>
      </c>
      <c r="AF2197">
        <v>0</v>
      </c>
      <c r="AM2197" t="s">
        <v>52</v>
      </c>
      <c r="AN2197" t="s">
        <v>53</v>
      </c>
    </row>
    <row r="2198" spans="1:40">
      <c r="A2198" t="s">
        <v>2370</v>
      </c>
      <c r="B2198" t="s">
        <v>7499</v>
      </c>
      <c r="C2198" t="s">
        <v>7502</v>
      </c>
      <c r="D2198" t="s">
        <v>52</v>
      </c>
      <c r="E2198" t="s">
        <v>7503</v>
      </c>
      <c r="F2198" t="s">
        <v>45</v>
      </c>
      <c r="G2198" t="str">
        <f>HYPERLINK("https://twitter.com/979817596739469312/status/1143050755131076608")</f>
        <v>https://twitter.com/979817596739469312/status/1143050755131076608</v>
      </c>
      <c r="H2198" t="s">
        <v>46</v>
      </c>
      <c r="I2198" t="s">
        <v>7504</v>
      </c>
      <c r="J2198" t="str">
        <f>HYPERLINK("http://twitter.com/ermoarin")</f>
        <v>http://twitter.com/ermoarin</v>
      </c>
      <c r="K2198">
        <v>76</v>
      </c>
      <c r="N2198" t="s">
        <v>65</v>
      </c>
      <c r="R2198" t="s">
        <v>60</v>
      </c>
      <c r="S2198" t="s">
        <v>51</v>
      </c>
      <c r="T2198" t="s">
        <v>173</v>
      </c>
      <c r="U2198" t="s">
        <v>7505</v>
      </c>
      <c r="W2198">
        <v>5</v>
      </c>
      <c r="X2198">
        <v>5</v>
      </c>
      <c r="AE2198">
        <v>2</v>
      </c>
      <c r="AF2198">
        <v>0</v>
      </c>
      <c r="AM2198" t="s">
        <v>52</v>
      </c>
      <c r="AN2198" t="s">
        <v>53</v>
      </c>
    </row>
    <row r="2199" spans="1:40">
      <c r="A2199" t="s">
        <v>2370</v>
      </c>
      <c r="B2199" t="s">
        <v>1725</v>
      </c>
      <c r="C2199" t="s">
        <v>7506</v>
      </c>
      <c r="D2199" t="s">
        <v>52</v>
      </c>
      <c r="E2199" t="s">
        <v>7507</v>
      </c>
      <c r="F2199" t="s">
        <v>45</v>
      </c>
      <c r="G2199" t="str">
        <f>HYPERLINK("https://twitter.com/1586949726/status/1143050508912869376")</f>
        <v>https://twitter.com/1586949726/status/1143050508912869376</v>
      </c>
      <c r="H2199" t="s">
        <v>46</v>
      </c>
      <c r="I2199" t="s">
        <v>52</v>
      </c>
      <c r="J2199" t="str">
        <f>HYPERLINK("http://twitter.com/ShelleyMitra")</f>
        <v>http://twitter.com/ShelleyMitra</v>
      </c>
      <c r="K2199">
        <v>105</v>
      </c>
      <c r="N2199" t="s">
        <v>65</v>
      </c>
      <c r="R2199" t="s">
        <v>60</v>
      </c>
      <c r="W2199">
        <v>12</v>
      </c>
      <c r="X2199">
        <v>12</v>
      </c>
      <c r="AE2199">
        <v>0</v>
      </c>
      <c r="AF2199">
        <v>0</v>
      </c>
      <c r="AM2199" t="s">
        <v>52</v>
      </c>
      <c r="AN2199" t="s">
        <v>53</v>
      </c>
    </row>
    <row r="2200" spans="1:40">
      <c r="A2200" t="s">
        <v>2370</v>
      </c>
      <c r="B2200" t="s">
        <v>7508</v>
      </c>
      <c r="C2200" t="s">
        <v>7471</v>
      </c>
      <c r="D2200" t="s">
        <v>52</v>
      </c>
      <c r="E2200" t="s">
        <v>7509</v>
      </c>
      <c r="F2200" t="s">
        <v>45</v>
      </c>
      <c r="G2200" t="str">
        <f>HYPERLINK("https://www.instagram.com/p/BzFUm5ghL4d")</f>
        <v>https://www.instagram.com/p/BzFUm5ghL4d</v>
      </c>
      <c r="H2200" t="s">
        <v>46</v>
      </c>
      <c r="I2200" t="s">
        <v>7510</v>
      </c>
      <c r="J2200" t="str">
        <f>HYPERLINK("http://instagram.com/haileelujan")</f>
        <v>http://instagram.com/haileelujan</v>
      </c>
      <c r="K2200">
        <v>1112</v>
      </c>
      <c r="N2200" t="s">
        <v>59</v>
      </c>
      <c r="O2200" t="s">
        <v>7510</v>
      </c>
      <c r="P2200" t="str">
        <f>HYPERLINK("http://instagram.com/haileelujan")</f>
        <v>http://instagram.com/haileelujan</v>
      </c>
      <c r="Q2200">
        <v>1112</v>
      </c>
      <c r="R2200" t="s">
        <v>60</v>
      </c>
      <c r="W2200">
        <v>46</v>
      </c>
      <c r="X2200">
        <v>46</v>
      </c>
      <c r="AE2200">
        <v>18</v>
      </c>
      <c r="AI2200" t="s">
        <v>52</v>
      </c>
      <c r="AJ2200" t="s">
        <v>52</v>
      </c>
      <c r="AK2200" t="s">
        <v>680</v>
      </c>
      <c r="AL2200" t="str">
        <f>HYPERLINK("https://www.instagram.com/p/BzFUm5ghL4d/media/?size=l")</f>
        <v>https://www.instagram.com/p/BzFUm5ghL4d/media/?size=l</v>
      </c>
      <c r="AM2200" t="s">
        <v>52</v>
      </c>
      <c r="AN2200" t="s">
        <v>53</v>
      </c>
    </row>
    <row r="2201" spans="1:40">
      <c r="A2201" t="s">
        <v>2370</v>
      </c>
      <c r="B2201" t="s">
        <v>7508</v>
      </c>
      <c r="C2201" t="s">
        <v>7511</v>
      </c>
      <c r="D2201" t="s">
        <v>52</v>
      </c>
      <c r="E2201" t="s">
        <v>3749</v>
      </c>
      <c r="F2201" t="s">
        <v>71</v>
      </c>
      <c r="G2201" t="str">
        <f>HYPERLINK("https://twitter.com/634739372/status/1143049428938440704")</f>
        <v>https://twitter.com/634739372/status/1143049428938440704</v>
      </c>
      <c r="H2201" t="s">
        <v>46</v>
      </c>
      <c r="I2201" t="s">
        <v>7512</v>
      </c>
      <c r="J2201" t="str">
        <f>HYPERLINK("http://twitter.com/OK_Kabelo")</f>
        <v>http://twitter.com/OK_Kabelo</v>
      </c>
      <c r="K2201">
        <v>1307</v>
      </c>
      <c r="N2201" t="s">
        <v>65</v>
      </c>
      <c r="R2201" t="s">
        <v>60</v>
      </c>
      <c r="S2201" t="s">
        <v>1071</v>
      </c>
      <c r="T2201" t="s">
        <v>1072</v>
      </c>
      <c r="U2201" t="s">
        <v>1295</v>
      </c>
      <c r="W2201">
        <v>0</v>
      </c>
      <c r="X2201">
        <v>0</v>
      </c>
      <c r="AE2201">
        <v>0</v>
      </c>
      <c r="AF2201">
        <v>0</v>
      </c>
      <c r="AI2201" t="s">
        <v>108</v>
      </c>
      <c r="AJ2201" t="s">
        <v>52</v>
      </c>
      <c r="AK2201" t="s">
        <v>52</v>
      </c>
      <c r="AL2201" t="str">
        <f>HYPERLINK("https://pbs.twimg.com/media/D9sAXHUX4AA6vJs.jpg")</f>
        <v>https://pbs.twimg.com/media/D9sAXHUX4AA6vJs.jpg</v>
      </c>
      <c r="AM2201" t="s">
        <v>52</v>
      </c>
      <c r="AN2201" t="s">
        <v>53</v>
      </c>
    </row>
    <row r="2202" spans="1:40">
      <c r="A2202" t="s">
        <v>2370</v>
      </c>
      <c r="B2202" t="s">
        <v>7508</v>
      </c>
      <c r="C2202" t="s">
        <v>7511</v>
      </c>
      <c r="D2202" t="s">
        <v>52</v>
      </c>
      <c r="E2202" t="s">
        <v>1194</v>
      </c>
      <c r="F2202" t="s">
        <v>131</v>
      </c>
      <c r="G2202" t="str">
        <f>HYPERLINK("https://twitter.com/806332132066852864/status/1143049417806606337")</f>
        <v>https://twitter.com/806332132066852864/status/1143049417806606337</v>
      </c>
      <c r="H2202" t="s">
        <v>46</v>
      </c>
      <c r="I2202" t="s">
        <v>7513</v>
      </c>
      <c r="J2202" t="str">
        <f>HYPERLINK("http://twitter.com/fazlinaaaa_")</f>
        <v>http://twitter.com/fazlinaaaa_</v>
      </c>
      <c r="K2202">
        <v>153</v>
      </c>
      <c r="N2202" t="s">
        <v>65</v>
      </c>
      <c r="R2202" t="s">
        <v>60</v>
      </c>
      <c r="S2202" t="s">
        <v>1741</v>
      </c>
      <c r="T2202" t="s">
        <v>7514</v>
      </c>
      <c r="W2202">
        <v>0</v>
      </c>
      <c r="X2202">
        <v>0</v>
      </c>
      <c r="AE2202">
        <v>0</v>
      </c>
      <c r="AI2202" t="s">
        <v>52</v>
      </c>
      <c r="AJ2202" t="s">
        <v>1196</v>
      </c>
      <c r="AK2202" t="s">
        <v>52</v>
      </c>
      <c r="AL2202" t="str">
        <f>HYPERLINK("https://pbs.twimg.com/media/D9xgk2YXkAAd2ql.jpg")</f>
        <v>https://pbs.twimg.com/media/D9xgk2YXkAAd2ql.jpg</v>
      </c>
      <c r="AM2202" t="s">
        <v>52</v>
      </c>
      <c r="AN2202" t="s">
        <v>53</v>
      </c>
    </row>
    <row r="2203" spans="1:40">
      <c r="A2203" t="s">
        <v>2370</v>
      </c>
      <c r="B2203" t="s">
        <v>7515</v>
      </c>
      <c r="C2203" t="s">
        <v>7516</v>
      </c>
      <c r="D2203" t="s">
        <v>52</v>
      </c>
      <c r="E2203" t="s">
        <v>4497</v>
      </c>
      <c r="F2203" t="s">
        <v>45</v>
      </c>
      <c r="G2203" t="str">
        <f>HYPERLINK("https://twitter.com/542259273/status/1143049308096253953")</f>
        <v>https://twitter.com/542259273/status/1143049308096253953</v>
      </c>
      <c r="H2203" t="s">
        <v>46</v>
      </c>
      <c r="I2203" t="s">
        <v>7517</v>
      </c>
      <c r="J2203" t="str">
        <f>HYPERLINK("http://twitter.com/larissaghost")</f>
        <v>http://twitter.com/larissaghost</v>
      </c>
      <c r="K2203">
        <v>561</v>
      </c>
      <c r="N2203" t="s">
        <v>65</v>
      </c>
      <c r="R2203" t="s">
        <v>60</v>
      </c>
      <c r="W2203">
        <v>15</v>
      </c>
      <c r="X2203">
        <v>15</v>
      </c>
      <c r="AE2203">
        <v>0</v>
      </c>
      <c r="AF2203">
        <v>0</v>
      </c>
      <c r="AM2203" t="s">
        <v>52</v>
      </c>
      <c r="AN2203" t="s">
        <v>53</v>
      </c>
    </row>
    <row r="2204" spans="1:40">
      <c r="A2204" t="s">
        <v>2370</v>
      </c>
      <c r="B2204" t="s">
        <v>7515</v>
      </c>
      <c r="C2204" t="s">
        <v>7518</v>
      </c>
      <c r="D2204" t="s">
        <v>52</v>
      </c>
      <c r="E2204" t="s">
        <v>7519</v>
      </c>
      <c r="F2204" t="s">
        <v>95</v>
      </c>
      <c r="G2204" t="str">
        <f>HYPERLINK("https://twitter.com/3097019958/status/1143049243214659589")</f>
        <v>https://twitter.com/3097019958/status/1143049243214659589</v>
      </c>
      <c r="H2204" t="s">
        <v>46</v>
      </c>
      <c r="I2204" t="s">
        <v>7520</v>
      </c>
      <c r="J2204" t="str">
        <f>HYPERLINK("http://twitter.com/sophie_mayb")</f>
        <v>http://twitter.com/sophie_mayb</v>
      </c>
      <c r="K2204">
        <v>77</v>
      </c>
      <c r="N2204" t="s">
        <v>65</v>
      </c>
      <c r="R2204" t="s">
        <v>60</v>
      </c>
      <c r="W2204">
        <v>1</v>
      </c>
      <c r="X2204">
        <v>1</v>
      </c>
      <c r="AE2204">
        <v>0</v>
      </c>
      <c r="AF2204">
        <v>0</v>
      </c>
      <c r="AM2204" t="s">
        <v>52</v>
      </c>
      <c r="AN2204" t="s">
        <v>53</v>
      </c>
    </row>
    <row r="2205" spans="1:40">
      <c r="A2205" t="s">
        <v>2370</v>
      </c>
      <c r="B2205" t="s">
        <v>7515</v>
      </c>
      <c r="C2205" t="s">
        <v>7521</v>
      </c>
      <c r="D2205" t="s">
        <v>52</v>
      </c>
      <c r="E2205" t="s">
        <v>1194</v>
      </c>
      <c r="F2205" t="s">
        <v>131</v>
      </c>
      <c r="G2205" t="str">
        <f>HYPERLINK("https://twitter.com/1101117439780311040/status/1143049118924890113")</f>
        <v>https://twitter.com/1101117439780311040/status/1143049118924890113</v>
      </c>
      <c r="H2205" t="s">
        <v>46</v>
      </c>
      <c r="I2205" t="s">
        <v>52</v>
      </c>
      <c r="J2205" t="str">
        <f>HYPERLINK("http://twitter.com/__coeur___")</f>
        <v>http://twitter.com/__coeur___</v>
      </c>
      <c r="K2205">
        <v>207</v>
      </c>
      <c r="N2205" t="s">
        <v>65</v>
      </c>
      <c r="R2205" t="s">
        <v>60</v>
      </c>
      <c r="W2205">
        <v>0</v>
      </c>
      <c r="X2205">
        <v>0</v>
      </c>
      <c r="AE2205">
        <v>0</v>
      </c>
      <c r="AI2205" t="s">
        <v>52</v>
      </c>
      <c r="AJ2205" t="s">
        <v>1196</v>
      </c>
      <c r="AK2205" t="s">
        <v>52</v>
      </c>
      <c r="AL2205" t="str">
        <f>HYPERLINK("https://pbs.twimg.com/media/D9xgk2YXkAAd2ql.jpg")</f>
        <v>https://pbs.twimg.com/media/D9xgk2YXkAAd2ql.jpg</v>
      </c>
      <c r="AM2205" t="s">
        <v>52</v>
      </c>
      <c r="AN2205" t="s">
        <v>53</v>
      </c>
    </row>
    <row r="2206" spans="1:40">
      <c r="A2206" t="s">
        <v>2370</v>
      </c>
      <c r="B2206" t="s">
        <v>7522</v>
      </c>
      <c r="C2206" t="s">
        <v>7521</v>
      </c>
      <c r="D2206" t="s">
        <v>52</v>
      </c>
      <c r="E2206" t="s">
        <v>7523</v>
      </c>
      <c r="F2206" t="s">
        <v>45</v>
      </c>
      <c r="G2206" t="str">
        <f>HYPERLINK("https://www.instagram.com/p/BzFUXaVHh_d")</f>
        <v>https://www.instagram.com/p/BzFUXaVHh_d</v>
      </c>
      <c r="H2206" t="s">
        <v>46</v>
      </c>
      <c r="I2206" t="s">
        <v>7524</v>
      </c>
      <c r="J2206" t="str">
        <f>HYPERLINK("http://instagram.com/carspotting_finland")</f>
        <v>http://instagram.com/carspotting_finland</v>
      </c>
      <c r="K2206">
        <v>59</v>
      </c>
      <c r="N2206" t="s">
        <v>59</v>
      </c>
      <c r="O2206" t="s">
        <v>7524</v>
      </c>
      <c r="P2206" t="str">
        <f>HYPERLINK("http://instagram.com/carspotting_finland")</f>
        <v>http://instagram.com/carspotting_finland</v>
      </c>
      <c r="Q2206">
        <v>59</v>
      </c>
      <c r="R2206" t="s">
        <v>60</v>
      </c>
      <c r="W2206">
        <v>17</v>
      </c>
      <c r="X2206">
        <v>17</v>
      </c>
      <c r="AE2206">
        <v>1</v>
      </c>
      <c r="AI2206" t="s">
        <v>52</v>
      </c>
      <c r="AJ2206" t="s">
        <v>121</v>
      </c>
      <c r="AK2206" t="s">
        <v>52</v>
      </c>
      <c r="AL2206" t="str">
        <f>HYPERLINK("https://www.instagram.com/p/BzFUXaVHh_d/media/?size=l")</f>
        <v>https://www.instagram.com/p/BzFUXaVHh_d/media/?size=l</v>
      </c>
      <c r="AM2206" t="s">
        <v>52</v>
      </c>
      <c r="AN2206" t="s">
        <v>53</v>
      </c>
    </row>
    <row r="2207" spans="1:40">
      <c r="A2207" t="s">
        <v>2370</v>
      </c>
      <c r="B2207" t="s">
        <v>1746</v>
      </c>
      <c r="C2207" t="s">
        <v>7525</v>
      </c>
      <c r="D2207" t="s">
        <v>52</v>
      </c>
      <c r="E2207" t="s">
        <v>7526</v>
      </c>
      <c r="F2207" t="s">
        <v>45</v>
      </c>
      <c r="G2207" t="str">
        <f>HYPERLINK("https://twitter.com/1095159722620010498/status/1143047122540888066")</f>
        <v>https://twitter.com/1095159722620010498/status/1143047122540888066</v>
      </c>
      <c r="H2207" t="s">
        <v>46</v>
      </c>
      <c r="I2207" t="s">
        <v>7527</v>
      </c>
      <c r="J2207" t="str">
        <f>HYPERLINK("http://twitter.com/_bitchinn_")</f>
        <v>http://twitter.com/_bitchinn_</v>
      </c>
      <c r="K2207">
        <v>0</v>
      </c>
      <c r="N2207" t="s">
        <v>65</v>
      </c>
      <c r="R2207" t="s">
        <v>60</v>
      </c>
      <c r="S2207" t="s">
        <v>51</v>
      </c>
      <c r="T2207" t="s">
        <v>4349</v>
      </c>
      <c r="U2207" t="s">
        <v>7528</v>
      </c>
      <c r="W2207">
        <v>0</v>
      </c>
      <c r="X2207">
        <v>0</v>
      </c>
      <c r="AE2207">
        <v>0</v>
      </c>
      <c r="AF2207">
        <v>0</v>
      </c>
      <c r="AM2207" t="s">
        <v>52</v>
      </c>
      <c r="AN2207" t="s">
        <v>53</v>
      </c>
    </row>
    <row r="2208" spans="1:40">
      <c r="A2208" t="s">
        <v>2370</v>
      </c>
      <c r="B2208" t="s">
        <v>1755</v>
      </c>
      <c r="C2208" t="s">
        <v>7529</v>
      </c>
      <c r="D2208" t="s">
        <v>52</v>
      </c>
      <c r="E2208" t="s">
        <v>3749</v>
      </c>
      <c r="F2208" t="s">
        <v>71</v>
      </c>
      <c r="G2208" t="str">
        <f>HYPERLINK("https://twitter.com/191072020/status/1143046811386617856")</f>
        <v>https://twitter.com/191072020/status/1143046811386617856</v>
      </c>
      <c r="H2208" t="s">
        <v>46</v>
      </c>
      <c r="I2208" t="s">
        <v>7530</v>
      </c>
      <c r="J2208" t="str">
        <f>HYPERLINK("http://twitter.com/ArcadiaT")</f>
        <v>http://twitter.com/ArcadiaT</v>
      </c>
      <c r="K2208">
        <v>1821</v>
      </c>
      <c r="L2208" t="s">
        <v>48</v>
      </c>
      <c r="N2208" t="s">
        <v>65</v>
      </c>
      <c r="R2208" t="s">
        <v>60</v>
      </c>
      <c r="W2208">
        <v>0</v>
      </c>
      <c r="X2208">
        <v>0</v>
      </c>
      <c r="AE2208">
        <v>0</v>
      </c>
      <c r="AF2208">
        <v>0</v>
      </c>
      <c r="AI2208" t="s">
        <v>108</v>
      </c>
      <c r="AJ2208" t="s">
        <v>52</v>
      </c>
      <c r="AK2208" t="s">
        <v>52</v>
      </c>
      <c r="AL2208" t="str">
        <f>HYPERLINK("https://pbs.twimg.com/media/D9sAXHUX4AA6vJs.jpg")</f>
        <v>https://pbs.twimg.com/media/D9sAXHUX4AA6vJs.jpg</v>
      </c>
      <c r="AM2208" t="s">
        <v>52</v>
      </c>
      <c r="AN2208" t="s">
        <v>53</v>
      </c>
    </row>
    <row r="2209" spans="1:40">
      <c r="A2209" t="s">
        <v>2370</v>
      </c>
      <c r="B2209" t="s">
        <v>1755</v>
      </c>
      <c r="C2209" t="s">
        <v>7529</v>
      </c>
      <c r="D2209" t="s">
        <v>52</v>
      </c>
      <c r="E2209" t="s">
        <v>4296</v>
      </c>
      <c r="F2209" t="s">
        <v>131</v>
      </c>
      <c r="G2209" t="str">
        <f>HYPERLINK("https://twitter.com/1134028291134935041/status/1143046812372258817")</f>
        <v>https://twitter.com/1134028291134935041/status/1143046812372258817</v>
      </c>
      <c r="H2209" t="s">
        <v>46</v>
      </c>
      <c r="I2209" t="s">
        <v>7531</v>
      </c>
      <c r="J2209" t="str">
        <f>HYPERLINK("http://twitter.com/MickeyThabeng")</f>
        <v>http://twitter.com/MickeyThabeng</v>
      </c>
      <c r="K2209">
        <v>69</v>
      </c>
      <c r="L2209" t="s">
        <v>48</v>
      </c>
      <c r="N2209" t="s">
        <v>65</v>
      </c>
      <c r="R2209" t="s">
        <v>60</v>
      </c>
      <c r="W2209">
        <v>0</v>
      </c>
      <c r="X2209">
        <v>0</v>
      </c>
      <c r="AE2209">
        <v>0</v>
      </c>
      <c r="AI2209" t="s">
        <v>108</v>
      </c>
      <c r="AJ2209" t="s">
        <v>52</v>
      </c>
      <c r="AK2209" t="s">
        <v>52</v>
      </c>
      <c r="AL2209" t="str">
        <f>HYPERLINK("https://pbs.twimg.com/media/D9sAXHUX4AA6vJs.jpg")</f>
        <v>https://pbs.twimg.com/media/D9sAXHUX4AA6vJs.jpg</v>
      </c>
      <c r="AM2209" t="s">
        <v>52</v>
      </c>
      <c r="AN2209" t="s">
        <v>53</v>
      </c>
    </row>
    <row r="2210" spans="1:40">
      <c r="A2210" t="s">
        <v>2370</v>
      </c>
      <c r="B2210" t="s">
        <v>1755</v>
      </c>
      <c r="C2210" t="s">
        <v>7529</v>
      </c>
      <c r="D2210" t="s">
        <v>52</v>
      </c>
      <c r="E2210" t="s">
        <v>7532</v>
      </c>
      <c r="F2210" t="s">
        <v>131</v>
      </c>
      <c r="G2210" t="str">
        <f>HYPERLINK("https://twitter.com/1138902254222761986/status/1143046810786762752")</f>
        <v>https://twitter.com/1138902254222761986/status/1143046810786762752</v>
      </c>
      <c r="H2210" t="s">
        <v>46</v>
      </c>
      <c r="I2210" t="s">
        <v>7533</v>
      </c>
      <c r="J2210" t="str">
        <f>HYPERLINK("http://twitter.com/emcirera")</f>
        <v>http://twitter.com/emcirera</v>
      </c>
      <c r="K2210">
        <v>0</v>
      </c>
      <c r="L2210" t="s">
        <v>58</v>
      </c>
      <c r="N2210" t="s">
        <v>65</v>
      </c>
      <c r="R2210" t="s">
        <v>60</v>
      </c>
      <c r="W2210">
        <v>0</v>
      </c>
      <c r="X2210">
        <v>0</v>
      </c>
      <c r="AE2210">
        <v>0</v>
      </c>
      <c r="AM2210" t="s">
        <v>52</v>
      </c>
      <c r="AN2210" t="s">
        <v>53</v>
      </c>
    </row>
    <row r="2211" spans="1:40">
      <c r="A2211" t="s">
        <v>2370</v>
      </c>
      <c r="B2211" t="s">
        <v>1755</v>
      </c>
      <c r="C2211" t="s">
        <v>7534</v>
      </c>
      <c r="D2211" t="s">
        <v>52</v>
      </c>
      <c r="E2211" t="s">
        <v>3749</v>
      </c>
      <c r="F2211" t="s">
        <v>71</v>
      </c>
      <c r="G2211" t="str">
        <f>HYPERLINK("https://twitter.com/347119755/status/1143046769812606976")</f>
        <v>https://twitter.com/347119755/status/1143046769812606976</v>
      </c>
      <c r="H2211" t="s">
        <v>46</v>
      </c>
      <c r="I2211" t="s">
        <v>7535</v>
      </c>
      <c r="J2211" t="str">
        <f>HYPERLINK("http://twitter.com/Luw_Ceko")</f>
        <v>http://twitter.com/Luw_Ceko</v>
      </c>
      <c r="K2211">
        <v>2343</v>
      </c>
      <c r="N2211" t="s">
        <v>65</v>
      </c>
      <c r="R2211" t="s">
        <v>60</v>
      </c>
      <c r="S2211" t="s">
        <v>4114</v>
      </c>
      <c r="T2211" t="s">
        <v>7536</v>
      </c>
      <c r="U2211" t="s">
        <v>7537</v>
      </c>
      <c r="W2211">
        <v>0</v>
      </c>
      <c r="X2211">
        <v>0</v>
      </c>
      <c r="AE2211">
        <v>0</v>
      </c>
      <c r="AF2211">
        <v>0</v>
      </c>
      <c r="AI2211" t="s">
        <v>108</v>
      </c>
      <c r="AJ2211" t="s">
        <v>52</v>
      </c>
      <c r="AK2211" t="s">
        <v>52</v>
      </c>
      <c r="AL2211" t="str">
        <f>HYPERLINK("https://pbs.twimg.com/media/D9sAXHUX4AA6vJs.jpg")</f>
        <v>https://pbs.twimg.com/media/D9sAXHUX4AA6vJs.jpg</v>
      </c>
      <c r="AM2211" t="s">
        <v>52</v>
      </c>
      <c r="AN2211" t="s">
        <v>53</v>
      </c>
    </row>
    <row r="2212" spans="1:40">
      <c r="A2212" t="s">
        <v>2370</v>
      </c>
      <c r="B2212" t="s">
        <v>1755</v>
      </c>
      <c r="C2212" t="s">
        <v>7534</v>
      </c>
      <c r="D2212" t="s">
        <v>52</v>
      </c>
      <c r="E2212" t="s">
        <v>3749</v>
      </c>
      <c r="F2212" t="s">
        <v>71</v>
      </c>
      <c r="G2212" t="str">
        <f>HYPERLINK("https://twitter.com/1032023538/status/1143046760383864832")</f>
        <v>https://twitter.com/1032023538/status/1143046760383864832</v>
      </c>
      <c r="H2212" t="s">
        <v>46</v>
      </c>
      <c r="I2212" t="s">
        <v>7538</v>
      </c>
      <c r="J2212" t="str">
        <f>HYPERLINK("http://twitter.com/juss_les")</f>
        <v>http://twitter.com/juss_les</v>
      </c>
      <c r="K2212">
        <v>395</v>
      </c>
      <c r="N2212" t="s">
        <v>65</v>
      </c>
      <c r="R2212" t="s">
        <v>60</v>
      </c>
      <c r="W2212">
        <v>0</v>
      </c>
      <c r="X2212">
        <v>0</v>
      </c>
      <c r="AE2212">
        <v>0</v>
      </c>
      <c r="AF2212">
        <v>0</v>
      </c>
      <c r="AI2212" t="s">
        <v>108</v>
      </c>
      <c r="AJ2212" t="s">
        <v>52</v>
      </c>
      <c r="AK2212" t="s">
        <v>52</v>
      </c>
      <c r="AL2212" t="str">
        <f>HYPERLINK("https://pbs.twimg.com/media/D9sAXHUX4AA6vJs.jpg")</f>
        <v>https://pbs.twimg.com/media/D9sAXHUX4AA6vJs.jpg</v>
      </c>
      <c r="AM2212" t="s">
        <v>52</v>
      </c>
      <c r="AN2212" t="s">
        <v>53</v>
      </c>
    </row>
    <row r="2213" spans="1:40">
      <c r="A2213" t="s">
        <v>2370</v>
      </c>
      <c r="B2213" t="s">
        <v>1755</v>
      </c>
      <c r="C2213" t="s">
        <v>7525</v>
      </c>
      <c r="D2213" t="s">
        <v>52</v>
      </c>
      <c r="E2213" t="s">
        <v>1194</v>
      </c>
      <c r="F2213" t="s">
        <v>131</v>
      </c>
      <c r="G2213" t="str">
        <f>HYPERLINK("https://twitter.com/272356448/status/1143046711494844416")</f>
        <v>https://twitter.com/272356448/status/1143046711494844416</v>
      </c>
      <c r="H2213" t="s">
        <v>46</v>
      </c>
      <c r="I2213" t="s">
        <v>7539</v>
      </c>
      <c r="J2213" t="str">
        <f>HYPERLINK("http://twitter.com/perlexed")</f>
        <v>http://twitter.com/perlexed</v>
      </c>
      <c r="K2213">
        <v>100</v>
      </c>
      <c r="N2213" t="s">
        <v>65</v>
      </c>
      <c r="R2213" t="s">
        <v>60</v>
      </c>
      <c r="W2213">
        <v>0</v>
      </c>
      <c r="X2213">
        <v>0</v>
      </c>
      <c r="AE2213">
        <v>0</v>
      </c>
      <c r="AI2213" t="s">
        <v>52</v>
      </c>
      <c r="AJ2213" t="s">
        <v>1196</v>
      </c>
      <c r="AK2213" t="s">
        <v>52</v>
      </c>
      <c r="AL2213" t="str">
        <f>HYPERLINK("https://pbs.twimg.com/media/D9xgk2YXkAAd2ql.jpg")</f>
        <v>https://pbs.twimg.com/media/D9xgk2YXkAAd2ql.jpg</v>
      </c>
      <c r="AM2213" t="s">
        <v>52</v>
      </c>
      <c r="AN2213" t="s">
        <v>53</v>
      </c>
    </row>
    <row r="2214" spans="1:40">
      <c r="A2214" t="s">
        <v>2370</v>
      </c>
      <c r="B2214" t="s">
        <v>1755</v>
      </c>
      <c r="C2214" t="s">
        <v>7540</v>
      </c>
      <c r="D2214" t="s">
        <v>52</v>
      </c>
      <c r="E2214" t="s">
        <v>1194</v>
      </c>
      <c r="F2214" t="s">
        <v>131</v>
      </c>
      <c r="G2214" t="str">
        <f>HYPERLINK("https://twitter.com/2793743178/status/1143046629139738625")</f>
        <v>https://twitter.com/2793743178/status/1143046629139738625</v>
      </c>
      <c r="H2214" t="s">
        <v>46</v>
      </c>
      <c r="I2214" t="s">
        <v>7541</v>
      </c>
      <c r="J2214" t="str">
        <f>HYPERLINK("http://twitter.com/HELIANESHAI")</f>
        <v>http://twitter.com/HELIANESHAI</v>
      </c>
      <c r="K2214">
        <v>943</v>
      </c>
      <c r="N2214" t="s">
        <v>65</v>
      </c>
      <c r="R2214" t="s">
        <v>60</v>
      </c>
      <c r="W2214">
        <v>0</v>
      </c>
      <c r="X2214">
        <v>0</v>
      </c>
      <c r="AE2214">
        <v>0</v>
      </c>
      <c r="AI2214" t="s">
        <v>52</v>
      </c>
      <c r="AJ2214" t="s">
        <v>1196</v>
      </c>
      <c r="AK2214" t="s">
        <v>52</v>
      </c>
      <c r="AL2214" t="str">
        <f>HYPERLINK("https://pbs.twimg.com/media/D9xgk2YXkAAd2ql.jpg")</f>
        <v>https://pbs.twimg.com/media/D9xgk2YXkAAd2ql.jpg</v>
      </c>
      <c r="AM2214" t="s">
        <v>52</v>
      </c>
      <c r="AN2214" t="s">
        <v>53</v>
      </c>
    </row>
    <row r="2215" spans="1:40">
      <c r="A2215" t="s">
        <v>2370</v>
      </c>
      <c r="B2215" t="s">
        <v>7542</v>
      </c>
      <c r="C2215" t="s">
        <v>7543</v>
      </c>
      <c r="D2215" t="s">
        <v>52</v>
      </c>
      <c r="E2215" t="s">
        <v>3749</v>
      </c>
      <c r="F2215" t="s">
        <v>71</v>
      </c>
      <c r="G2215" t="str">
        <f>HYPERLINK("https://twitter.com/3332492735/status/1143046551398494211")</f>
        <v>https://twitter.com/3332492735/status/1143046551398494211</v>
      </c>
      <c r="H2215" t="s">
        <v>46</v>
      </c>
      <c r="I2215" t="s">
        <v>7544</v>
      </c>
      <c r="J2215" t="str">
        <f>HYPERLINK("http://twitter.com/thereal_rowan")</f>
        <v>http://twitter.com/thereal_rowan</v>
      </c>
      <c r="K2215">
        <v>193</v>
      </c>
      <c r="N2215" t="s">
        <v>65</v>
      </c>
      <c r="R2215" t="s">
        <v>60</v>
      </c>
      <c r="S2215" t="s">
        <v>1071</v>
      </c>
      <c r="W2215">
        <v>0</v>
      </c>
      <c r="X2215">
        <v>0</v>
      </c>
      <c r="AE2215">
        <v>0</v>
      </c>
      <c r="AF2215">
        <v>0</v>
      </c>
      <c r="AI2215" t="s">
        <v>108</v>
      </c>
      <c r="AJ2215" t="s">
        <v>52</v>
      </c>
      <c r="AK2215" t="s">
        <v>52</v>
      </c>
      <c r="AL2215" t="str">
        <f>HYPERLINK("https://pbs.twimg.com/media/D9sAXHUX4AA6vJs.jpg")</f>
        <v>https://pbs.twimg.com/media/D9sAXHUX4AA6vJs.jpg</v>
      </c>
      <c r="AM2215" t="s">
        <v>52</v>
      </c>
      <c r="AN2215" t="s">
        <v>53</v>
      </c>
    </row>
    <row r="2216" spans="1:40">
      <c r="A2216" t="s">
        <v>2370</v>
      </c>
      <c r="B2216" t="s">
        <v>7542</v>
      </c>
      <c r="C2216" t="s">
        <v>7540</v>
      </c>
      <c r="D2216" t="s">
        <v>52</v>
      </c>
      <c r="E2216" t="s">
        <v>7545</v>
      </c>
      <c r="F2216" t="s">
        <v>45</v>
      </c>
      <c r="G2216" t="str">
        <f>HYPERLINK("https://twitter.com/925382976510275584/status/1143046395160670208")</f>
        <v>https://twitter.com/925382976510275584/status/1143046395160670208</v>
      </c>
      <c r="H2216" t="s">
        <v>91</v>
      </c>
      <c r="I2216" t="s">
        <v>7546</v>
      </c>
      <c r="J2216" t="str">
        <f>HYPERLINK("http://twitter.com/tracery_bot")</f>
        <v>http://twitter.com/tracery_bot</v>
      </c>
      <c r="K2216">
        <v>3</v>
      </c>
      <c r="N2216" t="s">
        <v>65</v>
      </c>
      <c r="R2216" t="s">
        <v>60</v>
      </c>
      <c r="W2216">
        <v>0</v>
      </c>
      <c r="X2216">
        <v>0</v>
      </c>
      <c r="AE2216">
        <v>0</v>
      </c>
      <c r="AF2216">
        <v>0</v>
      </c>
      <c r="AM2216" t="s">
        <v>52</v>
      </c>
      <c r="AN2216" t="s">
        <v>53</v>
      </c>
    </row>
    <row r="2217" spans="1:40">
      <c r="A2217" t="s">
        <v>2370</v>
      </c>
      <c r="B2217" t="s">
        <v>7542</v>
      </c>
      <c r="C2217" t="s">
        <v>7525</v>
      </c>
      <c r="D2217" t="s">
        <v>52</v>
      </c>
      <c r="E2217" t="s">
        <v>7547</v>
      </c>
      <c r="F2217" t="s">
        <v>45</v>
      </c>
      <c r="G2217" t="str">
        <f>HYPERLINK("https://www.instagram.com/p/BzFTKvkAodv")</f>
        <v>https://www.instagram.com/p/BzFTKvkAodv</v>
      </c>
      <c r="H2217" t="s">
        <v>46</v>
      </c>
      <c r="I2217" t="s">
        <v>7548</v>
      </c>
      <c r="J2217" t="str">
        <f>HYPERLINK("http://instagram.com/thenostalgicfrontpodcast")</f>
        <v>http://instagram.com/thenostalgicfrontpodcast</v>
      </c>
      <c r="K2217">
        <v>834</v>
      </c>
      <c r="N2217" t="s">
        <v>59</v>
      </c>
      <c r="O2217" t="s">
        <v>7548</v>
      </c>
      <c r="P2217" t="str">
        <f>HYPERLINK("http://instagram.com/thenostalgicfrontpodcast")</f>
        <v>http://instagram.com/thenostalgicfrontpodcast</v>
      </c>
      <c r="Q2217">
        <v>834</v>
      </c>
      <c r="R2217" t="s">
        <v>60</v>
      </c>
      <c r="W2217">
        <v>14</v>
      </c>
      <c r="X2217">
        <v>14</v>
      </c>
      <c r="AE2217">
        <v>0</v>
      </c>
      <c r="AI2217" t="s">
        <v>52</v>
      </c>
      <c r="AJ2217" t="s">
        <v>52</v>
      </c>
      <c r="AK2217" t="s">
        <v>52</v>
      </c>
      <c r="AL2217" t="str">
        <f>HYPERLINK("https://www.instagram.com/p/BzFTKvkAodv/media/?size=l")</f>
        <v>https://www.instagram.com/p/BzFTKvkAodv/media/?size=l</v>
      </c>
      <c r="AM2217" t="s">
        <v>52</v>
      </c>
      <c r="AN2217" t="s">
        <v>53</v>
      </c>
    </row>
    <row r="2218" spans="1:40">
      <c r="A2218" t="s">
        <v>2370</v>
      </c>
      <c r="B2218" t="s">
        <v>7542</v>
      </c>
      <c r="C2218" t="s">
        <v>7549</v>
      </c>
      <c r="D2218" t="s">
        <v>7550</v>
      </c>
      <c r="E2218" t="s">
        <v>7551</v>
      </c>
      <c r="F2218" t="s">
        <v>45</v>
      </c>
      <c r="G2218" t="str">
        <f>HYPERLINK("http://www.philropost.com/my-apm.html")</f>
        <v>http://www.philropost.com/my-apm.html</v>
      </c>
      <c r="H2218" t="s">
        <v>46</v>
      </c>
      <c r="N2218" t="s">
        <v>7552</v>
      </c>
      <c r="R2218" t="s">
        <v>50</v>
      </c>
      <c r="S2218" t="s">
        <v>51</v>
      </c>
      <c r="AM2218" t="s">
        <v>52</v>
      </c>
      <c r="AN2218" t="s">
        <v>53</v>
      </c>
    </row>
    <row r="2219" spans="1:40">
      <c r="A2219" t="s">
        <v>2370</v>
      </c>
      <c r="B2219" t="s">
        <v>7553</v>
      </c>
      <c r="C2219" t="s">
        <v>7525</v>
      </c>
      <c r="D2219" t="s">
        <v>52</v>
      </c>
      <c r="E2219" t="s">
        <v>7554</v>
      </c>
      <c r="F2219" t="s">
        <v>95</v>
      </c>
      <c r="G2219" t="str">
        <f>HYPERLINK("https://twitter.com/1142648184537153538/status/1143046027542327297")</f>
        <v>https://twitter.com/1142648184537153538/status/1143046027542327297</v>
      </c>
      <c r="H2219" t="s">
        <v>46</v>
      </c>
      <c r="I2219" t="s">
        <v>7555</v>
      </c>
      <c r="J2219" t="str">
        <f>HYPERLINK("http://twitter.com/tavin_carter")</f>
        <v>http://twitter.com/tavin_carter</v>
      </c>
      <c r="K2219">
        <v>0</v>
      </c>
      <c r="N2219" t="s">
        <v>65</v>
      </c>
      <c r="R2219" t="s">
        <v>60</v>
      </c>
      <c r="W2219">
        <v>0</v>
      </c>
      <c r="X2219">
        <v>0</v>
      </c>
      <c r="AE2219">
        <v>1</v>
      </c>
      <c r="AF2219">
        <v>0</v>
      </c>
      <c r="AM2219" t="s">
        <v>52</v>
      </c>
      <c r="AN2219" t="s">
        <v>53</v>
      </c>
    </row>
    <row r="2220" spans="1:40">
      <c r="A2220" t="s">
        <v>2370</v>
      </c>
      <c r="B2220" t="s">
        <v>1780</v>
      </c>
      <c r="C2220" t="s">
        <v>7556</v>
      </c>
      <c r="D2220" t="s">
        <v>52</v>
      </c>
      <c r="E2220" t="s">
        <v>7557</v>
      </c>
      <c r="F2220" t="s">
        <v>45</v>
      </c>
      <c r="G2220" t="str">
        <f>HYPERLINK("https://twitter.com/65222397/status/1143045455468564481")</f>
        <v>https://twitter.com/65222397/status/1143045455468564481</v>
      </c>
      <c r="H2220" t="s">
        <v>46</v>
      </c>
      <c r="I2220" t="s">
        <v>7558</v>
      </c>
      <c r="J2220" t="str">
        <f>HYPERLINK("http://twitter.com/iiimRatha")</f>
        <v>http://twitter.com/iiimRatha</v>
      </c>
      <c r="K2220">
        <v>293</v>
      </c>
      <c r="N2220" t="s">
        <v>65</v>
      </c>
      <c r="R2220" t="s">
        <v>60</v>
      </c>
      <c r="S2220" t="s">
        <v>51</v>
      </c>
      <c r="T2220" t="s">
        <v>2522</v>
      </c>
      <c r="U2220" t="s">
        <v>2523</v>
      </c>
      <c r="W2220">
        <v>0</v>
      </c>
      <c r="X2220">
        <v>0</v>
      </c>
      <c r="AE2220">
        <v>0</v>
      </c>
      <c r="AF2220">
        <v>0</v>
      </c>
      <c r="AM2220" t="s">
        <v>52</v>
      </c>
      <c r="AN2220" t="s">
        <v>53</v>
      </c>
    </row>
    <row r="2221" spans="1:40">
      <c r="A2221" t="s">
        <v>2370</v>
      </c>
      <c r="B2221" t="s">
        <v>1787</v>
      </c>
      <c r="C2221" t="s">
        <v>7559</v>
      </c>
      <c r="D2221" t="s">
        <v>52</v>
      </c>
      <c r="E2221" t="s">
        <v>4507</v>
      </c>
      <c r="F2221" t="s">
        <v>131</v>
      </c>
      <c r="G2221" t="str">
        <f>HYPERLINK("https://twitter.com/1084280373490573312/status/1143045291811098624")</f>
        <v>https://twitter.com/1084280373490573312/status/1143045291811098624</v>
      </c>
      <c r="H2221" t="s">
        <v>46</v>
      </c>
      <c r="I2221" t="s">
        <v>7560</v>
      </c>
      <c r="J2221" t="str">
        <f>HYPERLINK("http://twitter.com/NumfonDeejai")</f>
        <v>http://twitter.com/NumfonDeejai</v>
      </c>
      <c r="K2221">
        <v>103</v>
      </c>
      <c r="N2221" t="s">
        <v>65</v>
      </c>
      <c r="R2221" t="s">
        <v>60</v>
      </c>
      <c r="W2221">
        <v>0</v>
      </c>
      <c r="X2221">
        <v>0</v>
      </c>
      <c r="AE2221">
        <v>0</v>
      </c>
      <c r="AM2221" t="s">
        <v>52</v>
      </c>
      <c r="AN2221" t="s">
        <v>53</v>
      </c>
    </row>
    <row r="2222" spans="1:40">
      <c r="A2222" t="s">
        <v>2370</v>
      </c>
      <c r="B2222" t="s">
        <v>1794</v>
      </c>
      <c r="C2222" t="s">
        <v>7549</v>
      </c>
      <c r="D2222" t="s">
        <v>7561</v>
      </c>
      <c r="E2222" t="s">
        <v>7562</v>
      </c>
      <c r="F2222" t="s">
        <v>45</v>
      </c>
      <c r="G2222" t="str">
        <f>HYPERLINK("http://www.scandinavianhomestaging.com/taco-bell-paycheck.html")</f>
        <v>http://www.scandinavianhomestaging.com/taco-bell-paycheck.html</v>
      </c>
      <c r="H2222" t="s">
        <v>46</v>
      </c>
      <c r="N2222" t="s">
        <v>7165</v>
      </c>
      <c r="R2222" t="s">
        <v>50</v>
      </c>
      <c r="S2222" t="s">
        <v>51</v>
      </c>
      <c r="AM2222" t="s">
        <v>52</v>
      </c>
      <c r="AN2222" t="s">
        <v>53</v>
      </c>
    </row>
    <row r="2223" spans="1:40">
      <c r="A2223" t="s">
        <v>2370</v>
      </c>
      <c r="B2223" t="s">
        <v>1802</v>
      </c>
      <c r="C2223" t="s">
        <v>7563</v>
      </c>
      <c r="D2223" t="s">
        <v>52</v>
      </c>
      <c r="E2223" t="s">
        <v>7564</v>
      </c>
      <c r="F2223" t="s">
        <v>131</v>
      </c>
      <c r="G2223" t="str">
        <f>HYPERLINK("https://twitter.com/81235532/status/1143044742298689536")</f>
        <v>https://twitter.com/81235532/status/1143044742298689536</v>
      </c>
      <c r="H2223" t="s">
        <v>46</v>
      </c>
      <c r="I2223" t="s">
        <v>7565</v>
      </c>
      <c r="J2223" t="str">
        <f>HYPERLINK("http://twitter.com/Chris__Chin")</f>
        <v>http://twitter.com/Chris__Chin</v>
      </c>
      <c r="K2223">
        <v>329</v>
      </c>
      <c r="L2223" t="s">
        <v>48</v>
      </c>
      <c r="N2223" t="s">
        <v>65</v>
      </c>
      <c r="R2223" t="s">
        <v>60</v>
      </c>
      <c r="W2223">
        <v>0</v>
      </c>
      <c r="X2223">
        <v>0</v>
      </c>
      <c r="AE2223">
        <v>0</v>
      </c>
      <c r="AM2223" t="s">
        <v>52</v>
      </c>
      <c r="AN2223" t="s">
        <v>53</v>
      </c>
    </row>
    <row r="2224" spans="1:40">
      <c r="A2224" t="s">
        <v>2370</v>
      </c>
      <c r="B2224" t="s">
        <v>1806</v>
      </c>
      <c r="C2224" t="s">
        <v>7566</v>
      </c>
      <c r="D2224" t="s">
        <v>52</v>
      </c>
      <c r="E2224" t="s">
        <v>7567</v>
      </c>
      <c r="F2224" t="s">
        <v>45</v>
      </c>
      <c r="G2224" t="str">
        <f>HYPERLINK("https://twitter.com/1007418794581680128/status/1143044389494808581")</f>
        <v>https://twitter.com/1007418794581680128/status/1143044389494808581</v>
      </c>
      <c r="H2224" t="s">
        <v>46</v>
      </c>
      <c r="I2224" t="s">
        <v>7568</v>
      </c>
      <c r="J2224" t="str">
        <f>HYPERLINK("http://twitter.com/lemondetoxic")</f>
        <v>http://twitter.com/lemondetoxic</v>
      </c>
      <c r="K2224">
        <v>445</v>
      </c>
      <c r="L2224" t="s">
        <v>58</v>
      </c>
      <c r="N2224" t="s">
        <v>65</v>
      </c>
      <c r="R2224" t="s">
        <v>60</v>
      </c>
      <c r="S2224" t="s">
        <v>915</v>
      </c>
      <c r="T2224" t="s">
        <v>7569</v>
      </c>
      <c r="U2224" t="s">
        <v>7569</v>
      </c>
      <c r="W2224">
        <v>0</v>
      </c>
      <c r="X2224">
        <v>0</v>
      </c>
      <c r="AE2224">
        <v>0</v>
      </c>
      <c r="AF2224">
        <v>0</v>
      </c>
      <c r="AM2224" t="s">
        <v>52</v>
      </c>
      <c r="AN2224" t="s">
        <v>53</v>
      </c>
    </row>
    <row r="2225" spans="1:40">
      <c r="A2225" t="s">
        <v>2370</v>
      </c>
      <c r="B2225" t="s">
        <v>1806</v>
      </c>
      <c r="C2225" t="s">
        <v>6353</v>
      </c>
      <c r="D2225" t="s">
        <v>7570</v>
      </c>
      <c r="E2225" t="s">
        <v>7571</v>
      </c>
      <c r="F2225" t="s">
        <v>45</v>
      </c>
      <c r="G2225" t="str">
        <f>HYPERLINK("https://apkhook.com/pizza-hut-taco-pizza.html")</f>
        <v>https://apkhook.com/pizza-hut-taco-pizza.html</v>
      </c>
      <c r="H2225" t="s">
        <v>46</v>
      </c>
      <c r="N2225" t="s">
        <v>1633</v>
      </c>
      <c r="R2225" t="s">
        <v>50</v>
      </c>
      <c r="S2225" t="s">
        <v>51</v>
      </c>
      <c r="AM2225" t="s">
        <v>52</v>
      </c>
      <c r="AN2225" t="s">
        <v>53</v>
      </c>
    </row>
    <row r="2226" spans="1:40">
      <c r="A2226" t="s">
        <v>2370</v>
      </c>
      <c r="B2226" t="s">
        <v>1806</v>
      </c>
      <c r="C2226" t="s">
        <v>7549</v>
      </c>
      <c r="D2226" t="s">
        <v>7572</v>
      </c>
      <c r="E2226" t="s">
        <v>7573</v>
      </c>
      <c r="F2226" t="s">
        <v>45</v>
      </c>
      <c r="G2226" t="str">
        <f>HYPERLINK("https://apkhook.com/ramen-flavored-oreos.html")</f>
        <v>https://apkhook.com/ramen-flavored-oreos.html</v>
      </c>
      <c r="H2226" t="s">
        <v>46</v>
      </c>
      <c r="N2226" t="s">
        <v>1633</v>
      </c>
      <c r="R2226" t="s">
        <v>50</v>
      </c>
      <c r="S2226" t="s">
        <v>51</v>
      </c>
      <c r="AM2226" t="s">
        <v>52</v>
      </c>
      <c r="AN2226" t="s">
        <v>53</v>
      </c>
    </row>
    <row r="2227" spans="1:40">
      <c r="A2227" t="s">
        <v>2370</v>
      </c>
      <c r="B2227" t="s">
        <v>1806</v>
      </c>
      <c r="C2227" t="s">
        <v>7549</v>
      </c>
      <c r="D2227" t="s">
        <v>7574</v>
      </c>
      <c r="E2227" t="s">
        <v>7575</v>
      </c>
      <c r="F2227" t="s">
        <v>45</v>
      </c>
      <c r="G2227" t="str">
        <f>HYPERLINK("https://apkhook.com/goat-screaming.html")</f>
        <v>https://apkhook.com/goat-screaming.html</v>
      </c>
      <c r="H2227" t="s">
        <v>46</v>
      </c>
      <c r="N2227" t="s">
        <v>1633</v>
      </c>
      <c r="R2227" t="s">
        <v>50</v>
      </c>
      <c r="S2227" t="s">
        <v>51</v>
      </c>
      <c r="AM2227" t="s">
        <v>52</v>
      </c>
      <c r="AN2227" t="s">
        <v>53</v>
      </c>
    </row>
    <row r="2228" spans="1:40">
      <c r="A2228" t="s">
        <v>2370</v>
      </c>
      <c r="B2228" t="s">
        <v>1816</v>
      </c>
      <c r="C2228" t="s">
        <v>7576</v>
      </c>
      <c r="D2228" t="s">
        <v>52</v>
      </c>
      <c r="E2228" t="s">
        <v>7577</v>
      </c>
      <c r="F2228" t="s">
        <v>45</v>
      </c>
      <c r="G2228" t="str">
        <f>HYPERLINK("https://www.instagram.com/p/BzFR8BZB-wc")</f>
        <v>https://www.instagram.com/p/BzFR8BZB-wc</v>
      </c>
      <c r="H2228" t="s">
        <v>46</v>
      </c>
      <c r="I2228" t="s">
        <v>7578</v>
      </c>
      <c r="J2228" t="str">
        <f>HYPERLINK("http://instagram.com/niya_p0sted.that")</f>
        <v>http://instagram.com/niya_p0sted.that</v>
      </c>
      <c r="K2228">
        <v>138</v>
      </c>
      <c r="N2228" t="s">
        <v>59</v>
      </c>
      <c r="O2228" t="s">
        <v>7578</v>
      </c>
      <c r="P2228" t="str">
        <f>HYPERLINK("http://instagram.com/niya_p0sted.that")</f>
        <v>http://instagram.com/niya_p0sted.that</v>
      </c>
      <c r="Q2228">
        <v>138</v>
      </c>
      <c r="R2228" t="s">
        <v>60</v>
      </c>
      <c r="W2228">
        <v>347</v>
      </c>
      <c r="X2228">
        <v>347</v>
      </c>
      <c r="AE2228">
        <v>5</v>
      </c>
      <c r="AI2228" t="s">
        <v>108</v>
      </c>
      <c r="AJ2228" t="s">
        <v>52</v>
      </c>
      <c r="AK2228" t="s">
        <v>52</v>
      </c>
      <c r="AL2228" t="str">
        <f>HYPERLINK("https://www.instagram.com/p/BzFR8BZB-wc/media/?size=l")</f>
        <v>https://www.instagram.com/p/BzFR8BZB-wc/media/?size=l</v>
      </c>
      <c r="AM2228" t="s">
        <v>52</v>
      </c>
      <c r="AN2228" t="s">
        <v>53</v>
      </c>
    </row>
    <row r="2229" spans="1:40">
      <c r="A2229" t="s">
        <v>2370</v>
      </c>
      <c r="B2229" t="s">
        <v>1824</v>
      </c>
      <c r="C2229" t="s">
        <v>7516</v>
      </c>
      <c r="D2229" t="s">
        <v>52</v>
      </c>
      <c r="E2229" t="s">
        <v>7579</v>
      </c>
      <c r="F2229" t="s">
        <v>45</v>
      </c>
      <c r="G2229" t="str">
        <f>HYPERLINK("https://www.instagram.com/p/BzFR1yYl6Ep")</f>
        <v>https://www.instagram.com/p/BzFR1yYl6Ep</v>
      </c>
      <c r="H2229" t="s">
        <v>46</v>
      </c>
      <c r="I2229" t="s">
        <v>7580</v>
      </c>
      <c r="J2229" t="str">
        <f>HYPERLINK("http://instagram.com/app1e_knocker")</f>
        <v>http://instagram.com/app1e_knocker</v>
      </c>
      <c r="K2229">
        <v>262</v>
      </c>
      <c r="N2229" t="s">
        <v>59</v>
      </c>
      <c r="O2229" t="s">
        <v>7580</v>
      </c>
      <c r="P2229" t="str">
        <f>HYPERLINK("http://instagram.com/app1e_knocker")</f>
        <v>http://instagram.com/app1e_knocker</v>
      </c>
      <c r="Q2229">
        <v>262</v>
      </c>
      <c r="R2229" t="s">
        <v>60</v>
      </c>
      <c r="W2229">
        <v>17</v>
      </c>
      <c r="X2229">
        <v>17</v>
      </c>
      <c r="AE2229">
        <v>4</v>
      </c>
      <c r="AI2229" t="s">
        <v>108</v>
      </c>
      <c r="AJ2229" t="s">
        <v>52</v>
      </c>
      <c r="AK2229" t="s">
        <v>52</v>
      </c>
      <c r="AL2229" t="str">
        <f>HYPERLINK("https://www.instagram.com/p/BzFR1yYl6Ep/media/?size=l")</f>
        <v>https://www.instagram.com/p/BzFR1yYl6Ep/media/?size=l</v>
      </c>
      <c r="AM2229" t="s">
        <v>52</v>
      </c>
      <c r="AN2229" t="s">
        <v>53</v>
      </c>
    </row>
    <row r="2230" spans="1:40">
      <c r="A2230" t="s">
        <v>2370</v>
      </c>
      <c r="B2230" t="s">
        <v>1824</v>
      </c>
      <c r="C2230" t="s">
        <v>7566</v>
      </c>
      <c r="D2230" t="s">
        <v>52</v>
      </c>
      <c r="E2230" t="s">
        <v>6428</v>
      </c>
      <c r="F2230" t="s">
        <v>131</v>
      </c>
      <c r="G2230" t="str">
        <f>HYPERLINK("https://twitter.com/3415230028/status/1143043403351044096")</f>
        <v>https://twitter.com/3415230028/status/1143043403351044096</v>
      </c>
      <c r="H2230" t="s">
        <v>46</v>
      </c>
      <c r="I2230" t="s">
        <v>7581</v>
      </c>
      <c r="J2230" t="str">
        <f>HYPERLINK("http://twitter.com/Cawfeel")</f>
        <v>http://twitter.com/Cawfeel</v>
      </c>
      <c r="K2230">
        <v>1822</v>
      </c>
      <c r="N2230" t="s">
        <v>65</v>
      </c>
      <c r="R2230" t="s">
        <v>60</v>
      </c>
      <c r="S2230" t="s">
        <v>7582</v>
      </c>
      <c r="T2230" t="s">
        <v>7583</v>
      </c>
      <c r="U2230" t="s">
        <v>7584</v>
      </c>
      <c r="W2230">
        <v>0</v>
      </c>
      <c r="X2230">
        <v>0</v>
      </c>
      <c r="AE2230">
        <v>0</v>
      </c>
      <c r="AM2230" t="s">
        <v>52</v>
      </c>
      <c r="AN2230" t="s">
        <v>53</v>
      </c>
    </row>
    <row r="2231" spans="1:40">
      <c r="A2231" t="s">
        <v>2370</v>
      </c>
      <c r="B2231" t="s">
        <v>1824</v>
      </c>
      <c r="C2231" t="s">
        <v>7585</v>
      </c>
      <c r="D2231" t="s">
        <v>52</v>
      </c>
      <c r="E2231" t="s">
        <v>7586</v>
      </c>
      <c r="F2231" t="s">
        <v>45</v>
      </c>
      <c r="G2231" t="str">
        <f>HYPERLINK("https://twitter.com/4660448425/status/1143043395524288512")</f>
        <v>https://twitter.com/4660448425/status/1143043395524288512</v>
      </c>
      <c r="H2231" t="s">
        <v>46</v>
      </c>
      <c r="I2231" t="s">
        <v>7587</v>
      </c>
      <c r="J2231" t="str">
        <f>HYPERLINK("http://twitter.com/aayyeejessica")</f>
        <v>http://twitter.com/aayyeejessica</v>
      </c>
      <c r="K2231">
        <v>222</v>
      </c>
      <c r="N2231" t="s">
        <v>65</v>
      </c>
      <c r="R2231" t="s">
        <v>60</v>
      </c>
      <c r="W2231">
        <v>2</v>
      </c>
      <c r="X2231">
        <v>2</v>
      </c>
      <c r="AE2231">
        <v>1</v>
      </c>
      <c r="AF2231">
        <v>0</v>
      </c>
      <c r="AM2231" t="s">
        <v>52</v>
      </c>
      <c r="AN2231" t="s">
        <v>53</v>
      </c>
    </row>
    <row r="2232" spans="1:40">
      <c r="A2232" t="s">
        <v>2370</v>
      </c>
      <c r="B2232" t="s">
        <v>1824</v>
      </c>
      <c r="C2232" t="s">
        <v>7585</v>
      </c>
      <c r="D2232" t="s">
        <v>52</v>
      </c>
      <c r="E2232" t="s">
        <v>7588</v>
      </c>
      <c r="F2232" t="s">
        <v>95</v>
      </c>
      <c r="G2232" t="str">
        <f>HYPERLINK("https://twitter.com/612941710/status/1143043372267057154")</f>
        <v>https://twitter.com/612941710/status/1143043372267057154</v>
      </c>
      <c r="H2232" t="s">
        <v>46</v>
      </c>
      <c r="I2232" t="s">
        <v>7589</v>
      </c>
      <c r="J2232" t="str">
        <f>HYPERLINK("http://twitter.com/marie_gabbi")</f>
        <v>http://twitter.com/marie_gabbi</v>
      </c>
      <c r="K2232">
        <v>195</v>
      </c>
      <c r="L2232" t="s">
        <v>58</v>
      </c>
      <c r="N2232" t="s">
        <v>65</v>
      </c>
      <c r="R2232" t="s">
        <v>60</v>
      </c>
      <c r="S2232" t="s">
        <v>7590</v>
      </c>
      <c r="T2232" t="s">
        <v>7591</v>
      </c>
      <c r="U2232" t="s">
        <v>7592</v>
      </c>
      <c r="W2232">
        <v>2</v>
      </c>
      <c r="X2232">
        <v>2</v>
      </c>
      <c r="AE2232">
        <v>0</v>
      </c>
      <c r="AF2232">
        <v>0</v>
      </c>
      <c r="AM2232" t="s">
        <v>52</v>
      </c>
      <c r="AN2232" t="s">
        <v>53</v>
      </c>
    </row>
    <row r="2233" spans="1:40">
      <c r="A2233" t="s">
        <v>2370</v>
      </c>
      <c r="B2233" t="s">
        <v>1824</v>
      </c>
      <c r="C2233" t="s">
        <v>3223</v>
      </c>
      <c r="D2233" t="s">
        <v>7593</v>
      </c>
      <c r="E2233" t="s">
        <v>7594</v>
      </c>
      <c r="F2233" t="s">
        <v>45</v>
      </c>
      <c r="G2233" t="str">
        <f>HYPERLINK("http://boards.4chan.org/s4s/thread/7945823#p7945873")</f>
        <v>http://boards.4chan.org/s4s/thread/7945823#p7945873</v>
      </c>
      <c r="H2233" t="s">
        <v>46</v>
      </c>
      <c r="N2233" t="s">
        <v>6845</v>
      </c>
      <c r="O2233" t="s">
        <v>7595</v>
      </c>
      <c r="P2233" t="str">
        <f>HYPERLINK("http://boards.4chan.org/s4s/")</f>
        <v>http://boards.4chan.org/s4s/</v>
      </c>
      <c r="R2233" t="s">
        <v>516</v>
      </c>
      <c r="S2233" t="s">
        <v>51</v>
      </c>
      <c r="AM2233" t="s">
        <v>52</v>
      </c>
      <c r="AN2233" t="s">
        <v>53</v>
      </c>
    </row>
    <row r="2234" spans="1:40">
      <c r="A2234" t="s">
        <v>2370</v>
      </c>
      <c r="B2234" t="s">
        <v>1824</v>
      </c>
      <c r="C2234" t="s">
        <v>7596</v>
      </c>
      <c r="D2234" t="s">
        <v>52</v>
      </c>
      <c r="E2234" t="s">
        <v>3749</v>
      </c>
      <c r="F2234" t="s">
        <v>71</v>
      </c>
      <c r="G2234" t="str">
        <f>HYPERLINK("https://twitter.com/235278752/status/1143043327069237248")</f>
        <v>https://twitter.com/235278752/status/1143043327069237248</v>
      </c>
      <c r="H2234" t="s">
        <v>46</v>
      </c>
      <c r="I2234" t="s">
        <v>7597</v>
      </c>
      <c r="J2234" t="str">
        <f>HYPERLINK("http://twitter.com/SlimSnelling")</f>
        <v>http://twitter.com/SlimSnelling</v>
      </c>
      <c r="K2234">
        <v>311</v>
      </c>
      <c r="N2234" t="s">
        <v>65</v>
      </c>
      <c r="R2234" t="s">
        <v>60</v>
      </c>
      <c r="S2234" t="s">
        <v>1071</v>
      </c>
      <c r="T2234" t="s">
        <v>3751</v>
      </c>
      <c r="U2234" t="s">
        <v>3752</v>
      </c>
      <c r="W2234">
        <v>0</v>
      </c>
      <c r="X2234">
        <v>0</v>
      </c>
      <c r="AE2234">
        <v>0</v>
      </c>
      <c r="AF2234">
        <v>0</v>
      </c>
      <c r="AI2234" t="s">
        <v>108</v>
      </c>
      <c r="AJ2234" t="s">
        <v>52</v>
      </c>
      <c r="AK2234" t="s">
        <v>52</v>
      </c>
      <c r="AL2234" t="str">
        <f>HYPERLINK("https://pbs.twimg.com/media/D9sAXHUX4AA6vJs.jpg")</f>
        <v>https://pbs.twimg.com/media/D9sAXHUX4AA6vJs.jpg</v>
      </c>
      <c r="AM2234" t="s">
        <v>52</v>
      </c>
      <c r="AN2234" t="s">
        <v>53</v>
      </c>
    </row>
    <row r="2235" spans="1:40">
      <c r="A2235" t="s">
        <v>2370</v>
      </c>
      <c r="B2235" t="s">
        <v>1837</v>
      </c>
      <c r="C2235" t="s">
        <v>7598</v>
      </c>
      <c r="D2235" t="s">
        <v>52</v>
      </c>
      <c r="E2235" t="s">
        <v>3749</v>
      </c>
      <c r="F2235" t="s">
        <v>71</v>
      </c>
      <c r="G2235" t="str">
        <f>HYPERLINK("https://twitter.com/924983782330875904/status/1143043239169200129")</f>
        <v>https://twitter.com/924983782330875904/status/1143043239169200129</v>
      </c>
      <c r="H2235" t="s">
        <v>46</v>
      </c>
      <c r="I2235" t="s">
        <v>7599</v>
      </c>
      <c r="J2235" t="str">
        <f>HYPERLINK("http://twitter.com/martin_jnr2")</f>
        <v>http://twitter.com/martin_jnr2</v>
      </c>
      <c r="K2235">
        <v>291</v>
      </c>
      <c r="N2235" t="s">
        <v>65</v>
      </c>
      <c r="R2235" t="s">
        <v>60</v>
      </c>
      <c r="S2235" t="s">
        <v>1350</v>
      </c>
      <c r="W2235">
        <v>0</v>
      </c>
      <c r="X2235">
        <v>0</v>
      </c>
      <c r="AE2235">
        <v>0</v>
      </c>
      <c r="AF2235">
        <v>0</v>
      </c>
      <c r="AI2235" t="s">
        <v>108</v>
      </c>
      <c r="AJ2235" t="s">
        <v>52</v>
      </c>
      <c r="AK2235" t="s">
        <v>52</v>
      </c>
      <c r="AL2235" t="str">
        <f>HYPERLINK("https://pbs.twimg.com/media/D9sAXHUX4AA6vJs.jpg")</f>
        <v>https://pbs.twimg.com/media/D9sAXHUX4AA6vJs.jpg</v>
      </c>
      <c r="AM2235" t="s">
        <v>52</v>
      </c>
      <c r="AN2235" t="s">
        <v>53</v>
      </c>
    </row>
    <row r="2236" spans="1:40">
      <c r="A2236" t="s">
        <v>2370</v>
      </c>
      <c r="B2236" t="s">
        <v>1837</v>
      </c>
      <c r="C2236" t="s">
        <v>7600</v>
      </c>
      <c r="D2236" t="s">
        <v>52</v>
      </c>
      <c r="E2236" t="s">
        <v>7601</v>
      </c>
      <c r="F2236" t="s">
        <v>45</v>
      </c>
      <c r="G2236" t="str">
        <f>HYPERLINK("https://www.instagram.com/p/BzFRdTsj6Lf")</f>
        <v>https://www.instagram.com/p/BzFRdTsj6Lf</v>
      </c>
      <c r="H2236" t="s">
        <v>215</v>
      </c>
      <c r="I2236" t="s">
        <v>7602</v>
      </c>
      <c r="J2236" t="str">
        <f>HYPERLINK("http://instagram.com/mayh.see")</f>
        <v>http://instagram.com/mayh.see</v>
      </c>
      <c r="K2236">
        <v>966</v>
      </c>
      <c r="N2236" t="s">
        <v>59</v>
      </c>
      <c r="O2236" t="s">
        <v>7602</v>
      </c>
      <c r="P2236" t="str">
        <f>HYPERLINK("http://instagram.com/mayh.see")</f>
        <v>http://instagram.com/mayh.see</v>
      </c>
      <c r="Q2236">
        <v>966</v>
      </c>
      <c r="R2236" t="s">
        <v>60</v>
      </c>
      <c r="S2236" t="s">
        <v>51</v>
      </c>
      <c r="T2236" t="s">
        <v>79</v>
      </c>
      <c r="U2236" t="s">
        <v>5718</v>
      </c>
      <c r="W2236">
        <v>50</v>
      </c>
      <c r="X2236">
        <v>50</v>
      </c>
      <c r="AE2236">
        <v>7</v>
      </c>
      <c r="AG2236">
        <v>263</v>
      </c>
      <c r="AI2236" t="s">
        <v>108</v>
      </c>
      <c r="AJ2236" t="s">
        <v>7603</v>
      </c>
      <c r="AK2236" t="s">
        <v>7604</v>
      </c>
      <c r="AL2236" t="str">
        <f>HYPERLINK("https://www.instagram.com/p/BzFRdTsj6Lf/media/?size=l")</f>
        <v>https://www.instagram.com/p/BzFRdTsj6Lf/media/?size=l</v>
      </c>
      <c r="AM2236" t="s">
        <v>52</v>
      </c>
      <c r="AN2236" t="s">
        <v>53</v>
      </c>
    </row>
    <row r="2237" spans="1:40">
      <c r="A2237" t="s">
        <v>2370</v>
      </c>
      <c r="B2237" t="s">
        <v>1844</v>
      </c>
      <c r="C2237" t="s">
        <v>7605</v>
      </c>
      <c r="D2237" t="s">
        <v>52</v>
      </c>
      <c r="E2237" t="s">
        <v>7606</v>
      </c>
      <c r="F2237" t="s">
        <v>131</v>
      </c>
      <c r="G2237" t="str">
        <f>HYPERLINK("https://twitter.com/2203913900/status/1143042855881101312")</f>
        <v>https://twitter.com/2203913900/status/1143042855881101312</v>
      </c>
      <c r="H2237" t="s">
        <v>46</v>
      </c>
      <c r="I2237" t="s">
        <v>7607</v>
      </c>
      <c r="J2237" t="str">
        <f>HYPERLINK("http://twitter.com/valentinaat15")</f>
        <v>http://twitter.com/valentinaat15</v>
      </c>
      <c r="K2237">
        <v>432</v>
      </c>
      <c r="L2237" t="s">
        <v>58</v>
      </c>
      <c r="N2237" t="s">
        <v>65</v>
      </c>
      <c r="R2237" t="s">
        <v>60</v>
      </c>
      <c r="W2237">
        <v>0</v>
      </c>
      <c r="X2237">
        <v>0</v>
      </c>
      <c r="AE2237">
        <v>0</v>
      </c>
      <c r="AM2237" t="s">
        <v>52</v>
      </c>
      <c r="AN2237" t="s">
        <v>53</v>
      </c>
    </row>
    <row r="2238" spans="1:40">
      <c r="A2238" t="s">
        <v>2370</v>
      </c>
      <c r="B2238" t="s">
        <v>7608</v>
      </c>
      <c r="C2238" t="s">
        <v>7609</v>
      </c>
      <c r="D2238" t="s">
        <v>52</v>
      </c>
      <c r="E2238" t="s">
        <v>7610</v>
      </c>
      <c r="F2238" t="s">
        <v>71</v>
      </c>
      <c r="G2238" t="str">
        <f>HYPERLINK("https://twitter.com/3226847155/status/1143042227335127041")</f>
        <v>https://twitter.com/3226847155/status/1143042227335127041</v>
      </c>
      <c r="H2238" t="s">
        <v>46</v>
      </c>
      <c r="I2238" t="s">
        <v>7611</v>
      </c>
      <c r="J2238" t="str">
        <f>HYPERLINK("http://twitter.com/LoreleiJurenka")</f>
        <v>http://twitter.com/LoreleiJurenka</v>
      </c>
      <c r="K2238">
        <v>226</v>
      </c>
      <c r="N2238" t="s">
        <v>65</v>
      </c>
      <c r="R2238" t="s">
        <v>60</v>
      </c>
      <c r="W2238">
        <v>0</v>
      </c>
      <c r="X2238">
        <v>0</v>
      </c>
      <c r="AE2238">
        <v>0</v>
      </c>
      <c r="AF2238">
        <v>0</v>
      </c>
      <c r="AI2238" t="s">
        <v>52</v>
      </c>
      <c r="AJ2238" t="s">
        <v>52</v>
      </c>
      <c r="AK2238" t="s">
        <v>52</v>
      </c>
      <c r="AL2238" t="str">
        <f>HYPERLINK("https://pbs.twimg.com/ext_tw_video_thumb/1142762406462009344/pu/img/4GMow9jkJ71oxxyM.jpg")</f>
        <v>https://pbs.twimg.com/ext_tw_video_thumb/1142762406462009344/pu/img/4GMow9jkJ71oxxyM.jpg</v>
      </c>
      <c r="AM2238" t="s">
        <v>52</v>
      </c>
      <c r="AN2238" t="s">
        <v>53</v>
      </c>
    </row>
    <row r="2239" spans="1:40">
      <c r="A2239" t="s">
        <v>2370</v>
      </c>
      <c r="B2239" t="s">
        <v>7608</v>
      </c>
      <c r="C2239" t="s">
        <v>7612</v>
      </c>
      <c r="D2239" t="s">
        <v>52</v>
      </c>
      <c r="E2239" t="s">
        <v>1194</v>
      </c>
      <c r="F2239" t="s">
        <v>131</v>
      </c>
      <c r="G2239" t="str">
        <f>HYPERLINK("https://twitter.com/2299874103/status/1143042159362347014")</f>
        <v>https://twitter.com/2299874103/status/1143042159362347014</v>
      </c>
      <c r="H2239" t="s">
        <v>46</v>
      </c>
      <c r="I2239" t="s">
        <v>7613</v>
      </c>
      <c r="J2239" t="str">
        <f>HYPERLINK("http://twitter.com/powerpatate")</f>
        <v>http://twitter.com/powerpatate</v>
      </c>
      <c r="K2239">
        <v>109</v>
      </c>
      <c r="N2239" t="s">
        <v>65</v>
      </c>
      <c r="R2239" t="s">
        <v>60</v>
      </c>
      <c r="W2239">
        <v>0</v>
      </c>
      <c r="X2239">
        <v>0</v>
      </c>
      <c r="AE2239">
        <v>0</v>
      </c>
      <c r="AI2239" t="s">
        <v>52</v>
      </c>
      <c r="AJ2239" t="s">
        <v>1196</v>
      </c>
      <c r="AK2239" t="s">
        <v>52</v>
      </c>
      <c r="AL2239" t="str">
        <f>HYPERLINK("https://pbs.twimg.com/media/D9xgk2YXkAAd2ql.jpg")</f>
        <v>https://pbs.twimg.com/media/D9xgk2YXkAAd2ql.jpg</v>
      </c>
      <c r="AM2239" t="s">
        <v>52</v>
      </c>
      <c r="AN2239" t="s">
        <v>53</v>
      </c>
    </row>
    <row r="2240" spans="1:40">
      <c r="A2240" t="s">
        <v>2370</v>
      </c>
      <c r="B2240" t="s">
        <v>7608</v>
      </c>
      <c r="C2240" t="s">
        <v>7614</v>
      </c>
      <c r="D2240" t="s">
        <v>52</v>
      </c>
      <c r="E2240" t="s">
        <v>7615</v>
      </c>
      <c r="F2240" t="s">
        <v>71</v>
      </c>
      <c r="G2240" t="str">
        <f>HYPERLINK("https://twitter.com/62198870/status/1143042070933721088")</f>
        <v>https://twitter.com/62198870/status/1143042070933721088</v>
      </c>
      <c r="H2240" t="s">
        <v>46</v>
      </c>
      <c r="I2240" t="s">
        <v>52</v>
      </c>
      <c r="J2240" t="str">
        <f>HYPERLINK("http://twitter.com/ItsJesseJames")</f>
        <v>http://twitter.com/ItsJesseJames</v>
      </c>
      <c r="K2240">
        <v>654</v>
      </c>
      <c r="N2240" t="s">
        <v>65</v>
      </c>
      <c r="R2240" t="s">
        <v>60</v>
      </c>
      <c r="S2240" t="s">
        <v>4575</v>
      </c>
      <c r="T2240" t="s">
        <v>7616</v>
      </c>
      <c r="U2240" t="s">
        <v>7617</v>
      </c>
      <c r="W2240">
        <v>0</v>
      </c>
      <c r="X2240">
        <v>0</v>
      </c>
      <c r="AE2240">
        <v>0</v>
      </c>
      <c r="AF2240">
        <v>0</v>
      </c>
      <c r="AI2240" t="s">
        <v>108</v>
      </c>
      <c r="AJ2240" t="s">
        <v>52</v>
      </c>
      <c r="AK2240" t="s">
        <v>52</v>
      </c>
      <c r="AL2240" t="str">
        <f>HYPERLINK("https://pbs.twimg.com/media/D9sAXHUX4AA6vJs.jpg")</f>
        <v>https://pbs.twimg.com/media/D9sAXHUX4AA6vJs.jpg</v>
      </c>
      <c r="AM2240" t="s">
        <v>52</v>
      </c>
      <c r="AN2240" t="s">
        <v>53</v>
      </c>
    </row>
    <row r="2241" spans="1:40">
      <c r="A2241" t="s">
        <v>2370</v>
      </c>
      <c r="B2241" t="s">
        <v>1868</v>
      </c>
      <c r="C2241" t="s">
        <v>7618</v>
      </c>
      <c r="D2241" t="s">
        <v>52</v>
      </c>
      <c r="E2241" t="s">
        <v>130</v>
      </c>
      <c r="F2241" t="s">
        <v>131</v>
      </c>
      <c r="G2241" t="str">
        <f>HYPERLINK("https://twitter.com/1456710380/status/1143041442639699968")</f>
        <v>https://twitter.com/1456710380/status/1143041442639699968</v>
      </c>
      <c r="H2241" t="s">
        <v>46</v>
      </c>
      <c r="I2241" t="s">
        <v>7619</v>
      </c>
      <c r="J2241" t="str">
        <f>HYPERLINK("http://twitter.com/JustineAgnew")</f>
        <v>http://twitter.com/JustineAgnew</v>
      </c>
      <c r="K2241">
        <v>1537</v>
      </c>
      <c r="N2241" t="s">
        <v>65</v>
      </c>
      <c r="R2241" t="s">
        <v>60</v>
      </c>
      <c r="S2241" t="s">
        <v>97</v>
      </c>
      <c r="T2241" t="s">
        <v>177</v>
      </c>
      <c r="U2241" t="s">
        <v>195</v>
      </c>
      <c r="W2241">
        <v>0</v>
      </c>
      <c r="X2241">
        <v>0</v>
      </c>
      <c r="AE2241">
        <v>0</v>
      </c>
      <c r="AI2241" t="s">
        <v>108</v>
      </c>
      <c r="AJ2241" t="s">
        <v>52</v>
      </c>
      <c r="AK2241" t="s">
        <v>52</v>
      </c>
      <c r="AL2241" t="str">
        <f>HYPERLINK("https://pbs.twimg.com/media/D9XTkLWW4AAOYnJ.jpg")</f>
        <v>https://pbs.twimg.com/media/D9XTkLWW4AAOYnJ.jpg</v>
      </c>
      <c r="AM2241" t="s">
        <v>52</v>
      </c>
      <c r="AN2241" t="s">
        <v>53</v>
      </c>
    </row>
    <row r="2242" spans="1:40">
      <c r="A2242" t="s">
        <v>2370</v>
      </c>
      <c r="B2242" t="s">
        <v>1868</v>
      </c>
      <c r="C2242" t="s">
        <v>6865</v>
      </c>
      <c r="D2242" t="s">
        <v>7620</v>
      </c>
      <c r="E2242" t="s">
        <v>7621</v>
      </c>
      <c r="F2242" t="s">
        <v>45</v>
      </c>
      <c r="G2242" t="str">
        <f>HYPERLINK("http://www.forocoches.com/foro/showthread.php?t=7264297#post337373189")</f>
        <v>http://www.forocoches.com/foro/showthread.php?t=7264297#post337373189</v>
      </c>
      <c r="H2242" t="s">
        <v>46</v>
      </c>
      <c r="I2242" t="s">
        <v>7622</v>
      </c>
      <c r="J2242" t="str">
        <f>HYPERLINK("http://www.forocoches.com/foro/showthread.php?t=7264297#post337373189")</f>
        <v>http://www.forocoches.com/foro/showthread.php?t=7264297#post337373189</v>
      </c>
      <c r="N2242" t="s">
        <v>7623</v>
      </c>
      <c r="O2242" t="s">
        <v>7624</v>
      </c>
      <c r="P2242" t="str">
        <f>HYPERLINK("https://www.forocoches.com/foro/forumdisplay.php?f=2")</f>
        <v>https://www.forocoches.com/foro/forumdisplay.php?f=2</v>
      </c>
      <c r="R2242" t="s">
        <v>516</v>
      </c>
      <c r="S2242" t="s">
        <v>142</v>
      </c>
      <c r="AM2242" t="s">
        <v>52</v>
      </c>
      <c r="AN2242" t="s">
        <v>53</v>
      </c>
    </row>
    <row r="2243" spans="1:40">
      <c r="A2243" t="s">
        <v>2370</v>
      </c>
      <c r="B2243" t="s">
        <v>1873</v>
      </c>
      <c r="C2243" t="s">
        <v>7625</v>
      </c>
      <c r="D2243" t="s">
        <v>7626</v>
      </c>
      <c r="E2243" t="s">
        <v>7627</v>
      </c>
      <c r="F2243" t="s">
        <v>95</v>
      </c>
      <c r="G2243" t="str">
        <f>HYPERLINK("https://www.youtube.com/watch?v=yukfUXhIvDc&amp;lc=UgxiouiRQY6g9gjrXkJ4AaABAg")</f>
        <v>https://www.youtube.com/watch?v=yukfUXhIvDc&amp;lc=UgxiouiRQY6g9gjrXkJ4AaABAg</v>
      </c>
      <c r="H2243" t="s">
        <v>46</v>
      </c>
      <c r="I2243" t="s">
        <v>7628</v>
      </c>
      <c r="J2243" t="str">
        <f>HYPERLINK("https://www.youtube.com/channel/UCMy1I0U5rLFxUf2dmuf04uQ")</f>
        <v>https://www.youtube.com/channel/UCMy1I0U5rLFxUf2dmuf04uQ</v>
      </c>
      <c r="K2243">
        <v>1</v>
      </c>
      <c r="N2243" t="s">
        <v>116</v>
      </c>
      <c r="O2243" t="s">
        <v>7629</v>
      </c>
      <c r="P2243" t="str">
        <f>HYPERLINK("https://www.youtube.com/channel/UCSRDLQoviilwoLRYXC-GalA")</f>
        <v>https://www.youtube.com/channel/UCSRDLQoviilwoLRYXC-GalA</v>
      </c>
      <c r="Q2243">
        <v>12835</v>
      </c>
      <c r="R2243" t="s">
        <v>60</v>
      </c>
      <c r="S2243" t="s">
        <v>51</v>
      </c>
      <c r="W2243">
        <v>134</v>
      </c>
      <c r="X2243">
        <v>134</v>
      </c>
      <c r="AE2243">
        <v>6</v>
      </c>
      <c r="AM2243" t="s">
        <v>52</v>
      </c>
      <c r="AN2243" t="s">
        <v>53</v>
      </c>
    </row>
    <row r="2244" spans="1:40">
      <c r="A2244" t="s">
        <v>2370</v>
      </c>
      <c r="B2244" t="s">
        <v>7630</v>
      </c>
      <c r="C2244" t="s">
        <v>7631</v>
      </c>
      <c r="D2244" t="s">
        <v>52</v>
      </c>
      <c r="E2244" t="s">
        <v>1194</v>
      </c>
      <c r="F2244" t="s">
        <v>131</v>
      </c>
      <c r="G2244" t="str">
        <f>HYPERLINK("https://twitter.com/718028756/status/1143040379500892160")</f>
        <v>https://twitter.com/718028756/status/1143040379500892160</v>
      </c>
      <c r="H2244" t="s">
        <v>46</v>
      </c>
      <c r="I2244" t="s">
        <v>7632</v>
      </c>
      <c r="J2244" t="str">
        <f>HYPERLINK("http://twitter.com/_irfazhtiraz")</f>
        <v>http://twitter.com/_irfazhtiraz</v>
      </c>
      <c r="K2244">
        <v>175</v>
      </c>
      <c r="N2244" t="s">
        <v>65</v>
      </c>
      <c r="R2244" t="s">
        <v>60</v>
      </c>
      <c r="S2244" t="s">
        <v>4594</v>
      </c>
      <c r="T2244" t="s">
        <v>7633</v>
      </c>
      <c r="U2244" t="s">
        <v>7634</v>
      </c>
      <c r="W2244">
        <v>0</v>
      </c>
      <c r="X2244">
        <v>0</v>
      </c>
      <c r="AE2244">
        <v>0</v>
      </c>
      <c r="AI2244" t="s">
        <v>52</v>
      </c>
      <c r="AJ2244" t="s">
        <v>1196</v>
      </c>
      <c r="AK2244" t="s">
        <v>52</v>
      </c>
      <c r="AL2244" t="str">
        <f>HYPERLINK("https://pbs.twimg.com/media/D9xgk2YXkAAd2ql.jpg")</f>
        <v>https://pbs.twimg.com/media/D9xgk2YXkAAd2ql.jpg</v>
      </c>
      <c r="AM2244" t="s">
        <v>52</v>
      </c>
      <c r="AN2244" t="s">
        <v>53</v>
      </c>
    </row>
    <row r="2245" spans="1:40">
      <c r="A2245" t="s">
        <v>2370</v>
      </c>
      <c r="B2245" t="s">
        <v>7635</v>
      </c>
      <c r="C2245" t="s">
        <v>4961</v>
      </c>
      <c r="D2245" t="s">
        <v>7636</v>
      </c>
      <c r="E2245" t="s">
        <v>7637</v>
      </c>
      <c r="F2245" t="s">
        <v>45</v>
      </c>
      <c r="G2245" t="str">
        <f>HYPERLINK("https://www.youtube.com/watch?v=v3L4KEgBqPo")</f>
        <v>https://www.youtube.com/watch?v=v3L4KEgBqPo</v>
      </c>
      <c r="H2245" t="s">
        <v>46</v>
      </c>
      <c r="I2245" t="s">
        <v>7638</v>
      </c>
      <c r="J2245" t="str">
        <f>HYPERLINK("https://www.youtube.com/channel/UC8oefKtRyCBv5WdhCvw3k9w")</f>
        <v>https://www.youtube.com/channel/UC8oefKtRyCBv5WdhCvw3k9w</v>
      </c>
      <c r="K2245">
        <v>113</v>
      </c>
      <c r="N2245" t="s">
        <v>116</v>
      </c>
      <c r="O2245" t="s">
        <v>7638</v>
      </c>
      <c r="P2245" t="str">
        <f>HYPERLINK("https://www.youtube.com/channel/UC8oefKtRyCBv5WdhCvw3k9w")</f>
        <v>https://www.youtube.com/channel/UC8oefKtRyCBv5WdhCvw3k9w</v>
      </c>
      <c r="Q2245">
        <v>113</v>
      </c>
      <c r="R2245" t="s">
        <v>60</v>
      </c>
      <c r="S2245" t="s">
        <v>1071</v>
      </c>
      <c r="W2245">
        <v>12</v>
      </c>
      <c r="X2245">
        <v>12</v>
      </c>
      <c r="AD2245">
        <v>1</v>
      </c>
      <c r="AE2245">
        <v>6</v>
      </c>
      <c r="AG2245">
        <v>67</v>
      </c>
      <c r="AI2245" t="s">
        <v>108</v>
      </c>
      <c r="AJ2245" t="s">
        <v>52</v>
      </c>
      <c r="AK2245" t="s">
        <v>52</v>
      </c>
      <c r="AL2245" t="str">
        <f>HYPERLINK("https://i.ytimg.com/vi/v3L4KEgBqPo/sddefault.jpg")</f>
        <v>https://i.ytimg.com/vi/v3L4KEgBqPo/sddefault.jpg</v>
      </c>
      <c r="AM2245" t="s">
        <v>52</v>
      </c>
      <c r="AN2245" t="s">
        <v>53</v>
      </c>
    </row>
    <row r="2246" spans="1:40">
      <c r="A2246" t="s">
        <v>2370</v>
      </c>
      <c r="B2246" t="s">
        <v>1878</v>
      </c>
      <c r="C2246" t="s">
        <v>7365</v>
      </c>
      <c r="D2246" t="s">
        <v>52</v>
      </c>
      <c r="E2246" t="s">
        <v>7639</v>
      </c>
      <c r="F2246" t="s">
        <v>45</v>
      </c>
      <c r="G2246" t="str">
        <f>HYPERLINK("https://www.instagram.com/p/BzFQMq6hden")</f>
        <v>https://www.instagram.com/p/BzFQMq6hden</v>
      </c>
      <c r="H2246" t="s">
        <v>46</v>
      </c>
      <c r="I2246" t="s">
        <v>7640</v>
      </c>
      <c r="J2246" t="str">
        <f>HYPERLINK("http://instagram.com/doritozb")</f>
        <v>http://instagram.com/doritozb</v>
      </c>
      <c r="K2246">
        <v>115</v>
      </c>
      <c r="N2246" t="s">
        <v>59</v>
      </c>
      <c r="O2246" t="s">
        <v>7640</v>
      </c>
      <c r="P2246" t="str">
        <f>HYPERLINK("http://instagram.com/doritozb")</f>
        <v>http://instagram.com/doritozb</v>
      </c>
      <c r="Q2246">
        <v>115</v>
      </c>
      <c r="R2246" t="s">
        <v>60</v>
      </c>
      <c r="S2246" t="s">
        <v>7641</v>
      </c>
      <c r="T2246" t="s">
        <v>7642</v>
      </c>
      <c r="U2246" t="s">
        <v>7643</v>
      </c>
      <c r="W2246">
        <v>25</v>
      </c>
      <c r="X2246">
        <v>25</v>
      </c>
      <c r="AE2246">
        <v>2</v>
      </c>
      <c r="AI2246" t="s">
        <v>52</v>
      </c>
      <c r="AJ2246" t="s">
        <v>7644</v>
      </c>
      <c r="AK2246" t="s">
        <v>2565</v>
      </c>
      <c r="AL2246" t="str">
        <f>HYPERLINK("https://www.instagram.com/p/BzFQMq6hden/media/?size=l")</f>
        <v>https://www.instagram.com/p/BzFQMq6hden/media/?size=l</v>
      </c>
      <c r="AM2246" t="s">
        <v>52</v>
      </c>
      <c r="AN2246" t="s">
        <v>53</v>
      </c>
    </row>
    <row r="2247" spans="1:40">
      <c r="A2247" t="s">
        <v>2370</v>
      </c>
      <c r="B2247" t="s">
        <v>1895</v>
      </c>
      <c r="C2247" t="s">
        <v>7645</v>
      </c>
      <c r="D2247" t="s">
        <v>52</v>
      </c>
      <c r="E2247" t="s">
        <v>4501</v>
      </c>
      <c r="F2247" t="s">
        <v>131</v>
      </c>
      <c r="G2247" t="str">
        <f>HYPERLINK("https://twitter.com/1100283063781605381/status/1143039145746419712")</f>
        <v>https://twitter.com/1100283063781605381/status/1143039145746419712</v>
      </c>
      <c r="H2247" t="s">
        <v>215</v>
      </c>
      <c r="I2247" t="s">
        <v>7646</v>
      </c>
      <c r="J2247" t="str">
        <f>HYPERLINK("http://twitter.com/Reveriebp")</f>
        <v>http://twitter.com/Reveriebp</v>
      </c>
      <c r="K2247">
        <v>37</v>
      </c>
      <c r="N2247" t="s">
        <v>65</v>
      </c>
      <c r="R2247" t="s">
        <v>60</v>
      </c>
      <c r="W2247">
        <v>0</v>
      </c>
      <c r="X2247">
        <v>0</v>
      </c>
      <c r="AE2247">
        <v>0</v>
      </c>
      <c r="AI2247" t="s">
        <v>108</v>
      </c>
      <c r="AJ2247" t="s">
        <v>1894</v>
      </c>
      <c r="AK2247" t="s">
        <v>52</v>
      </c>
      <c r="AL2247" t="str">
        <f>HYPERLINK("https://pbs.twimg.com/media/D9zZzsQVUAEy4kR.jpg")</f>
        <v>https://pbs.twimg.com/media/D9zZzsQVUAEy4kR.jpg</v>
      </c>
      <c r="AM2247" t="s">
        <v>52</v>
      </c>
      <c r="AN2247" t="s">
        <v>53</v>
      </c>
    </row>
    <row r="2248" spans="1:40">
      <c r="A2248" t="s">
        <v>2370</v>
      </c>
      <c r="B2248" t="s">
        <v>7647</v>
      </c>
      <c r="C2248" t="s">
        <v>7645</v>
      </c>
      <c r="D2248" t="s">
        <v>52</v>
      </c>
      <c r="E2248" t="s">
        <v>7648</v>
      </c>
      <c r="F2248" t="s">
        <v>131</v>
      </c>
      <c r="G2248" t="str">
        <f>HYPERLINK("https://twitter.com/1100283063781605381/status/1143038963742994432")</f>
        <v>https://twitter.com/1100283063781605381/status/1143038963742994432</v>
      </c>
      <c r="H2248" t="s">
        <v>46</v>
      </c>
      <c r="I2248" t="s">
        <v>7646</v>
      </c>
      <c r="J2248" t="str">
        <f>HYPERLINK("http://twitter.com/Reveriebp")</f>
        <v>http://twitter.com/Reveriebp</v>
      </c>
      <c r="K2248">
        <v>37</v>
      </c>
      <c r="N2248" t="s">
        <v>65</v>
      </c>
      <c r="R2248" t="s">
        <v>60</v>
      </c>
      <c r="W2248">
        <v>0</v>
      </c>
      <c r="X2248">
        <v>0</v>
      </c>
      <c r="AE2248">
        <v>0</v>
      </c>
      <c r="AI2248" t="s">
        <v>108</v>
      </c>
      <c r="AJ2248" t="s">
        <v>1894</v>
      </c>
      <c r="AK2248" t="s">
        <v>52</v>
      </c>
      <c r="AL2248" t="str">
        <f>HYPERLINK("https://pbs.twimg.com/media/D9zd_hXUEAAF4SB.jpg")</f>
        <v>https://pbs.twimg.com/media/D9zd_hXUEAAF4SB.jpg</v>
      </c>
      <c r="AM2248" t="s">
        <v>52</v>
      </c>
      <c r="AN2248" t="s">
        <v>53</v>
      </c>
    </row>
    <row r="2249" spans="1:40">
      <c r="A2249" t="s">
        <v>2370</v>
      </c>
      <c r="B2249" t="s">
        <v>7649</v>
      </c>
      <c r="C2249" t="s">
        <v>7650</v>
      </c>
      <c r="D2249" t="s">
        <v>52</v>
      </c>
      <c r="E2249" t="s">
        <v>4296</v>
      </c>
      <c r="F2249" t="s">
        <v>131</v>
      </c>
      <c r="G2249" t="str">
        <f>HYPERLINK("https://twitter.com/723945688955011074/status/1143038721878630400")</f>
        <v>https://twitter.com/723945688955011074/status/1143038721878630400</v>
      </c>
      <c r="H2249" t="s">
        <v>46</v>
      </c>
      <c r="I2249" t="s">
        <v>7651</v>
      </c>
      <c r="J2249" t="str">
        <f>HYPERLINK("http://twitter.com/BoloMotlhagodi")</f>
        <v>http://twitter.com/BoloMotlhagodi</v>
      </c>
      <c r="K2249">
        <v>709</v>
      </c>
      <c r="N2249" t="s">
        <v>65</v>
      </c>
      <c r="R2249" t="s">
        <v>60</v>
      </c>
      <c r="S2249" t="s">
        <v>5817</v>
      </c>
      <c r="W2249">
        <v>0</v>
      </c>
      <c r="X2249">
        <v>0</v>
      </c>
      <c r="AE2249">
        <v>0</v>
      </c>
      <c r="AI2249" t="s">
        <v>108</v>
      </c>
      <c r="AJ2249" t="s">
        <v>52</v>
      </c>
      <c r="AK2249" t="s">
        <v>52</v>
      </c>
      <c r="AL2249" t="str">
        <f>HYPERLINK("https://pbs.twimg.com/media/D9sAXHUX4AA6vJs.jpg")</f>
        <v>https://pbs.twimg.com/media/D9sAXHUX4AA6vJs.jpg</v>
      </c>
      <c r="AM2249" t="s">
        <v>52</v>
      </c>
      <c r="AN2249" t="s">
        <v>53</v>
      </c>
    </row>
    <row r="2250" spans="1:40">
      <c r="A2250" t="s">
        <v>2370</v>
      </c>
      <c r="B2250" t="s">
        <v>7652</v>
      </c>
      <c r="C2250" t="s">
        <v>7645</v>
      </c>
      <c r="D2250" t="s">
        <v>52</v>
      </c>
      <c r="E2250" t="s">
        <v>7653</v>
      </c>
      <c r="F2250" t="s">
        <v>45</v>
      </c>
      <c r="G2250" t="str">
        <f>HYPERLINK("https://www.instagram.com/p/BzFPVS9D7d2")</f>
        <v>https://www.instagram.com/p/BzFPVS9D7d2</v>
      </c>
      <c r="H2250" t="s">
        <v>46</v>
      </c>
      <c r="I2250" t="s">
        <v>7654</v>
      </c>
      <c r="J2250" t="str">
        <f>HYPERLINK("http://instagram.com/crackermilk")</f>
        <v>http://instagram.com/crackermilk</v>
      </c>
      <c r="K2250">
        <v>1148</v>
      </c>
      <c r="N2250" t="s">
        <v>59</v>
      </c>
      <c r="O2250" t="s">
        <v>7654</v>
      </c>
      <c r="P2250" t="str">
        <f>HYPERLINK("http://instagram.com/crackermilk")</f>
        <v>http://instagram.com/crackermilk</v>
      </c>
      <c r="Q2250">
        <v>1148</v>
      </c>
      <c r="R2250" t="s">
        <v>60</v>
      </c>
      <c r="W2250">
        <v>121</v>
      </c>
      <c r="X2250">
        <v>121</v>
      </c>
      <c r="AE2250">
        <v>5</v>
      </c>
      <c r="AI2250" t="s">
        <v>52</v>
      </c>
      <c r="AJ2250" t="s">
        <v>52</v>
      </c>
      <c r="AK2250" t="s">
        <v>52</v>
      </c>
      <c r="AL2250" t="str">
        <f>HYPERLINK("https://www.instagram.com/p/BzFPVS9D7d2/media/?size=l")</f>
        <v>https://www.instagram.com/p/BzFPVS9D7d2/media/?size=l</v>
      </c>
      <c r="AM2250" t="s">
        <v>52</v>
      </c>
      <c r="AN2250" t="s">
        <v>53</v>
      </c>
    </row>
    <row r="2251" spans="1:40">
      <c r="A2251" t="s">
        <v>2370</v>
      </c>
      <c r="B2251" t="s">
        <v>7652</v>
      </c>
      <c r="C2251" t="s">
        <v>7655</v>
      </c>
      <c r="D2251" t="s">
        <v>7656</v>
      </c>
      <c r="E2251" t="s">
        <v>7657</v>
      </c>
      <c r="F2251" t="s">
        <v>45</v>
      </c>
      <c r="G2251" t="str">
        <f>HYPERLINK("http://www.philropost.com/jumpin-jack-doritos.html")</f>
        <v>http://www.philropost.com/jumpin-jack-doritos.html</v>
      </c>
      <c r="H2251" t="s">
        <v>46</v>
      </c>
      <c r="N2251" t="s">
        <v>7552</v>
      </c>
      <c r="R2251" t="s">
        <v>50</v>
      </c>
      <c r="S2251" t="s">
        <v>51</v>
      </c>
      <c r="AM2251" t="s">
        <v>52</v>
      </c>
      <c r="AN2251" t="s">
        <v>53</v>
      </c>
    </row>
    <row r="2252" spans="1:40">
      <c r="A2252" t="s">
        <v>2370</v>
      </c>
      <c r="B2252" t="s">
        <v>7658</v>
      </c>
      <c r="C2252" t="s">
        <v>3861</v>
      </c>
      <c r="D2252" t="s">
        <v>7659</v>
      </c>
      <c r="E2252" t="s">
        <v>7660</v>
      </c>
      <c r="F2252" t="s">
        <v>45</v>
      </c>
      <c r="G2252" t="str">
        <f>HYPERLINK("https://www.reddit.com/r/godtiersuperpowers/comments/c4f76f/you_can_eat_chips_without_disrupting_whatever/?sort=new#thing_t1_erwb3zt")</f>
        <v>https://www.reddit.com/r/godtiersuperpowers/comments/c4f76f/you_can_eat_chips_without_disrupting_whatever/?sort=new#thing_t1_erwb3zt</v>
      </c>
      <c r="H2252" t="s">
        <v>46</v>
      </c>
      <c r="I2252" t="s">
        <v>7661</v>
      </c>
      <c r="J2252" t="str">
        <f>HYPERLINK("https://www.reddit.com/r/godtiersuperpowers/comments/c4f76f/you_can_eat_chips_without_disrupting_whatever/?sort=new#thing_t1_erwb3zt")</f>
        <v>https://www.reddit.com/r/godtiersuperpowers/comments/c4f76f/you_can_eat_chips_without_disrupting_whatever/?sort=new#thing_t1_erwb3zt</v>
      </c>
      <c r="N2252" t="s">
        <v>545</v>
      </c>
      <c r="O2252" t="s">
        <v>52</v>
      </c>
      <c r="P2252" t="str">
        <f>HYPERLINK("https://www.reddit.com/r/godtiersuperpowers/")</f>
        <v>https://www.reddit.com/r/godtiersuperpowers/</v>
      </c>
      <c r="R2252" t="s">
        <v>516</v>
      </c>
      <c r="S2252" t="s">
        <v>51</v>
      </c>
      <c r="AM2252" t="s">
        <v>52</v>
      </c>
      <c r="AN2252" t="s">
        <v>53</v>
      </c>
    </row>
    <row r="2253" spans="1:40">
      <c r="A2253" t="s">
        <v>2370</v>
      </c>
      <c r="B2253" t="s">
        <v>1910</v>
      </c>
      <c r="C2253" t="s">
        <v>7662</v>
      </c>
      <c r="D2253" t="s">
        <v>52</v>
      </c>
      <c r="E2253" t="s">
        <v>7663</v>
      </c>
      <c r="F2253" t="s">
        <v>95</v>
      </c>
      <c r="G2253" t="str">
        <f>HYPERLINK("https://twitter.com/1120775929976909824/status/1143037329910538245")</f>
        <v>https://twitter.com/1120775929976909824/status/1143037329910538245</v>
      </c>
      <c r="H2253" t="s">
        <v>46</v>
      </c>
      <c r="I2253" t="s">
        <v>7664</v>
      </c>
      <c r="J2253" t="str">
        <f>HYPERLINK("http://twitter.com/1peachyboi")</f>
        <v>http://twitter.com/1peachyboi</v>
      </c>
      <c r="K2253">
        <v>6</v>
      </c>
      <c r="N2253" t="s">
        <v>65</v>
      </c>
      <c r="R2253" t="s">
        <v>60</v>
      </c>
      <c r="W2253">
        <v>1</v>
      </c>
      <c r="X2253">
        <v>1</v>
      </c>
      <c r="AE2253">
        <v>0</v>
      </c>
      <c r="AF2253">
        <v>0</v>
      </c>
      <c r="AM2253" t="s">
        <v>52</v>
      </c>
      <c r="AN2253" t="s">
        <v>53</v>
      </c>
    </row>
    <row r="2254" spans="1:40">
      <c r="A2254" t="s">
        <v>2370</v>
      </c>
      <c r="B2254" t="s">
        <v>1914</v>
      </c>
      <c r="C2254" t="s">
        <v>7665</v>
      </c>
      <c r="D2254" t="s">
        <v>52</v>
      </c>
      <c r="E2254" t="s">
        <v>7666</v>
      </c>
      <c r="F2254" t="s">
        <v>45</v>
      </c>
      <c r="G2254" t="str">
        <f>HYPERLINK("https://www.instagram.com/p/BzFO9KAg_kJ")</f>
        <v>https://www.instagram.com/p/BzFO9KAg_kJ</v>
      </c>
      <c r="H2254" t="s">
        <v>46</v>
      </c>
      <c r="I2254" t="s">
        <v>7667</v>
      </c>
      <c r="J2254" t="str">
        <f>HYPERLINK("http://instagram.com/b.robikah")</f>
        <v>http://instagram.com/b.robikah</v>
      </c>
      <c r="K2254">
        <v>227</v>
      </c>
      <c r="N2254" t="s">
        <v>59</v>
      </c>
      <c r="O2254" t="s">
        <v>7667</v>
      </c>
      <c r="P2254" t="str">
        <f>HYPERLINK("http://instagram.com/b.robikah")</f>
        <v>http://instagram.com/b.robikah</v>
      </c>
      <c r="Q2254">
        <v>227</v>
      </c>
      <c r="R2254" t="s">
        <v>60</v>
      </c>
      <c r="S2254" t="s">
        <v>97</v>
      </c>
      <c r="T2254" t="s">
        <v>177</v>
      </c>
      <c r="U2254" t="s">
        <v>7668</v>
      </c>
      <c r="W2254">
        <v>25</v>
      </c>
      <c r="X2254">
        <v>25</v>
      </c>
      <c r="AE2254">
        <v>4</v>
      </c>
      <c r="AI2254" t="s">
        <v>52</v>
      </c>
      <c r="AJ2254" t="s">
        <v>7669</v>
      </c>
      <c r="AK2254" t="s">
        <v>7670</v>
      </c>
      <c r="AL2254" t="str">
        <f>HYPERLINK("https://www.instagram.com/p/BzFO9KAg_kJ/media/?size=l")</f>
        <v>https://www.instagram.com/p/BzFO9KAg_kJ/media/?size=l</v>
      </c>
      <c r="AM2254" t="s">
        <v>52</v>
      </c>
      <c r="AN2254" t="s">
        <v>53</v>
      </c>
    </row>
    <row r="2255" spans="1:40">
      <c r="A2255" t="s">
        <v>2370</v>
      </c>
      <c r="B2255" t="s">
        <v>1914</v>
      </c>
      <c r="C2255" t="s">
        <v>7665</v>
      </c>
      <c r="D2255" t="s">
        <v>52</v>
      </c>
      <c r="E2255" t="s">
        <v>3749</v>
      </c>
      <c r="F2255" t="s">
        <v>71</v>
      </c>
      <c r="G2255" t="str">
        <f>HYPERLINK("https://twitter.com/130164810/status/1143037089652588545")</f>
        <v>https://twitter.com/130164810/status/1143037089652588545</v>
      </c>
      <c r="H2255" t="s">
        <v>46</v>
      </c>
      <c r="I2255" t="s">
        <v>7671</v>
      </c>
      <c r="J2255" t="str">
        <f>HYPERLINK("http://twitter.com/Sakhile_Zungu")</f>
        <v>http://twitter.com/Sakhile_Zungu</v>
      </c>
      <c r="K2255">
        <v>259</v>
      </c>
      <c r="N2255" t="s">
        <v>65</v>
      </c>
      <c r="R2255" t="s">
        <v>60</v>
      </c>
      <c r="S2255" t="s">
        <v>1071</v>
      </c>
      <c r="W2255">
        <v>0</v>
      </c>
      <c r="X2255">
        <v>0</v>
      </c>
      <c r="AE2255">
        <v>0</v>
      </c>
      <c r="AF2255">
        <v>0</v>
      </c>
      <c r="AI2255" t="s">
        <v>108</v>
      </c>
      <c r="AJ2255" t="s">
        <v>52</v>
      </c>
      <c r="AK2255" t="s">
        <v>52</v>
      </c>
      <c r="AL2255" t="str">
        <f>HYPERLINK("https://pbs.twimg.com/media/D9sAXHUX4AA6vJs.jpg")</f>
        <v>https://pbs.twimg.com/media/D9sAXHUX4AA6vJs.jpg</v>
      </c>
      <c r="AM2255" t="s">
        <v>52</v>
      </c>
      <c r="AN2255" t="s">
        <v>53</v>
      </c>
    </row>
    <row r="2256" spans="1:40">
      <c r="A2256" t="s">
        <v>2370</v>
      </c>
      <c r="B2256" t="s">
        <v>1914</v>
      </c>
      <c r="C2256" t="s">
        <v>7672</v>
      </c>
      <c r="D2256" t="s">
        <v>52</v>
      </c>
      <c r="E2256" t="s">
        <v>7606</v>
      </c>
      <c r="F2256" t="s">
        <v>131</v>
      </c>
      <c r="G2256" t="str">
        <f>HYPERLINK("https://twitter.com/770835385379192832/status/1143037065547976704")</f>
        <v>https://twitter.com/770835385379192832/status/1143037065547976704</v>
      </c>
      <c r="H2256" t="s">
        <v>46</v>
      </c>
      <c r="I2256" t="s">
        <v>52</v>
      </c>
      <c r="J2256" t="str">
        <f>HYPERLINK("http://twitter.com/RareRareness")</f>
        <v>http://twitter.com/RareRareness</v>
      </c>
      <c r="K2256">
        <v>702</v>
      </c>
      <c r="N2256" t="s">
        <v>65</v>
      </c>
      <c r="R2256" t="s">
        <v>60</v>
      </c>
      <c r="W2256">
        <v>0</v>
      </c>
      <c r="X2256">
        <v>0</v>
      </c>
      <c r="AE2256">
        <v>0</v>
      </c>
      <c r="AM2256" t="s">
        <v>52</v>
      </c>
      <c r="AN2256" t="s">
        <v>53</v>
      </c>
    </row>
    <row r="2257" spans="1:40">
      <c r="A2257" t="s">
        <v>2370</v>
      </c>
      <c r="B2257" t="s">
        <v>1914</v>
      </c>
      <c r="C2257" t="s">
        <v>7672</v>
      </c>
      <c r="D2257" t="s">
        <v>52</v>
      </c>
      <c r="E2257" t="s">
        <v>7673</v>
      </c>
      <c r="F2257" t="s">
        <v>131</v>
      </c>
      <c r="G2257" t="str">
        <f>HYPERLINK("https://twitter.com/336700199/status/1143037045784350720")</f>
        <v>https://twitter.com/336700199/status/1143037045784350720</v>
      </c>
      <c r="H2257" t="s">
        <v>46</v>
      </c>
      <c r="I2257" t="s">
        <v>7674</v>
      </c>
      <c r="J2257" t="str">
        <f>HYPERLINK("http://twitter.com/_KP_Raps")</f>
        <v>http://twitter.com/_KP_Raps</v>
      </c>
      <c r="K2257">
        <v>1266</v>
      </c>
      <c r="N2257" t="s">
        <v>65</v>
      </c>
      <c r="R2257" t="s">
        <v>60</v>
      </c>
      <c r="S2257" t="s">
        <v>1071</v>
      </c>
      <c r="W2257">
        <v>0</v>
      </c>
      <c r="X2257">
        <v>0</v>
      </c>
      <c r="AE2257">
        <v>0</v>
      </c>
      <c r="AM2257" t="s">
        <v>52</v>
      </c>
      <c r="AN2257" t="s">
        <v>53</v>
      </c>
    </row>
    <row r="2258" spans="1:40">
      <c r="A2258" t="s">
        <v>2370</v>
      </c>
      <c r="B2258" t="s">
        <v>1922</v>
      </c>
      <c r="C2258" t="s">
        <v>6751</v>
      </c>
      <c r="D2258" t="s">
        <v>52</v>
      </c>
      <c r="E2258" t="s">
        <v>7675</v>
      </c>
      <c r="F2258" t="s">
        <v>45</v>
      </c>
      <c r="G2258" t="str">
        <f>HYPERLINK("https://www.instagram.com/p/BzFOp-RjF5D")</f>
        <v>https://www.instagram.com/p/BzFOp-RjF5D</v>
      </c>
      <c r="H2258" t="s">
        <v>46</v>
      </c>
      <c r="I2258" t="s">
        <v>7676</v>
      </c>
      <c r="J2258" t="str">
        <f>HYPERLINK("http://instagram.com/e.ditsbymiyaaa")</f>
        <v>http://instagram.com/e.ditsbymiyaaa</v>
      </c>
      <c r="K2258">
        <v>1340</v>
      </c>
      <c r="L2258" t="s">
        <v>651</v>
      </c>
      <c r="N2258" t="s">
        <v>59</v>
      </c>
      <c r="O2258" t="s">
        <v>7676</v>
      </c>
      <c r="P2258" t="str">
        <f>HYPERLINK("http://instagram.com/e.ditsbymiyaaa")</f>
        <v>http://instagram.com/e.ditsbymiyaaa</v>
      </c>
      <c r="Q2258">
        <v>1340</v>
      </c>
      <c r="R2258" t="s">
        <v>60</v>
      </c>
      <c r="W2258">
        <v>17</v>
      </c>
      <c r="X2258">
        <v>17</v>
      </c>
      <c r="AE2258">
        <v>0</v>
      </c>
      <c r="AG2258">
        <v>55</v>
      </c>
      <c r="AI2258" t="s">
        <v>108</v>
      </c>
      <c r="AJ2258" t="s">
        <v>7677</v>
      </c>
      <c r="AK2258" t="s">
        <v>2089</v>
      </c>
      <c r="AL2258" t="str">
        <f>HYPERLINK("https://www.instagram.com/p/BzFOp-RjF5D/media/?size=l")</f>
        <v>https://www.instagram.com/p/BzFOp-RjF5D/media/?size=l</v>
      </c>
      <c r="AM2258" t="s">
        <v>52</v>
      </c>
      <c r="AN2258" t="s">
        <v>53</v>
      </c>
    </row>
    <row r="2259" spans="1:40">
      <c r="A2259" t="s">
        <v>2370</v>
      </c>
      <c r="B2259" t="s">
        <v>1922</v>
      </c>
      <c r="C2259" t="s">
        <v>7678</v>
      </c>
      <c r="D2259" t="s">
        <v>52</v>
      </c>
      <c r="E2259" t="s">
        <v>7679</v>
      </c>
      <c r="F2259" t="s">
        <v>45</v>
      </c>
      <c r="G2259" t="str">
        <f>HYPERLINK("https://twitter.com/1055428014912225281/status/1143036324733214722")</f>
        <v>https://twitter.com/1055428014912225281/status/1143036324733214722</v>
      </c>
      <c r="H2259" t="s">
        <v>215</v>
      </c>
      <c r="I2259" t="s">
        <v>7680</v>
      </c>
      <c r="J2259" t="str">
        <f>HYPERLINK("http://twitter.com/KimSeokjin__luv")</f>
        <v>http://twitter.com/KimSeokjin__luv</v>
      </c>
      <c r="K2259">
        <v>1361</v>
      </c>
      <c r="N2259" t="s">
        <v>65</v>
      </c>
      <c r="R2259" t="s">
        <v>60</v>
      </c>
      <c r="S2259" t="s">
        <v>3660</v>
      </c>
      <c r="W2259">
        <v>3</v>
      </c>
      <c r="X2259">
        <v>3</v>
      </c>
      <c r="AE2259">
        <v>0</v>
      </c>
      <c r="AF2259">
        <v>0</v>
      </c>
      <c r="AI2259" t="s">
        <v>52</v>
      </c>
      <c r="AJ2259" t="s">
        <v>52</v>
      </c>
      <c r="AK2259" t="s">
        <v>341</v>
      </c>
      <c r="AL2259" t="str">
        <f>HYPERLINK("https://pbs.twimg.com/media/D9zhetFWwAYjO4q.png")</f>
        <v>https://pbs.twimg.com/media/D9zhetFWwAYjO4q.png</v>
      </c>
      <c r="AM2259" t="s">
        <v>52</v>
      </c>
      <c r="AN2259" t="s">
        <v>53</v>
      </c>
    </row>
    <row r="2260" spans="1:40">
      <c r="A2260" t="s">
        <v>2370</v>
      </c>
      <c r="B2260" t="s">
        <v>7681</v>
      </c>
      <c r="C2260" t="s">
        <v>7682</v>
      </c>
      <c r="D2260" t="s">
        <v>52</v>
      </c>
      <c r="E2260" t="s">
        <v>7683</v>
      </c>
      <c r="F2260" t="s">
        <v>45</v>
      </c>
      <c r="G2260" t="str">
        <f>HYPERLINK("https://twitter.com/2472007152/status/1143035881109876736")</f>
        <v>https://twitter.com/2472007152/status/1143035881109876736</v>
      </c>
      <c r="H2260" t="s">
        <v>215</v>
      </c>
      <c r="I2260" t="s">
        <v>7684</v>
      </c>
      <c r="J2260" t="str">
        <f>HYPERLINK("http://twitter.com/LandoLarimore")</f>
        <v>http://twitter.com/LandoLarimore</v>
      </c>
      <c r="K2260">
        <v>63</v>
      </c>
      <c r="N2260" t="s">
        <v>65</v>
      </c>
      <c r="R2260" t="s">
        <v>60</v>
      </c>
      <c r="W2260">
        <v>1</v>
      </c>
      <c r="X2260">
        <v>1</v>
      </c>
      <c r="AE2260">
        <v>0</v>
      </c>
      <c r="AF2260">
        <v>0</v>
      </c>
      <c r="AI2260" t="s">
        <v>52</v>
      </c>
      <c r="AJ2260" t="s">
        <v>716</v>
      </c>
      <c r="AK2260" t="s">
        <v>52</v>
      </c>
      <c r="AL2260" t="str">
        <f>HYPERLINK("https://pbs.twimg.com/media/D9zhE2zVUAIiAHt.jpg")</f>
        <v>https://pbs.twimg.com/media/D9zhE2zVUAIiAHt.jpg</v>
      </c>
      <c r="AM2260" t="s">
        <v>52</v>
      </c>
      <c r="AN2260" t="s">
        <v>53</v>
      </c>
    </row>
    <row r="2261" spans="1:40">
      <c r="A2261" t="s">
        <v>2370</v>
      </c>
      <c r="B2261" t="s">
        <v>7685</v>
      </c>
      <c r="C2261" t="s">
        <v>7686</v>
      </c>
      <c r="D2261" t="s">
        <v>52</v>
      </c>
      <c r="E2261" t="s">
        <v>130</v>
      </c>
      <c r="F2261" t="s">
        <v>131</v>
      </c>
      <c r="G2261" t="str">
        <f>HYPERLINK("https://twitter.com/4330846143/status/1143035698221649921")</f>
        <v>https://twitter.com/4330846143/status/1143035698221649921</v>
      </c>
      <c r="H2261" t="s">
        <v>46</v>
      </c>
      <c r="I2261" t="s">
        <v>7687</v>
      </c>
      <c r="J2261" t="str">
        <f>HYPERLINK("http://twitter.com/emhus1")</f>
        <v>http://twitter.com/emhus1</v>
      </c>
      <c r="K2261">
        <v>901</v>
      </c>
      <c r="N2261" t="s">
        <v>65</v>
      </c>
      <c r="R2261" t="s">
        <v>60</v>
      </c>
      <c r="S2261" t="s">
        <v>97</v>
      </c>
      <c r="T2261" t="s">
        <v>177</v>
      </c>
      <c r="U2261" t="s">
        <v>7688</v>
      </c>
      <c r="W2261">
        <v>0</v>
      </c>
      <c r="X2261">
        <v>0</v>
      </c>
      <c r="AE2261">
        <v>0</v>
      </c>
      <c r="AI2261" t="s">
        <v>108</v>
      </c>
      <c r="AJ2261" t="s">
        <v>52</v>
      </c>
      <c r="AK2261" t="s">
        <v>52</v>
      </c>
      <c r="AL2261" t="str">
        <f>HYPERLINK("https://pbs.twimg.com/media/D9XTkLWW4AAOYnJ.jpg")</f>
        <v>https://pbs.twimg.com/media/D9XTkLWW4AAOYnJ.jpg</v>
      </c>
      <c r="AM2261" t="s">
        <v>52</v>
      </c>
      <c r="AN2261" t="s">
        <v>53</v>
      </c>
    </row>
    <row r="2262" spans="1:40">
      <c r="A2262" t="s">
        <v>2370</v>
      </c>
      <c r="B2262" t="s">
        <v>1935</v>
      </c>
      <c r="C2262" t="s">
        <v>7689</v>
      </c>
      <c r="D2262" t="s">
        <v>52</v>
      </c>
      <c r="E2262" t="s">
        <v>130</v>
      </c>
      <c r="F2262" t="s">
        <v>131</v>
      </c>
      <c r="G2262" t="str">
        <f>HYPERLINK("https://twitter.com/54780587/status/1143035271191175168")</f>
        <v>https://twitter.com/54780587/status/1143035271191175168</v>
      </c>
      <c r="H2262" t="s">
        <v>46</v>
      </c>
      <c r="I2262" t="s">
        <v>7690</v>
      </c>
      <c r="J2262" t="str">
        <f>HYPERLINK("http://twitter.com/livinmydream01")</f>
        <v>http://twitter.com/livinmydream01</v>
      </c>
      <c r="K2262">
        <v>641</v>
      </c>
      <c r="L2262" t="s">
        <v>48</v>
      </c>
      <c r="N2262" t="s">
        <v>65</v>
      </c>
      <c r="R2262" t="s">
        <v>60</v>
      </c>
      <c r="S2262" t="s">
        <v>97</v>
      </c>
      <c r="T2262" t="s">
        <v>177</v>
      </c>
      <c r="U2262" t="s">
        <v>7688</v>
      </c>
      <c r="W2262">
        <v>0</v>
      </c>
      <c r="X2262">
        <v>0</v>
      </c>
      <c r="AE2262">
        <v>0</v>
      </c>
      <c r="AI2262" t="s">
        <v>108</v>
      </c>
      <c r="AJ2262" t="s">
        <v>52</v>
      </c>
      <c r="AK2262" t="s">
        <v>52</v>
      </c>
      <c r="AL2262" t="str">
        <f>HYPERLINK("https://pbs.twimg.com/media/D9XTkLWW4AAOYnJ.jpg")</f>
        <v>https://pbs.twimg.com/media/D9XTkLWW4AAOYnJ.jpg</v>
      </c>
      <c r="AM2262" t="s">
        <v>52</v>
      </c>
      <c r="AN2262" t="s">
        <v>53</v>
      </c>
    </row>
    <row r="2263" spans="1:40">
      <c r="A2263" t="s">
        <v>2370</v>
      </c>
      <c r="B2263" t="s">
        <v>1935</v>
      </c>
      <c r="C2263" t="s">
        <v>7682</v>
      </c>
      <c r="D2263" t="s">
        <v>52</v>
      </c>
      <c r="E2263" t="s">
        <v>5927</v>
      </c>
      <c r="F2263" t="s">
        <v>131</v>
      </c>
      <c r="G2263" t="str">
        <f>HYPERLINK("https://twitter.com/614657484/status/1143035109655883776")</f>
        <v>https://twitter.com/614657484/status/1143035109655883776</v>
      </c>
      <c r="H2263" t="s">
        <v>46</v>
      </c>
      <c r="I2263" t="s">
        <v>7691</v>
      </c>
      <c r="J2263" t="str">
        <f>HYPERLINK("http://twitter.com/JayJSwart03")</f>
        <v>http://twitter.com/JayJSwart03</v>
      </c>
      <c r="K2263">
        <v>80</v>
      </c>
      <c r="L2263" t="s">
        <v>48</v>
      </c>
      <c r="N2263" t="s">
        <v>65</v>
      </c>
      <c r="R2263" t="s">
        <v>60</v>
      </c>
      <c r="S2263" t="s">
        <v>1071</v>
      </c>
      <c r="T2263" t="s">
        <v>3751</v>
      </c>
      <c r="U2263" t="s">
        <v>7692</v>
      </c>
      <c r="W2263">
        <v>0</v>
      </c>
      <c r="X2263">
        <v>0</v>
      </c>
      <c r="AE2263">
        <v>0</v>
      </c>
      <c r="AM2263" t="s">
        <v>52</v>
      </c>
      <c r="AN2263" t="s">
        <v>53</v>
      </c>
    </row>
    <row r="2264" spans="1:40">
      <c r="A2264" t="s">
        <v>2370</v>
      </c>
      <c r="B2264" t="s">
        <v>1941</v>
      </c>
      <c r="C2264" t="s">
        <v>7693</v>
      </c>
      <c r="D2264" t="s">
        <v>52</v>
      </c>
      <c r="E2264" t="s">
        <v>130</v>
      </c>
      <c r="F2264" t="s">
        <v>131</v>
      </c>
      <c r="G2264" t="str">
        <f>HYPERLINK("https://twitter.com/932270837981425669/status/1143034834270531584")</f>
        <v>https://twitter.com/932270837981425669/status/1143034834270531584</v>
      </c>
      <c r="H2264" t="s">
        <v>46</v>
      </c>
      <c r="I2264" t="s">
        <v>7694</v>
      </c>
      <c r="J2264" t="str">
        <f>HYPERLINK("http://twitter.com/janineatkin82")</f>
        <v>http://twitter.com/janineatkin82</v>
      </c>
      <c r="K2264">
        <v>208</v>
      </c>
      <c r="L2264" t="s">
        <v>58</v>
      </c>
      <c r="N2264" t="s">
        <v>65</v>
      </c>
      <c r="R2264" t="s">
        <v>60</v>
      </c>
      <c r="W2264">
        <v>0</v>
      </c>
      <c r="X2264">
        <v>0</v>
      </c>
      <c r="AE2264">
        <v>0</v>
      </c>
      <c r="AI2264" t="s">
        <v>108</v>
      </c>
      <c r="AJ2264" t="s">
        <v>52</v>
      </c>
      <c r="AK2264" t="s">
        <v>52</v>
      </c>
      <c r="AL2264" t="str">
        <f>HYPERLINK("https://pbs.twimg.com/media/D9XTkLWW4AAOYnJ.jpg")</f>
        <v>https://pbs.twimg.com/media/D9XTkLWW4AAOYnJ.jpg</v>
      </c>
      <c r="AM2264" t="s">
        <v>52</v>
      </c>
      <c r="AN2264" t="s">
        <v>53</v>
      </c>
    </row>
    <row r="2265" spans="1:40">
      <c r="A2265" t="s">
        <v>2370</v>
      </c>
      <c r="B2265" t="s">
        <v>7695</v>
      </c>
      <c r="C2265" t="s">
        <v>7686</v>
      </c>
      <c r="D2265" t="s">
        <v>52</v>
      </c>
      <c r="E2265" t="s">
        <v>7696</v>
      </c>
      <c r="F2265" t="s">
        <v>45</v>
      </c>
      <c r="G2265" t="str">
        <f>HYPERLINK("https://twitter.com/1143030384801669121/status/1143034666607243264")</f>
        <v>https://twitter.com/1143030384801669121/status/1143034666607243264</v>
      </c>
      <c r="H2265" t="s">
        <v>46</v>
      </c>
      <c r="I2265" t="s">
        <v>7697</v>
      </c>
      <c r="J2265" t="str">
        <f>HYPERLINK("http://twitter.com/melissa_baesa")</f>
        <v>http://twitter.com/melissa_baesa</v>
      </c>
      <c r="K2265">
        <v>0</v>
      </c>
      <c r="L2265" t="s">
        <v>58</v>
      </c>
      <c r="N2265" t="s">
        <v>65</v>
      </c>
      <c r="R2265" t="s">
        <v>60</v>
      </c>
      <c r="W2265">
        <v>0</v>
      </c>
      <c r="X2265">
        <v>0</v>
      </c>
      <c r="AE2265">
        <v>0</v>
      </c>
      <c r="AF2265">
        <v>0</v>
      </c>
      <c r="AM2265" t="s">
        <v>52</v>
      </c>
      <c r="AN2265" t="s">
        <v>53</v>
      </c>
    </row>
    <row r="2266" spans="1:40">
      <c r="A2266" t="s">
        <v>2370</v>
      </c>
      <c r="B2266" t="s">
        <v>1955</v>
      </c>
      <c r="C2266" t="s">
        <v>7682</v>
      </c>
      <c r="D2266" t="s">
        <v>52</v>
      </c>
      <c r="E2266" t="s">
        <v>7698</v>
      </c>
      <c r="F2266" t="s">
        <v>131</v>
      </c>
      <c r="G2266" t="str">
        <f>HYPERLINK("https://twitter.com/1142903865773346816/status/1143034309462261765")</f>
        <v>https://twitter.com/1142903865773346816/status/1143034309462261765</v>
      </c>
      <c r="H2266" t="s">
        <v>46</v>
      </c>
      <c r="I2266" t="s">
        <v>7699</v>
      </c>
      <c r="J2266" t="str">
        <f>HYPERLINK("http://twitter.com/sexcsora")</f>
        <v>http://twitter.com/sexcsora</v>
      </c>
      <c r="K2266">
        <v>7</v>
      </c>
      <c r="N2266" t="s">
        <v>65</v>
      </c>
      <c r="R2266" t="s">
        <v>60</v>
      </c>
      <c r="S2266" t="s">
        <v>51</v>
      </c>
      <c r="T2266" t="s">
        <v>173</v>
      </c>
      <c r="W2266">
        <v>0</v>
      </c>
      <c r="X2266">
        <v>0</v>
      </c>
      <c r="AE2266">
        <v>0</v>
      </c>
      <c r="AM2266" t="s">
        <v>52</v>
      </c>
      <c r="AN2266" t="s">
        <v>53</v>
      </c>
    </row>
    <row r="2267" spans="1:40">
      <c r="A2267" t="s">
        <v>2370</v>
      </c>
      <c r="B2267" t="s">
        <v>7700</v>
      </c>
      <c r="C2267" t="s">
        <v>7701</v>
      </c>
      <c r="D2267" t="s">
        <v>52</v>
      </c>
      <c r="E2267" t="s">
        <v>7702</v>
      </c>
      <c r="F2267" t="s">
        <v>45</v>
      </c>
      <c r="G2267" t="str">
        <f>HYPERLINK("https://twitter.com/1665522163/status/1143033837250895872")</f>
        <v>https://twitter.com/1665522163/status/1143033837250895872</v>
      </c>
      <c r="H2267" t="s">
        <v>46</v>
      </c>
      <c r="I2267" t="s">
        <v>7703</v>
      </c>
      <c r="J2267" t="str">
        <f>HYPERLINK("http://twitter.com/SlimeyTeee")</f>
        <v>http://twitter.com/SlimeyTeee</v>
      </c>
      <c r="K2267">
        <v>1216</v>
      </c>
      <c r="N2267" t="s">
        <v>65</v>
      </c>
      <c r="R2267" t="s">
        <v>60</v>
      </c>
      <c r="S2267" t="s">
        <v>51</v>
      </c>
      <c r="T2267" t="s">
        <v>152</v>
      </c>
      <c r="U2267" t="s">
        <v>1958</v>
      </c>
      <c r="W2267">
        <v>0</v>
      </c>
      <c r="X2267">
        <v>0</v>
      </c>
      <c r="AE2267">
        <v>0</v>
      </c>
      <c r="AF2267">
        <v>0</v>
      </c>
      <c r="AM2267" t="s">
        <v>52</v>
      </c>
      <c r="AN2267" t="s">
        <v>53</v>
      </c>
    </row>
    <row r="2268" spans="1:40">
      <c r="A2268" t="s">
        <v>2370</v>
      </c>
      <c r="B2268" t="s">
        <v>7700</v>
      </c>
      <c r="C2268" t="s">
        <v>3240</v>
      </c>
      <c r="D2268" t="s">
        <v>7704</v>
      </c>
      <c r="E2268" t="s">
        <v>7705</v>
      </c>
      <c r="F2268" t="s">
        <v>45</v>
      </c>
      <c r="G2268" t="str">
        <f>HYPERLINK("https://broken-sould.tumblr.com/post/185761341127/no-me-gusta-sentir-tanto-porque-duele")</f>
        <v>https://broken-sould.tumblr.com/post/185761341127/no-me-gusta-sentir-tanto-porque-duele</v>
      </c>
      <c r="H2268" t="s">
        <v>46</v>
      </c>
      <c r="N2268" t="s">
        <v>7706</v>
      </c>
      <c r="R2268" t="s">
        <v>50</v>
      </c>
      <c r="S2268" t="s">
        <v>51</v>
      </c>
      <c r="AM2268" t="s">
        <v>52</v>
      </c>
      <c r="AN2268" t="s">
        <v>53</v>
      </c>
    </row>
    <row r="2269" spans="1:40">
      <c r="A2269" t="s">
        <v>2370</v>
      </c>
      <c r="B2269" t="s">
        <v>7707</v>
      </c>
      <c r="C2269" t="s">
        <v>7708</v>
      </c>
      <c r="D2269" t="s">
        <v>52</v>
      </c>
      <c r="E2269" t="s">
        <v>1893</v>
      </c>
      <c r="F2269" t="s">
        <v>95</v>
      </c>
      <c r="G2269" t="str">
        <f>HYPERLINK("https://twitter.com/1015328243791122433/status/1143033683848204288")</f>
        <v>https://twitter.com/1015328243791122433/status/1143033683848204288</v>
      </c>
      <c r="H2269" t="s">
        <v>46</v>
      </c>
      <c r="I2269" t="s">
        <v>7709</v>
      </c>
      <c r="J2269" t="str">
        <f>HYPERLINK("http://twitter.com/whipped2wish")</f>
        <v>http://twitter.com/whipped2wish</v>
      </c>
      <c r="K2269">
        <v>147</v>
      </c>
      <c r="N2269" t="s">
        <v>65</v>
      </c>
      <c r="R2269" t="s">
        <v>60</v>
      </c>
      <c r="W2269">
        <v>18</v>
      </c>
      <c r="X2269">
        <v>18</v>
      </c>
      <c r="AE2269">
        <v>0</v>
      </c>
      <c r="AF2269">
        <v>5</v>
      </c>
      <c r="AI2269" t="s">
        <v>108</v>
      </c>
      <c r="AJ2269" t="s">
        <v>1894</v>
      </c>
      <c r="AK2269" t="s">
        <v>52</v>
      </c>
      <c r="AL2269" t="str">
        <f>HYPERLINK("https://pbs.twimg.com/media/D9ze6kEU4AEjuDQ.jpg")</f>
        <v>https://pbs.twimg.com/media/D9ze6kEU4AEjuDQ.jpg</v>
      </c>
      <c r="AM2269" t="s">
        <v>52</v>
      </c>
      <c r="AN2269" t="s">
        <v>53</v>
      </c>
    </row>
    <row r="2270" spans="1:40">
      <c r="A2270" t="s">
        <v>2370</v>
      </c>
      <c r="B2270" t="s">
        <v>7707</v>
      </c>
      <c r="C2270" t="s">
        <v>7708</v>
      </c>
      <c r="D2270" t="s">
        <v>52</v>
      </c>
      <c r="E2270" t="s">
        <v>1194</v>
      </c>
      <c r="F2270" t="s">
        <v>131</v>
      </c>
      <c r="G2270" t="str">
        <f>HYPERLINK("https://twitter.com/318353148/status/1143033680706854913")</f>
        <v>https://twitter.com/318353148/status/1143033680706854913</v>
      </c>
      <c r="H2270" t="s">
        <v>46</v>
      </c>
      <c r="I2270" t="s">
        <v>7710</v>
      </c>
      <c r="J2270" t="str">
        <f>HYPERLINK("http://twitter.com/KarenVerheyden")</f>
        <v>http://twitter.com/KarenVerheyden</v>
      </c>
      <c r="K2270">
        <v>161</v>
      </c>
      <c r="N2270" t="s">
        <v>65</v>
      </c>
      <c r="R2270" t="s">
        <v>60</v>
      </c>
      <c r="W2270">
        <v>0</v>
      </c>
      <c r="X2270">
        <v>0</v>
      </c>
      <c r="AE2270">
        <v>0</v>
      </c>
      <c r="AI2270" t="s">
        <v>52</v>
      </c>
      <c r="AJ2270" t="s">
        <v>1196</v>
      </c>
      <c r="AK2270" t="s">
        <v>52</v>
      </c>
      <c r="AL2270" t="str">
        <f>HYPERLINK("https://pbs.twimg.com/media/D9xgk2YXkAAd2ql.jpg")</f>
        <v>https://pbs.twimg.com/media/D9xgk2YXkAAd2ql.jpg</v>
      </c>
      <c r="AM2270" t="s">
        <v>52</v>
      </c>
      <c r="AN2270" t="s">
        <v>53</v>
      </c>
    </row>
    <row r="2271" spans="1:40">
      <c r="A2271" t="s">
        <v>2370</v>
      </c>
      <c r="B2271" t="s">
        <v>7707</v>
      </c>
      <c r="C2271" t="s">
        <v>7711</v>
      </c>
      <c r="D2271" t="s">
        <v>52</v>
      </c>
      <c r="E2271" t="s">
        <v>7712</v>
      </c>
      <c r="F2271" t="s">
        <v>95</v>
      </c>
      <c r="G2271" t="str">
        <f>HYPERLINK("https://twitter.com/1088063545571532800/status/1143033658925862912")</f>
        <v>https://twitter.com/1088063545571532800/status/1143033658925862912</v>
      </c>
      <c r="H2271" t="s">
        <v>215</v>
      </c>
      <c r="I2271" t="s">
        <v>7713</v>
      </c>
      <c r="J2271" t="str">
        <f>HYPERLINK("http://twitter.com/Bambinobri2x")</f>
        <v>http://twitter.com/Bambinobri2x</v>
      </c>
      <c r="K2271">
        <v>142</v>
      </c>
      <c r="N2271" t="s">
        <v>65</v>
      </c>
      <c r="R2271" t="s">
        <v>60</v>
      </c>
      <c r="S2271" t="s">
        <v>51</v>
      </c>
      <c r="T2271" t="s">
        <v>3136</v>
      </c>
      <c r="U2271" t="s">
        <v>7714</v>
      </c>
      <c r="W2271">
        <v>1</v>
      </c>
      <c r="X2271">
        <v>1</v>
      </c>
      <c r="AE2271">
        <v>0</v>
      </c>
      <c r="AF2271">
        <v>0</v>
      </c>
      <c r="AM2271" t="s">
        <v>52</v>
      </c>
      <c r="AN2271" t="s">
        <v>53</v>
      </c>
    </row>
    <row r="2272" spans="1:40">
      <c r="A2272" t="s">
        <v>2370</v>
      </c>
      <c r="B2272" t="s">
        <v>7707</v>
      </c>
      <c r="C2272" t="s">
        <v>7715</v>
      </c>
      <c r="D2272" t="s">
        <v>52</v>
      </c>
      <c r="E2272" t="s">
        <v>7716</v>
      </c>
      <c r="F2272" t="s">
        <v>95</v>
      </c>
      <c r="G2272" t="str">
        <f>HYPERLINK("https://twitter.com/1084959269655625728/status/1143033516155953154")</f>
        <v>https://twitter.com/1084959269655625728/status/1143033516155953154</v>
      </c>
      <c r="H2272" t="s">
        <v>215</v>
      </c>
      <c r="I2272" t="s">
        <v>7717</v>
      </c>
      <c r="J2272" t="str">
        <f>HYPERLINK("http://twitter.com/blueamaya11")</f>
        <v>http://twitter.com/blueamaya11</v>
      </c>
      <c r="K2272">
        <v>35</v>
      </c>
      <c r="N2272" t="s">
        <v>65</v>
      </c>
      <c r="R2272" t="s">
        <v>60</v>
      </c>
      <c r="S2272" t="s">
        <v>4488</v>
      </c>
      <c r="W2272">
        <v>2</v>
      </c>
      <c r="X2272">
        <v>2</v>
      </c>
      <c r="AE2272">
        <v>0</v>
      </c>
      <c r="AF2272">
        <v>0</v>
      </c>
      <c r="AI2272" t="s">
        <v>108</v>
      </c>
      <c r="AJ2272" t="s">
        <v>52</v>
      </c>
      <c r="AK2272" t="s">
        <v>52</v>
      </c>
      <c r="AL2272" t="str">
        <f>HYPERLINK("https://pbs.twimg.com/media/D9ze62AWsAAo1x4.png")</f>
        <v>https://pbs.twimg.com/media/D9ze62AWsAAo1x4.png</v>
      </c>
      <c r="AM2272" t="s">
        <v>52</v>
      </c>
      <c r="AN2272" t="s">
        <v>53</v>
      </c>
    </row>
    <row r="2273" spans="1:40">
      <c r="A2273" t="s">
        <v>2370</v>
      </c>
      <c r="B2273" t="s">
        <v>7718</v>
      </c>
      <c r="C2273" t="s">
        <v>7719</v>
      </c>
      <c r="D2273" t="s">
        <v>52</v>
      </c>
      <c r="E2273" t="s">
        <v>7720</v>
      </c>
      <c r="F2273" t="s">
        <v>95</v>
      </c>
      <c r="G2273" t="str">
        <f>HYPERLINK("https://twitter.com/365180415/status/1143033282377998336")</f>
        <v>https://twitter.com/365180415/status/1143033282377998336</v>
      </c>
      <c r="H2273" t="s">
        <v>46</v>
      </c>
      <c r="I2273" t="s">
        <v>7721</v>
      </c>
      <c r="J2273" t="str">
        <f>HYPERLINK("http://twitter.com/lmaoyeadoe")</f>
        <v>http://twitter.com/lmaoyeadoe</v>
      </c>
      <c r="K2273">
        <v>442</v>
      </c>
      <c r="L2273" t="s">
        <v>48</v>
      </c>
      <c r="N2273" t="s">
        <v>65</v>
      </c>
      <c r="R2273" t="s">
        <v>60</v>
      </c>
      <c r="S2273" t="s">
        <v>315</v>
      </c>
      <c r="T2273" t="s">
        <v>2336</v>
      </c>
      <c r="U2273" t="s">
        <v>7722</v>
      </c>
      <c r="W2273">
        <v>0</v>
      </c>
      <c r="X2273">
        <v>0</v>
      </c>
      <c r="AE2273">
        <v>0</v>
      </c>
      <c r="AF2273">
        <v>0</v>
      </c>
      <c r="AM2273" t="s">
        <v>52</v>
      </c>
      <c r="AN2273" t="s">
        <v>53</v>
      </c>
    </row>
    <row r="2274" spans="1:40">
      <c r="A2274" t="s">
        <v>2370</v>
      </c>
      <c r="B2274" t="s">
        <v>1969</v>
      </c>
      <c r="C2274" t="s">
        <v>7723</v>
      </c>
      <c r="D2274" t="s">
        <v>52</v>
      </c>
      <c r="E2274" t="s">
        <v>7724</v>
      </c>
      <c r="F2274" t="s">
        <v>45</v>
      </c>
      <c r="G2274" t="str">
        <f>HYPERLINK("https://twitter.com/365180415/status/1143032965682880512")</f>
        <v>https://twitter.com/365180415/status/1143032965682880512</v>
      </c>
      <c r="H2274" t="s">
        <v>46</v>
      </c>
      <c r="I2274" t="s">
        <v>7721</v>
      </c>
      <c r="J2274" t="str">
        <f>HYPERLINK("http://twitter.com/lmaoyeadoe")</f>
        <v>http://twitter.com/lmaoyeadoe</v>
      </c>
      <c r="K2274">
        <v>442</v>
      </c>
      <c r="L2274" t="s">
        <v>48</v>
      </c>
      <c r="N2274" t="s">
        <v>65</v>
      </c>
      <c r="R2274" t="s">
        <v>60</v>
      </c>
      <c r="S2274" t="s">
        <v>315</v>
      </c>
      <c r="T2274" t="s">
        <v>2336</v>
      </c>
      <c r="U2274" t="s">
        <v>7722</v>
      </c>
      <c r="W2274">
        <v>0</v>
      </c>
      <c r="X2274">
        <v>0</v>
      </c>
      <c r="AE2274">
        <v>0</v>
      </c>
      <c r="AF2274">
        <v>0</v>
      </c>
      <c r="AM2274" t="s">
        <v>52</v>
      </c>
      <c r="AN2274" t="s">
        <v>53</v>
      </c>
    </row>
    <row r="2275" spans="1:40">
      <c r="A2275" t="s">
        <v>2370</v>
      </c>
      <c r="B2275" t="s">
        <v>1969</v>
      </c>
      <c r="C2275" t="s">
        <v>7715</v>
      </c>
      <c r="D2275" t="s">
        <v>52</v>
      </c>
      <c r="E2275" t="s">
        <v>7725</v>
      </c>
      <c r="F2275" t="s">
        <v>45</v>
      </c>
      <c r="G2275" t="str">
        <f>HYPERLINK("https://twitter.com/3267400639/status/1143032859105435653")</f>
        <v>https://twitter.com/3267400639/status/1143032859105435653</v>
      </c>
      <c r="H2275" t="s">
        <v>46</v>
      </c>
      <c r="I2275" t="s">
        <v>7726</v>
      </c>
      <c r="J2275" t="str">
        <f>HYPERLINK("http://twitter.com/hojpg2")</f>
        <v>http://twitter.com/hojpg2</v>
      </c>
      <c r="K2275">
        <v>1256</v>
      </c>
      <c r="N2275" t="s">
        <v>65</v>
      </c>
      <c r="R2275" t="s">
        <v>60</v>
      </c>
      <c r="W2275">
        <v>5</v>
      </c>
      <c r="X2275">
        <v>5</v>
      </c>
      <c r="AE2275">
        <v>0</v>
      </c>
      <c r="AF2275">
        <v>0</v>
      </c>
      <c r="AM2275" t="s">
        <v>52</v>
      </c>
      <c r="AN2275" t="s">
        <v>53</v>
      </c>
    </row>
    <row r="2276" spans="1:40">
      <c r="A2276" t="s">
        <v>2370</v>
      </c>
      <c r="B2276" t="s">
        <v>7727</v>
      </c>
      <c r="C2276" t="s">
        <v>7728</v>
      </c>
      <c r="D2276" t="s">
        <v>52</v>
      </c>
      <c r="E2276" t="s">
        <v>7729</v>
      </c>
      <c r="F2276" t="s">
        <v>45</v>
      </c>
      <c r="G2276" t="str">
        <f>HYPERLINK("https://twitter.com/1061997394005577730/status/1143032576694767616")</f>
        <v>https://twitter.com/1061997394005577730/status/1143032576694767616</v>
      </c>
      <c r="H2276" t="s">
        <v>46</v>
      </c>
      <c r="I2276" t="s">
        <v>7730</v>
      </c>
      <c r="J2276" t="str">
        <f>HYPERLINK("http://twitter.com/JaneBroke")</f>
        <v>http://twitter.com/JaneBroke</v>
      </c>
      <c r="K2276">
        <v>19</v>
      </c>
      <c r="N2276" t="s">
        <v>65</v>
      </c>
      <c r="R2276" t="s">
        <v>60</v>
      </c>
      <c r="W2276">
        <v>0</v>
      </c>
      <c r="X2276">
        <v>0</v>
      </c>
      <c r="AE2276">
        <v>0</v>
      </c>
      <c r="AF2276">
        <v>0</v>
      </c>
      <c r="AM2276" t="s">
        <v>52</v>
      </c>
      <c r="AN2276" t="s">
        <v>53</v>
      </c>
    </row>
    <row r="2277" spans="1:40">
      <c r="A2277" t="s">
        <v>2370</v>
      </c>
      <c r="B2277" t="s">
        <v>7727</v>
      </c>
      <c r="C2277" t="s">
        <v>7731</v>
      </c>
      <c r="D2277" t="s">
        <v>52</v>
      </c>
      <c r="E2277" t="s">
        <v>7732</v>
      </c>
      <c r="F2277" t="s">
        <v>45</v>
      </c>
      <c r="G2277" t="str">
        <f>HYPERLINK("https://twitter.com/1315631618/status/1143032504393318401")</f>
        <v>https://twitter.com/1315631618/status/1143032504393318401</v>
      </c>
      <c r="H2277" t="s">
        <v>215</v>
      </c>
      <c r="I2277" t="s">
        <v>7733</v>
      </c>
      <c r="J2277" t="str">
        <f>HYPERLINK("http://twitter.com/Elizabethl1231")</f>
        <v>http://twitter.com/Elizabethl1231</v>
      </c>
      <c r="K2277">
        <v>537</v>
      </c>
      <c r="L2277" t="s">
        <v>58</v>
      </c>
      <c r="N2277" t="s">
        <v>65</v>
      </c>
      <c r="R2277" t="s">
        <v>60</v>
      </c>
      <c r="W2277">
        <v>1</v>
      </c>
      <c r="X2277">
        <v>1</v>
      </c>
      <c r="AE2277">
        <v>0</v>
      </c>
      <c r="AF2277">
        <v>0</v>
      </c>
      <c r="AM2277" t="s">
        <v>52</v>
      </c>
      <c r="AN2277" t="s">
        <v>53</v>
      </c>
    </row>
    <row r="2278" spans="1:40">
      <c r="A2278" t="s">
        <v>2370</v>
      </c>
      <c r="B2278" t="s">
        <v>2010</v>
      </c>
      <c r="C2278" t="s">
        <v>7728</v>
      </c>
      <c r="D2278" t="s">
        <v>52</v>
      </c>
      <c r="E2278" t="s">
        <v>7734</v>
      </c>
      <c r="F2278" t="s">
        <v>71</v>
      </c>
      <c r="G2278" t="str">
        <f>HYPERLINK("https://twitter.com/946507015735701505/status/1143031209792086016")</f>
        <v>https://twitter.com/946507015735701505/status/1143031209792086016</v>
      </c>
      <c r="H2278" t="s">
        <v>46</v>
      </c>
      <c r="I2278" t="s">
        <v>7735</v>
      </c>
      <c r="J2278" t="str">
        <f>HYPERLINK("http://twitter.com/Tumi_Pacheco")</f>
        <v>http://twitter.com/Tumi_Pacheco</v>
      </c>
      <c r="K2278">
        <v>4388</v>
      </c>
      <c r="N2278" t="s">
        <v>65</v>
      </c>
      <c r="R2278" t="s">
        <v>60</v>
      </c>
      <c r="W2278">
        <v>1</v>
      </c>
      <c r="X2278">
        <v>1</v>
      </c>
      <c r="AE2278">
        <v>0</v>
      </c>
      <c r="AF2278">
        <v>0</v>
      </c>
      <c r="AM2278" t="s">
        <v>52</v>
      </c>
      <c r="AN2278" t="s">
        <v>53</v>
      </c>
    </row>
    <row r="2279" spans="1:40">
      <c r="A2279" t="s">
        <v>2370</v>
      </c>
      <c r="B2279" t="s">
        <v>2010</v>
      </c>
      <c r="C2279" t="s">
        <v>7731</v>
      </c>
      <c r="D2279" t="s">
        <v>52</v>
      </c>
      <c r="E2279" t="s">
        <v>7306</v>
      </c>
      <c r="F2279" t="s">
        <v>131</v>
      </c>
      <c r="G2279" t="str">
        <f>HYPERLINK("https://twitter.com/2205592676/status/1143031179018457089")</f>
        <v>https://twitter.com/2205592676/status/1143031179018457089</v>
      </c>
      <c r="H2279" t="s">
        <v>215</v>
      </c>
      <c r="I2279" t="s">
        <v>7736</v>
      </c>
      <c r="J2279" t="str">
        <f>HYPERLINK("http://twitter.com/CAKEYWINGS")</f>
        <v>http://twitter.com/CAKEYWINGS</v>
      </c>
      <c r="K2279">
        <v>828</v>
      </c>
      <c r="N2279" t="s">
        <v>65</v>
      </c>
      <c r="R2279" t="s">
        <v>60</v>
      </c>
      <c r="W2279">
        <v>0</v>
      </c>
      <c r="X2279">
        <v>0</v>
      </c>
      <c r="AE2279">
        <v>0</v>
      </c>
      <c r="AM2279" t="s">
        <v>52</v>
      </c>
      <c r="AN2279" t="s">
        <v>53</v>
      </c>
    </row>
    <row r="2280" spans="1:40">
      <c r="A2280" t="s">
        <v>2370</v>
      </c>
      <c r="B2280" t="s">
        <v>2010</v>
      </c>
      <c r="C2280" t="s">
        <v>7737</v>
      </c>
      <c r="D2280" t="s">
        <v>52</v>
      </c>
      <c r="E2280" t="s">
        <v>7738</v>
      </c>
      <c r="F2280" t="s">
        <v>45</v>
      </c>
      <c r="G2280" t="str">
        <f>HYPERLINK("https://www.instagram.com/p/BzFME28B0zb")</f>
        <v>https://www.instagram.com/p/BzFME28B0zb</v>
      </c>
      <c r="H2280" t="s">
        <v>46</v>
      </c>
      <c r="I2280" t="s">
        <v>7739</v>
      </c>
      <c r="J2280" t="str">
        <f>HYPERLINK("http://instagram.com/ethanhoey")</f>
        <v>http://instagram.com/ethanhoey</v>
      </c>
      <c r="K2280">
        <v>682</v>
      </c>
      <c r="L2280" t="s">
        <v>48</v>
      </c>
      <c r="N2280" t="s">
        <v>59</v>
      </c>
      <c r="O2280" t="s">
        <v>7739</v>
      </c>
      <c r="P2280" t="str">
        <f>HYPERLINK("http://instagram.com/ethanhoey")</f>
        <v>http://instagram.com/ethanhoey</v>
      </c>
      <c r="Q2280">
        <v>682</v>
      </c>
      <c r="R2280" t="s">
        <v>60</v>
      </c>
      <c r="W2280">
        <v>14</v>
      </c>
      <c r="X2280">
        <v>14</v>
      </c>
      <c r="AE2280">
        <v>1</v>
      </c>
      <c r="AG2280">
        <v>10</v>
      </c>
      <c r="AI2280" t="s">
        <v>52</v>
      </c>
      <c r="AJ2280" t="s">
        <v>458</v>
      </c>
      <c r="AK2280" t="s">
        <v>110</v>
      </c>
      <c r="AL2280" t="str">
        <f>HYPERLINK("https://www.instagram.com/p/BzFME28B0zb/media/?size=l")</f>
        <v>https://www.instagram.com/p/BzFME28B0zb/media/?size=l</v>
      </c>
      <c r="AM2280" t="s">
        <v>52</v>
      </c>
      <c r="AN2280" t="s">
        <v>53</v>
      </c>
    </row>
    <row r="2281" spans="1:40">
      <c r="A2281" t="s">
        <v>2370</v>
      </c>
      <c r="B2281" t="s">
        <v>7740</v>
      </c>
      <c r="C2281" t="s">
        <v>7741</v>
      </c>
      <c r="D2281" t="s">
        <v>52</v>
      </c>
      <c r="E2281" t="s">
        <v>7742</v>
      </c>
      <c r="F2281" t="s">
        <v>95</v>
      </c>
      <c r="G2281" t="str">
        <f>HYPERLINK("https://twitter.com/1015328243791122433/status/1143030962499964933")</f>
        <v>https://twitter.com/1015328243791122433/status/1143030962499964933</v>
      </c>
      <c r="H2281" t="s">
        <v>46</v>
      </c>
      <c r="I2281" t="s">
        <v>7709</v>
      </c>
      <c r="J2281" t="str">
        <f>HYPERLINK("http://twitter.com/whipped2wish")</f>
        <v>http://twitter.com/whipped2wish</v>
      </c>
      <c r="K2281">
        <v>147</v>
      </c>
      <c r="N2281" t="s">
        <v>65</v>
      </c>
      <c r="R2281" t="s">
        <v>60</v>
      </c>
      <c r="W2281">
        <v>21</v>
      </c>
      <c r="X2281">
        <v>21</v>
      </c>
      <c r="AE2281">
        <v>0</v>
      </c>
      <c r="AF2281">
        <v>6</v>
      </c>
      <c r="AI2281" t="s">
        <v>108</v>
      </c>
      <c r="AJ2281" t="s">
        <v>52</v>
      </c>
      <c r="AK2281" t="s">
        <v>52</v>
      </c>
      <c r="AL2281" t="str">
        <f>HYPERLINK("https://pbs.twimg.com/media/D9zcfUPUcAAu9h6.jpg")</f>
        <v>https://pbs.twimg.com/media/D9zcfUPUcAAu9h6.jpg</v>
      </c>
      <c r="AM2281" t="s">
        <v>52</v>
      </c>
      <c r="AN2281" t="s">
        <v>53</v>
      </c>
    </row>
    <row r="2282" spans="1:40">
      <c r="A2282" t="s">
        <v>2370</v>
      </c>
      <c r="B2282" t="s">
        <v>7740</v>
      </c>
      <c r="C2282" t="s">
        <v>7737</v>
      </c>
      <c r="D2282" t="s">
        <v>52</v>
      </c>
      <c r="E2282" t="s">
        <v>7743</v>
      </c>
      <c r="F2282" t="s">
        <v>45</v>
      </c>
      <c r="G2282" t="str">
        <f>HYPERLINK("https://twitter.com/354713353/status/1143030835551059968")</f>
        <v>https://twitter.com/354713353/status/1143030835551059968</v>
      </c>
      <c r="H2282" t="s">
        <v>46</v>
      </c>
      <c r="I2282" t="s">
        <v>7744</v>
      </c>
      <c r="J2282" t="str">
        <f>HYPERLINK("http://twitter.com/MagiAshley")</f>
        <v>http://twitter.com/MagiAshley</v>
      </c>
      <c r="K2282">
        <v>1267</v>
      </c>
      <c r="N2282" t="s">
        <v>65</v>
      </c>
      <c r="R2282" t="s">
        <v>60</v>
      </c>
      <c r="S2282" t="s">
        <v>387</v>
      </c>
      <c r="T2282" t="s">
        <v>2981</v>
      </c>
      <c r="U2282" t="s">
        <v>7015</v>
      </c>
      <c r="W2282">
        <v>1</v>
      </c>
      <c r="X2282">
        <v>1</v>
      </c>
      <c r="AE2282">
        <v>0</v>
      </c>
      <c r="AF2282">
        <v>0</v>
      </c>
      <c r="AM2282" t="s">
        <v>52</v>
      </c>
      <c r="AN2282" t="s">
        <v>53</v>
      </c>
    </row>
    <row r="2283" spans="1:40">
      <c r="A2283" t="s">
        <v>2370</v>
      </c>
      <c r="B2283" t="s">
        <v>7740</v>
      </c>
      <c r="C2283" t="s">
        <v>7745</v>
      </c>
      <c r="D2283" t="s">
        <v>52</v>
      </c>
      <c r="E2283" t="s">
        <v>1194</v>
      </c>
      <c r="F2283" t="s">
        <v>131</v>
      </c>
      <c r="G2283" t="str">
        <f>HYPERLINK("https://twitter.com/476810215/status/1143030805003829248")</f>
        <v>https://twitter.com/476810215/status/1143030805003829248</v>
      </c>
      <c r="H2283" t="s">
        <v>46</v>
      </c>
      <c r="I2283" t="s">
        <v>7746</v>
      </c>
      <c r="J2283" t="str">
        <f>HYPERLINK("http://twitter.com/JoeMzba_")</f>
        <v>http://twitter.com/JoeMzba_</v>
      </c>
      <c r="K2283">
        <v>3409</v>
      </c>
      <c r="N2283" t="s">
        <v>65</v>
      </c>
      <c r="R2283" t="s">
        <v>60</v>
      </c>
      <c r="S2283" t="s">
        <v>1741</v>
      </c>
      <c r="T2283" t="s">
        <v>7747</v>
      </c>
      <c r="U2283" t="s">
        <v>7748</v>
      </c>
      <c r="W2283">
        <v>0</v>
      </c>
      <c r="X2283">
        <v>0</v>
      </c>
      <c r="AE2283">
        <v>0</v>
      </c>
      <c r="AI2283" t="s">
        <v>52</v>
      </c>
      <c r="AJ2283" t="s">
        <v>1196</v>
      </c>
      <c r="AK2283" t="s">
        <v>52</v>
      </c>
      <c r="AL2283" t="str">
        <f>HYPERLINK("https://pbs.twimg.com/media/D9xgk2YXkAAd2ql.jpg")</f>
        <v>https://pbs.twimg.com/media/D9xgk2YXkAAd2ql.jpg</v>
      </c>
      <c r="AM2283" t="s">
        <v>52</v>
      </c>
      <c r="AN2283" t="s">
        <v>53</v>
      </c>
    </row>
    <row r="2284" spans="1:40">
      <c r="A2284" t="s">
        <v>2370</v>
      </c>
      <c r="B2284" t="s">
        <v>7749</v>
      </c>
      <c r="C2284" t="s">
        <v>7745</v>
      </c>
      <c r="D2284" t="s">
        <v>52</v>
      </c>
      <c r="E2284" t="s">
        <v>130</v>
      </c>
      <c r="F2284" t="s">
        <v>131</v>
      </c>
      <c r="G2284" t="str">
        <f>HYPERLINK("https://twitter.com/58271193/status/1143030720140644352")</f>
        <v>https://twitter.com/58271193/status/1143030720140644352</v>
      </c>
      <c r="H2284" t="s">
        <v>46</v>
      </c>
      <c r="I2284" t="s">
        <v>7750</v>
      </c>
      <c r="J2284" t="str">
        <f>HYPERLINK("http://twitter.com/SMOKEYFORMBY")</f>
        <v>http://twitter.com/SMOKEYFORMBY</v>
      </c>
      <c r="K2284">
        <v>6278</v>
      </c>
      <c r="N2284" t="s">
        <v>65</v>
      </c>
      <c r="R2284" t="s">
        <v>60</v>
      </c>
      <c r="W2284">
        <v>0</v>
      </c>
      <c r="X2284">
        <v>0</v>
      </c>
      <c r="AE2284">
        <v>0</v>
      </c>
      <c r="AI2284" t="s">
        <v>108</v>
      </c>
      <c r="AJ2284" t="s">
        <v>52</v>
      </c>
      <c r="AK2284" t="s">
        <v>52</v>
      </c>
      <c r="AL2284" t="str">
        <f>HYPERLINK("https://pbs.twimg.com/media/D9XTkLWW4AAOYnJ.jpg")</f>
        <v>https://pbs.twimg.com/media/D9XTkLWW4AAOYnJ.jpg</v>
      </c>
      <c r="AM2284" t="s">
        <v>52</v>
      </c>
      <c r="AN2284" t="s">
        <v>53</v>
      </c>
    </row>
    <row r="2285" spans="1:40">
      <c r="A2285" t="s">
        <v>2370</v>
      </c>
      <c r="B2285" t="s">
        <v>7749</v>
      </c>
      <c r="C2285" t="s">
        <v>7751</v>
      </c>
      <c r="D2285" t="s">
        <v>52</v>
      </c>
      <c r="E2285" t="s">
        <v>7752</v>
      </c>
      <c r="F2285" t="s">
        <v>45</v>
      </c>
      <c r="G2285" t="str">
        <f>HYPERLINK("https://www.instagram.com/p/BzFMDS5HPeL")</f>
        <v>https://www.instagram.com/p/BzFMDS5HPeL</v>
      </c>
      <c r="H2285" t="s">
        <v>46</v>
      </c>
      <c r="I2285" t="s">
        <v>7753</v>
      </c>
      <c r="J2285" t="str">
        <f>HYPERLINK("http://instagram.com/miya_stampzzz")</f>
        <v>http://instagram.com/miya_stampzzz</v>
      </c>
      <c r="K2285">
        <v>4</v>
      </c>
      <c r="N2285" t="s">
        <v>59</v>
      </c>
      <c r="O2285" t="s">
        <v>7753</v>
      </c>
      <c r="P2285" t="str">
        <f>HYPERLINK("http://instagram.com/miya_stampzzz")</f>
        <v>http://instagram.com/miya_stampzzz</v>
      </c>
      <c r="Q2285">
        <v>4</v>
      </c>
      <c r="R2285" t="s">
        <v>60</v>
      </c>
      <c r="W2285">
        <v>10</v>
      </c>
      <c r="X2285">
        <v>10</v>
      </c>
      <c r="AE2285">
        <v>1</v>
      </c>
      <c r="AI2285" t="s">
        <v>108</v>
      </c>
      <c r="AJ2285" t="s">
        <v>7754</v>
      </c>
      <c r="AK2285" t="s">
        <v>52</v>
      </c>
      <c r="AL2285" t="str">
        <f>HYPERLINK("https://www.instagram.com/p/BzFMDS5HPeL/media/?size=l")</f>
        <v>https://www.instagram.com/p/BzFMDS5HPeL/media/?size=l</v>
      </c>
      <c r="AM2285" t="s">
        <v>52</v>
      </c>
      <c r="AN2285" t="s">
        <v>53</v>
      </c>
    </row>
    <row r="2286" spans="1:40">
      <c r="A2286" t="s">
        <v>2370</v>
      </c>
      <c r="B2286" t="s">
        <v>2014</v>
      </c>
      <c r="C2286" t="s">
        <v>7755</v>
      </c>
      <c r="D2286" t="s">
        <v>52</v>
      </c>
      <c r="E2286" t="s">
        <v>7756</v>
      </c>
      <c r="F2286" t="s">
        <v>45</v>
      </c>
      <c r="G2286" t="str">
        <f>HYPERLINK("https://twitter.com/253372250/status/1143030316971388928")</f>
        <v>https://twitter.com/253372250/status/1143030316971388928</v>
      </c>
      <c r="H2286" t="s">
        <v>46</v>
      </c>
      <c r="I2286" t="s">
        <v>7757</v>
      </c>
      <c r="J2286" t="str">
        <f>HYPERLINK("http://twitter.com/suesanah")</f>
        <v>http://twitter.com/suesanah</v>
      </c>
      <c r="K2286">
        <v>128</v>
      </c>
      <c r="N2286" t="s">
        <v>65</v>
      </c>
      <c r="R2286" t="s">
        <v>60</v>
      </c>
      <c r="S2286" t="s">
        <v>51</v>
      </c>
      <c r="T2286" t="s">
        <v>173</v>
      </c>
      <c r="U2286" t="s">
        <v>1214</v>
      </c>
      <c r="W2286">
        <v>0</v>
      </c>
      <c r="X2286">
        <v>0</v>
      </c>
      <c r="AE2286">
        <v>0</v>
      </c>
      <c r="AF2286">
        <v>0</v>
      </c>
      <c r="AM2286" t="s">
        <v>52</v>
      </c>
      <c r="AN2286" t="s">
        <v>53</v>
      </c>
    </row>
    <row r="2287" spans="1:40">
      <c r="A2287" t="s">
        <v>2370</v>
      </c>
      <c r="B2287" t="s">
        <v>2018</v>
      </c>
      <c r="C2287" t="s">
        <v>7758</v>
      </c>
      <c r="D2287" t="s">
        <v>52</v>
      </c>
      <c r="E2287" t="s">
        <v>1900</v>
      </c>
      <c r="F2287" t="s">
        <v>95</v>
      </c>
      <c r="G2287" t="str">
        <f>HYPERLINK("https://twitter.com/1015328243791122433/status/1143030162461618176")</f>
        <v>https://twitter.com/1015328243791122433/status/1143030162461618176</v>
      </c>
      <c r="H2287" t="s">
        <v>46</v>
      </c>
      <c r="I2287" t="s">
        <v>7709</v>
      </c>
      <c r="J2287" t="str">
        <f>HYPERLINK("http://twitter.com/whipped2wish")</f>
        <v>http://twitter.com/whipped2wish</v>
      </c>
      <c r="K2287">
        <v>147</v>
      </c>
      <c r="N2287" t="s">
        <v>65</v>
      </c>
      <c r="R2287" t="s">
        <v>60</v>
      </c>
      <c r="W2287">
        <v>17</v>
      </c>
      <c r="X2287">
        <v>17</v>
      </c>
      <c r="AE2287">
        <v>0</v>
      </c>
      <c r="AF2287">
        <v>6</v>
      </c>
      <c r="AI2287" t="s">
        <v>52</v>
      </c>
      <c r="AJ2287" t="s">
        <v>1901</v>
      </c>
      <c r="AK2287" t="s">
        <v>52</v>
      </c>
      <c r="AL2287" t="str">
        <f>HYPERLINK("https://pbs.twimg.com/media/D9zbTcxVAAADaUG.jpg")</f>
        <v>https://pbs.twimg.com/media/D9zbTcxVAAADaUG.jpg</v>
      </c>
      <c r="AM2287" t="s">
        <v>52</v>
      </c>
      <c r="AN2287" t="s">
        <v>53</v>
      </c>
    </row>
    <row r="2288" spans="1:40">
      <c r="A2288" t="s">
        <v>2370</v>
      </c>
      <c r="B2288" t="s">
        <v>7759</v>
      </c>
      <c r="C2288" t="s">
        <v>7758</v>
      </c>
      <c r="D2288" t="s">
        <v>52</v>
      </c>
      <c r="E2288" t="s">
        <v>7760</v>
      </c>
      <c r="F2288" t="s">
        <v>45</v>
      </c>
      <c r="G2288" t="str">
        <f>HYPERLINK("https://twitter.com/88556492/status/1143029209658548224")</f>
        <v>https://twitter.com/88556492/status/1143029209658548224</v>
      </c>
      <c r="H2288" t="s">
        <v>215</v>
      </c>
      <c r="I2288" t="s">
        <v>7761</v>
      </c>
      <c r="J2288" t="str">
        <f>HYPERLINK("http://twitter.com/Foreverband100")</f>
        <v>http://twitter.com/Foreverband100</v>
      </c>
      <c r="K2288">
        <v>950</v>
      </c>
      <c r="N2288" t="s">
        <v>65</v>
      </c>
      <c r="R2288" t="s">
        <v>60</v>
      </c>
      <c r="W2288">
        <v>0</v>
      </c>
      <c r="X2288">
        <v>0</v>
      </c>
      <c r="AE2288">
        <v>0</v>
      </c>
      <c r="AF2288">
        <v>0</v>
      </c>
      <c r="AM2288" t="s">
        <v>52</v>
      </c>
      <c r="AN2288" t="s">
        <v>53</v>
      </c>
    </row>
    <row r="2289" spans="1:40">
      <c r="A2289" t="s">
        <v>2370</v>
      </c>
      <c r="B2289" t="s">
        <v>2037</v>
      </c>
      <c r="C2289" t="s">
        <v>7762</v>
      </c>
      <c r="D2289" t="s">
        <v>52</v>
      </c>
      <c r="E2289" t="s">
        <v>7763</v>
      </c>
      <c r="F2289" t="s">
        <v>45</v>
      </c>
      <c r="G2289" t="str">
        <f>HYPERLINK("https://twitter.com/2223558062/status/1143028570731810817")</f>
        <v>https://twitter.com/2223558062/status/1143028570731810817</v>
      </c>
      <c r="H2289" t="s">
        <v>46</v>
      </c>
      <c r="I2289" t="s">
        <v>7764</v>
      </c>
      <c r="J2289" t="str">
        <f>HYPERLINK("http://twitter.com/LopezYenkeiber")</f>
        <v>http://twitter.com/LopezYenkeiber</v>
      </c>
      <c r="K2289">
        <v>5</v>
      </c>
      <c r="N2289" t="s">
        <v>65</v>
      </c>
      <c r="R2289" t="s">
        <v>60</v>
      </c>
      <c r="S2289" t="s">
        <v>210</v>
      </c>
      <c r="T2289" t="s">
        <v>7765</v>
      </c>
      <c r="U2289" t="s">
        <v>7766</v>
      </c>
      <c r="W2289">
        <v>0</v>
      </c>
      <c r="X2289">
        <v>0</v>
      </c>
      <c r="AE2289">
        <v>0</v>
      </c>
      <c r="AF2289">
        <v>0</v>
      </c>
      <c r="AM2289" t="s">
        <v>52</v>
      </c>
      <c r="AN2289" t="s">
        <v>53</v>
      </c>
    </row>
    <row r="2290" spans="1:40">
      <c r="A2290" t="s">
        <v>2370</v>
      </c>
      <c r="B2290" t="s">
        <v>2037</v>
      </c>
      <c r="C2290" t="s">
        <v>7767</v>
      </c>
      <c r="D2290" t="s">
        <v>52</v>
      </c>
      <c r="E2290" t="s">
        <v>1194</v>
      </c>
      <c r="F2290" t="s">
        <v>131</v>
      </c>
      <c r="G2290" t="str">
        <f>HYPERLINK("https://twitter.com/2608714490/status/1143028510786609153")</f>
        <v>https://twitter.com/2608714490/status/1143028510786609153</v>
      </c>
      <c r="H2290" t="s">
        <v>46</v>
      </c>
      <c r="I2290" t="s">
        <v>7768</v>
      </c>
      <c r="J2290" t="str">
        <f>HYPERLINK("http://twitter.com/1sadcowboy")</f>
        <v>http://twitter.com/1sadcowboy</v>
      </c>
      <c r="K2290">
        <v>97</v>
      </c>
      <c r="N2290" t="s">
        <v>65</v>
      </c>
      <c r="R2290" t="s">
        <v>60</v>
      </c>
      <c r="W2290">
        <v>0</v>
      </c>
      <c r="X2290">
        <v>0</v>
      </c>
      <c r="AE2290">
        <v>0</v>
      </c>
      <c r="AI2290" t="s">
        <v>52</v>
      </c>
      <c r="AJ2290" t="s">
        <v>1196</v>
      </c>
      <c r="AK2290" t="s">
        <v>52</v>
      </c>
      <c r="AL2290" t="str">
        <f>HYPERLINK("https://pbs.twimg.com/media/D9xgk2YXkAAd2ql.jpg")</f>
        <v>https://pbs.twimg.com/media/D9xgk2YXkAAd2ql.jpg</v>
      </c>
      <c r="AM2290" t="s">
        <v>52</v>
      </c>
      <c r="AN2290" t="s">
        <v>53</v>
      </c>
    </row>
    <row r="2291" spans="1:40">
      <c r="A2291" t="s">
        <v>2370</v>
      </c>
      <c r="B2291" t="s">
        <v>2037</v>
      </c>
      <c r="C2291" t="s">
        <v>7769</v>
      </c>
      <c r="D2291" t="s">
        <v>52</v>
      </c>
      <c r="E2291" t="s">
        <v>7770</v>
      </c>
      <c r="F2291" t="s">
        <v>45</v>
      </c>
      <c r="G2291" t="str">
        <f>HYPERLINK("https://twitter.com/778054165851312128/status/1143028485658685440")</f>
        <v>https://twitter.com/778054165851312128/status/1143028485658685440</v>
      </c>
      <c r="H2291" t="s">
        <v>46</v>
      </c>
      <c r="I2291" t="s">
        <v>7771</v>
      </c>
      <c r="J2291" t="str">
        <f>HYPERLINK("http://twitter.com/Is_Dade_Boi")</f>
        <v>http://twitter.com/Is_Dade_Boi</v>
      </c>
      <c r="K2291">
        <v>258</v>
      </c>
      <c r="N2291" t="s">
        <v>65</v>
      </c>
      <c r="R2291" t="s">
        <v>60</v>
      </c>
      <c r="S2291" t="s">
        <v>51</v>
      </c>
      <c r="T2291" t="s">
        <v>152</v>
      </c>
      <c r="W2291">
        <v>14</v>
      </c>
      <c r="X2291">
        <v>14</v>
      </c>
      <c r="AE2291">
        <v>1</v>
      </c>
      <c r="AF2291">
        <v>1</v>
      </c>
      <c r="AM2291" t="s">
        <v>52</v>
      </c>
      <c r="AN2291" t="s">
        <v>53</v>
      </c>
    </row>
    <row r="2292" spans="1:40">
      <c r="A2292" t="s">
        <v>2370</v>
      </c>
      <c r="B2292" t="s">
        <v>2037</v>
      </c>
      <c r="C2292" t="s">
        <v>7772</v>
      </c>
      <c r="D2292" t="s">
        <v>52</v>
      </c>
      <c r="E2292" t="s">
        <v>130</v>
      </c>
      <c r="F2292" t="s">
        <v>131</v>
      </c>
      <c r="G2292" t="str">
        <f>HYPERLINK("https://twitter.com/889760875736903680/status/1143028488359878657")</f>
        <v>https://twitter.com/889760875736903680/status/1143028488359878657</v>
      </c>
      <c r="H2292" t="s">
        <v>46</v>
      </c>
      <c r="I2292" t="s">
        <v>7773</v>
      </c>
      <c r="J2292" t="str">
        <f>HYPERLINK("http://twitter.com/HeidiStuart24")</f>
        <v>http://twitter.com/HeidiStuart24</v>
      </c>
      <c r="K2292">
        <v>53</v>
      </c>
      <c r="N2292" t="s">
        <v>65</v>
      </c>
      <c r="R2292" t="s">
        <v>60</v>
      </c>
      <c r="S2292" t="s">
        <v>97</v>
      </c>
      <c r="T2292" t="s">
        <v>177</v>
      </c>
      <c r="U2292" t="s">
        <v>7774</v>
      </c>
      <c r="W2292">
        <v>0</v>
      </c>
      <c r="X2292">
        <v>0</v>
      </c>
      <c r="AE2292">
        <v>0</v>
      </c>
      <c r="AI2292" t="s">
        <v>108</v>
      </c>
      <c r="AJ2292" t="s">
        <v>52</v>
      </c>
      <c r="AK2292" t="s">
        <v>52</v>
      </c>
      <c r="AL2292" t="str">
        <f>HYPERLINK("https://pbs.twimg.com/media/D9XTkLWW4AAOYnJ.jpg")</f>
        <v>https://pbs.twimg.com/media/D9XTkLWW4AAOYnJ.jpg</v>
      </c>
      <c r="AM2292" t="s">
        <v>52</v>
      </c>
      <c r="AN2292" t="s">
        <v>53</v>
      </c>
    </row>
    <row r="2293" spans="1:40">
      <c r="A2293" t="s">
        <v>2370</v>
      </c>
      <c r="B2293" t="s">
        <v>2041</v>
      </c>
      <c r="C2293" t="s">
        <v>7767</v>
      </c>
      <c r="D2293" t="s">
        <v>52</v>
      </c>
      <c r="E2293" t="s">
        <v>1194</v>
      </c>
      <c r="F2293" t="s">
        <v>131</v>
      </c>
      <c r="G2293" t="str">
        <f>HYPERLINK("https://twitter.com/990239889533820928/status/1143028476481376256")</f>
        <v>https://twitter.com/990239889533820928/status/1143028476481376256</v>
      </c>
      <c r="H2293" t="s">
        <v>46</v>
      </c>
      <c r="I2293" t="s">
        <v>7775</v>
      </c>
      <c r="J2293" t="str">
        <f>HYPERLINK("http://twitter.com/clitoriot")</f>
        <v>http://twitter.com/clitoriot</v>
      </c>
      <c r="K2293">
        <v>108</v>
      </c>
      <c r="N2293" t="s">
        <v>65</v>
      </c>
      <c r="R2293" t="s">
        <v>60</v>
      </c>
      <c r="W2293">
        <v>0</v>
      </c>
      <c r="X2293">
        <v>0</v>
      </c>
      <c r="AE2293">
        <v>0</v>
      </c>
      <c r="AI2293" t="s">
        <v>52</v>
      </c>
      <c r="AJ2293" t="s">
        <v>1196</v>
      </c>
      <c r="AK2293" t="s">
        <v>52</v>
      </c>
      <c r="AL2293" t="str">
        <f>HYPERLINK("https://pbs.twimg.com/media/D9xgk2YXkAAd2ql.jpg")</f>
        <v>https://pbs.twimg.com/media/D9xgk2YXkAAd2ql.jpg</v>
      </c>
      <c r="AM2293" t="s">
        <v>52</v>
      </c>
      <c r="AN2293" t="s">
        <v>53</v>
      </c>
    </row>
    <row r="2294" spans="1:40">
      <c r="A2294" t="s">
        <v>2370</v>
      </c>
      <c r="B2294" t="s">
        <v>2041</v>
      </c>
      <c r="C2294" t="s">
        <v>7755</v>
      </c>
      <c r="D2294" t="s">
        <v>52</v>
      </c>
      <c r="E2294" t="s">
        <v>7776</v>
      </c>
      <c r="F2294" t="s">
        <v>95</v>
      </c>
      <c r="G2294" t="str">
        <f>HYPERLINK("https://twitter.com/1082354003953008640/status/1143028427076751361")</f>
        <v>https://twitter.com/1082354003953008640/status/1143028427076751361</v>
      </c>
      <c r="H2294" t="s">
        <v>46</v>
      </c>
      <c r="I2294" t="s">
        <v>7777</v>
      </c>
      <c r="J2294" t="str">
        <f>HYPERLINK("http://twitter.com/DomTwinkLAXXX")</f>
        <v>http://twitter.com/DomTwinkLAXXX</v>
      </c>
      <c r="K2294">
        <v>2741</v>
      </c>
      <c r="N2294" t="s">
        <v>65</v>
      </c>
      <c r="R2294" t="s">
        <v>60</v>
      </c>
      <c r="S2294" t="s">
        <v>51</v>
      </c>
      <c r="T2294" t="s">
        <v>173</v>
      </c>
      <c r="U2294" t="s">
        <v>1214</v>
      </c>
      <c r="W2294">
        <v>3</v>
      </c>
      <c r="X2294">
        <v>3</v>
      </c>
      <c r="AE2294">
        <v>0</v>
      </c>
      <c r="AF2294">
        <v>0</v>
      </c>
      <c r="AM2294" t="s">
        <v>52</v>
      </c>
      <c r="AN2294" t="s">
        <v>53</v>
      </c>
    </row>
    <row r="2295" spans="1:40">
      <c r="A2295" t="s">
        <v>2370</v>
      </c>
      <c r="B2295" t="s">
        <v>2041</v>
      </c>
      <c r="C2295" t="s">
        <v>7769</v>
      </c>
      <c r="D2295" t="s">
        <v>52</v>
      </c>
      <c r="E2295" t="s">
        <v>1194</v>
      </c>
      <c r="F2295" t="s">
        <v>131</v>
      </c>
      <c r="G2295" t="str">
        <f>HYPERLINK("https://twitter.com/256296302/status/1143028313725767680")</f>
        <v>https://twitter.com/256296302/status/1143028313725767680</v>
      </c>
      <c r="H2295" t="s">
        <v>46</v>
      </c>
      <c r="I2295" t="s">
        <v>7778</v>
      </c>
      <c r="J2295" t="str">
        <f>HYPERLINK("http://twitter.com/davesalomone")</f>
        <v>http://twitter.com/davesalomone</v>
      </c>
      <c r="K2295">
        <v>139</v>
      </c>
      <c r="L2295" t="s">
        <v>48</v>
      </c>
      <c r="N2295" t="s">
        <v>65</v>
      </c>
      <c r="R2295" t="s">
        <v>60</v>
      </c>
      <c r="S2295" t="s">
        <v>51</v>
      </c>
      <c r="T2295" t="s">
        <v>3290</v>
      </c>
      <c r="U2295" t="s">
        <v>7779</v>
      </c>
      <c r="W2295">
        <v>0</v>
      </c>
      <c r="X2295">
        <v>0</v>
      </c>
      <c r="AE2295">
        <v>0</v>
      </c>
      <c r="AI2295" t="s">
        <v>52</v>
      </c>
      <c r="AJ2295" t="s">
        <v>1196</v>
      </c>
      <c r="AK2295" t="s">
        <v>52</v>
      </c>
      <c r="AL2295" t="str">
        <f>HYPERLINK("https://pbs.twimg.com/media/D9xgk2YXkAAd2ql.jpg")</f>
        <v>https://pbs.twimg.com/media/D9xgk2YXkAAd2ql.jpg</v>
      </c>
      <c r="AM2295" t="s">
        <v>52</v>
      </c>
      <c r="AN2295" t="s">
        <v>53</v>
      </c>
    </row>
    <row r="2296" spans="1:40">
      <c r="A2296" t="s">
        <v>2370</v>
      </c>
      <c r="B2296" t="s">
        <v>2041</v>
      </c>
      <c r="C2296" t="s">
        <v>7769</v>
      </c>
      <c r="D2296" t="s">
        <v>52</v>
      </c>
      <c r="E2296" t="s">
        <v>4497</v>
      </c>
      <c r="F2296" t="s">
        <v>45</v>
      </c>
      <c r="G2296" t="str">
        <f>HYPERLINK("https://twitter.com/1566630818/status/1143028288677404672")</f>
        <v>https://twitter.com/1566630818/status/1143028288677404672</v>
      </c>
      <c r="H2296" t="s">
        <v>46</v>
      </c>
      <c r="I2296" t="s">
        <v>7780</v>
      </c>
      <c r="J2296" t="str">
        <f>HYPERLINK("http://twitter.com/bigboyangel16")</f>
        <v>http://twitter.com/bigboyangel16</v>
      </c>
      <c r="K2296">
        <v>193</v>
      </c>
      <c r="N2296" t="s">
        <v>65</v>
      </c>
      <c r="R2296" t="s">
        <v>60</v>
      </c>
      <c r="S2296" t="s">
        <v>51</v>
      </c>
      <c r="T2296" t="s">
        <v>84</v>
      </c>
      <c r="U2296" t="s">
        <v>7781</v>
      </c>
      <c r="W2296">
        <v>0</v>
      </c>
      <c r="X2296">
        <v>0</v>
      </c>
      <c r="AE2296">
        <v>0</v>
      </c>
      <c r="AF2296">
        <v>0</v>
      </c>
      <c r="AM2296" t="s">
        <v>52</v>
      </c>
      <c r="AN2296" t="s">
        <v>53</v>
      </c>
    </row>
    <row r="2297" spans="1:40">
      <c r="A2297" t="s">
        <v>2370</v>
      </c>
      <c r="B2297" t="s">
        <v>2041</v>
      </c>
      <c r="C2297" t="s">
        <v>7762</v>
      </c>
      <c r="D2297" t="s">
        <v>52</v>
      </c>
      <c r="E2297" t="s">
        <v>1194</v>
      </c>
      <c r="F2297" t="s">
        <v>131</v>
      </c>
      <c r="G2297" t="str">
        <f>HYPERLINK("https://twitter.com/834397939/status/1143028260588142593")</f>
        <v>https://twitter.com/834397939/status/1143028260588142593</v>
      </c>
      <c r="H2297" t="s">
        <v>46</v>
      </c>
      <c r="I2297" t="s">
        <v>7782</v>
      </c>
      <c r="J2297" t="str">
        <f>HYPERLINK("http://twitter.com/hayelayy_query")</f>
        <v>http://twitter.com/hayelayy_query</v>
      </c>
      <c r="K2297">
        <v>380</v>
      </c>
      <c r="L2297" t="s">
        <v>58</v>
      </c>
      <c r="N2297" t="s">
        <v>65</v>
      </c>
      <c r="R2297" t="s">
        <v>60</v>
      </c>
      <c r="W2297">
        <v>0</v>
      </c>
      <c r="X2297">
        <v>0</v>
      </c>
      <c r="AE2297">
        <v>0</v>
      </c>
      <c r="AI2297" t="s">
        <v>52</v>
      </c>
      <c r="AJ2297" t="s">
        <v>1196</v>
      </c>
      <c r="AK2297" t="s">
        <v>52</v>
      </c>
      <c r="AL2297" t="str">
        <f>HYPERLINK("https://pbs.twimg.com/media/D9xgk2YXkAAd2ql.jpg")</f>
        <v>https://pbs.twimg.com/media/D9xgk2YXkAAd2ql.jpg</v>
      </c>
      <c r="AM2297" t="s">
        <v>52</v>
      </c>
      <c r="AN2297" t="s">
        <v>53</v>
      </c>
    </row>
    <row r="2298" spans="1:40">
      <c r="A2298" t="s">
        <v>2370</v>
      </c>
      <c r="B2298" t="s">
        <v>2041</v>
      </c>
      <c r="C2298" t="s">
        <v>7762</v>
      </c>
      <c r="D2298" t="s">
        <v>52</v>
      </c>
      <c r="E2298" t="s">
        <v>7783</v>
      </c>
      <c r="F2298" t="s">
        <v>95</v>
      </c>
      <c r="G2298" t="str">
        <f>HYPERLINK("https://twitter.com/3188504925/status/1143028246499549187")</f>
        <v>https://twitter.com/3188504925/status/1143028246499549187</v>
      </c>
      <c r="H2298" t="s">
        <v>46</v>
      </c>
      <c r="I2298" t="s">
        <v>7784</v>
      </c>
      <c r="J2298" t="str">
        <f>HYPERLINK("http://twitter.com/Ftt_Tate")</f>
        <v>http://twitter.com/Ftt_Tate</v>
      </c>
      <c r="K2298">
        <v>414</v>
      </c>
      <c r="N2298" t="s">
        <v>65</v>
      </c>
      <c r="R2298" t="s">
        <v>60</v>
      </c>
      <c r="S2298" t="s">
        <v>1592</v>
      </c>
      <c r="T2298" t="s">
        <v>7462</v>
      </c>
      <c r="U2298" t="s">
        <v>7463</v>
      </c>
      <c r="W2298">
        <v>0</v>
      </c>
      <c r="X2298">
        <v>0</v>
      </c>
      <c r="AE2298">
        <v>0</v>
      </c>
      <c r="AF2298">
        <v>0</v>
      </c>
      <c r="AM2298" t="s">
        <v>52</v>
      </c>
      <c r="AN2298" t="s">
        <v>53</v>
      </c>
    </row>
    <row r="2299" spans="1:40">
      <c r="A2299" t="s">
        <v>2370</v>
      </c>
      <c r="B2299" t="s">
        <v>7785</v>
      </c>
      <c r="C2299" t="s">
        <v>7786</v>
      </c>
      <c r="D2299" t="s">
        <v>52</v>
      </c>
      <c r="E2299" t="s">
        <v>7787</v>
      </c>
      <c r="F2299" t="s">
        <v>131</v>
      </c>
      <c r="G2299" t="str">
        <f>HYPERLINK("https://twitter.com/731497250/status/1143028063082561536")</f>
        <v>https://twitter.com/731497250/status/1143028063082561536</v>
      </c>
      <c r="H2299" t="s">
        <v>46</v>
      </c>
      <c r="I2299" t="s">
        <v>7788</v>
      </c>
      <c r="J2299" t="str">
        <f>HYPERLINK("http://twitter.com/Lopeztronauta")</f>
        <v>http://twitter.com/Lopeztronauta</v>
      </c>
      <c r="K2299">
        <v>1487</v>
      </c>
      <c r="N2299" t="s">
        <v>65</v>
      </c>
      <c r="R2299" t="s">
        <v>60</v>
      </c>
      <c r="W2299">
        <v>0</v>
      </c>
      <c r="X2299">
        <v>0</v>
      </c>
      <c r="AE2299">
        <v>0</v>
      </c>
      <c r="AM2299" t="s">
        <v>52</v>
      </c>
      <c r="AN2299" t="s">
        <v>53</v>
      </c>
    </row>
    <row r="2300" spans="1:40">
      <c r="A2300" t="s">
        <v>2370</v>
      </c>
      <c r="B2300" t="s">
        <v>7785</v>
      </c>
      <c r="C2300" t="s">
        <v>7789</v>
      </c>
      <c r="D2300" t="s">
        <v>52</v>
      </c>
      <c r="E2300" t="s">
        <v>7790</v>
      </c>
      <c r="F2300" t="s">
        <v>95</v>
      </c>
      <c r="G2300" t="str">
        <f>HYPERLINK("https://twitter.com/414290098/status/1143028056896016384")</f>
        <v>https://twitter.com/414290098/status/1143028056896016384</v>
      </c>
      <c r="H2300" t="s">
        <v>46</v>
      </c>
      <c r="I2300" t="s">
        <v>7791</v>
      </c>
      <c r="J2300" t="str">
        <f>HYPERLINK("http://twitter.com/dooger66")</f>
        <v>http://twitter.com/dooger66</v>
      </c>
      <c r="K2300">
        <v>154</v>
      </c>
      <c r="N2300" t="s">
        <v>65</v>
      </c>
      <c r="R2300" t="s">
        <v>60</v>
      </c>
      <c r="S2300" t="s">
        <v>444</v>
      </c>
      <c r="T2300" t="s">
        <v>1062</v>
      </c>
      <c r="U2300" t="s">
        <v>7792</v>
      </c>
      <c r="W2300">
        <v>1</v>
      </c>
      <c r="X2300">
        <v>1</v>
      </c>
      <c r="AE2300">
        <v>1</v>
      </c>
      <c r="AF2300">
        <v>0</v>
      </c>
      <c r="AM2300" t="s">
        <v>52</v>
      </c>
      <c r="AN2300" t="s">
        <v>53</v>
      </c>
    </row>
    <row r="2301" spans="1:40">
      <c r="A2301" t="s">
        <v>2370</v>
      </c>
      <c r="B2301" t="s">
        <v>7785</v>
      </c>
      <c r="C2301" t="s">
        <v>7793</v>
      </c>
      <c r="D2301" t="s">
        <v>52</v>
      </c>
      <c r="E2301" t="s">
        <v>7794</v>
      </c>
      <c r="F2301" t="s">
        <v>95</v>
      </c>
      <c r="G2301" t="str">
        <f>HYPERLINK("https://twitter.com/603987569/status/1143028042685546498")</f>
        <v>https://twitter.com/603987569/status/1143028042685546498</v>
      </c>
      <c r="H2301" t="s">
        <v>46</v>
      </c>
      <c r="I2301" t="s">
        <v>7795</v>
      </c>
      <c r="J2301" t="str">
        <f>HYPERLINK("http://twitter.com/GeenaKim1")</f>
        <v>http://twitter.com/GeenaKim1</v>
      </c>
      <c r="K2301">
        <v>94</v>
      </c>
      <c r="N2301" t="s">
        <v>65</v>
      </c>
      <c r="R2301" t="s">
        <v>60</v>
      </c>
      <c r="S2301" t="s">
        <v>51</v>
      </c>
      <c r="T2301" t="s">
        <v>2822</v>
      </c>
      <c r="U2301" t="s">
        <v>2522</v>
      </c>
      <c r="W2301">
        <v>0</v>
      </c>
      <c r="X2301">
        <v>0</v>
      </c>
      <c r="AE2301">
        <v>0</v>
      </c>
      <c r="AF2301">
        <v>0</v>
      </c>
      <c r="AM2301" t="s">
        <v>52</v>
      </c>
      <c r="AN2301" t="s">
        <v>53</v>
      </c>
    </row>
    <row r="2302" spans="1:40">
      <c r="A2302" t="s">
        <v>2370</v>
      </c>
      <c r="B2302" t="s">
        <v>7785</v>
      </c>
      <c r="C2302" t="s">
        <v>7772</v>
      </c>
      <c r="D2302" t="s">
        <v>52</v>
      </c>
      <c r="E2302" t="s">
        <v>7796</v>
      </c>
      <c r="F2302" t="s">
        <v>45</v>
      </c>
      <c r="G2302" t="str">
        <f>HYPERLINK("https://twitter.com/77674843/status/1143027974519738368")</f>
        <v>https://twitter.com/77674843/status/1143027974519738368</v>
      </c>
      <c r="H2302" t="s">
        <v>46</v>
      </c>
      <c r="I2302" t="s">
        <v>7797</v>
      </c>
      <c r="J2302" t="str">
        <f>HYPERLINK("http://twitter.com/JosephReidNZ")</f>
        <v>http://twitter.com/JosephReidNZ</v>
      </c>
      <c r="K2302">
        <v>137310</v>
      </c>
      <c r="L2302" t="s">
        <v>48</v>
      </c>
      <c r="N2302" t="s">
        <v>65</v>
      </c>
      <c r="R2302" t="s">
        <v>60</v>
      </c>
      <c r="S2302" t="s">
        <v>2226</v>
      </c>
      <c r="T2302" t="s">
        <v>7798</v>
      </c>
      <c r="U2302" t="s">
        <v>7799</v>
      </c>
      <c r="W2302">
        <v>1</v>
      </c>
      <c r="X2302">
        <v>1</v>
      </c>
      <c r="AE2302">
        <v>0</v>
      </c>
      <c r="AF2302">
        <v>0</v>
      </c>
      <c r="AM2302" t="s">
        <v>52</v>
      </c>
      <c r="AN2302" t="s">
        <v>53</v>
      </c>
    </row>
    <row r="2303" spans="1:40">
      <c r="A2303" t="s">
        <v>2370</v>
      </c>
      <c r="B2303" t="s">
        <v>2054</v>
      </c>
      <c r="C2303" t="s">
        <v>7800</v>
      </c>
      <c r="D2303" t="s">
        <v>52</v>
      </c>
      <c r="E2303" t="s">
        <v>7801</v>
      </c>
      <c r="F2303" t="s">
        <v>45</v>
      </c>
      <c r="G2303" t="str">
        <f>HYPERLINK("https://www.instagram.com/p/BzFKxOEnOeQ")</f>
        <v>https://www.instagram.com/p/BzFKxOEnOeQ</v>
      </c>
      <c r="H2303" t="s">
        <v>46</v>
      </c>
      <c r="I2303" t="s">
        <v>7802</v>
      </c>
      <c r="J2303" t="str">
        <f>HYPERLINK("http://instagram.com/master.of.memes.69")</f>
        <v>http://instagram.com/master.of.memes.69</v>
      </c>
      <c r="K2303">
        <v>54</v>
      </c>
      <c r="N2303" t="s">
        <v>59</v>
      </c>
      <c r="O2303" t="s">
        <v>7802</v>
      </c>
      <c r="P2303" t="str">
        <f>HYPERLINK("http://instagram.com/master.of.memes.69")</f>
        <v>http://instagram.com/master.of.memes.69</v>
      </c>
      <c r="Q2303">
        <v>54</v>
      </c>
      <c r="R2303" t="s">
        <v>60</v>
      </c>
      <c r="W2303">
        <v>6</v>
      </c>
      <c r="X2303">
        <v>6</v>
      </c>
      <c r="AE2303">
        <v>1</v>
      </c>
      <c r="AI2303" t="s">
        <v>108</v>
      </c>
      <c r="AJ2303" t="s">
        <v>716</v>
      </c>
      <c r="AK2303" t="s">
        <v>52</v>
      </c>
      <c r="AL2303" t="str">
        <f>HYPERLINK("https://www.instagram.com/p/BzFKxOEnOeQ/media/?size=l")</f>
        <v>https://www.instagram.com/p/BzFKxOEnOeQ/media/?size=l</v>
      </c>
      <c r="AM2303" t="s">
        <v>52</v>
      </c>
      <c r="AN2303" t="s">
        <v>53</v>
      </c>
    </row>
    <row r="2304" spans="1:40">
      <c r="A2304" t="s">
        <v>2370</v>
      </c>
      <c r="B2304" t="s">
        <v>2054</v>
      </c>
      <c r="C2304" t="s">
        <v>7789</v>
      </c>
      <c r="D2304" t="s">
        <v>52</v>
      </c>
      <c r="E2304" t="s">
        <v>4503</v>
      </c>
      <c r="F2304" t="s">
        <v>95</v>
      </c>
      <c r="G2304" t="str">
        <f>HYPERLINK("https://twitter.com/1015328243791122433/status/1143027801047498752")</f>
        <v>https://twitter.com/1015328243791122433/status/1143027801047498752</v>
      </c>
      <c r="H2304" t="s">
        <v>46</v>
      </c>
      <c r="I2304" t="s">
        <v>7709</v>
      </c>
      <c r="J2304" t="str">
        <f>HYPERLINK("http://twitter.com/whipped2wish")</f>
        <v>http://twitter.com/whipped2wish</v>
      </c>
      <c r="K2304">
        <v>147</v>
      </c>
      <c r="N2304" t="s">
        <v>65</v>
      </c>
      <c r="R2304" t="s">
        <v>60</v>
      </c>
      <c r="W2304">
        <v>17</v>
      </c>
      <c r="X2304">
        <v>17</v>
      </c>
      <c r="AE2304">
        <v>1</v>
      </c>
      <c r="AF2304">
        <v>5</v>
      </c>
      <c r="AI2304" t="s">
        <v>108</v>
      </c>
      <c r="AJ2304" t="s">
        <v>4504</v>
      </c>
      <c r="AK2304" t="s">
        <v>52</v>
      </c>
      <c r="AL2304" t="str">
        <f>HYPERLINK("https://pbs.twimg.com/media/D9zZgk2UcAATKSk.jpg")</f>
        <v>https://pbs.twimg.com/media/D9zZgk2UcAATKSk.jpg</v>
      </c>
      <c r="AM2304" t="s">
        <v>52</v>
      </c>
      <c r="AN2304" t="s">
        <v>53</v>
      </c>
    </row>
    <row r="2305" spans="1:40">
      <c r="A2305" t="s">
        <v>2370</v>
      </c>
      <c r="B2305" t="s">
        <v>2054</v>
      </c>
      <c r="C2305" t="s">
        <v>6860</v>
      </c>
      <c r="D2305" t="s">
        <v>7803</v>
      </c>
      <c r="E2305" t="s">
        <v>7804</v>
      </c>
      <c r="F2305" t="s">
        <v>45</v>
      </c>
      <c r="G2305" t="str">
        <f>HYPERLINK("https://apkhook.com/recipe-network.html")</f>
        <v>https://apkhook.com/recipe-network.html</v>
      </c>
      <c r="H2305" t="s">
        <v>46</v>
      </c>
      <c r="N2305" t="s">
        <v>1633</v>
      </c>
      <c r="R2305" t="s">
        <v>50</v>
      </c>
      <c r="S2305" t="s">
        <v>51</v>
      </c>
      <c r="AM2305" t="s">
        <v>52</v>
      </c>
      <c r="AN2305" t="s">
        <v>53</v>
      </c>
    </row>
    <row r="2306" spans="1:40">
      <c r="A2306" t="s">
        <v>2370</v>
      </c>
      <c r="B2306" t="s">
        <v>7805</v>
      </c>
      <c r="C2306" t="s">
        <v>7789</v>
      </c>
      <c r="D2306" t="s">
        <v>52</v>
      </c>
      <c r="E2306" t="s">
        <v>7806</v>
      </c>
      <c r="F2306" t="s">
        <v>95</v>
      </c>
      <c r="G2306" t="str">
        <f>HYPERLINK("https://twitter.com/366772909/status/1143027160753430528")</f>
        <v>https://twitter.com/366772909/status/1143027160753430528</v>
      </c>
      <c r="H2306" t="s">
        <v>215</v>
      </c>
      <c r="I2306" t="s">
        <v>7807</v>
      </c>
      <c r="J2306" t="str">
        <f>HYPERLINK("http://twitter.com/Gr8WyteGibster")</f>
        <v>http://twitter.com/Gr8WyteGibster</v>
      </c>
      <c r="K2306">
        <v>209</v>
      </c>
      <c r="N2306" t="s">
        <v>65</v>
      </c>
      <c r="R2306" t="s">
        <v>60</v>
      </c>
      <c r="S2306" t="s">
        <v>444</v>
      </c>
      <c r="T2306" t="s">
        <v>3539</v>
      </c>
      <c r="U2306" t="s">
        <v>7808</v>
      </c>
      <c r="W2306">
        <v>0</v>
      </c>
      <c r="X2306">
        <v>0</v>
      </c>
      <c r="AE2306">
        <v>1</v>
      </c>
      <c r="AF2306">
        <v>0</v>
      </c>
      <c r="AM2306" t="s">
        <v>52</v>
      </c>
      <c r="AN2306" t="s">
        <v>53</v>
      </c>
    </row>
    <row r="2307" spans="1:40">
      <c r="A2307" t="s">
        <v>2370</v>
      </c>
      <c r="B2307" t="s">
        <v>7805</v>
      </c>
      <c r="C2307" t="s">
        <v>7809</v>
      </c>
      <c r="D2307" t="s">
        <v>52</v>
      </c>
      <c r="E2307" t="s">
        <v>7810</v>
      </c>
      <c r="F2307" t="s">
        <v>131</v>
      </c>
      <c r="G2307" t="str">
        <f>HYPERLINK("https://twitter.com/465091396/status/1143027008043134976")</f>
        <v>https://twitter.com/465091396/status/1143027008043134976</v>
      </c>
      <c r="H2307" t="s">
        <v>46</v>
      </c>
      <c r="I2307" t="s">
        <v>7811</v>
      </c>
      <c r="J2307" t="str">
        <f>HYPERLINK("http://twitter.com/tamklj")</f>
        <v>http://twitter.com/tamklj</v>
      </c>
      <c r="K2307">
        <v>3615</v>
      </c>
      <c r="L2307" t="s">
        <v>58</v>
      </c>
      <c r="N2307" t="s">
        <v>65</v>
      </c>
      <c r="R2307" t="s">
        <v>60</v>
      </c>
      <c r="S2307" t="s">
        <v>5196</v>
      </c>
      <c r="W2307">
        <v>0</v>
      </c>
      <c r="X2307">
        <v>0</v>
      </c>
      <c r="AE2307">
        <v>0</v>
      </c>
      <c r="AM2307" t="s">
        <v>52</v>
      </c>
      <c r="AN2307" t="s">
        <v>53</v>
      </c>
    </row>
    <row r="2308" spans="1:40">
      <c r="A2308" t="s">
        <v>2370</v>
      </c>
      <c r="B2308" t="s">
        <v>7812</v>
      </c>
      <c r="C2308" t="s">
        <v>7813</v>
      </c>
      <c r="D2308" t="s">
        <v>52</v>
      </c>
      <c r="E2308" t="s">
        <v>7814</v>
      </c>
      <c r="F2308" t="s">
        <v>45</v>
      </c>
      <c r="G2308" t="str">
        <f>HYPERLINK("https://twitter.com/3267402433/status/1143026436284006402")</f>
        <v>https://twitter.com/3267402433/status/1143026436284006402</v>
      </c>
      <c r="H2308" t="s">
        <v>46</v>
      </c>
      <c r="I2308" t="s">
        <v>7815</v>
      </c>
      <c r="J2308" t="str">
        <f>HYPERLINK("http://twitter.com/erlinda_eliza")</f>
        <v>http://twitter.com/erlinda_eliza</v>
      </c>
      <c r="K2308">
        <v>173</v>
      </c>
      <c r="N2308" t="s">
        <v>65</v>
      </c>
      <c r="R2308" t="s">
        <v>60</v>
      </c>
      <c r="W2308">
        <v>0</v>
      </c>
      <c r="X2308">
        <v>0</v>
      </c>
      <c r="AE2308">
        <v>0</v>
      </c>
      <c r="AF2308">
        <v>0</v>
      </c>
      <c r="AM2308" t="s">
        <v>52</v>
      </c>
      <c r="AN2308" t="s">
        <v>53</v>
      </c>
    </row>
    <row r="2309" spans="1:40">
      <c r="A2309" t="s">
        <v>2370</v>
      </c>
      <c r="B2309" t="s">
        <v>7812</v>
      </c>
      <c r="C2309" t="s">
        <v>969</v>
      </c>
      <c r="D2309" t="s">
        <v>7816</v>
      </c>
      <c r="E2309" t="s">
        <v>7817</v>
      </c>
      <c r="F2309" t="s">
        <v>45</v>
      </c>
      <c r="G2309" t="str">
        <f>HYPERLINK("https://www.reddit.com/r/suspiciouslyspecific/comments/c45ha8/well_ok_then/?sort=new#thing_t1_erw7vmy")</f>
        <v>https://www.reddit.com/r/suspiciouslyspecific/comments/c45ha8/well_ok_then/?sort=new#thing_t1_erw7vmy</v>
      </c>
      <c r="H2309" t="s">
        <v>46</v>
      </c>
      <c r="I2309" t="s">
        <v>7818</v>
      </c>
      <c r="J2309" t="str">
        <f>HYPERLINK("https://www.reddit.com/r/suspiciouslyspecific/comments/c45ha8/well_ok_then/?sort=new#thing_t1_erw7vmy")</f>
        <v>https://www.reddit.com/r/suspiciouslyspecific/comments/c45ha8/well_ok_then/?sort=new#thing_t1_erw7vmy</v>
      </c>
      <c r="N2309" t="s">
        <v>545</v>
      </c>
      <c r="O2309" t="s">
        <v>7819</v>
      </c>
      <c r="P2309" t="str">
        <f>HYPERLINK("https://www.reddit.com/r/suspiciouslyspecific/")</f>
        <v>https://www.reddit.com/r/suspiciouslyspecific/</v>
      </c>
      <c r="R2309" t="s">
        <v>516</v>
      </c>
      <c r="S2309" t="s">
        <v>51</v>
      </c>
      <c r="AM2309" t="s">
        <v>52</v>
      </c>
      <c r="AN2309" t="s">
        <v>53</v>
      </c>
    </row>
    <row r="2310" spans="1:40">
      <c r="A2310" t="s">
        <v>2370</v>
      </c>
      <c r="B2310" t="s">
        <v>2093</v>
      </c>
      <c r="C2310" t="s">
        <v>7820</v>
      </c>
      <c r="D2310" t="s">
        <v>52</v>
      </c>
      <c r="E2310" t="s">
        <v>7821</v>
      </c>
      <c r="F2310" t="s">
        <v>131</v>
      </c>
      <c r="G2310" t="str">
        <f>HYPERLINK("https://twitter.com/2796409128/status/1143026175863873536")</f>
        <v>https://twitter.com/2796409128/status/1143026175863873536</v>
      </c>
      <c r="H2310" t="s">
        <v>46</v>
      </c>
      <c r="I2310" t="s">
        <v>7822</v>
      </c>
      <c r="J2310" t="str">
        <f>HYPERLINK("http://twitter.com/Golden_Mercedes")</f>
        <v>http://twitter.com/Golden_Mercedes</v>
      </c>
      <c r="K2310">
        <v>198</v>
      </c>
      <c r="N2310" t="s">
        <v>65</v>
      </c>
      <c r="R2310" t="s">
        <v>60</v>
      </c>
      <c r="S2310" t="s">
        <v>51</v>
      </c>
      <c r="T2310" t="s">
        <v>490</v>
      </c>
      <c r="U2310" t="s">
        <v>491</v>
      </c>
      <c r="W2310">
        <v>0</v>
      </c>
      <c r="X2310">
        <v>0</v>
      </c>
      <c r="AE2310">
        <v>0</v>
      </c>
      <c r="AM2310" t="s">
        <v>52</v>
      </c>
      <c r="AN2310" t="s">
        <v>53</v>
      </c>
    </row>
    <row r="2311" spans="1:40">
      <c r="A2311" t="s">
        <v>2370</v>
      </c>
      <c r="B2311" t="s">
        <v>2093</v>
      </c>
      <c r="C2311" t="s">
        <v>7823</v>
      </c>
      <c r="D2311" t="s">
        <v>52</v>
      </c>
      <c r="E2311" t="s">
        <v>7306</v>
      </c>
      <c r="F2311" t="s">
        <v>131</v>
      </c>
      <c r="G2311" t="str">
        <f>HYPERLINK("https://twitter.com/700362085822128129/status/1143026064555311104")</f>
        <v>https://twitter.com/700362085822128129/status/1143026064555311104</v>
      </c>
      <c r="H2311" t="s">
        <v>215</v>
      </c>
      <c r="I2311" t="s">
        <v>7824</v>
      </c>
      <c r="J2311" t="str">
        <f>HYPERLINK("http://twitter.com/doopypaws")</f>
        <v>http://twitter.com/doopypaws</v>
      </c>
      <c r="K2311">
        <v>887</v>
      </c>
      <c r="N2311" t="s">
        <v>65</v>
      </c>
      <c r="R2311" t="s">
        <v>60</v>
      </c>
      <c r="W2311">
        <v>0</v>
      </c>
      <c r="X2311">
        <v>0</v>
      </c>
      <c r="AE2311">
        <v>0</v>
      </c>
      <c r="AM2311" t="s">
        <v>52</v>
      </c>
      <c r="AN2311" t="s">
        <v>53</v>
      </c>
    </row>
    <row r="2312" spans="1:40">
      <c r="A2312" t="s">
        <v>2370</v>
      </c>
      <c r="B2312" t="s">
        <v>2097</v>
      </c>
      <c r="C2312" t="s">
        <v>7823</v>
      </c>
      <c r="D2312" t="s">
        <v>52</v>
      </c>
      <c r="E2312" t="s">
        <v>7825</v>
      </c>
      <c r="F2312" t="s">
        <v>45</v>
      </c>
      <c r="G2312" t="str">
        <f>HYPERLINK("https://twitter.com/28957422/status/1143025852445155329")</f>
        <v>https://twitter.com/28957422/status/1143025852445155329</v>
      </c>
      <c r="H2312" t="s">
        <v>46</v>
      </c>
      <c r="I2312" t="s">
        <v>5968</v>
      </c>
      <c r="J2312" t="str">
        <f>HYPERLINK("http://twitter.com/meanboysclub")</f>
        <v>http://twitter.com/meanboysclub</v>
      </c>
      <c r="K2312">
        <v>2073</v>
      </c>
      <c r="L2312" t="s">
        <v>48</v>
      </c>
      <c r="N2312" t="s">
        <v>65</v>
      </c>
      <c r="R2312" t="s">
        <v>60</v>
      </c>
      <c r="S2312" t="s">
        <v>7826</v>
      </c>
      <c r="T2312" t="s">
        <v>7827</v>
      </c>
      <c r="U2312" t="s">
        <v>7828</v>
      </c>
      <c r="W2312">
        <v>3</v>
      </c>
      <c r="X2312">
        <v>3</v>
      </c>
      <c r="AE2312">
        <v>0</v>
      </c>
      <c r="AF2312">
        <v>0</v>
      </c>
      <c r="AI2312" t="s">
        <v>52</v>
      </c>
      <c r="AJ2312" t="s">
        <v>52</v>
      </c>
      <c r="AK2312" t="s">
        <v>680</v>
      </c>
      <c r="AL2312" t="str">
        <f>HYPERLINK("https://pbs.twimg.com/tweet_video_thumb/D9zX842UEAAikeQ.jpg")</f>
        <v>https://pbs.twimg.com/tweet_video_thumb/D9zX842UEAAikeQ.jpg</v>
      </c>
      <c r="AM2312" t="s">
        <v>52</v>
      </c>
      <c r="AN2312" t="s">
        <v>53</v>
      </c>
    </row>
    <row r="2313" spans="1:40">
      <c r="A2313" t="s">
        <v>2370</v>
      </c>
      <c r="B2313" t="s">
        <v>7829</v>
      </c>
      <c r="C2313" t="s">
        <v>7737</v>
      </c>
      <c r="D2313" t="s">
        <v>52</v>
      </c>
      <c r="E2313" t="s">
        <v>7830</v>
      </c>
      <c r="F2313" t="s">
        <v>45</v>
      </c>
      <c r="G2313" t="str">
        <f>HYPERLINK("https://www.instagram.com/p/BzFJwJ4AGCr")</f>
        <v>https://www.instagram.com/p/BzFJwJ4AGCr</v>
      </c>
      <c r="H2313" t="s">
        <v>46</v>
      </c>
      <c r="I2313" t="s">
        <v>7831</v>
      </c>
      <c r="J2313" t="str">
        <f>HYPERLINK("http://instagram.com/phooky_phan")</f>
        <v>http://instagram.com/phooky_phan</v>
      </c>
      <c r="K2313">
        <v>599</v>
      </c>
      <c r="N2313" t="s">
        <v>59</v>
      </c>
      <c r="O2313" t="s">
        <v>7831</v>
      </c>
      <c r="P2313" t="str">
        <f>HYPERLINK("http://instagram.com/phooky_phan")</f>
        <v>http://instagram.com/phooky_phan</v>
      </c>
      <c r="Q2313">
        <v>599</v>
      </c>
      <c r="R2313" t="s">
        <v>60</v>
      </c>
      <c r="W2313">
        <v>139</v>
      </c>
      <c r="X2313">
        <v>139</v>
      </c>
      <c r="AE2313">
        <v>0</v>
      </c>
      <c r="AI2313" t="s">
        <v>52</v>
      </c>
      <c r="AJ2313" t="s">
        <v>52</v>
      </c>
      <c r="AK2313" t="s">
        <v>52</v>
      </c>
      <c r="AL2313" t="str">
        <f>HYPERLINK("https://www.instagram.com/p/BzFJwJ4AGCr/media/?size=l")</f>
        <v>https://www.instagram.com/p/BzFJwJ4AGCr/media/?size=l</v>
      </c>
      <c r="AM2313" t="s">
        <v>52</v>
      </c>
      <c r="AN2313" t="s">
        <v>53</v>
      </c>
    </row>
    <row r="2314" spans="1:40">
      <c r="A2314" t="s">
        <v>2370</v>
      </c>
      <c r="B2314" t="s">
        <v>7832</v>
      </c>
      <c r="C2314" t="s">
        <v>7833</v>
      </c>
      <c r="D2314" t="s">
        <v>52</v>
      </c>
      <c r="E2314" t="s">
        <v>7834</v>
      </c>
      <c r="F2314" t="s">
        <v>45</v>
      </c>
      <c r="G2314" t="str">
        <f>HYPERLINK("https://www.instagram.com/p/BzFJTa5lf0f")</f>
        <v>https://www.instagram.com/p/BzFJTa5lf0f</v>
      </c>
      <c r="H2314" t="s">
        <v>91</v>
      </c>
      <c r="I2314" t="s">
        <v>7835</v>
      </c>
      <c r="J2314" t="str">
        <f>HYPERLINK("http://instagram.com/theasianisraeli")</f>
        <v>http://instagram.com/theasianisraeli</v>
      </c>
      <c r="K2314">
        <v>1668</v>
      </c>
      <c r="N2314" t="s">
        <v>59</v>
      </c>
      <c r="O2314" t="s">
        <v>7835</v>
      </c>
      <c r="P2314" t="str">
        <f>HYPERLINK("http://instagram.com/theasianisraeli")</f>
        <v>http://instagram.com/theasianisraeli</v>
      </c>
      <c r="Q2314">
        <v>1668</v>
      </c>
      <c r="R2314" t="s">
        <v>60</v>
      </c>
      <c r="S2314" t="s">
        <v>7826</v>
      </c>
      <c r="T2314" t="s">
        <v>7836</v>
      </c>
      <c r="U2314" t="s">
        <v>7837</v>
      </c>
      <c r="W2314">
        <v>97</v>
      </c>
      <c r="X2314">
        <v>97</v>
      </c>
      <c r="AE2314">
        <v>12</v>
      </c>
      <c r="AI2314" t="s">
        <v>52</v>
      </c>
      <c r="AJ2314" t="s">
        <v>7838</v>
      </c>
      <c r="AK2314" t="s">
        <v>1703</v>
      </c>
      <c r="AL2314" t="str">
        <f>HYPERLINK("https://www.instagram.com/p/BzFJTa5lf0f/media/?size=l")</f>
        <v>https://www.instagram.com/p/BzFJTa5lf0f/media/?size=l</v>
      </c>
      <c r="AM2314" t="s">
        <v>52</v>
      </c>
      <c r="AN2314" t="s">
        <v>53</v>
      </c>
    </row>
    <row r="2315" spans="1:40">
      <c r="A2315" t="s">
        <v>2370</v>
      </c>
      <c r="B2315" t="s">
        <v>7832</v>
      </c>
      <c r="C2315" t="s">
        <v>7839</v>
      </c>
      <c r="D2315" t="s">
        <v>52</v>
      </c>
      <c r="E2315" t="s">
        <v>7840</v>
      </c>
      <c r="F2315" t="s">
        <v>45</v>
      </c>
      <c r="G2315" t="str">
        <f>HYPERLINK("https://twitter.com/33595343/status/1143024591578656769")</f>
        <v>https://twitter.com/33595343/status/1143024591578656769</v>
      </c>
      <c r="H2315" t="s">
        <v>215</v>
      </c>
      <c r="I2315" t="s">
        <v>7841</v>
      </c>
      <c r="J2315" t="str">
        <f>HYPERLINK("http://twitter.com/greekmamaof2")</f>
        <v>http://twitter.com/greekmamaof2</v>
      </c>
      <c r="K2315">
        <v>236</v>
      </c>
      <c r="N2315" t="s">
        <v>65</v>
      </c>
      <c r="R2315" t="s">
        <v>60</v>
      </c>
      <c r="W2315">
        <v>0</v>
      </c>
      <c r="X2315">
        <v>0</v>
      </c>
      <c r="AE2315">
        <v>0</v>
      </c>
      <c r="AF2315">
        <v>0</v>
      </c>
      <c r="AM2315" t="s">
        <v>52</v>
      </c>
      <c r="AN2315" t="s">
        <v>53</v>
      </c>
    </row>
    <row r="2316" spans="1:40">
      <c r="A2316" t="s">
        <v>2370</v>
      </c>
      <c r="B2316" t="s">
        <v>7842</v>
      </c>
      <c r="C2316" t="s">
        <v>7843</v>
      </c>
      <c r="D2316" t="s">
        <v>52</v>
      </c>
      <c r="E2316" t="s">
        <v>7844</v>
      </c>
      <c r="F2316" t="s">
        <v>45</v>
      </c>
      <c r="G2316" t="str">
        <f>HYPERLINK("https://www.instagram.com/p/BzFJGp9nBt7")</f>
        <v>https://www.instagram.com/p/BzFJGp9nBt7</v>
      </c>
      <c r="H2316" t="s">
        <v>46</v>
      </c>
      <c r="I2316" t="s">
        <v>7845</v>
      </c>
      <c r="J2316" t="str">
        <f>HYPERLINK("http://instagram.com/straight6chris")</f>
        <v>http://instagram.com/straight6chris</v>
      </c>
      <c r="K2316">
        <v>950</v>
      </c>
      <c r="N2316" t="s">
        <v>59</v>
      </c>
      <c r="O2316" t="s">
        <v>7845</v>
      </c>
      <c r="P2316" t="str">
        <f>HYPERLINK("http://instagram.com/straight6chris")</f>
        <v>http://instagram.com/straight6chris</v>
      </c>
      <c r="Q2316">
        <v>950</v>
      </c>
      <c r="R2316" t="s">
        <v>60</v>
      </c>
      <c r="W2316">
        <v>46</v>
      </c>
      <c r="X2316">
        <v>46</v>
      </c>
      <c r="AE2316">
        <v>8</v>
      </c>
      <c r="AI2316" t="s">
        <v>1176</v>
      </c>
      <c r="AJ2316" t="s">
        <v>648</v>
      </c>
      <c r="AK2316" t="s">
        <v>52</v>
      </c>
      <c r="AL2316" t="str">
        <f>HYPERLINK("https://www.instagram.com/p/BzFJGp9nBt7/media/?size=l")</f>
        <v>https://www.instagram.com/p/BzFJGp9nBt7/media/?size=l</v>
      </c>
      <c r="AM2316" t="s">
        <v>52</v>
      </c>
      <c r="AN2316" t="s">
        <v>53</v>
      </c>
    </row>
    <row r="2317" spans="1:40">
      <c r="A2317" t="s">
        <v>2370</v>
      </c>
      <c r="B2317" t="s">
        <v>7846</v>
      </c>
      <c r="C2317" t="s">
        <v>7847</v>
      </c>
      <c r="D2317" t="s">
        <v>52</v>
      </c>
      <c r="E2317" t="s">
        <v>7848</v>
      </c>
      <c r="F2317" t="s">
        <v>95</v>
      </c>
      <c r="G2317" t="str">
        <f>HYPERLINK("https://twitter.com/3838021949/status/1143024197284900864")</f>
        <v>https://twitter.com/3838021949/status/1143024197284900864</v>
      </c>
      <c r="H2317" t="s">
        <v>46</v>
      </c>
      <c r="I2317" t="s">
        <v>7849</v>
      </c>
      <c r="J2317" t="str">
        <f>HYPERLINK("http://twitter.com/JellyTBeagle")</f>
        <v>http://twitter.com/JellyTBeagle</v>
      </c>
      <c r="K2317">
        <v>264</v>
      </c>
      <c r="N2317" t="s">
        <v>65</v>
      </c>
      <c r="R2317" t="s">
        <v>60</v>
      </c>
      <c r="W2317">
        <v>0</v>
      </c>
      <c r="X2317">
        <v>0</v>
      </c>
      <c r="AE2317">
        <v>0</v>
      </c>
      <c r="AF2317">
        <v>0</v>
      </c>
      <c r="AM2317" t="s">
        <v>52</v>
      </c>
      <c r="AN2317" t="s">
        <v>53</v>
      </c>
    </row>
    <row r="2318" spans="1:40">
      <c r="A2318" t="s">
        <v>2370</v>
      </c>
      <c r="B2318" t="s">
        <v>7846</v>
      </c>
      <c r="C2318" t="s">
        <v>7850</v>
      </c>
      <c r="D2318" t="s">
        <v>52</v>
      </c>
      <c r="E2318" t="s">
        <v>7851</v>
      </c>
      <c r="F2318" t="s">
        <v>95</v>
      </c>
      <c r="G2318" t="str">
        <f>HYPERLINK("https://twitter.com/1139301884756467712/status/1143024086941085696")</f>
        <v>https://twitter.com/1139301884756467712/status/1143024086941085696</v>
      </c>
      <c r="H2318" t="s">
        <v>46</v>
      </c>
      <c r="I2318" t="s">
        <v>7852</v>
      </c>
      <c r="J2318" t="str">
        <f>HYPERLINK("http://twitter.com/CierraRoweArt")</f>
        <v>http://twitter.com/CierraRoweArt</v>
      </c>
      <c r="K2318">
        <v>20</v>
      </c>
      <c r="N2318" t="s">
        <v>65</v>
      </c>
      <c r="R2318" t="s">
        <v>60</v>
      </c>
      <c r="S2318" t="s">
        <v>51</v>
      </c>
      <c r="W2318">
        <v>1</v>
      </c>
      <c r="X2318">
        <v>1</v>
      </c>
      <c r="AE2318">
        <v>0</v>
      </c>
      <c r="AF2318">
        <v>0</v>
      </c>
      <c r="AM2318" t="s">
        <v>52</v>
      </c>
      <c r="AN2318" t="s">
        <v>53</v>
      </c>
    </row>
    <row r="2319" spans="1:40">
      <c r="A2319" t="s">
        <v>2370</v>
      </c>
      <c r="B2319" t="s">
        <v>7846</v>
      </c>
      <c r="C2319" t="s">
        <v>7853</v>
      </c>
      <c r="D2319" t="s">
        <v>52</v>
      </c>
      <c r="E2319" t="s">
        <v>1194</v>
      </c>
      <c r="F2319" t="s">
        <v>131</v>
      </c>
      <c r="G2319" t="str">
        <f>HYPERLINK("https://twitter.com/1390559096/status/1143024052006768640")</f>
        <v>https://twitter.com/1390559096/status/1143024052006768640</v>
      </c>
      <c r="H2319" t="s">
        <v>46</v>
      </c>
      <c r="I2319" t="s">
        <v>7854</v>
      </c>
      <c r="J2319" t="str">
        <f>HYPERLINK("http://twitter.com/himstagrm")</f>
        <v>http://twitter.com/himstagrm</v>
      </c>
      <c r="K2319">
        <v>149</v>
      </c>
      <c r="N2319" t="s">
        <v>65</v>
      </c>
      <c r="R2319" t="s">
        <v>60</v>
      </c>
      <c r="W2319">
        <v>0</v>
      </c>
      <c r="X2319">
        <v>0</v>
      </c>
      <c r="AE2319">
        <v>0</v>
      </c>
      <c r="AI2319" t="s">
        <v>52</v>
      </c>
      <c r="AJ2319" t="s">
        <v>1196</v>
      </c>
      <c r="AK2319" t="s">
        <v>52</v>
      </c>
      <c r="AL2319" t="str">
        <f>HYPERLINK("https://pbs.twimg.com/media/D9xgk2YXkAAd2ql.jpg")</f>
        <v>https://pbs.twimg.com/media/D9xgk2YXkAAd2ql.jpg</v>
      </c>
      <c r="AM2319" t="s">
        <v>52</v>
      </c>
      <c r="AN2319" t="s">
        <v>53</v>
      </c>
    </row>
    <row r="2320" spans="1:40">
      <c r="A2320" t="s">
        <v>2370</v>
      </c>
      <c r="B2320" t="s">
        <v>7846</v>
      </c>
      <c r="C2320" t="s">
        <v>7843</v>
      </c>
      <c r="D2320" t="s">
        <v>52</v>
      </c>
      <c r="E2320" t="s">
        <v>3749</v>
      </c>
      <c r="F2320" t="s">
        <v>71</v>
      </c>
      <c r="G2320" t="str">
        <f>HYPERLINK("https://twitter.com/973541355686453248/status/1143023995777966080")</f>
        <v>https://twitter.com/973541355686453248/status/1143023995777966080</v>
      </c>
      <c r="H2320" t="s">
        <v>46</v>
      </c>
      <c r="I2320" t="s">
        <v>7855</v>
      </c>
      <c r="J2320" t="str">
        <f>HYPERLINK("http://twitter.com/xeli_p")</f>
        <v>http://twitter.com/xeli_p</v>
      </c>
      <c r="K2320">
        <v>587</v>
      </c>
      <c r="N2320" t="s">
        <v>65</v>
      </c>
      <c r="R2320" t="s">
        <v>60</v>
      </c>
      <c r="S2320" t="s">
        <v>7856</v>
      </c>
      <c r="T2320" t="s">
        <v>7857</v>
      </c>
      <c r="U2320" t="s">
        <v>7858</v>
      </c>
      <c r="W2320">
        <v>0</v>
      </c>
      <c r="X2320">
        <v>0</v>
      </c>
      <c r="AE2320">
        <v>0</v>
      </c>
      <c r="AF2320">
        <v>0</v>
      </c>
      <c r="AI2320" t="s">
        <v>108</v>
      </c>
      <c r="AJ2320" t="s">
        <v>52</v>
      </c>
      <c r="AK2320" t="s">
        <v>52</v>
      </c>
      <c r="AL2320" t="str">
        <f>HYPERLINK("https://pbs.twimg.com/media/D9sAXHUX4AA6vJs.jpg")</f>
        <v>https://pbs.twimg.com/media/D9sAXHUX4AA6vJs.jpg</v>
      </c>
      <c r="AM2320" t="s">
        <v>52</v>
      </c>
      <c r="AN2320" t="s">
        <v>53</v>
      </c>
    </row>
    <row r="2321" spans="1:40">
      <c r="A2321" t="s">
        <v>2370</v>
      </c>
      <c r="B2321" t="s">
        <v>2129</v>
      </c>
      <c r="C2321" t="s">
        <v>6865</v>
      </c>
      <c r="D2321" t="s">
        <v>7859</v>
      </c>
      <c r="E2321" t="s">
        <v>7860</v>
      </c>
      <c r="F2321" t="s">
        <v>45</v>
      </c>
      <c r="G2321" t="str">
        <f>HYPERLINK("https://scribblessoul.blogspot.com/2019/06/sporadic-yet-interlinked-post.html")</f>
        <v>https://scribblessoul.blogspot.com/2019/06/sporadic-yet-interlinked-post.html</v>
      </c>
      <c r="H2321" t="s">
        <v>46</v>
      </c>
      <c r="I2321" t="s">
        <v>7861</v>
      </c>
      <c r="J2321" t="str">
        <f>HYPERLINK("https://scribblessoul.blogspot.com/2019/06/sporadic-yet-interlinked-post.html")</f>
        <v>https://scribblessoul.blogspot.com/2019/06/sporadic-yet-interlinked-post.html</v>
      </c>
      <c r="N2321" t="s">
        <v>2497</v>
      </c>
      <c r="R2321" t="s">
        <v>50</v>
      </c>
      <c r="S2321" t="s">
        <v>51</v>
      </c>
      <c r="AM2321" t="s">
        <v>52</v>
      </c>
      <c r="AN2321" t="s">
        <v>53</v>
      </c>
    </row>
    <row r="2322" spans="1:40">
      <c r="A2322" t="s">
        <v>2370</v>
      </c>
      <c r="B2322" t="s">
        <v>7862</v>
      </c>
      <c r="C2322" t="s">
        <v>7863</v>
      </c>
      <c r="D2322" t="s">
        <v>52</v>
      </c>
      <c r="E2322" t="s">
        <v>7864</v>
      </c>
      <c r="F2322" t="s">
        <v>45</v>
      </c>
      <c r="G2322" t="str">
        <f>HYPERLINK("https://www.instagram.com/p/BzFIGvBn2CU")</f>
        <v>https://www.instagram.com/p/BzFIGvBn2CU</v>
      </c>
      <c r="H2322" t="s">
        <v>46</v>
      </c>
      <c r="I2322" t="s">
        <v>5823</v>
      </c>
      <c r="J2322" t="str">
        <f>HYPERLINK("http://instagram.com/trl_therotarylife")</f>
        <v>http://instagram.com/trl_therotarylife</v>
      </c>
      <c r="K2322">
        <v>2033</v>
      </c>
      <c r="N2322" t="s">
        <v>59</v>
      </c>
      <c r="O2322" t="s">
        <v>5823</v>
      </c>
      <c r="P2322" t="str">
        <f>HYPERLINK("http://instagram.com/trl_therotarylife")</f>
        <v>http://instagram.com/trl_therotarylife</v>
      </c>
      <c r="Q2322">
        <v>2033</v>
      </c>
      <c r="R2322" t="s">
        <v>60</v>
      </c>
      <c r="W2322">
        <v>69</v>
      </c>
      <c r="X2322">
        <v>69</v>
      </c>
      <c r="AE2322">
        <v>4</v>
      </c>
      <c r="AI2322" t="s">
        <v>52</v>
      </c>
      <c r="AJ2322" t="s">
        <v>52</v>
      </c>
      <c r="AK2322" t="s">
        <v>52</v>
      </c>
      <c r="AL2322" t="str">
        <f>HYPERLINK("https://www.instagram.com/p/BzFIGvBn2CU/media/?size=l")</f>
        <v>https://www.instagram.com/p/BzFIGvBn2CU/media/?size=l</v>
      </c>
      <c r="AM2322" t="s">
        <v>52</v>
      </c>
      <c r="AN2322" t="s">
        <v>53</v>
      </c>
    </row>
    <row r="2323" spans="1:40">
      <c r="A2323" t="s">
        <v>2370</v>
      </c>
      <c r="B2323" t="s">
        <v>7865</v>
      </c>
      <c r="C2323" t="s">
        <v>7866</v>
      </c>
      <c r="D2323" t="s">
        <v>52</v>
      </c>
      <c r="E2323" t="s">
        <v>7867</v>
      </c>
      <c r="F2323" t="s">
        <v>131</v>
      </c>
      <c r="G2323" t="str">
        <f>HYPERLINK("https://twitter.com/4886148031/status/1143021530185719809")</f>
        <v>https://twitter.com/4886148031/status/1143021530185719809</v>
      </c>
      <c r="H2323" t="s">
        <v>91</v>
      </c>
      <c r="I2323" t="s">
        <v>7868</v>
      </c>
      <c r="J2323" t="str">
        <f>HYPERLINK("http://twitter.com/Headless_Hiidra")</f>
        <v>http://twitter.com/Headless_Hiidra</v>
      </c>
      <c r="K2323">
        <v>11</v>
      </c>
      <c r="N2323" t="s">
        <v>65</v>
      </c>
      <c r="R2323" t="s">
        <v>60</v>
      </c>
      <c r="W2323">
        <v>0</v>
      </c>
      <c r="X2323">
        <v>0</v>
      </c>
      <c r="AE2323">
        <v>0</v>
      </c>
      <c r="AM2323" t="s">
        <v>52</v>
      </c>
      <c r="AN2323" t="s">
        <v>53</v>
      </c>
    </row>
    <row r="2324" spans="1:40">
      <c r="A2324" t="s">
        <v>2370</v>
      </c>
      <c r="B2324" t="s">
        <v>7869</v>
      </c>
      <c r="C2324" t="s">
        <v>7870</v>
      </c>
      <c r="D2324" t="s">
        <v>52</v>
      </c>
      <c r="E2324" t="s">
        <v>7871</v>
      </c>
      <c r="F2324" t="s">
        <v>45</v>
      </c>
      <c r="G2324" t="str">
        <f>HYPERLINK("https://www.instagram.com/p/BzFHxd_nkTZ")</f>
        <v>https://www.instagram.com/p/BzFHxd_nkTZ</v>
      </c>
      <c r="H2324" t="s">
        <v>215</v>
      </c>
      <c r="I2324" t="s">
        <v>7872</v>
      </c>
      <c r="J2324" t="str">
        <f>HYPERLINK("http://instagram.com/__rebekuh__")</f>
        <v>http://instagram.com/__rebekuh__</v>
      </c>
      <c r="K2324">
        <v>491</v>
      </c>
      <c r="L2324" t="s">
        <v>58</v>
      </c>
      <c r="N2324" t="s">
        <v>59</v>
      </c>
      <c r="O2324" t="s">
        <v>7872</v>
      </c>
      <c r="P2324" t="str">
        <f>HYPERLINK("http://instagram.com/__rebekuh__")</f>
        <v>http://instagram.com/__rebekuh__</v>
      </c>
      <c r="Q2324">
        <v>491</v>
      </c>
      <c r="R2324" t="s">
        <v>60</v>
      </c>
      <c r="W2324">
        <v>13</v>
      </c>
      <c r="X2324">
        <v>13</v>
      </c>
      <c r="AE2324">
        <v>0</v>
      </c>
      <c r="AI2324" t="s">
        <v>52</v>
      </c>
      <c r="AJ2324" t="s">
        <v>7873</v>
      </c>
      <c r="AK2324" t="s">
        <v>52</v>
      </c>
      <c r="AL2324" t="str">
        <f>HYPERLINK("https://www.instagram.com/p/BzFHxd_nkTZ/media/?size=l")</f>
        <v>https://www.instagram.com/p/BzFHxd_nkTZ/media/?size=l</v>
      </c>
      <c r="AM2324" t="s">
        <v>52</v>
      </c>
      <c r="AN2324" t="s">
        <v>53</v>
      </c>
    </row>
    <row r="2325" spans="1:40">
      <c r="A2325" t="s">
        <v>2370</v>
      </c>
      <c r="B2325" t="s">
        <v>7869</v>
      </c>
      <c r="C2325" t="s">
        <v>7870</v>
      </c>
      <c r="D2325" t="s">
        <v>52</v>
      </c>
      <c r="E2325" t="s">
        <v>7874</v>
      </c>
      <c r="F2325" t="s">
        <v>45</v>
      </c>
      <c r="G2325" t="str">
        <f>HYPERLINK("https://twitter.com/150897022/status/1143021284713848833")</f>
        <v>https://twitter.com/150897022/status/1143021284713848833</v>
      </c>
      <c r="H2325" t="s">
        <v>46</v>
      </c>
      <c r="I2325" t="s">
        <v>7875</v>
      </c>
      <c r="J2325" t="str">
        <f>HYPERLINK("http://twitter.com/gisselcSauceda")</f>
        <v>http://twitter.com/gisselcSauceda</v>
      </c>
      <c r="K2325">
        <v>437</v>
      </c>
      <c r="N2325" t="s">
        <v>65</v>
      </c>
      <c r="R2325" t="s">
        <v>60</v>
      </c>
      <c r="W2325">
        <v>0</v>
      </c>
      <c r="X2325">
        <v>0</v>
      </c>
      <c r="AE2325">
        <v>1</v>
      </c>
      <c r="AF2325">
        <v>0</v>
      </c>
      <c r="AM2325" t="s">
        <v>52</v>
      </c>
      <c r="AN2325" t="s">
        <v>53</v>
      </c>
    </row>
    <row r="2326" spans="1:40">
      <c r="A2326" t="s">
        <v>2370</v>
      </c>
      <c r="B2326" t="s">
        <v>2137</v>
      </c>
      <c r="C2326" t="s">
        <v>7866</v>
      </c>
      <c r="D2326" t="s">
        <v>52</v>
      </c>
      <c r="E2326" t="s">
        <v>1194</v>
      </c>
      <c r="F2326" t="s">
        <v>131</v>
      </c>
      <c r="G2326" t="str">
        <f>HYPERLINK("https://twitter.com/416790795/status/1143021152719101953")</f>
        <v>https://twitter.com/416790795/status/1143021152719101953</v>
      </c>
      <c r="H2326" t="s">
        <v>46</v>
      </c>
      <c r="I2326" t="s">
        <v>7876</v>
      </c>
      <c r="J2326" t="str">
        <f>HYPERLINK("http://twitter.com/khaiyundin")</f>
        <v>http://twitter.com/khaiyundin</v>
      </c>
      <c r="K2326">
        <v>475</v>
      </c>
      <c r="N2326" t="s">
        <v>65</v>
      </c>
      <c r="R2326" t="s">
        <v>60</v>
      </c>
      <c r="W2326">
        <v>0</v>
      </c>
      <c r="X2326">
        <v>0</v>
      </c>
      <c r="AE2326">
        <v>0</v>
      </c>
      <c r="AI2326" t="s">
        <v>52</v>
      </c>
      <c r="AJ2326" t="s">
        <v>1196</v>
      </c>
      <c r="AK2326" t="s">
        <v>52</v>
      </c>
      <c r="AL2326" t="str">
        <f>HYPERLINK("https://pbs.twimg.com/media/D9xgk2YXkAAd2ql.jpg")</f>
        <v>https://pbs.twimg.com/media/D9xgk2YXkAAd2ql.jpg</v>
      </c>
      <c r="AM2326" t="s">
        <v>52</v>
      </c>
      <c r="AN2326" t="s">
        <v>53</v>
      </c>
    </row>
    <row r="2327" spans="1:40">
      <c r="A2327" t="s">
        <v>2370</v>
      </c>
      <c r="B2327" t="s">
        <v>2137</v>
      </c>
      <c r="C2327" t="s">
        <v>7877</v>
      </c>
      <c r="D2327" t="s">
        <v>52</v>
      </c>
      <c r="E2327" t="s">
        <v>7878</v>
      </c>
      <c r="F2327" t="s">
        <v>71</v>
      </c>
      <c r="G2327" t="str">
        <f>HYPERLINK("https://twitter.com/403015266/status/1143021023656325120")</f>
        <v>https://twitter.com/403015266/status/1143021023656325120</v>
      </c>
      <c r="H2327" t="s">
        <v>46</v>
      </c>
      <c r="I2327" t="s">
        <v>7879</v>
      </c>
      <c r="J2327" t="str">
        <f>HYPERLINK("http://twitter.com/ChefScott_")</f>
        <v>http://twitter.com/ChefScott_</v>
      </c>
      <c r="K2327">
        <v>14124</v>
      </c>
      <c r="N2327" t="s">
        <v>65</v>
      </c>
      <c r="R2327" t="s">
        <v>60</v>
      </c>
      <c r="S2327" t="s">
        <v>1071</v>
      </c>
      <c r="T2327" t="s">
        <v>5506</v>
      </c>
      <c r="U2327" t="s">
        <v>5507</v>
      </c>
      <c r="W2327">
        <v>0</v>
      </c>
      <c r="X2327">
        <v>0</v>
      </c>
      <c r="AE2327">
        <v>0</v>
      </c>
      <c r="AF2327">
        <v>0</v>
      </c>
      <c r="AM2327" t="s">
        <v>52</v>
      </c>
      <c r="AN2327" t="s">
        <v>53</v>
      </c>
    </row>
    <row r="2328" spans="1:40">
      <c r="A2328" t="s">
        <v>2370</v>
      </c>
      <c r="B2328" t="s">
        <v>2154</v>
      </c>
      <c r="C2328" t="s">
        <v>7880</v>
      </c>
      <c r="D2328" t="s">
        <v>52</v>
      </c>
      <c r="E2328" t="s">
        <v>7881</v>
      </c>
      <c r="F2328" t="s">
        <v>45</v>
      </c>
      <c r="G2328" t="str">
        <f>HYPERLINK("https://www.instagram.com/p/BzFHDCvncUN")</f>
        <v>https://www.instagram.com/p/BzFHDCvncUN</v>
      </c>
      <c r="H2328" t="s">
        <v>46</v>
      </c>
      <c r="I2328" t="s">
        <v>7882</v>
      </c>
      <c r="J2328" t="str">
        <f>HYPERLINK("http://instagram.com/duncleface")</f>
        <v>http://instagram.com/duncleface</v>
      </c>
      <c r="K2328">
        <v>242</v>
      </c>
      <c r="L2328" t="s">
        <v>58</v>
      </c>
      <c r="N2328" t="s">
        <v>59</v>
      </c>
      <c r="O2328" t="s">
        <v>7882</v>
      </c>
      <c r="P2328" t="str">
        <f>HYPERLINK("http://instagram.com/duncleface")</f>
        <v>http://instagram.com/duncleface</v>
      </c>
      <c r="Q2328">
        <v>242</v>
      </c>
      <c r="R2328" t="s">
        <v>60</v>
      </c>
      <c r="W2328">
        <v>7</v>
      </c>
      <c r="X2328">
        <v>7</v>
      </c>
      <c r="AE2328">
        <v>2</v>
      </c>
      <c r="AI2328" t="s">
        <v>2529</v>
      </c>
      <c r="AJ2328" t="s">
        <v>1853</v>
      </c>
      <c r="AK2328" t="s">
        <v>52</v>
      </c>
      <c r="AL2328" t="str">
        <f>HYPERLINK("https://www.instagram.com/p/BzFHDCvncUN/media/?size=l")</f>
        <v>https://www.instagram.com/p/BzFHDCvncUN/media/?size=l</v>
      </c>
      <c r="AM2328" t="s">
        <v>52</v>
      </c>
      <c r="AN2328" t="s">
        <v>53</v>
      </c>
    </row>
    <row r="2329" spans="1:40">
      <c r="A2329" t="s">
        <v>2370</v>
      </c>
      <c r="B2329" t="s">
        <v>2168</v>
      </c>
      <c r="C2329" t="s">
        <v>7883</v>
      </c>
      <c r="D2329" t="s">
        <v>52</v>
      </c>
      <c r="E2329" t="s">
        <v>7884</v>
      </c>
      <c r="F2329" t="s">
        <v>45</v>
      </c>
      <c r="G2329" t="str">
        <f>HYPERLINK("https://twitter.com/1021833053902127105/status/1143019040316768258")</f>
        <v>https://twitter.com/1021833053902127105/status/1143019040316768258</v>
      </c>
      <c r="H2329" t="s">
        <v>46</v>
      </c>
      <c r="I2329" t="s">
        <v>7885</v>
      </c>
      <c r="J2329" t="str">
        <f>HYPERLINK("http://twitter.com/yerimsfairy")</f>
        <v>http://twitter.com/yerimsfairy</v>
      </c>
      <c r="K2329">
        <v>55</v>
      </c>
      <c r="N2329" t="s">
        <v>65</v>
      </c>
      <c r="R2329" t="s">
        <v>60</v>
      </c>
      <c r="S2329" t="s">
        <v>437</v>
      </c>
      <c r="T2329" t="s">
        <v>7886</v>
      </c>
      <c r="U2329" t="s">
        <v>7887</v>
      </c>
      <c r="W2329">
        <v>2</v>
      </c>
      <c r="X2329">
        <v>2</v>
      </c>
      <c r="AE2329">
        <v>0</v>
      </c>
      <c r="AF2329">
        <v>0</v>
      </c>
      <c r="AM2329" t="s">
        <v>52</v>
      </c>
      <c r="AN2329" t="s">
        <v>53</v>
      </c>
    </row>
    <row r="2330" spans="1:40">
      <c r="A2330" t="s">
        <v>2370</v>
      </c>
      <c r="B2330" t="s">
        <v>2168</v>
      </c>
      <c r="C2330" t="s">
        <v>7883</v>
      </c>
      <c r="D2330" t="s">
        <v>52</v>
      </c>
      <c r="E2330" t="s">
        <v>1194</v>
      </c>
      <c r="F2330" t="s">
        <v>131</v>
      </c>
      <c r="G2330" t="str">
        <f>HYPERLINK("https://twitter.com/403883543/status/1143019029281460225")</f>
        <v>https://twitter.com/403883543/status/1143019029281460225</v>
      </c>
      <c r="H2330" t="s">
        <v>46</v>
      </c>
      <c r="I2330" t="s">
        <v>7888</v>
      </c>
      <c r="J2330" t="str">
        <f>HYPERLINK("http://twitter.com/KortnieBawl")</f>
        <v>http://twitter.com/KortnieBawl</v>
      </c>
      <c r="K2330">
        <v>529</v>
      </c>
      <c r="N2330" t="s">
        <v>65</v>
      </c>
      <c r="R2330" t="s">
        <v>60</v>
      </c>
      <c r="W2330">
        <v>0</v>
      </c>
      <c r="X2330">
        <v>0</v>
      </c>
      <c r="AE2330">
        <v>0</v>
      </c>
      <c r="AI2330" t="s">
        <v>52</v>
      </c>
      <c r="AJ2330" t="s">
        <v>1196</v>
      </c>
      <c r="AK2330" t="s">
        <v>52</v>
      </c>
      <c r="AL2330" t="str">
        <f>HYPERLINK("https://pbs.twimg.com/media/D9xgk2YXkAAd2ql.jpg")</f>
        <v>https://pbs.twimg.com/media/D9xgk2YXkAAd2ql.jpg</v>
      </c>
      <c r="AM2330" t="s">
        <v>52</v>
      </c>
      <c r="AN2330" t="s">
        <v>53</v>
      </c>
    </row>
    <row r="2331" spans="1:40">
      <c r="A2331" t="s">
        <v>2370</v>
      </c>
      <c r="B2331" t="s">
        <v>2168</v>
      </c>
      <c r="C2331" t="s">
        <v>7655</v>
      </c>
      <c r="D2331" t="s">
        <v>52</v>
      </c>
      <c r="E2331" t="s">
        <v>7889</v>
      </c>
      <c r="F2331" t="s">
        <v>45</v>
      </c>
      <c r="G2331" t="str">
        <f>HYPERLINK("https://www.instagram.com/p/BzFGtPQhAtR")</f>
        <v>https://www.instagram.com/p/BzFGtPQhAtR</v>
      </c>
      <c r="H2331" t="s">
        <v>46</v>
      </c>
      <c r="I2331" t="s">
        <v>7890</v>
      </c>
      <c r="J2331" t="str">
        <f>HYPERLINK("http://instagram.com/magshiregymnastics")</f>
        <v>http://instagram.com/magshiregymnastics</v>
      </c>
      <c r="K2331">
        <v>683</v>
      </c>
      <c r="N2331" t="s">
        <v>59</v>
      </c>
      <c r="O2331" t="s">
        <v>7890</v>
      </c>
      <c r="P2331" t="str">
        <f>HYPERLINK("http://instagram.com/magshiregymnastics")</f>
        <v>http://instagram.com/magshiregymnastics</v>
      </c>
      <c r="Q2331">
        <v>683</v>
      </c>
      <c r="R2331" t="s">
        <v>60</v>
      </c>
      <c r="W2331">
        <v>32</v>
      </c>
      <c r="X2331">
        <v>32</v>
      </c>
      <c r="AE2331">
        <v>0</v>
      </c>
      <c r="AI2331" t="s">
        <v>108</v>
      </c>
      <c r="AJ2331" t="s">
        <v>1853</v>
      </c>
      <c r="AK2331" t="s">
        <v>52</v>
      </c>
      <c r="AL2331" t="str">
        <f>HYPERLINK("https://www.instagram.com/p/BzFGtPQhAtR/media/?size=l")</f>
        <v>https://www.instagram.com/p/BzFGtPQhAtR/media/?size=l</v>
      </c>
      <c r="AM2331" t="s">
        <v>52</v>
      </c>
      <c r="AN2331" t="s">
        <v>53</v>
      </c>
    </row>
    <row r="2332" spans="1:40">
      <c r="A2332" t="s">
        <v>2370</v>
      </c>
      <c r="B2332" t="s">
        <v>2168</v>
      </c>
      <c r="C2332" t="s">
        <v>7891</v>
      </c>
      <c r="D2332" t="s">
        <v>52</v>
      </c>
      <c r="E2332" t="s">
        <v>3749</v>
      </c>
      <c r="F2332" t="s">
        <v>71</v>
      </c>
      <c r="G2332" t="str">
        <f>HYPERLINK("https://twitter.com/1116925106/status/1143018944564998144")</f>
        <v>https://twitter.com/1116925106/status/1143018944564998144</v>
      </c>
      <c r="H2332" t="s">
        <v>46</v>
      </c>
      <c r="I2332" t="s">
        <v>7892</v>
      </c>
      <c r="J2332" t="str">
        <f>HYPERLINK("http://twitter.com/tlaphane")</f>
        <v>http://twitter.com/tlaphane</v>
      </c>
      <c r="K2332">
        <v>365</v>
      </c>
      <c r="N2332" t="s">
        <v>65</v>
      </c>
      <c r="R2332" t="s">
        <v>60</v>
      </c>
      <c r="S2332" t="s">
        <v>1071</v>
      </c>
      <c r="T2332" t="s">
        <v>1072</v>
      </c>
      <c r="U2332" t="s">
        <v>1073</v>
      </c>
      <c r="W2332">
        <v>0</v>
      </c>
      <c r="X2332">
        <v>0</v>
      </c>
      <c r="AE2332">
        <v>0</v>
      </c>
      <c r="AF2332">
        <v>0</v>
      </c>
      <c r="AI2332" t="s">
        <v>108</v>
      </c>
      <c r="AJ2332" t="s">
        <v>52</v>
      </c>
      <c r="AK2332" t="s">
        <v>52</v>
      </c>
      <c r="AL2332" t="str">
        <f>HYPERLINK("https://pbs.twimg.com/media/D9sAXHUX4AA6vJs.jpg")</f>
        <v>https://pbs.twimg.com/media/D9sAXHUX4AA6vJs.jpg</v>
      </c>
      <c r="AM2332" t="s">
        <v>52</v>
      </c>
      <c r="AN2332" t="s">
        <v>53</v>
      </c>
    </row>
    <row r="2333" spans="1:40">
      <c r="A2333" t="s">
        <v>2370</v>
      </c>
      <c r="B2333" t="s">
        <v>2177</v>
      </c>
      <c r="C2333" t="s">
        <v>7891</v>
      </c>
      <c r="D2333" t="s">
        <v>52</v>
      </c>
      <c r="E2333" t="s">
        <v>7893</v>
      </c>
      <c r="F2333" t="s">
        <v>95</v>
      </c>
      <c r="G2333" t="str">
        <f>HYPERLINK("https://twitter.com/708023698159042560/status/1143018910255501313")</f>
        <v>https://twitter.com/708023698159042560/status/1143018910255501313</v>
      </c>
      <c r="H2333" t="s">
        <v>46</v>
      </c>
      <c r="I2333" t="s">
        <v>7894</v>
      </c>
      <c r="J2333" t="str">
        <f>HYPERLINK("http://twitter.com/Grracieeeee")</f>
        <v>http://twitter.com/Grracieeeee</v>
      </c>
      <c r="K2333">
        <v>62</v>
      </c>
      <c r="N2333" t="s">
        <v>65</v>
      </c>
      <c r="R2333" t="s">
        <v>60</v>
      </c>
      <c r="W2333">
        <v>0</v>
      </c>
      <c r="X2333">
        <v>0</v>
      </c>
      <c r="AE2333">
        <v>0</v>
      </c>
      <c r="AF2333">
        <v>0</v>
      </c>
      <c r="AM2333" t="s">
        <v>52</v>
      </c>
      <c r="AN2333" t="s">
        <v>53</v>
      </c>
    </row>
    <row r="2334" spans="1:40">
      <c r="A2334" t="s">
        <v>2370</v>
      </c>
      <c r="B2334" t="s">
        <v>2177</v>
      </c>
      <c r="C2334" t="s">
        <v>7891</v>
      </c>
      <c r="D2334" t="s">
        <v>52</v>
      </c>
      <c r="E2334" t="s">
        <v>7895</v>
      </c>
      <c r="F2334" t="s">
        <v>45</v>
      </c>
      <c r="G2334" t="str">
        <f>HYPERLINK("https://twitter.com/3168072062/status/1143018907713904640")</f>
        <v>https://twitter.com/3168072062/status/1143018907713904640</v>
      </c>
      <c r="H2334" t="s">
        <v>46</v>
      </c>
      <c r="I2334" t="s">
        <v>7896</v>
      </c>
      <c r="J2334" t="str">
        <f>HYPERLINK("http://twitter.com/PrettyGordoIBe")</f>
        <v>http://twitter.com/PrettyGordoIBe</v>
      </c>
      <c r="K2334">
        <v>510</v>
      </c>
      <c r="N2334" t="s">
        <v>65</v>
      </c>
      <c r="R2334" t="s">
        <v>60</v>
      </c>
      <c r="S2334" t="s">
        <v>51</v>
      </c>
      <c r="T2334" t="s">
        <v>152</v>
      </c>
      <c r="U2334" t="s">
        <v>424</v>
      </c>
      <c r="W2334">
        <v>0</v>
      </c>
      <c r="X2334">
        <v>0</v>
      </c>
      <c r="AE2334">
        <v>0</v>
      </c>
      <c r="AF2334">
        <v>0</v>
      </c>
      <c r="AM2334" t="s">
        <v>52</v>
      </c>
      <c r="AN2334" t="s">
        <v>53</v>
      </c>
    </row>
    <row r="2335" spans="1:40">
      <c r="A2335" t="s">
        <v>2370</v>
      </c>
      <c r="B2335" t="s">
        <v>2177</v>
      </c>
      <c r="C2335" t="s">
        <v>7395</v>
      </c>
      <c r="D2335" t="s">
        <v>7897</v>
      </c>
      <c r="E2335" t="s">
        <v>7898</v>
      </c>
      <c r="F2335" t="s">
        <v>95</v>
      </c>
      <c r="G2335" t="str">
        <f>HYPERLINK("https://www.youtube.com/watch?v=Kib5LJjVFfY&amp;lc=UgzzVc6Unfwa1bhqKoR4AaABAg")</f>
        <v>https://www.youtube.com/watch?v=Kib5LJjVFfY&amp;lc=UgzzVc6Unfwa1bhqKoR4AaABAg</v>
      </c>
      <c r="H2335" t="s">
        <v>46</v>
      </c>
      <c r="I2335" t="s">
        <v>7899</v>
      </c>
      <c r="J2335" t="str">
        <f>HYPERLINK("https://www.youtube.com/channel/UCuWMBI23NEus6yzymWfUDhg")</f>
        <v>https://www.youtube.com/channel/UCuWMBI23NEus6yzymWfUDhg</v>
      </c>
      <c r="K2335">
        <v>13</v>
      </c>
      <c r="L2335" t="s">
        <v>48</v>
      </c>
      <c r="N2335" t="s">
        <v>116</v>
      </c>
      <c r="O2335" t="s">
        <v>7900</v>
      </c>
      <c r="P2335" t="str">
        <f>HYPERLINK("https://www.youtube.com/channel/UCkQoTv36hzj4uzIiPgvZudQ")</f>
        <v>https://www.youtube.com/channel/UCkQoTv36hzj4uzIiPgvZudQ</v>
      </c>
      <c r="Q2335">
        <v>2563</v>
      </c>
      <c r="R2335" t="s">
        <v>60</v>
      </c>
      <c r="W2335">
        <v>0</v>
      </c>
      <c r="X2335">
        <v>0</v>
      </c>
      <c r="AE2335">
        <v>1</v>
      </c>
      <c r="AM2335" t="s">
        <v>52</v>
      </c>
      <c r="AN2335" t="s">
        <v>53</v>
      </c>
    </row>
    <row r="2336" spans="1:40">
      <c r="A2336" t="s">
        <v>2370</v>
      </c>
      <c r="B2336" t="s">
        <v>2181</v>
      </c>
      <c r="C2336" t="s">
        <v>7901</v>
      </c>
      <c r="D2336" t="s">
        <v>52</v>
      </c>
      <c r="E2336" t="s">
        <v>7902</v>
      </c>
      <c r="F2336" t="s">
        <v>71</v>
      </c>
      <c r="G2336" t="str">
        <f>HYPERLINK("https://twitter.com/1033350830777352193/status/1143018609557590017")</f>
        <v>https://twitter.com/1033350830777352193/status/1143018609557590017</v>
      </c>
      <c r="H2336" t="s">
        <v>46</v>
      </c>
      <c r="I2336" t="s">
        <v>7903</v>
      </c>
      <c r="J2336" t="str">
        <f>HYPERLINK("http://twitter.com/nange___")</f>
        <v>http://twitter.com/nange___</v>
      </c>
      <c r="K2336">
        <v>268</v>
      </c>
      <c r="N2336" t="s">
        <v>65</v>
      </c>
      <c r="R2336" t="s">
        <v>60</v>
      </c>
      <c r="S2336" t="s">
        <v>1071</v>
      </c>
      <c r="T2336" t="s">
        <v>6398</v>
      </c>
      <c r="U2336" t="s">
        <v>7904</v>
      </c>
      <c r="W2336">
        <v>0</v>
      </c>
      <c r="X2336">
        <v>0</v>
      </c>
      <c r="AE2336">
        <v>0</v>
      </c>
      <c r="AF2336">
        <v>0</v>
      </c>
      <c r="AM2336" t="s">
        <v>52</v>
      </c>
      <c r="AN2336" t="s">
        <v>53</v>
      </c>
    </row>
    <row r="2337" spans="1:40">
      <c r="A2337" t="s">
        <v>2370</v>
      </c>
      <c r="B2337" t="s">
        <v>2181</v>
      </c>
      <c r="C2337" t="s">
        <v>7905</v>
      </c>
      <c r="D2337" t="s">
        <v>52</v>
      </c>
      <c r="E2337" t="s">
        <v>7906</v>
      </c>
      <c r="F2337" t="s">
        <v>95</v>
      </c>
      <c r="G2337" t="str">
        <f>HYPERLINK("https://twitter.com/1631449201/status/1143018552687042563")</f>
        <v>https://twitter.com/1631449201/status/1143018552687042563</v>
      </c>
      <c r="H2337" t="s">
        <v>46</v>
      </c>
      <c r="I2337" t="s">
        <v>7907</v>
      </c>
      <c r="J2337" t="str">
        <f>HYPERLINK("http://twitter.com/ShepardUpNext00")</f>
        <v>http://twitter.com/ShepardUpNext00</v>
      </c>
      <c r="K2337">
        <v>258</v>
      </c>
      <c r="N2337" t="s">
        <v>65</v>
      </c>
      <c r="R2337" t="s">
        <v>60</v>
      </c>
      <c r="S2337" t="s">
        <v>51</v>
      </c>
      <c r="T2337" t="s">
        <v>79</v>
      </c>
      <c r="U2337" t="s">
        <v>5718</v>
      </c>
      <c r="W2337">
        <v>1</v>
      </c>
      <c r="X2337">
        <v>1</v>
      </c>
      <c r="AE2337">
        <v>0</v>
      </c>
      <c r="AF2337">
        <v>0</v>
      </c>
      <c r="AM2337" t="s">
        <v>52</v>
      </c>
      <c r="AN2337" t="s">
        <v>53</v>
      </c>
    </row>
    <row r="2338" spans="1:40">
      <c r="A2338" t="s">
        <v>2370</v>
      </c>
      <c r="B2338" t="s">
        <v>2181</v>
      </c>
      <c r="C2338" t="s">
        <v>7880</v>
      </c>
      <c r="D2338" t="s">
        <v>52</v>
      </c>
      <c r="E2338" t="s">
        <v>7908</v>
      </c>
      <c r="F2338" t="s">
        <v>131</v>
      </c>
      <c r="G2338" t="str">
        <f>HYPERLINK("https://twitter.com/792055351139074048/status/1143018526015447042")</f>
        <v>https://twitter.com/792055351139074048/status/1143018526015447042</v>
      </c>
      <c r="H2338" t="s">
        <v>46</v>
      </c>
      <c r="I2338" t="s">
        <v>7909</v>
      </c>
      <c r="J2338" t="str">
        <f>HYPERLINK("http://twitter.com/cropze")</f>
        <v>http://twitter.com/cropze</v>
      </c>
      <c r="K2338">
        <v>474</v>
      </c>
      <c r="N2338" t="s">
        <v>65</v>
      </c>
      <c r="R2338" t="s">
        <v>60</v>
      </c>
      <c r="W2338">
        <v>0</v>
      </c>
      <c r="X2338">
        <v>0</v>
      </c>
      <c r="AE2338">
        <v>0</v>
      </c>
      <c r="AI2338" t="s">
        <v>108</v>
      </c>
      <c r="AJ2338" t="s">
        <v>3777</v>
      </c>
      <c r="AK2338" t="s">
        <v>7910</v>
      </c>
      <c r="AL2338" t="str">
        <f>HYPERLINK("https://pbs.twimg.com/media/D9zDNPAWwAElitX.jpg")</f>
        <v>https://pbs.twimg.com/media/D9zDNPAWwAElitX.jpg</v>
      </c>
      <c r="AM2338" t="s">
        <v>52</v>
      </c>
      <c r="AN2338" t="s">
        <v>53</v>
      </c>
    </row>
    <row r="2339" spans="1:40">
      <c r="A2339" t="s">
        <v>2370</v>
      </c>
      <c r="B2339" t="s">
        <v>7911</v>
      </c>
      <c r="C2339" t="s">
        <v>7912</v>
      </c>
      <c r="D2339" t="s">
        <v>52</v>
      </c>
      <c r="E2339" t="s">
        <v>7913</v>
      </c>
      <c r="F2339" t="s">
        <v>95</v>
      </c>
      <c r="G2339" t="str">
        <f>HYPERLINK("https://twitter.com/2238250711/status/1143017775377440768")</f>
        <v>https://twitter.com/2238250711/status/1143017775377440768</v>
      </c>
      <c r="H2339" t="s">
        <v>46</v>
      </c>
      <c r="I2339" t="s">
        <v>7914</v>
      </c>
      <c r="J2339" t="str">
        <f>HYPERLINK("http://twitter.com/UnDEaDtheGamer")</f>
        <v>http://twitter.com/UnDEaDtheGamer</v>
      </c>
      <c r="K2339">
        <v>3246</v>
      </c>
      <c r="N2339" t="s">
        <v>65</v>
      </c>
      <c r="R2339" t="s">
        <v>60</v>
      </c>
      <c r="S2339" t="s">
        <v>774</v>
      </c>
      <c r="W2339">
        <v>2</v>
      </c>
      <c r="X2339">
        <v>2</v>
      </c>
      <c r="AE2339">
        <v>0</v>
      </c>
      <c r="AF2339">
        <v>0</v>
      </c>
      <c r="AM2339" t="s">
        <v>52</v>
      </c>
      <c r="AN2339" t="s">
        <v>53</v>
      </c>
    </row>
    <row r="2340" spans="1:40">
      <c r="A2340" t="s">
        <v>2370</v>
      </c>
      <c r="B2340" t="s">
        <v>7915</v>
      </c>
      <c r="C2340" t="s">
        <v>7905</v>
      </c>
      <c r="D2340" t="s">
        <v>52</v>
      </c>
      <c r="E2340" t="s">
        <v>7916</v>
      </c>
      <c r="F2340" t="s">
        <v>71</v>
      </c>
      <c r="G2340" t="str">
        <f>HYPERLINK("https://twitter.com/935970028767338496/status/1143017473014403072")</f>
        <v>https://twitter.com/935970028767338496/status/1143017473014403072</v>
      </c>
      <c r="H2340" t="s">
        <v>215</v>
      </c>
      <c r="I2340" t="s">
        <v>52</v>
      </c>
      <c r="J2340" t="str">
        <f>HYPERLINK("http://twitter.com/stapulivestwice")</f>
        <v>http://twitter.com/stapulivestwice</v>
      </c>
      <c r="K2340">
        <v>4621</v>
      </c>
      <c r="N2340" t="s">
        <v>65</v>
      </c>
      <c r="R2340" t="s">
        <v>60</v>
      </c>
      <c r="S2340" t="s">
        <v>1071</v>
      </c>
      <c r="T2340" t="s">
        <v>1072</v>
      </c>
      <c r="U2340" t="s">
        <v>1073</v>
      </c>
      <c r="W2340">
        <v>0</v>
      </c>
      <c r="X2340">
        <v>0</v>
      </c>
      <c r="AE2340">
        <v>0</v>
      </c>
      <c r="AF2340">
        <v>0</v>
      </c>
      <c r="AM2340" t="s">
        <v>52</v>
      </c>
      <c r="AN2340" t="s">
        <v>53</v>
      </c>
    </row>
    <row r="2341" spans="1:40">
      <c r="A2341" t="s">
        <v>2370</v>
      </c>
      <c r="B2341" t="s">
        <v>2195</v>
      </c>
      <c r="C2341" t="s">
        <v>7883</v>
      </c>
      <c r="D2341" t="s">
        <v>52</v>
      </c>
      <c r="E2341" t="s">
        <v>7917</v>
      </c>
      <c r="F2341" t="s">
        <v>45</v>
      </c>
      <c r="G2341" t="str">
        <f>HYPERLINK("https://www.instagram.com/p/BzFF7S7JaB0")</f>
        <v>https://www.instagram.com/p/BzFF7S7JaB0</v>
      </c>
      <c r="H2341" t="s">
        <v>46</v>
      </c>
      <c r="I2341" t="s">
        <v>3375</v>
      </c>
      <c r="J2341" t="str">
        <f>HYPERLINK("http://instagram.com/los_doritos_de_los_bts_")</f>
        <v>http://instagram.com/los_doritos_de_los_bts_</v>
      </c>
      <c r="K2341">
        <v>0</v>
      </c>
      <c r="N2341" t="s">
        <v>59</v>
      </c>
      <c r="O2341" t="s">
        <v>3375</v>
      </c>
      <c r="P2341" t="str">
        <f>HYPERLINK("http://instagram.com/los_doritos_de_los_bts_")</f>
        <v>http://instagram.com/los_doritos_de_los_bts_</v>
      </c>
      <c r="Q2341">
        <v>0</v>
      </c>
      <c r="R2341" t="s">
        <v>60</v>
      </c>
      <c r="S2341" t="s">
        <v>241</v>
      </c>
      <c r="T2341" t="s">
        <v>7918</v>
      </c>
      <c r="U2341" t="s">
        <v>7919</v>
      </c>
      <c r="W2341">
        <v>10</v>
      </c>
      <c r="X2341">
        <v>10</v>
      </c>
      <c r="AE2341">
        <v>0</v>
      </c>
      <c r="AI2341" t="s">
        <v>52</v>
      </c>
      <c r="AJ2341" t="s">
        <v>52</v>
      </c>
      <c r="AK2341" t="s">
        <v>52</v>
      </c>
      <c r="AL2341" t="str">
        <f>HYPERLINK("https://www.instagram.com/p/BzFF7S7JaB0/media/?size=l")</f>
        <v>https://www.instagram.com/p/BzFF7S7JaB0/media/?size=l</v>
      </c>
      <c r="AM2341" t="s">
        <v>52</v>
      </c>
      <c r="AN2341" t="s">
        <v>53</v>
      </c>
    </row>
    <row r="2342" spans="1:40">
      <c r="A2342" t="s">
        <v>2370</v>
      </c>
      <c r="B2342" t="s">
        <v>2195</v>
      </c>
      <c r="C2342" t="s">
        <v>7880</v>
      </c>
      <c r="D2342" t="s">
        <v>52</v>
      </c>
      <c r="E2342" t="s">
        <v>7920</v>
      </c>
      <c r="F2342" t="s">
        <v>45</v>
      </c>
      <c r="G2342" t="str">
        <f>HYPERLINK("https://www.instagram.com/p/BzFF1dTjtwj")</f>
        <v>https://www.instagram.com/p/BzFF1dTjtwj</v>
      </c>
      <c r="H2342" t="s">
        <v>46</v>
      </c>
      <c r="I2342" t="s">
        <v>7921</v>
      </c>
      <c r="J2342" t="str">
        <f>HYPERLINK("http://instagram.com/cncownerec_frases")</f>
        <v>http://instagram.com/cncownerec_frases</v>
      </c>
      <c r="K2342">
        <v>195</v>
      </c>
      <c r="N2342" t="s">
        <v>59</v>
      </c>
      <c r="O2342" t="s">
        <v>7921</v>
      </c>
      <c r="P2342" t="str">
        <f>HYPERLINK("http://instagram.com/cncownerec_frases")</f>
        <v>http://instagram.com/cncownerec_frases</v>
      </c>
      <c r="Q2342">
        <v>195</v>
      </c>
      <c r="R2342" t="s">
        <v>60</v>
      </c>
      <c r="W2342">
        <v>21</v>
      </c>
      <c r="X2342">
        <v>21</v>
      </c>
      <c r="AE2342">
        <v>1</v>
      </c>
      <c r="AG2342">
        <v>71</v>
      </c>
      <c r="AI2342" t="s">
        <v>52</v>
      </c>
      <c r="AJ2342" t="s">
        <v>52</v>
      </c>
      <c r="AK2342" t="s">
        <v>7922</v>
      </c>
      <c r="AL2342" t="str">
        <f>HYPERLINK("https://www.instagram.com/p/BzFF1dTjtwj/media/?size=l")</f>
        <v>https://www.instagram.com/p/BzFF1dTjtwj/media/?size=l</v>
      </c>
      <c r="AM2342" t="s">
        <v>52</v>
      </c>
      <c r="AN2342" t="s">
        <v>53</v>
      </c>
    </row>
    <row r="2343" spans="1:40">
      <c r="A2343" t="s">
        <v>2370</v>
      </c>
      <c r="B2343" t="s">
        <v>7923</v>
      </c>
      <c r="C2343" t="s">
        <v>7912</v>
      </c>
      <c r="D2343" t="s">
        <v>52</v>
      </c>
      <c r="E2343" t="s">
        <v>4497</v>
      </c>
      <c r="F2343" t="s">
        <v>131</v>
      </c>
      <c r="G2343" t="str">
        <f>HYPERLINK("https://twitter.com/989654311331422208/status/1143016704626352129")</f>
        <v>https://twitter.com/989654311331422208/status/1143016704626352129</v>
      </c>
      <c r="H2343" t="s">
        <v>46</v>
      </c>
      <c r="I2343" t="s">
        <v>7924</v>
      </c>
      <c r="J2343" t="str">
        <f>HYPERLINK("http://twitter.com/splattedbysalem")</f>
        <v>http://twitter.com/splattedbysalem</v>
      </c>
      <c r="K2343">
        <v>13</v>
      </c>
      <c r="L2343" t="s">
        <v>58</v>
      </c>
      <c r="N2343" t="s">
        <v>65</v>
      </c>
      <c r="R2343" t="s">
        <v>60</v>
      </c>
      <c r="S2343" t="s">
        <v>51</v>
      </c>
      <c r="T2343" t="s">
        <v>152</v>
      </c>
      <c r="U2343" t="s">
        <v>7925</v>
      </c>
      <c r="W2343">
        <v>0</v>
      </c>
      <c r="X2343">
        <v>0</v>
      </c>
      <c r="AE2343">
        <v>0</v>
      </c>
      <c r="AM2343" t="s">
        <v>52</v>
      </c>
      <c r="AN2343" t="s">
        <v>53</v>
      </c>
    </row>
    <row r="2344" spans="1:40">
      <c r="A2344" t="s">
        <v>2370</v>
      </c>
      <c r="B2344" t="s">
        <v>2210</v>
      </c>
      <c r="C2344" t="s">
        <v>7926</v>
      </c>
      <c r="D2344" t="s">
        <v>52</v>
      </c>
      <c r="E2344" t="s">
        <v>7927</v>
      </c>
      <c r="F2344" t="s">
        <v>95</v>
      </c>
      <c r="G2344" t="str">
        <f>HYPERLINK("https://twitter.com/116191906/status/1143016609226866690")</f>
        <v>https://twitter.com/116191906/status/1143016609226866690</v>
      </c>
      <c r="H2344" t="s">
        <v>46</v>
      </c>
      <c r="I2344" t="s">
        <v>7928</v>
      </c>
      <c r="J2344" t="str">
        <f>HYPERLINK("http://twitter.com/FlashAmarillo")</f>
        <v>http://twitter.com/FlashAmarillo</v>
      </c>
      <c r="K2344">
        <v>731</v>
      </c>
      <c r="N2344" t="s">
        <v>65</v>
      </c>
      <c r="R2344" t="s">
        <v>60</v>
      </c>
      <c r="S2344" t="s">
        <v>210</v>
      </c>
      <c r="T2344" t="s">
        <v>687</v>
      </c>
      <c r="U2344" t="s">
        <v>688</v>
      </c>
      <c r="W2344">
        <v>1</v>
      </c>
      <c r="X2344">
        <v>1</v>
      </c>
      <c r="AE2344">
        <v>0</v>
      </c>
      <c r="AF2344">
        <v>0</v>
      </c>
      <c r="AM2344" t="s">
        <v>52</v>
      </c>
      <c r="AN2344" t="s">
        <v>53</v>
      </c>
    </row>
    <row r="2345" spans="1:40">
      <c r="A2345" t="s">
        <v>2370</v>
      </c>
      <c r="B2345" t="s">
        <v>2210</v>
      </c>
      <c r="C2345" t="s">
        <v>7929</v>
      </c>
      <c r="D2345" t="s">
        <v>52</v>
      </c>
      <c r="E2345" t="s">
        <v>1194</v>
      </c>
      <c r="F2345" t="s">
        <v>131</v>
      </c>
      <c r="G2345" t="str">
        <f>HYPERLINK("https://twitter.com/2521730327/status/1143016558656180224")</f>
        <v>https://twitter.com/2521730327/status/1143016558656180224</v>
      </c>
      <c r="H2345" t="s">
        <v>46</v>
      </c>
      <c r="I2345" t="s">
        <v>7930</v>
      </c>
      <c r="J2345" t="str">
        <f>HYPERLINK("http://twitter.com/ZioloZach")</f>
        <v>http://twitter.com/ZioloZach</v>
      </c>
      <c r="K2345">
        <v>456</v>
      </c>
      <c r="L2345" t="s">
        <v>48</v>
      </c>
      <c r="N2345" t="s">
        <v>65</v>
      </c>
      <c r="R2345" t="s">
        <v>60</v>
      </c>
      <c r="W2345">
        <v>0</v>
      </c>
      <c r="X2345">
        <v>0</v>
      </c>
      <c r="AE2345">
        <v>0</v>
      </c>
      <c r="AI2345" t="s">
        <v>52</v>
      </c>
      <c r="AJ2345" t="s">
        <v>1196</v>
      </c>
      <c r="AK2345" t="s">
        <v>52</v>
      </c>
      <c r="AL2345" t="str">
        <f>HYPERLINK("https://pbs.twimg.com/media/D9xgk2YXkAAd2ql.jpg")</f>
        <v>https://pbs.twimg.com/media/D9xgk2YXkAAd2ql.jpg</v>
      </c>
      <c r="AM2345" t="s">
        <v>52</v>
      </c>
      <c r="AN2345" t="s">
        <v>53</v>
      </c>
    </row>
    <row r="2346" spans="1:40">
      <c r="A2346" t="s">
        <v>2370</v>
      </c>
      <c r="B2346" t="s">
        <v>2210</v>
      </c>
      <c r="C2346" t="s">
        <v>7929</v>
      </c>
      <c r="D2346" t="s">
        <v>52</v>
      </c>
      <c r="E2346" t="s">
        <v>1194</v>
      </c>
      <c r="F2346" t="s">
        <v>131</v>
      </c>
      <c r="G2346" t="str">
        <f>HYPERLINK("https://twitter.com/1756580816/status/1143016542080241664")</f>
        <v>https://twitter.com/1756580816/status/1143016542080241664</v>
      </c>
      <c r="H2346" t="s">
        <v>46</v>
      </c>
      <c r="I2346" t="s">
        <v>7931</v>
      </c>
      <c r="J2346" t="str">
        <f>HYPERLINK("http://twitter.com/CEvanscity")</f>
        <v>http://twitter.com/CEvanscity</v>
      </c>
      <c r="K2346">
        <v>431</v>
      </c>
      <c r="L2346" t="s">
        <v>58</v>
      </c>
      <c r="N2346" t="s">
        <v>65</v>
      </c>
      <c r="R2346" t="s">
        <v>60</v>
      </c>
      <c r="W2346">
        <v>0</v>
      </c>
      <c r="X2346">
        <v>0</v>
      </c>
      <c r="AE2346">
        <v>0</v>
      </c>
      <c r="AI2346" t="s">
        <v>52</v>
      </c>
      <c r="AJ2346" t="s">
        <v>1196</v>
      </c>
      <c r="AK2346" t="s">
        <v>52</v>
      </c>
      <c r="AL2346" t="str">
        <f>HYPERLINK("https://pbs.twimg.com/media/D9xgk2YXkAAd2ql.jpg")</f>
        <v>https://pbs.twimg.com/media/D9xgk2YXkAAd2ql.jpg</v>
      </c>
      <c r="AM2346" t="s">
        <v>52</v>
      </c>
      <c r="AN2346" t="s">
        <v>53</v>
      </c>
    </row>
    <row r="2347" spans="1:40">
      <c r="A2347" t="s">
        <v>2370</v>
      </c>
      <c r="B2347" t="s">
        <v>2210</v>
      </c>
      <c r="C2347" t="s">
        <v>7912</v>
      </c>
      <c r="D2347" t="s">
        <v>52</v>
      </c>
      <c r="E2347" t="s">
        <v>7932</v>
      </c>
      <c r="F2347" t="s">
        <v>45</v>
      </c>
      <c r="G2347" t="str">
        <f>HYPERLINK("https://www.instagram.com/p/BzFFjPSgn4w")</f>
        <v>https://www.instagram.com/p/BzFFjPSgn4w</v>
      </c>
      <c r="H2347" t="s">
        <v>46</v>
      </c>
      <c r="I2347" t="s">
        <v>7933</v>
      </c>
      <c r="J2347" t="str">
        <f>HYPERLINK("http://instagram.com/metalmind_sandrockavortex")</f>
        <v>http://instagram.com/metalmind_sandrockavortex</v>
      </c>
      <c r="K2347">
        <v>411</v>
      </c>
      <c r="N2347" t="s">
        <v>59</v>
      </c>
      <c r="O2347" t="s">
        <v>7933</v>
      </c>
      <c r="P2347" t="str">
        <f>HYPERLINK("http://instagram.com/metalmind_sandrockavortex")</f>
        <v>http://instagram.com/metalmind_sandrockavortex</v>
      </c>
      <c r="Q2347">
        <v>411</v>
      </c>
      <c r="R2347" t="s">
        <v>60</v>
      </c>
      <c r="W2347">
        <v>2</v>
      </c>
      <c r="X2347">
        <v>2</v>
      </c>
      <c r="AE2347">
        <v>0</v>
      </c>
      <c r="AI2347" t="s">
        <v>108</v>
      </c>
      <c r="AJ2347" t="s">
        <v>7934</v>
      </c>
      <c r="AK2347" t="s">
        <v>52</v>
      </c>
      <c r="AL2347" t="str">
        <f>HYPERLINK("https://www.instagram.com/p/BzFFjPSgn4w/media/?size=l")</f>
        <v>https://www.instagram.com/p/BzFFjPSgn4w/media/?size=l</v>
      </c>
      <c r="AM2347" t="s">
        <v>52</v>
      </c>
      <c r="AN2347" t="s">
        <v>53</v>
      </c>
    </row>
    <row r="2348" spans="1:40">
      <c r="A2348" t="s">
        <v>2370</v>
      </c>
      <c r="B2348" t="s">
        <v>7935</v>
      </c>
      <c r="C2348" t="s">
        <v>7936</v>
      </c>
      <c r="D2348" t="s">
        <v>52</v>
      </c>
      <c r="E2348" t="s">
        <v>7937</v>
      </c>
      <c r="F2348" t="s">
        <v>45</v>
      </c>
      <c r="G2348" t="str">
        <f>HYPERLINK("https://www.instagram.com/p/BzFFcT-hVRC")</f>
        <v>https://www.instagram.com/p/BzFFcT-hVRC</v>
      </c>
      <c r="H2348" t="s">
        <v>215</v>
      </c>
      <c r="I2348" t="s">
        <v>7938</v>
      </c>
      <c r="J2348" t="str">
        <f>HYPERLINK("http://instagram.com/crocodilehunter247")</f>
        <v>http://instagram.com/crocodilehunter247</v>
      </c>
      <c r="K2348">
        <v>2305</v>
      </c>
      <c r="N2348" t="s">
        <v>59</v>
      </c>
      <c r="O2348" t="s">
        <v>7938</v>
      </c>
      <c r="P2348" t="str">
        <f>HYPERLINK("http://instagram.com/crocodilehunter247")</f>
        <v>http://instagram.com/crocodilehunter247</v>
      </c>
      <c r="Q2348">
        <v>2305</v>
      </c>
      <c r="R2348" t="s">
        <v>60</v>
      </c>
      <c r="W2348">
        <v>45</v>
      </c>
      <c r="X2348">
        <v>45</v>
      </c>
      <c r="AE2348">
        <v>5</v>
      </c>
      <c r="AI2348" t="s">
        <v>52</v>
      </c>
      <c r="AJ2348" t="s">
        <v>52</v>
      </c>
      <c r="AK2348" t="s">
        <v>612</v>
      </c>
      <c r="AL2348" t="str">
        <f>HYPERLINK("https://www.instagram.com/p/BzFFcT-hVRC/media/?size=l")</f>
        <v>https://www.instagram.com/p/BzFFcT-hVRC/media/?size=l</v>
      </c>
      <c r="AM2348" t="s">
        <v>52</v>
      </c>
      <c r="AN2348" t="s">
        <v>53</v>
      </c>
    </row>
    <row r="2349" spans="1:40">
      <c r="A2349" t="s">
        <v>2370</v>
      </c>
      <c r="B2349" t="s">
        <v>2232</v>
      </c>
      <c r="C2349" t="s">
        <v>7939</v>
      </c>
      <c r="D2349" t="s">
        <v>52</v>
      </c>
      <c r="E2349" t="s">
        <v>7821</v>
      </c>
      <c r="F2349" t="s">
        <v>95</v>
      </c>
      <c r="G2349" t="str">
        <f>HYPERLINK("https://twitter.com/1086802885986390016/status/1143014870016843776")</f>
        <v>https://twitter.com/1086802885986390016/status/1143014870016843776</v>
      </c>
      <c r="H2349" t="s">
        <v>46</v>
      </c>
      <c r="I2349" t="s">
        <v>7940</v>
      </c>
      <c r="J2349" t="str">
        <f>HYPERLINK("http://twitter.com/gaybwayqueen")</f>
        <v>http://twitter.com/gaybwayqueen</v>
      </c>
      <c r="K2349">
        <v>170</v>
      </c>
      <c r="N2349" t="s">
        <v>65</v>
      </c>
      <c r="R2349" t="s">
        <v>60</v>
      </c>
      <c r="S2349" t="s">
        <v>4276</v>
      </c>
      <c r="T2349" t="s">
        <v>7941</v>
      </c>
      <c r="U2349" t="s">
        <v>7942</v>
      </c>
      <c r="W2349">
        <v>2</v>
      </c>
      <c r="X2349">
        <v>2</v>
      </c>
      <c r="AE2349">
        <v>0</v>
      </c>
      <c r="AF2349">
        <v>1</v>
      </c>
      <c r="AM2349" t="s">
        <v>52</v>
      </c>
      <c r="AN2349" t="s">
        <v>53</v>
      </c>
    </row>
    <row r="2350" spans="1:40">
      <c r="A2350" t="s">
        <v>2370</v>
      </c>
      <c r="B2350" t="s">
        <v>2232</v>
      </c>
      <c r="C2350" t="s">
        <v>1494</v>
      </c>
      <c r="D2350" t="s">
        <v>108</v>
      </c>
      <c r="E2350" t="s">
        <v>7943</v>
      </c>
      <c r="F2350" t="s">
        <v>45</v>
      </c>
      <c r="G2350" t="str">
        <f>HYPERLINK("https://www.reddit.com/r/CallMeCarson/comments/c4ia20/doritos/?sort=new")</f>
        <v>https://www.reddit.com/r/CallMeCarson/comments/c4ia20/doritos/?sort=new</v>
      </c>
      <c r="H2350" t="s">
        <v>46</v>
      </c>
      <c r="I2350" t="s">
        <v>7944</v>
      </c>
      <c r="J2350" t="str">
        <f>HYPERLINK("https://www.reddit.com/r/CallMeCarson/comments/c4ia20/doritos/?sort=new")</f>
        <v>https://www.reddit.com/r/CallMeCarson/comments/c4ia20/doritos/?sort=new</v>
      </c>
      <c r="N2350" t="s">
        <v>545</v>
      </c>
      <c r="O2350" t="s">
        <v>52</v>
      </c>
      <c r="P2350" t="str">
        <f>HYPERLINK("https://www.reddit.com/r/CallMeCarson/")</f>
        <v>https://www.reddit.com/r/CallMeCarson/</v>
      </c>
      <c r="R2350" t="s">
        <v>516</v>
      </c>
      <c r="S2350" t="s">
        <v>51</v>
      </c>
      <c r="AM2350" t="s">
        <v>52</v>
      </c>
      <c r="AN2350" t="s">
        <v>53</v>
      </c>
    </row>
    <row r="2351" spans="1:40">
      <c r="A2351" t="s">
        <v>2370</v>
      </c>
      <c r="B2351" t="s">
        <v>7945</v>
      </c>
      <c r="C2351" t="s">
        <v>7946</v>
      </c>
      <c r="D2351" t="s">
        <v>52</v>
      </c>
      <c r="E2351" t="s">
        <v>7947</v>
      </c>
      <c r="F2351" t="s">
        <v>45</v>
      </c>
      <c r="G2351" t="str">
        <f>HYPERLINK("https://www.instagram.com/p/BzFEgQnDhGA")</f>
        <v>https://www.instagram.com/p/BzFEgQnDhGA</v>
      </c>
      <c r="H2351" t="s">
        <v>46</v>
      </c>
      <c r="I2351" t="s">
        <v>4475</v>
      </c>
      <c r="J2351" t="str">
        <f>HYPERLINK("http://instagram.com/ultimatespideyy")</f>
        <v>http://instagram.com/ultimatespideyy</v>
      </c>
      <c r="K2351">
        <v>18665</v>
      </c>
      <c r="N2351" t="s">
        <v>59</v>
      </c>
      <c r="O2351" t="s">
        <v>4475</v>
      </c>
      <c r="P2351" t="str">
        <f>HYPERLINK("http://instagram.com/ultimatespideyy")</f>
        <v>http://instagram.com/ultimatespideyy</v>
      </c>
      <c r="Q2351">
        <v>18665</v>
      </c>
      <c r="R2351" t="s">
        <v>60</v>
      </c>
      <c r="W2351">
        <v>672</v>
      </c>
      <c r="X2351">
        <v>672</v>
      </c>
      <c r="AE2351">
        <v>9</v>
      </c>
      <c r="AI2351" t="s">
        <v>52</v>
      </c>
      <c r="AJ2351" t="s">
        <v>4006</v>
      </c>
      <c r="AK2351" t="s">
        <v>52</v>
      </c>
      <c r="AL2351" t="str">
        <f>HYPERLINK("https://www.instagram.com/p/BzFEgQnDhGA/media/?size=l")</f>
        <v>https://www.instagram.com/p/BzFEgQnDhGA/media/?size=l</v>
      </c>
      <c r="AM2351" t="s">
        <v>52</v>
      </c>
      <c r="AN2351" t="s">
        <v>53</v>
      </c>
    </row>
    <row r="2352" spans="1:40">
      <c r="A2352" t="s">
        <v>2370</v>
      </c>
      <c r="B2352" t="s">
        <v>7945</v>
      </c>
      <c r="C2352" t="s">
        <v>7948</v>
      </c>
      <c r="D2352" t="s">
        <v>52</v>
      </c>
      <c r="E2352" t="s">
        <v>7949</v>
      </c>
      <c r="F2352" t="s">
        <v>45</v>
      </c>
      <c r="G2352" t="str">
        <f>HYPERLINK("https://twitter.com/1127630008762105857/status/1143014052932792320")</f>
        <v>https://twitter.com/1127630008762105857/status/1143014052932792320</v>
      </c>
      <c r="H2352" t="s">
        <v>46</v>
      </c>
      <c r="I2352" t="s">
        <v>7950</v>
      </c>
      <c r="J2352" t="str">
        <f>HYPERLINK("http://twitter.com/CalebTownsend12")</f>
        <v>http://twitter.com/CalebTownsend12</v>
      </c>
      <c r="K2352">
        <v>16</v>
      </c>
      <c r="L2352" t="s">
        <v>48</v>
      </c>
      <c r="N2352" t="s">
        <v>65</v>
      </c>
      <c r="R2352" t="s">
        <v>60</v>
      </c>
      <c r="W2352">
        <v>0</v>
      </c>
      <c r="X2352">
        <v>0</v>
      </c>
      <c r="AE2352">
        <v>0</v>
      </c>
      <c r="AF2352">
        <v>0</v>
      </c>
      <c r="AM2352" t="s">
        <v>52</v>
      </c>
      <c r="AN2352" t="s">
        <v>53</v>
      </c>
    </row>
    <row r="2353" spans="1:40">
      <c r="A2353" t="s">
        <v>2370</v>
      </c>
      <c r="B2353" t="s">
        <v>7945</v>
      </c>
      <c r="C2353" t="s">
        <v>7946</v>
      </c>
      <c r="D2353" t="s">
        <v>52</v>
      </c>
      <c r="E2353" t="s">
        <v>7951</v>
      </c>
      <c r="F2353" t="s">
        <v>45</v>
      </c>
      <c r="G2353" t="str">
        <f>HYPERLINK("https://twitter.com/2550862278/status/1143013931600007168")</f>
        <v>https://twitter.com/2550862278/status/1143013931600007168</v>
      </c>
      <c r="H2353" t="s">
        <v>46</v>
      </c>
      <c r="I2353" t="s">
        <v>7952</v>
      </c>
      <c r="J2353" t="str">
        <f>HYPERLINK("http://twitter.com/wNRGw")</f>
        <v>http://twitter.com/wNRGw</v>
      </c>
      <c r="K2353">
        <v>533</v>
      </c>
      <c r="N2353" t="s">
        <v>65</v>
      </c>
      <c r="R2353" t="s">
        <v>60</v>
      </c>
      <c r="S2353" t="s">
        <v>4150</v>
      </c>
      <c r="T2353" t="s">
        <v>7953</v>
      </c>
      <c r="U2353" t="s">
        <v>7954</v>
      </c>
      <c r="W2353">
        <v>3</v>
      </c>
      <c r="X2353">
        <v>3</v>
      </c>
      <c r="AE2353">
        <v>2</v>
      </c>
      <c r="AF2353">
        <v>1</v>
      </c>
      <c r="AM2353" t="s">
        <v>52</v>
      </c>
      <c r="AN2353" t="s">
        <v>53</v>
      </c>
    </row>
    <row r="2354" spans="1:40">
      <c r="A2354" t="s">
        <v>2370</v>
      </c>
      <c r="B2354" t="s">
        <v>7955</v>
      </c>
      <c r="C2354" t="s">
        <v>7956</v>
      </c>
      <c r="D2354" t="s">
        <v>52</v>
      </c>
      <c r="E2354" t="s">
        <v>7957</v>
      </c>
      <c r="F2354" t="s">
        <v>95</v>
      </c>
      <c r="G2354" t="str">
        <f>HYPERLINK("https://twitter.com/2535900720/status/1143013788037390336")</f>
        <v>https://twitter.com/2535900720/status/1143013788037390336</v>
      </c>
      <c r="H2354" t="s">
        <v>46</v>
      </c>
      <c r="I2354" t="s">
        <v>7958</v>
      </c>
      <c r="J2354" t="str">
        <f>HYPERLINK("http://twitter.com/okGhostlyGhost")</f>
        <v>http://twitter.com/okGhostlyGhost</v>
      </c>
      <c r="K2354">
        <v>4</v>
      </c>
      <c r="N2354" t="s">
        <v>65</v>
      </c>
      <c r="R2354" t="s">
        <v>60</v>
      </c>
      <c r="W2354">
        <v>0</v>
      </c>
      <c r="X2354">
        <v>0</v>
      </c>
      <c r="AE2354">
        <v>0</v>
      </c>
      <c r="AF2354">
        <v>0</v>
      </c>
      <c r="AM2354" t="s">
        <v>52</v>
      </c>
      <c r="AN2354" t="s">
        <v>53</v>
      </c>
    </row>
    <row r="2355" spans="1:40">
      <c r="A2355" t="s">
        <v>2370</v>
      </c>
      <c r="B2355" t="s">
        <v>7955</v>
      </c>
      <c r="C2355" t="s">
        <v>7959</v>
      </c>
      <c r="D2355" t="s">
        <v>52</v>
      </c>
      <c r="E2355" t="s">
        <v>7960</v>
      </c>
      <c r="F2355" t="s">
        <v>45</v>
      </c>
      <c r="G2355" t="str">
        <f>HYPERLINK("https://twitter.com/462062765/status/1143013725391196162")</f>
        <v>https://twitter.com/462062765/status/1143013725391196162</v>
      </c>
      <c r="H2355" t="s">
        <v>46</v>
      </c>
      <c r="I2355" t="s">
        <v>7961</v>
      </c>
      <c r="J2355" t="str">
        <f>HYPERLINK("http://twitter.com/Luxirion")</f>
        <v>http://twitter.com/Luxirion</v>
      </c>
      <c r="K2355">
        <v>60</v>
      </c>
      <c r="N2355" t="s">
        <v>65</v>
      </c>
      <c r="R2355" t="s">
        <v>60</v>
      </c>
      <c r="W2355">
        <v>2</v>
      </c>
      <c r="X2355">
        <v>2</v>
      </c>
      <c r="AE2355">
        <v>1</v>
      </c>
      <c r="AF2355">
        <v>0</v>
      </c>
      <c r="AI2355" t="s">
        <v>52</v>
      </c>
      <c r="AJ2355" t="s">
        <v>7962</v>
      </c>
      <c r="AK2355" t="s">
        <v>52</v>
      </c>
      <c r="AL2355" t="str">
        <f>HYPERLINK("https://pbs.twimg.com/media/D9zM7EKXsAEsxI7.jpg")</f>
        <v>https://pbs.twimg.com/media/D9zM7EKXsAEsxI7.jpg</v>
      </c>
      <c r="AM2355" t="s">
        <v>52</v>
      </c>
      <c r="AN2355" t="s">
        <v>53</v>
      </c>
    </row>
    <row r="2356" spans="1:40">
      <c r="A2356" t="s">
        <v>2370</v>
      </c>
      <c r="B2356" t="s">
        <v>7955</v>
      </c>
      <c r="C2356" t="s">
        <v>7959</v>
      </c>
      <c r="D2356" t="s">
        <v>52</v>
      </c>
      <c r="E2356" t="s">
        <v>7963</v>
      </c>
      <c r="F2356" t="s">
        <v>71</v>
      </c>
      <c r="G2356" t="str">
        <f>HYPERLINK("https://twitter.com/725127780766109699/status/1143013706890170369")</f>
        <v>https://twitter.com/725127780766109699/status/1143013706890170369</v>
      </c>
      <c r="H2356" t="s">
        <v>46</v>
      </c>
      <c r="I2356" t="s">
        <v>7964</v>
      </c>
      <c r="J2356" t="str">
        <f>HYPERLINK("http://twitter.com/FaCyan4")</f>
        <v>http://twitter.com/FaCyan4</v>
      </c>
      <c r="K2356">
        <v>7447</v>
      </c>
      <c r="N2356" t="s">
        <v>65</v>
      </c>
      <c r="R2356" t="s">
        <v>60</v>
      </c>
      <c r="S2356" t="s">
        <v>437</v>
      </c>
      <c r="T2356" t="s">
        <v>528</v>
      </c>
      <c r="U2356" t="s">
        <v>529</v>
      </c>
      <c r="W2356">
        <v>2</v>
      </c>
      <c r="X2356">
        <v>2</v>
      </c>
      <c r="AE2356">
        <v>0</v>
      </c>
      <c r="AF2356">
        <v>0</v>
      </c>
      <c r="AI2356" t="s">
        <v>108</v>
      </c>
      <c r="AJ2356" t="s">
        <v>52</v>
      </c>
      <c r="AK2356" t="s">
        <v>52</v>
      </c>
      <c r="AL2356" t="str">
        <f>HYPERLINK("https://pbs.twimg.com/ext_tw_video_thumb/1141360066962100224/pu/img/5_tGc4hLFQwcD07b.jpg")</f>
        <v>https://pbs.twimg.com/ext_tw_video_thumb/1141360066962100224/pu/img/5_tGc4hLFQwcD07b.jpg</v>
      </c>
      <c r="AM2356" t="s">
        <v>52</v>
      </c>
      <c r="AN2356" t="s">
        <v>53</v>
      </c>
    </row>
    <row r="2357" spans="1:40">
      <c r="A2357" t="s">
        <v>2370</v>
      </c>
      <c r="B2357" t="s">
        <v>2247</v>
      </c>
      <c r="C2357" t="s">
        <v>7965</v>
      </c>
      <c r="D2357" t="s">
        <v>52</v>
      </c>
      <c r="E2357" t="s">
        <v>7966</v>
      </c>
      <c r="F2357" t="s">
        <v>45</v>
      </c>
      <c r="G2357" t="str">
        <f>HYPERLINK("https://www.instagram.com/p/BzFEHsEHqwz")</f>
        <v>https://www.instagram.com/p/BzFEHsEHqwz</v>
      </c>
      <c r="H2357" t="s">
        <v>46</v>
      </c>
      <c r="I2357" t="s">
        <v>7967</v>
      </c>
      <c r="J2357" t="str">
        <f>HYPERLINK("http://instagram.com/khalsom.art")</f>
        <v>http://instagram.com/khalsom.art</v>
      </c>
      <c r="K2357">
        <v>318</v>
      </c>
      <c r="N2357" t="s">
        <v>59</v>
      </c>
      <c r="O2357" t="s">
        <v>7967</v>
      </c>
      <c r="P2357" t="str">
        <f>HYPERLINK("http://instagram.com/khalsom.art")</f>
        <v>http://instagram.com/khalsom.art</v>
      </c>
      <c r="Q2357">
        <v>318</v>
      </c>
      <c r="R2357" t="s">
        <v>60</v>
      </c>
      <c r="S2357" t="s">
        <v>1741</v>
      </c>
      <c r="T2357" t="s">
        <v>7968</v>
      </c>
      <c r="W2357">
        <v>48</v>
      </c>
      <c r="X2357">
        <v>48</v>
      </c>
      <c r="AE2357">
        <v>0</v>
      </c>
      <c r="AI2357" t="s">
        <v>52</v>
      </c>
      <c r="AJ2357" t="s">
        <v>7969</v>
      </c>
      <c r="AK2357" t="s">
        <v>7970</v>
      </c>
      <c r="AL2357" t="str">
        <f>HYPERLINK("https://www.instagram.com/p/BzFEHsEHqwz/media/?size=l")</f>
        <v>https://www.instagram.com/p/BzFEHsEHqwz/media/?size=l</v>
      </c>
      <c r="AM2357" t="s">
        <v>52</v>
      </c>
      <c r="AN2357" t="s">
        <v>53</v>
      </c>
    </row>
    <row r="2358" spans="1:40">
      <c r="A2358" t="s">
        <v>2370</v>
      </c>
      <c r="B2358" t="s">
        <v>2247</v>
      </c>
      <c r="C2358" t="s">
        <v>7971</v>
      </c>
      <c r="D2358" t="s">
        <v>52</v>
      </c>
      <c r="E2358" t="s">
        <v>7972</v>
      </c>
      <c r="F2358" t="s">
        <v>45</v>
      </c>
      <c r="G2358" t="str">
        <f>HYPERLINK("https://www.instagram.com/p/BzFEGvHJx7y")</f>
        <v>https://www.instagram.com/p/BzFEGvHJx7y</v>
      </c>
      <c r="H2358" t="s">
        <v>46</v>
      </c>
      <c r="I2358" t="s">
        <v>3375</v>
      </c>
      <c r="J2358" t="str">
        <f>HYPERLINK("http://instagram.com/los_doritos_de_los_bts_")</f>
        <v>http://instagram.com/los_doritos_de_los_bts_</v>
      </c>
      <c r="K2358">
        <v>0</v>
      </c>
      <c r="N2358" t="s">
        <v>59</v>
      </c>
      <c r="O2358" t="s">
        <v>3375</v>
      </c>
      <c r="P2358" t="str">
        <f>HYPERLINK("http://instagram.com/los_doritos_de_los_bts_")</f>
        <v>http://instagram.com/los_doritos_de_los_bts_</v>
      </c>
      <c r="Q2358">
        <v>0</v>
      </c>
      <c r="R2358" t="s">
        <v>60</v>
      </c>
      <c r="S2358" t="s">
        <v>241</v>
      </c>
      <c r="T2358" t="s">
        <v>7918</v>
      </c>
      <c r="U2358" t="s">
        <v>7919</v>
      </c>
      <c r="W2358">
        <v>14</v>
      </c>
      <c r="X2358">
        <v>14</v>
      </c>
      <c r="AE2358">
        <v>0</v>
      </c>
      <c r="AI2358" t="s">
        <v>52</v>
      </c>
      <c r="AJ2358" t="s">
        <v>52</v>
      </c>
      <c r="AK2358" t="s">
        <v>52</v>
      </c>
      <c r="AL2358" t="str">
        <f>HYPERLINK("https://www.instagram.com/p/BzFEGvHJx7y/media/?size=l")</f>
        <v>https://www.instagram.com/p/BzFEGvHJx7y/media/?size=l</v>
      </c>
      <c r="AM2358" t="s">
        <v>52</v>
      </c>
      <c r="AN2358" t="s">
        <v>53</v>
      </c>
    </row>
    <row r="2359" spans="1:40">
      <c r="A2359" t="s">
        <v>2370</v>
      </c>
      <c r="B2359" t="s">
        <v>2247</v>
      </c>
      <c r="C2359" t="s">
        <v>7965</v>
      </c>
      <c r="D2359" t="s">
        <v>52</v>
      </c>
      <c r="E2359" t="s">
        <v>7966</v>
      </c>
      <c r="F2359" t="s">
        <v>45</v>
      </c>
      <c r="G2359" t="str">
        <f>HYPERLINK("https://www.instagram.com/p/BzFEGlap7ka")</f>
        <v>https://www.instagram.com/p/BzFEGlap7ka</v>
      </c>
      <c r="H2359" t="s">
        <v>46</v>
      </c>
      <c r="I2359" t="s">
        <v>7973</v>
      </c>
      <c r="J2359" t="str">
        <f>HYPERLINK("http://instagram.com/khalsomsom")</f>
        <v>http://instagram.com/khalsomsom</v>
      </c>
      <c r="K2359">
        <v>2225</v>
      </c>
      <c r="N2359" t="s">
        <v>59</v>
      </c>
      <c r="O2359" t="s">
        <v>7973</v>
      </c>
      <c r="P2359" t="str">
        <f>HYPERLINK("http://instagram.com/khalsomsom")</f>
        <v>http://instagram.com/khalsomsom</v>
      </c>
      <c r="Q2359">
        <v>2225</v>
      </c>
      <c r="R2359" t="s">
        <v>60</v>
      </c>
      <c r="S2359" t="s">
        <v>1741</v>
      </c>
      <c r="T2359" t="s">
        <v>7968</v>
      </c>
      <c r="W2359">
        <v>51</v>
      </c>
      <c r="X2359">
        <v>51</v>
      </c>
      <c r="AE2359">
        <v>7</v>
      </c>
      <c r="AI2359" t="s">
        <v>52</v>
      </c>
      <c r="AJ2359" t="s">
        <v>7969</v>
      </c>
      <c r="AK2359" t="s">
        <v>7970</v>
      </c>
      <c r="AL2359" t="str">
        <f>HYPERLINK("https://www.instagram.com/p/BzFEGlap7ka/media/?size=l")</f>
        <v>https://www.instagram.com/p/BzFEGlap7ka/media/?size=l</v>
      </c>
      <c r="AM2359" t="s">
        <v>52</v>
      </c>
      <c r="AN2359" t="s">
        <v>53</v>
      </c>
    </row>
    <row r="2360" spans="1:40">
      <c r="A2360" t="s">
        <v>2370</v>
      </c>
      <c r="B2360" t="s">
        <v>2253</v>
      </c>
      <c r="C2360" t="s">
        <v>6940</v>
      </c>
      <c r="D2360" t="s">
        <v>52</v>
      </c>
      <c r="E2360" t="s">
        <v>7974</v>
      </c>
      <c r="F2360" t="s">
        <v>45</v>
      </c>
      <c r="G2360" t="str">
        <f>HYPERLINK("https://www.instagram.com/p/BzFEBLlAf11")</f>
        <v>https://www.instagram.com/p/BzFEBLlAf11</v>
      </c>
      <c r="H2360" t="s">
        <v>46</v>
      </c>
      <c r="I2360" t="s">
        <v>7975</v>
      </c>
      <c r="J2360" t="str">
        <f>HYPERLINK("http://instagram.com/_thememeplug_123")</f>
        <v>http://instagram.com/_thememeplug_123</v>
      </c>
      <c r="K2360">
        <v>9</v>
      </c>
      <c r="N2360" t="s">
        <v>59</v>
      </c>
      <c r="O2360" t="s">
        <v>7975</v>
      </c>
      <c r="P2360" t="str">
        <f>HYPERLINK("http://instagram.com/_thememeplug_123")</f>
        <v>http://instagram.com/_thememeplug_123</v>
      </c>
      <c r="Q2360">
        <v>9</v>
      </c>
      <c r="R2360" t="s">
        <v>60</v>
      </c>
      <c r="W2360">
        <v>9</v>
      </c>
      <c r="X2360">
        <v>9</v>
      </c>
      <c r="AE2360">
        <v>2</v>
      </c>
      <c r="AI2360" t="s">
        <v>108</v>
      </c>
      <c r="AJ2360" t="s">
        <v>52</v>
      </c>
      <c r="AK2360" t="s">
        <v>7976</v>
      </c>
      <c r="AL2360" t="str">
        <f>HYPERLINK("https://www.instagram.com/p/BzFEBLlAf11/media/?size=l")</f>
        <v>https://www.instagram.com/p/BzFEBLlAf11/media/?size=l</v>
      </c>
      <c r="AM2360" t="s">
        <v>52</v>
      </c>
      <c r="AN2360" t="s">
        <v>53</v>
      </c>
    </row>
    <row r="2361" spans="1:40">
      <c r="A2361" t="s">
        <v>2370</v>
      </c>
      <c r="B2361" t="s">
        <v>7977</v>
      </c>
      <c r="C2361" t="s">
        <v>7978</v>
      </c>
      <c r="D2361" t="s">
        <v>7979</v>
      </c>
      <c r="E2361" t="s">
        <v>7980</v>
      </c>
      <c r="F2361" t="s">
        <v>95</v>
      </c>
      <c r="G2361" t="str">
        <f>HYPERLINK("http://www.worldstarhiphop.com/videos/video.php?v=wshhbL9Hn51umxKRIy1i#comment-4513758131")</f>
        <v>http://www.worldstarhiphop.com/videos/video.php?v=wshhbL9Hn51umxKRIy1i#comment-4513758131</v>
      </c>
      <c r="H2361" t="s">
        <v>46</v>
      </c>
      <c r="I2361" t="s">
        <v>7981</v>
      </c>
      <c r="J2361" t="str">
        <f>HYPERLINK("https://disqus.com/by/disqus_JvED3ZF12p/")</f>
        <v>https://disqus.com/by/disqus_JvED3ZF12p/</v>
      </c>
      <c r="K2361">
        <v>0</v>
      </c>
      <c r="N2361" t="s">
        <v>3966</v>
      </c>
      <c r="O2361" t="s">
        <v>3967</v>
      </c>
      <c r="P2361" t="str">
        <f>HYPERLINK("https://disqus.com/home/forum/worldstar/")</f>
        <v>https://disqus.com/home/forum/worldstar/</v>
      </c>
      <c r="R2361" t="s">
        <v>50</v>
      </c>
      <c r="W2361">
        <v>0</v>
      </c>
      <c r="X2361">
        <v>0</v>
      </c>
      <c r="AM2361" t="s">
        <v>52</v>
      </c>
      <c r="AN2361" t="s">
        <v>53</v>
      </c>
    </row>
    <row r="2362" spans="1:40">
      <c r="A2362" t="s">
        <v>2370</v>
      </c>
      <c r="B2362" t="s">
        <v>7977</v>
      </c>
      <c r="C2362" t="s">
        <v>7982</v>
      </c>
      <c r="D2362" t="s">
        <v>52</v>
      </c>
      <c r="E2362" t="s">
        <v>7908</v>
      </c>
      <c r="F2362" t="s">
        <v>131</v>
      </c>
      <c r="G2362" t="str">
        <f>HYPERLINK("https://twitter.com/1130258285939089408/status/1143012672151195648")</f>
        <v>https://twitter.com/1130258285939089408/status/1143012672151195648</v>
      </c>
      <c r="H2362" t="s">
        <v>46</v>
      </c>
      <c r="I2362" t="s">
        <v>7983</v>
      </c>
      <c r="J2362" t="str">
        <f>HYPERLINK("http://twitter.com/onsalepegbundy")</f>
        <v>http://twitter.com/onsalepegbundy</v>
      </c>
      <c r="K2362">
        <v>13</v>
      </c>
      <c r="N2362" t="s">
        <v>65</v>
      </c>
      <c r="R2362" t="s">
        <v>60</v>
      </c>
      <c r="W2362">
        <v>0</v>
      </c>
      <c r="X2362">
        <v>0</v>
      </c>
      <c r="AE2362">
        <v>0</v>
      </c>
      <c r="AI2362" t="s">
        <v>108</v>
      </c>
      <c r="AJ2362" t="s">
        <v>3777</v>
      </c>
      <c r="AK2362" t="s">
        <v>7910</v>
      </c>
      <c r="AL2362" t="str">
        <f>HYPERLINK("https://pbs.twimg.com/media/D9zDNPAWwAElitX.jpg")</f>
        <v>https://pbs.twimg.com/media/D9zDNPAWwAElitX.jpg</v>
      </c>
      <c r="AM2362" t="s">
        <v>52</v>
      </c>
      <c r="AN2362" t="s">
        <v>53</v>
      </c>
    </row>
    <row r="2363" spans="1:40">
      <c r="A2363" t="s">
        <v>2370</v>
      </c>
      <c r="B2363" t="s">
        <v>7984</v>
      </c>
      <c r="C2363" t="s">
        <v>7985</v>
      </c>
      <c r="D2363" t="s">
        <v>52</v>
      </c>
      <c r="E2363" t="s">
        <v>7986</v>
      </c>
      <c r="F2363" t="s">
        <v>95</v>
      </c>
      <c r="G2363" t="str">
        <f>HYPERLINK("https://twitter.com/2535900720/status/1143012550340227078")</f>
        <v>https://twitter.com/2535900720/status/1143012550340227078</v>
      </c>
      <c r="H2363" t="s">
        <v>46</v>
      </c>
      <c r="I2363" t="s">
        <v>7958</v>
      </c>
      <c r="J2363" t="str">
        <f>HYPERLINK("http://twitter.com/okGhostlyGhost")</f>
        <v>http://twitter.com/okGhostlyGhost</v>
      </c>
      <c r="K2363">
        <v>4</v>
      </c>
      <c r="N2363" t="s">
        <v>65</v>
      </c>
      <c r="R2363" t="s">
        <v>60</v>
      </c>
      <c r="W2363">
        <v>0</v>
      </c>
      <c r="X2363">
        <v>0</v>
      </c>
      <c r="AE2363">
        <v>0</v>
      </c>
      <c r="AF2363">
        <v>0</v>
      </c>
      <c r="AM2363" t="s">
        <v>52</v>
      </c>
      <c r="AN2363" t="s">
        <v>53</v>
      </c>
    </row>
    <row r="2364" spans="1:40">
      <c r="A2364" t="s">
        <v>2370</v>
      </c>
      <c r="B2364" t="s">
        <v>7984</v>
      </c>
      <c r="C2364" t="s">
        <v>7971</v>
      </c>
      <c r="D2364" t="s">
        <v>52</v>
      </c>
      <c r="E2364" t="s">
        <v>7987</v>
      </c>
      <c r="F2364" t="s">
        <v>45</v>
      </c>
      <c r="G2364" t="str">
        <f>HYPERLINK("https://twitter.com/1054137676864122881/status/1143012491619905537")</f>
        <v>https://twitter.com/1054137676864122881/status/1143012491619905537</v>
      </c>
      <c r="H2364" t="s">
        <v>46</v>
      </c>
      <c r="I2364" t="s">
        <v>7988</v>
      </c>
      <c r="J2364" t="str">
        <f>HYPERLINK("http://twitter.com/spookytae_")</f>
        <v>http://twitter.com/spookytae_</v>
      </c>
      <c r="K2364">
        <v>393</v>
      </c>
      <c r="N2364" t="s">
        <v>65</v>
      </c>
      <c r="R2364" t="s">
        <v>60</v>
      </c>
      <c r="S2364" t="s">
        <v>7989</v>
      </c>
      <c r="T2364" t="s">
        <v>7990</v>
      </c>
      <c r="U2364" t="s">
        <v>7991</v>
      </c>
      <c r="W2364">
        <v>2</v>
      </c>
      <c r="X2364">
        <v>2</v>
      </c>
      <c r="AE2364">
        <v>1</v>
      </c>
      <c r="AF2364">
        <v>0</v>
      </c>
      <c r="AM2364" t="s">
        <v>52</v>
      </c>
      <c r="AN2364" t="s">
        <v>53</v>
      </c>
    </row>
    <row r="2365" spans="1:40">
      <c r="A2365" t="s">
        <v>2370</v>
      </c>
      <c r="B2365" t="s">
        <v>2260</v>
      </c>
      <c r="C2365" t="s">
        <v>7985</v>
      </c>
      <c r="D2365" t="s">
        <v>52</v>
      </c>
      <c r="E2365" t="s">
        <v>7992</v>
      </c>
      <c r="F2365" t="s">
        <v>45</v>
      </c>
      <c r="G2365" t="str">
        <f>HYPERLINK("https://www.instagram.com/p/BzFDtldhoZu")</f>
        <v>https://www.instagram.com/p/BzFDtldhoZu</v>
      </c>
      <c r="H2365" t="s">
        <v>46</v>
      </c>
      <c r="I2365" t="s">
        <v>7993</v>
      </c>
      <c r="J2365" t="str">
        <f>HYPERLINK("http://instagram.com/devstudiesx")</f>
        <v>http://instagram.com/devstudiesx</v>
      </c>
      <c r="K2365">
        <v>1926</v>
      </c>
      <c r="N2365" t="s">
        <v>59</v>
      </c>
      <c r="O2365" t="s">
        <v>7993</v>
      </c>
      <c r="P2365" t="str">
        <f>HYPERLINK("http://instagram.com/devstudiesx")</f>
        <v>http://instagram.com/devstudiesx</v>
      </c>
      <c r="Q2365">
        <v>1926</v>
      </c>
      <c r="R2365" t="s">
        <v>60</v>
      </c>
      <c r="W2365">
        <v>62</v>
      </c>
      <c r="X2365">
        <v>62</v>
      </c>
      <c r="AE2365">
        <v>3</v>
      </c>
      <c r="AI2365" t="s">
        <v>52</v>
      </c>
      <c r="AJ2365" t="s">
        <v>52</v>
      </c>
      <c r="AK2365" t="s">
        <v>52</v>
      </c>
      <c r="AL2365" t="str">
        <f>HYPERLINK("https://www.instagram.com/p/BzFDtldhoZu/media/?size=l")</f>
        <v>https://www.instagram.com/p/BzFDtldhoZu/media/?size=l</v>
      </c>
      <c r="AM2365" t="s">
        <v>52</v>
      </c>
      <c r="AN2365" t="s">
        <v>53</v>
      </c>
    </row>
    <row r="2366" spans="1:40">
      <c r="A2366" t="s">
        <v>2370</v>
      </c>
      <c r="B2366" t="s">
        <v>2260</v>
      </c>
      <c r="C2366" t="s">
        <v>7994</v>
      </c>
      <c r="D2366" t="s">
        <v>7995</v>
      </c>
      <c r="E2366" t="s">
        <v>7996</v>
      </c>
      <c r="F2366" t="s">
        <v>45</v>
      </c>
      <c r="G2366" t="str">
        <f>HYPERLINK("https://www.tinymixtapes.com/music-review/emamouse-nicolo-desolation")</f>
        <v>https://www.tinymixtapes.com/music-review/emamouse-nicolo-desolation</v>
      </c>
      <c r="H2366" t="s">
        <v>91</v>
      </c>
      <c r="I2366" t="s">
        <v>7997</v>
      </c>
      <c r="J2366" t="str">
        <f>HYPERLINK("https://www.tinymixtapes.com/music-review/emamouse-nicolo-desolation")</f>
        <v>https://www.tinymixtapes.com/music-review/emamouse-nicolo-desolation</v>
      </c>
      <c r="N2366" t="s">
        <v>7998</v>
      </c>
      <c r="R2366" t="s">
        <v>357</v>
      </c>
      <c r="S2366" t="s">
        <v>51</v>
      </c>
      <c r="AM2366" t="s">
        <v>52</v>
      </c>
      <c r="AN2366" t="s">
        <v>53</v>
      </c>
    </row>
    <row r="2367" spans="1:40">
      <c r="A2367" t="s">
        <v>2370</v>
      </c>
      <c r="B2367" t="s">
        <v>7999</v>
      </c>
      <c r="C2367" t="s">
        <v>7489</v>
      </c>
      <c r="D2367" t="s">
        <v>8000</v>
      </c>
      <c r="E2367" t="s">
        <v>8001</v>
      </c>
      <c r="F2367" t="s">
        <v>95</v>
      </c>
      <c r="G2367" t="str">
        <f>HYPERLINK("https://www.youtube.com/watch?v=Ch2IFmsv98k&amp;lc=UgyHVl4s-z4a0kCMaN54AaABAg")</f>
        <v>https://www.youtube.com/watch?v=Ch2IFmsv98k&amp;lc=UgyHVl4s-z4a0kCMaN54AaABAg</v>
      </c>
      <c r="H2367" t="s">
        <v>46</v>
      </c>
      <c r="I2367" t="s">
        <v>8002</v>
      </c>
      <c r="J2367" t="str">
        <f>HYPERLINK("https://www.youtube.com/channel/UC3LBVNNENUBpdWvp2BGPrHQ")</f>
        <v>https://www.youtube.com/channel/UC3LBVNNENUBpdWvp2BGPrHQ</v>
      </c>
      <c r="K2367">
        <v>2</v>
      </c>
      <c r="L2367" t="s">
        <v>48</v>
      </c>
      <c r="N2367" t="s">
        <v>116</v>
      </c>
      <c r="O2367" t="s">
        <v>8003</v>
      </c>
      <c r="P2367" t="str">
        <f>HYPERLINK("https://www.youtube.com/channel/UC2wKfjlioOCLP4xQMOWNcgg")</f>
        <v>https://www.youtube.com/channel/UC2wKfjlioOCLP4xQMOWNcgg</v>
      </c>
      <c r="Q2367">
        <v>8296636</v>
      </c>
      <c r="R2367" t="s">
        <v>60</v>
      </c>
      <c r="S2367" t="s">
        <v>444</v>
      </c>
      <c r="W2367">
        <v>1</v>
      </c>
      <c r="X2367">
        <v>1</v>
      </c>
      <c r="AE2367">
        <v>1</v>
      </c>
      <c r="AM2367" t="s">
        <v>52</v>
      </c>
      <c r="AN2367" t="s">
        <v>53</v>
      </c>
    </row>
    <row r="2368" spans="1:40">
      <c r="A2368" t="s">
        <v>2370</v>
      </c>
      <c r="B2368" t="s">
        <v>2283</v>
      </c>
      <c r="C2368" t="s">
        <v>8004</v>
      </c>
      <c r="D2368" t="s">
        <v>52</v>
      </c>
      <c r="E2368" t="s">
        <v>8005</v>
      </c>
      <c r="F2368" t="s">
        <v>71</v>
      </c>
      <c r="G2368" t="str">
        <f>HYPERLINK("https://twitter.com/3893130502/status/1143010833464733696")</f>
        <v>https://twitter.com/3893130502/status/1143010833464733696</v>
      </c>
      <c r="H2368" t="s">
        <v>46</v>
      </c>
      <c r="I2368" t="s">
        <v>8006</v>
      </c>
      <c r="J2368" t="str">
        <f>HYPERLINK("http://twitter.com/808s_and_Tweets")</f>
        <v>http://twitter.com/808s_and_Tweets</v>
      </c>
      <c r="K2368">
        <v>171</v>
      </c>
      <c r="N2368" t="s">
        <v>65</v>
      </c>
      <c r="R2368" t="s">
        <v>60</v>
      </c>
      <c r="S2368" t="s">
        <v>51</v>
      </c>
      <c r="T2368" t="s">
        <v>2729</v>
      </c>
      <c r="U2368" t="s">
        <v>8007</v>
      </c>
      <c r="W2368">
        <v>1</v>
      </c>
      <c r="X2368">
        <v>1</v>
      </c>
      <c r="AE2368">
        <v>1</v>
      </c>
      <c r="AF2368">
        <v>0</v>
      </c>
      <c r="AM2368" t="s">
        <v>52</v>
      </c>
      <c r="AN2368" t="s">
        <v>53</v>
      </c>
    </row>
    <row r="2369" spans="1:40">
      <c r="A2369" t="s">
        <v>2370</v>
      </c>
      <c r="B2369" t="s">
        <v>2283</v>
      </c>
      <c r="C2369" t="s">
        <v>6896</v>
      </c>
      <c r="D2369" t="s">
        <v>52</v>
      </c>
      <c r="E2369" t="s">
        <v>8008</v>
      </c>
      <c r="F2369" t="s">
        <v>45</v>
      </c>
      <c r="G2369" t="str">
        <f>HYPERLINK("https://www.instagram.com/p/BzFC90DgsRR")</f>
        <v>https://www.instagram.com/p/BzFC90DgsRR</v>
      </c>
      <c r="H2369" t="s">
        <v>46</v>
      </c>
      <c r="I2369" t="s">
        <v>8009</v>
      </c>
      <c r="J2369" t="str">
        <f>HYPERLINK("http://instagram.com/juliechasegriffin")</f>
        <v>http://instagram.com/juliechasegriffin</v>
      </c>
      <c r="K2369">
        <v>183</v>
      </c>
      <c r="L2369" t="s">
        <v>58</v>
      </c>
      <c r="N2369" t="s">
        <v>59</v>
      </c>
      <c r="O2369" t="s">
        <v>8009</v>
      </c>
      <c r="P2369" t="str">
        <f>HYPERLINK("http://instagram.com/juliechasegriffin")</f>
        <v>http://instagram.com/juliechasegriffin</v>
      </c>
      <c r="Q2369">
        <v>183</v>
      </c>
      <c r="R2369" t="s">
        <v>60</v>
      </c>
      <c r="W2369">
        <v>68</v>
      </c>
      <c r="X2369">
        <v>68</v>
      </c>
      <c r="AE2369">
        <v>3</v>
      </c>
      <c r="AI2369" t="s">
        <v>5469</v>
      </c>
      <c r="AJ2369" t="s">
        <v>52</v>
      </c>
      <c r="AK2369" t="s">
        <v>52</v>
      </c>
      <c r="AL2369" t="str">
        <f>HYPERLINK("https://www.instagram.com/p/BzFC90DgsRR/media/?size=l")</f>
        <v>https://www.instagram.com/p/BzFC90DgsRR/media/?size=l</v>
      </c>
      <c r="AM2369" t="s">
        <v>52</v>
      </c>
      <c r="AN2369" t="s">
        <v>53</v>
      </c>
    </row>
    <row r="2370" spans="1:40">
      <c r="A2370" t="s">
        <v>2370</v>
      </c>
      <c r="B2370" t="s">
        <v>2283</v>
      </c>
      <c r="C2370" t="s">
        <v>8010</v>
      </c>
      <c r="D2370" t="s">
        <v>52</v>
      </c>
      <c r="E2370" t="s">
        <v>8011</v>
      </c>
      <c r="F2370" t="s">
        <v>45</v>
      </c>
      <c r="G2370" t="str">
        <f>HYPERLINK("https://twitter.com/184996744/status/1143010627960619010")</f>
        <v>https://twitter.com/184996744/status/1143010627960619010</v>
      </c>
      <c r="H2370" t="s">
        <v>46</v>
      </c>
      <c r="I2370" t="s">
        <v>8012</v>
      </c>
      <c r="J2370" t="str">
        <f>HYPERLINK("http://twitter.com/Luigi_Dior")</f>
        <v>http://twitter.com/Luigi_Dior</v>
      </c>
      <c r="K2370">
        <v>421</v>
      </c>
      <c r="L2370" t="s">
        <v>48</v>
      </c>
      <c r="N2370" t="s">
        <v>65</v>
      </c>
      <c r="R2370" t="s">
        <v>60</v>
      </c>
      <c r="S2370" t="s">
        <v>51</v>
      </c>
      <c r="T2370" t="s">
        <v>84</v>
      </c>
      <c r="U2370" t="s">
        <v>8013</v>
      </c>
      <c r="W2370">
        <v>1</v>
      </c>
      <c r="X2370">
        <v>1</v>
      </c>
      <c r="AE2370">
        <v>0</v>
      </c>
      <c r="AF2370">
        <v>0</v>
      </c>
      <c r="AM2370" t="s">
        <v>52</v>
      </c>
      <c r="AN2370" t="s">
        <v>53</v>
      </c>
    </row>
    <row r="2371" spans="1:40">
      <c r="A2371" t="s">
        <v>2370</v>
      </c>
      <c r="B2371" t="s">
        <v>2288</v>
      </c>
      <c r="C2371" t="s">
        <v>8014</v>
      </c>
      <c r="D2371" t="s">
        <v>52</v>
      </c>
      <c r="E2371" t="s">
        <v>8015</v>
      </c>
      <c r="F2371" t="s">
        <v>131</v>
      </c>
      <c r="G2371" t="str">
        <f>HYPERLINK("https://twitter.com/1083495635561541632/status/1143010469998759936")</f>
        <v>https://twitter.com/1083495635561541632/status/1143010469998759936</v>
      </c>
      <c r="H2371" t="s">
        <v>46</v>
      </c>
      <c r="I2371" t="s">
        <v>8016</v>
      </c>
      <c r="J2371" t="str">
        <f>HYPERLINK("http://twitter.com/Social411Now")</f>
        <v>http://twitter.com/Social411Now</v>
      </c>
      <c r="K2371">
        <v>3449</v>
      </c>
      <c r="N2371" t="s">
        <v>65</v>
      </c>
      <c r="R2371" t="s">
        <v>60</v>
      </c>
      <c r="S2371" t="s">
        <v>437</v>
      </c>
      <c r="T2371" t="s">
        <v>3509</v>
      </c>
      <c r="U2371" t="s">
        <v>8017</v>
      </c>
      <c r="W2371">
        <v>0</v>
      </c>
      <c r="X2371">
        <v>0</v>
      </c>
      <c r="AE2371">
        <v>0</v>
      </c>
      <c r="AM2371" t="s">
        <v>52</v>
      </c>
      <c r="AN2371" t="s">
        <v>53</v>
      </c>
    </row>
    <row r="2372" spans="1:40">
      <c r="A2372" t="s">
        <v>2370</v>
      </c>
      <c r="B2372" t="s">
        <v>2311</v>
      </c>
      <c r="C2372" t="s">
        <v>8018</v>
      </c>
      <c r="D2372" t="s">
        <v>52</v>
      </c>
      <c r="E2372" t="s">
        <v>7698</v>
      </c>
      <c r="F2372" t="s">
        <v>45</v>
      </c>
      <c r="G2372" t="str">
        <f>HYPERLINK("https://twitter.com/803094747699179521/status/1143009796892831747")</f>
        <v>https://twitter.com/803094747699179521/status/1143009796892831747</v>
      </c>
      <c r="H2372" t="s">
        <v>46</v>
      </c>
      <c r="I2372" t="s">
        <v>8019</v>
      </c>
      <c r="J2372" t="str">
        <f>HYPERLINK("http://twitter.com/TmzyBTW")</f>
        <v>http://twitter.com/TmzyBTW</v>
      </c>
      <c r="K2372">
        <v>505</v>
      </c>
      <c r="N2372" t="s">
        <v>65</v>
      </c>
      <c r="R2372" t="s">
        <v>60</v>
      </c>
      <c r="W2372">
        <v>10</v>
      </c>
      <c r="X2372">
        <v>10</v>
      </c>
      <c r="AE2372">
        <v>2</v>
      </c>
      <c r="AF2372">
        <v>1</v>
      </c>
      <c r="AM2372" t="s">
        <v>52</v>
      </c>
      <c r="AN2372" t="s">
        <v>53</v>
      </c>
    </row>
    <row r="2373" spans="1:40">
      <c r="A2373" t="s">
        <v>2370</v>
      </c>
      <c r="B2373" t="s">
        <v>2311</v>
      </c>
      <c r="C2373" t="s">
        <v>8020</v>
      </c>
      <c r="D2373" t="s">
        <v>52</v>
      </c>
      <c r="E2373" t="s">
        <v>8021</v>
      </c>
      <c r="F2373" t="s">
        <v>95</v>
      </c>
      <c r="G2373" t="str">
        <f>HYPERLINK("https://twitter.com/910625301025062912/status/1143009768946073600")</f>
        <v>https://twitter.com/910625301025062912/status/1143009768946073600</v>
      </c>
      <c r="H2373" t="s">
        <v>46</v>
      </c>
      <c r="I2373" t="s">
        <v>8022</v>
      </c>
      <c r="J2373" t="str">
        <f>HYPERLINK("http://twitter.com/stormyghosts")</f>
        <v>http://twitter.com/stormyghosts</v>
      </c>
      <c r="K2373">
        <v>1</v>
      </c>
      <c r="N2373" t="s">
        <v>65</v>
      </c>
      <c r="R2373" t="s">
        <v>60</v>
      </c>
      <c r="W2373">
        <v>0</v>
      </c>
      <c r="X2373">
        <v>0</v>
      </c>
      <c r="AE2373">
        <v>0</v>
      </c>
      <c r="AF2373">
        <v>0</v>
      </c>
      <c r="AM2373" t="s">
        <v>52</v>
      </c>
      <c r="AN2373" t="s">
        <v>53</v>
      </c>
    </row>
    <row r="2374" spans="1:40">
      <c r="A2374" t="s">
        <v>2370</v>
      </c>
      <c r="B2374" t="s">
        <v>8023</v>
      </c>
      <c r="C2374" t="s">
        <v>8004</v>
      </c>
      <c r="D2374" t="s">
        <v>52</v>
      </c>
      <c r="E2374" t="s">
        <v>8024</v>
      </c>
      <c r="F2374" t="s">
        <v>45</v>
      </c>
      <c r="G2374" t="str">
        <f>HYPERLINK("https://twitter.com/3976500017/status/1143009468818567168")</f>
        <v>https://twitter.com/3976500017/status/1143009468818567168</v>
      </c>
      <c r="H2374" t="s">
        <v>91</v>
      </c>
      <c r="I2374" t="s">
        <v>1697</v>
      </c>
      <c r="J2374" t="str">
        <f>HYPERLINK("http://twitter.com/memerbot404")</f>
        <v>http://twitter.com/memerbot404</v>
      </c>
      <c r="K2374">
        <v>12</v>
      </c>
      <c r="L2374" t="s">
        <v>48</v>
      </c>
      <c r="N2374" t="s">
        <v>65</v>
      </c>
      <c r="R2374" t="s">
        <v>60</v>
      </c>
      <c r="S2374" t="s">
        <v>774</v>
      </c>
      <c r="W2374">
        <v>0</v>
      </c>
      <c r="X2374">
        <v>0</v>
      </c>
      <c r="AE2374">
        <v>0</v>
      </c>
      <c r="AF2374">
        <v>0</v>
      </c>
      <c r="AM2374" t="s">
        <v>52</v>
      </c>
      <c r="AN2374" t="s">
        <v>53</v>
      </c>
    </row>
    <row r="2375" spans="1:40">
      <c r="A2375" t="s">
        <v>2370</v>
      </c>
      <c r="B2375" t="s">
        <v>2315</v>
      </c>
      <c r="C2375" t="s">
        <v>8025</v>
      </c>
      <c r="D2375" t="s">
        <v>52</v>
      </c>
      <c r="E2375" t="s">
        <v>8026</v>
      </c>
      <c r="F2375" t="s">
        <v>95</v>
      </c>
      <c r="G2375" t="str">
        <f>HYPERLINK("https://twitter.com/436065028/status/1143009310659756032")</f>
        <v>https://twitter.com/436065028/status/1143009310659756032</v>
      </c>
      <c r="H2375" t="s">
        <v>46</v>
      </c>
      <c r="I2375" t="s">
        <v>8027</v>
      </c>
      <c r="J2375" t="str">
        <f>HYPERLINK("http://twitter.com/ferchogalvan_h")</f>
        <v>http://twitter.com/ferchogalvan_h</v>
      </c>
      <c r="K2375">
        <v>128</v>
      </c>
      <c r="N2375" t="s">
        <v>65</v>
      </c>
      <c r="R2375" t="s">
        <v>60</v>
      </c>
      <c r="S2375" t="s">
        <v>437</v>
      </c>
      <c r="T2375" t="s">
        <v>528</v>
      </c>
      <c r="U2375" t="s">
        <v>529</v>
      </c>
      <c r="W2375">
        <v>0</v>
      </c>
      <c r="X2375">
        <v>0</v>
      </c>
      <c r="AE2375">
        <v>0</v>
      </c>
      <c r="AF2375">
        <v>0</v>
      </c>
      <c r="AM2375" t="s">
        <v>52</v>
      </c>
      <c r="AN2375" t="s">
        <v>53</v>
      </c>
    </row>
    <row r="2376" spans="1:40">
      <c r="A2376" t="s">
        <v>2370</v>
      </c>
      <c r="B2376" t="s">
        <v>2315</v>
      </c>
      <c r="C2376" t="s">
        <v>8028</v>
      </c>
      <c r="D2376" t="s">
        <v>52</v>
      </c>
      <c r="E2376" t="s">
        <v>8029</v>
      </c>
      <c r="F2376" t="s">
        <v>45</v>
      </c>
      <c r="G2376" t="str">
        <f>HYPERLINK("https://www.instagram.com/p/BzFCSrmgNNW")</f>
        <v>https://www.instagram.com/p/BzFCSrmgNNW</v>
      </c>
      <c r="H2376" t="s">
        <v>46</v>
      </c>
      <c r="I2376" t="s">
        <v>8030</v>
      </c>
      <c r="J2376" t="str">
        <f>HYPERLINK("http://instagram.com/ben_robbins")</f>
        <v>http://instagram.com/ben_robbins</v>
      </c>
      <c r="K2376">
        <v>2367</v>
      </c>
      <c r="L2376" t="s">
        <v>48</v>
      </c>
      <c r="N2376" t="s">
        <v>59</v>
      </c>
      <c r="O2376" t="s">
        <v>8030</v>
      </c>
      <c r="P2376" t="str">
        <f>HYPERLINK("http://instagram.com/ben_robbins")</f>
        <v>http://instagram.com/ben_robbins</v>
      </c>
      <c r="Q2376">
        <v>2367</v>
      </c>
      <c r="R2376" t="s">
        <v>60</v>
      </c>
      <c r="S2376" t="s">
        <v>51</v>
      </c>
      <c r="T2376" t="s">
        <v>73</v>
      </c>
      <c r="U2376" t="s">
        <v>1836</v>
      </c>
      <c r="W2376">
        <v>129</v>
      </c>
      <c r="X2376">
        <v>129</v>
      </c>
      <c r="AE2376">
        <v>3</v>
      </c>
      <c r="AI2376" t="s">
        <v>108</v>
      </c>
      <c r="AJ2376" t="s">
        <v>3777</v>
      </c>
      <c r="AK2376" t="s">
        <v>8031</v>
      </c>
      <c r="AL2376" t="str">
        <f>HYPERLINK("https://www.instagram.com/p/BzFCSrmgNNW/media/?size=l")</f>
        <v>https://www.instagram.com/p/BzFCSrmgNNW/media/?size=l</v>
      </c>
      <c r="AM2376" t="s">
        <v>52</v>
      </c>
      <c r="AN2376" t="s">
        <v>53</v>
      </c>
    </row>
    <row r="2377" spans="1:40">
      <c r="A2377" t="s">
        <v>2370</v>
      </c>
      <c r="B2377" t="s">
        <v>2326</v>
      </c>
      <c r="C2377" t="s">
        <v>7473</v>
      </c>
      <c r="D2377" t="s">
        <v>8032</v>
      </c>
      <c r="E2377" t="s">
        <v>8033</v>
      </c>
      <c r="F2377" t="s">
        <v>95</v>
      </c>
      <c r="G2377" t="str">
        <f>HYPERLINK("https://www.youtube.com/watch?v=9_PpN3T9ZTc&amp;lc=UgwX2p9K1ubJzAOa6cl4AaABAg")</f>
        <v>https://www.youtube.com/watch?v=9_PpN3T9ZTc&amp;lc=UgwX2p9K1ubJzAOa6cl4AaABAg</v>
      </c>
      <c r="H2377" t="s">
        <v>46</v>
      </c>
      <c r="I2377" t="s">
        <v>8034</v>
      </c>
      <c r="J2377" t="str">
        <f>HYPERLINK("https://www.youtube.com/channel/UClByTwFKyAZ3CARKRewLoyQ")</f>
        <v>https://www.youtube.com/channel/UClByTwFKyAZ3CARKRewLoyQ</v>
      </c>
      <c r="K2377">
        <v>9</v>
      </c>
      <c r="N2377" t="s">
        <v>116</v>
      </c>
      <c r="O2377" t="s">
        <v>8035</v>
      </c>
      <c r="P2377" t="str">
        <f>HYPERLINK("https://www.youtube.com/channel/UCPfeM2tm3T19uPf8pU3VHLg")</f>
        <v>https://www.youtube.com/channel/UCPfeM2tm3T19uPf8pU3VHLg</v>
      </c>
      <c r="Q2377">
        <v>284233</v>
      </c>
      <c r="R2377" t="s">
        <v>60</v>
      </c>
      <c r="W2377">
        <v>0</v>
      </c>
      <c r="X2377">
        <v>0</v>
      </c>
      <c r="AE2377">
        <v>0</v>
      </c>
      <c r="AM2377" t="s">
        <v>52</v>
      </c>
      <c r="AN2377" t="s">
        <v>53</v>
      </c>
    </row>
    <row r="2378" spans="1:40">
      <c r="A2378" t="s">
        <v>2370</v>
      </c>
      <c r="B2378" t="s">
        <v>8036</v>
      </c>
      <c r="C2378" t="s">
        <v>8037</v>
      </c>
      <c r="D2378" t="s">
        <v>52</v>
      </c>
      <c r="E2378" t="s">
        <v>1194</v>
      </c>
      <c r="F2378" t="s">
        <v>131</v>
      </c>
      <c r="G2378" t="str">
        <f>HYPERLINK("https://twitter.com/3532044972/status/1143008771578441728")</f>
        <v>https://twitter.com/3532044972/status/1143008771578441728</v>
      </c>
      <c r="H2378" t="s">
        <v>46</v>
      </c>
      <c r="I2378" t="s">
        <v>52</v>
      </c>
      <c r="J2378" t="str">
        <f>HYPERLINK("http://twitter.com/HabitualLiar_")</f>
        <v>http://twitter.com/HabitualLiar_</v>
      </c>
      <c r="K2378">
        <v>917</v>
      </c>
      <c r="N2378" t="s">
        <v>65</v>
      </c>
      <c r="R2378" t="s">
        <v>60</v>
      </c>
      <c r="W2378">
        <v>0</v>
      </c>
      <c r="X2378">
        <v>0</v>
      </c>
      <c r="AE2378">
        <v>0</v>
      </c>
      <c r="AI2378" t="s">
        <v>52</v>
      </c>
      <c r="AJ2378" t="s">
        <v>1196</v>
      </c>
      <c r="AK2378" t="s">
        <v>52</v>
      </c>
      <c r="AL2378" t="str">
        <f>HYPERLINK("https://pbs.twimg.com/media/D9xgk2YXkAAd2ql.jpg")</f>
        <v>https://pbs.twimg.com/media/D9xgk2YXkAAd2ql.jpg</v>
      </c>
      <c r="AM2378" t="s">
        <v>52</v>
      </c>
      <c r="AN2378" t="s">
        <v>53</v>
      </c>
    </row>
    <row r="2379" spans="1:40">
      <c r="A2379" t="s">
        <v>2370</v>
      </c>
      <c r="B2379" t="s">
        <v>8036</v>
      </c>
      <c r="C2379" t="s">
        <v>8037</v>
      </c>
      <c r="D2379" t="s">
        <v>52</v>
      </c>
      <c r="E2379" t="s">
        <v>4497</v>
      </c>
      <c r="F2379" t="s">
        <v>131</v>
      </c>
      <c r="G2379" t="str">
        <f>HYPERLINK("https://twitter.com/976975181112426496/status/1143008765546942465")</f>
        <v>https://twitter.com/976975181112426496/status/1143008765546942465</v>
      </c>
      <c r="H2379" t="s">
        <v>46</v>
      </c>
      <c r="I2379" t="s">
        <v>8038</v>
      </c>
      <c r="J2379" t="str">
        <f>HYPERLINK("http://twitter.com/Hugo_Perez01")</f>
        <v>http://twitter.com/Hugo_Perez01</v>
      </c>
      <c r="K2379">
        <v>40</v>
      </c>
      <c r="N2379" t="s">
        <v>65</v>
      </c>
      <c r="R2379" t="s">
        <v>60</v>
      </c>
      <c r="S2379" t="s">
        <v>51</v>
      </c>
      <c r="T2379" t="s">
        <v>173</v>
      </c>
      <c r="U2379" t="s">
        <v>8039</v>
      </c>
      <c r="W2379">
        <v>0</v>
      </c>
      <c r="X2379">
        <v>0</v>
      </c>
      <c r="AE2379">
        <v>0</v>
      </c>
      <c r="AM2379" t="s">
        <v>52</v>
      </c>
      <c r="AN2379" t="s">
        <v>53</v>
      </c>
    </row>
    <row r="2380" spans="1:40">
      <c r="A2380" t="s">
        <v>2370</v>
      </c>
      <c r="B2380" t="s">
        <v>8036</v>
      </c>
      <c r="C2380" t="s">
        <v>8020</v>
      </c>
      <c r="D2380" t="s">
        <v>52</v>
      </c>
      <c r="E2380" t="s">
        <v>1194</v>
      </c>
      <c r="F2380" t="s">
        <v>131</v>
      </c>
      <c r="G2380" t="str">
        <f>HYPERLINK("https://twitter.com/303887861/status/1143008695858716673")</f>
        <v>https://twitter.com/303887861/status/1143008695858716673</v>
      </c>
      <c r="H2380" t="s">
        <v>46</v>
      </c>
      <c r="I2380" t="s">
        <v>52</v>
      </c>
      <c r="J2380" t="str">
        <f>HYPERLINK("http://twitter.com/Damnjomaa")</f>
        <v>http://twitter.com/Damnjomaa</v>
      </c>
      <c r="K2380">
        <v>2334</v>
      </c>
      <c r="N2380" t="s">
        <v>65</v>
      </c>
      <c r="R2380" t="s">
        <v>60</v>
      </c>
      <c r="S2380" t="s">
        <v>1774</v>
      </c>
      <c r="T2380" t="s">
        <v>1775</v>
      </c>
      <c r="U2380" t="s">
        <v>8040</v>
      </c>
      <c r="W2380">
        <v>0</v>
      </c>
      <c r="X2380">
        <v>0</v>
      </c>
      <c r="AE2380">
        <v>0</v>
      </c>
      <c r="AI2380" t="s">
        <v>52</v>
      </c>
      <c r="AJ2380" t="s">
        <v>1196</v>
      </c>
      <c r="AK2380" t="s">
        <v>52</v>
      </c>
      <c r="AL2380" t="str">
        <f>HYPERLINK("https://pbs.twimg.com/media/D9xgk2YXkAAd2ql.jpg")</f>
        <v>https://pbs.twimg.com/media/D9xgk2YXkAAd2ql.jpg</v>
      </c>
      <c r="AM2380" t="s">
        <v>52</v>
      </c>
      <c r="AN2380" t="s">
        <v>53</v>
      </c>
    </row>
    <row r="2381" spans="1:40">
      <c r="A2381" t="s">
        <v>2370</v>
      </c>
      <c r="B2381" t="s">
        <v>8036</v>
      </c>
      <c r="C2381" t="s">
        <v>8041</v>
      </c>
      <c r="D2381" t="s">
        <v>52</v>
      </c>
      <c r="E2381" t="s">
        <v>1389</v>
      </c>
      <c r="F2381" t="s">
        <v>131</v>
      </c>
      <c r="G2381" t="str">
        <f>HYPERLINK("https://twitter.com/1405677264/status/1143008613281226752")</f>
        <v>https://twitter.com/1405677264/status/1143008613281226752</v>
      </c>
      <c r="H2381" t="s">
        <v>46</v>
      </c>
      <c r="I2381" t="s">
        <v>8042</v>
      </c>
      <c r="J2381" t="str">
        <f>HYPERLINK("http://twitter.com/FernG96")</f>
        <v>http://twitter.com/FernG96</v>
      </c>
      <c r="K2381">
        <v>410</v>
      </c>
      <c r="L2381" t="s">
        <v>48</v>
      </c>
      <c r="N2381" t="s">
        <v>65</v>
      </c>
      <c r="R2381" t="s">
        <v>60</v>
      </c>
      <c r="W2381">
        <v>0</v>
      </c>
      <c r="X2381">
        <v>0</v>
      </c>
      <c r="AE2381">
        <v>0</v>
      </c>
      <c r="AI2381" t="s">
        <v>52</v>
      </c>
      <c r="AJ2381" t="s">
        <v>1196</v>
      </c>
      <c r="AK2381" t="s">
        <v>52</v>
      </c>
      <c r="AL2381" t="str">
        <f>HYPERLINK("https://pbs.twimg.com/media/D9xgk2YXkAAd2ql.jpg")</f>
        <v>https://pbs.twimg.com/media/D9xgk2YXkAAd2ql.jpg</v>
      </c>
      <c r="AM2381" t="s">
        <v>52</v>
      </c>
      <c r="AN2381" t="s">
        <v>53</v>
      </c>
    </row>
    <row r="2382" spans="1:40">
      <c r="A2382" t="s">
        <v>2370</v>
      </c>
      <c r="B2382" t="s">
        <v>2334</v>
      </c>
      <c r="C2382" t="s">
        <v>8043</v>
      </c>
      <c r="D2382" t="s">
        <v>52</v>
      </c>
      <c r="E2382" t="s">
        <v>8044</v>
      </c>
      <c r="F2382" t="s">
        <v>45</v>
      </c>
      <c r="G2382" t="str">
        <f>HYPERLINK("https://twitter.com/2713046491/status/1143008553663266819")</f>
        <v>https://twitter.com/2713046491/status/1143008553663266819</v>
      </c>
      <c r="H2382" t="s">
        <v>46</v>
      </c>
      <c r="I2382" t="s">
        <v>8045</v>
      </c>
      <c r="J2382" t="str">
        <f>HYPERLINK("http://twitter.com/sam_schuder_")</f>
        <v>http://twitter.com/sam_schuder_</v>
      </c>
      <c r="K2382">
        <v>521</v>
      </c>
      <c r="N2382" t="s">
        <v>65</v>
      </c>
      <c r="R2382" t="s">
        <v>60</v>
      </c>
      <c r="S2382" t="s">
        <v>4594</v>
      </c>
      <c r="T2382" t="s">
        <v>7633</v>
      </c>
      <c r="U2382" t="s">
        <v>8046</v>
      </c>
      <c r="W2382">
        <v>9</v>
      </c>
      <c r="X2382">
        <v>9</v>
      </c>
      <c r="AE2382">
        <v>3</v>
      </c>
      <c r="AF2382">
        <v>0</v>
      </c>
      <c r="AM2382" t="s">
        <v>52</v>
      </c>
      <c r="AN2382" t="s">
        <v>53</v>
      </c>
    </row>
    <row r="2383" spans="1:40">
      <c r="A2383" t="s">
        <v>2370</v>
      </c>
      <c r="B2383" t="s">
        <v>2334</v>
      </c>
      <c r="C2383" t="s">
        <v>8047</v>
      </c>
      <c r="D2383" t="s">
        <v>52</v>
      </c>
      <c r="E2383" t="s">
        <v>8048</v>
      </c>
      <c r="F2383" t="s">
        <v>71</v>
      </c>
      <c r="G2383" t="str">
        <f>HYPERLINK("https://twitter.com/2765706850/status/1143008485254336513")</f>
        <v>https://twitter.com/2765706850/status/1143008485254336513</v>
      </c>
      <c r="H2383" t="s">
        <v>46</v>
      </c>
      <c r="I2383" t="s">
        <v>8049</v>
      </c>
      <c r="J2383" t="str">
        <f>HYPERLINK("http://twitter.com/SoleeMiranda")</f>
        <v>http://twitter.com/SoleeMiranda</v>
      </c>
      <c r="K2383">
        <v>735</v>
      </c>
      <c r="N2383" t="s">
        <v>65</v>
      </c>
      <c r="R2383" t="s">
        <v>60</v>
      </c>
      <c r="S2383" t="s">
        <v>701</v>
      </c>
      <c r="T2383" t="s">
        <v>2321</v>
      </c>
      <c r="W2383">
        <v>1</v>
      </c>
      <c r="X2383">
        <v>1</v>
      </c>
      <c r="AE2383">
        <v>0</v>
      </c>
      <c r="AF2383">
        <v>0</v>
      </c>
      <c r="AI2383" t="s">
        <v>52</v>
      </c>
      <c r="AJ2383" t="s">
        <v>121</v>
      </c>
      <c r="AK2383" t="s">
        <v>52</v>
      </c>
      <c r="AL2383" t="str">
        <f>HYPERLINK("https://pbs.twimg.com/media/D9wtOyNXoAAdifI.jpg")</f>
        <v>https://pbs.twimg.com/media/D9wtOyNXoAAdifI.jpg</v>
      </c>
      <c r="AM2383" t="s">
        <v>52</v>
      </c>
      <c r="AN2383" t="s">
        <v>53</v>
      </c>
    </row>
    <row r="2384" spans="1:40">
      <c r="A2384" t="s">
        <v>2370</v>
      </c>
      <c r="B2384" t="s">
        <v>2334</v>
      </c>
      <c r="C2384" t="s">
        <v>8043</v>
      </c>
      <c r="D2384" t="s">
        <v>8050</v>
      </c>
      <c r="E2384" t="s">
        <v>8051</v>
      </c>
      <c r="F2384" t="s">
        <v>45</v>
      </c>
      <c r="G2384" t="str">
        <f>HYPERLINK("https://www.thrillist.com/eat/nation/taco-bell-wedding-getting-married")</f>
        <v>https://www.thrillist.com/eat/nation/taco-bell-wedding-getting-married</v>
      </c>
      <c r="H2384" t="s">
        <v>46</v>
      </c>
      <c r="I2384" t="s">
        <v>8052</v>
      </c>
      <c r="J2384" t="str">
        <f>HYPERLINK("https://www.thrillist.com/eat/nation/taco-bell-wedding-getting-married")</f>
        <v>https://www.thrillist.com/eat/nation/taco-bell-wedding-getting-married</v>
      </c>
      <c r="N2384" t="s">
        <v>8053</v>
      </c>
      <c r="R2384" t="s">
        <v>357</v>
      </c>
      <c r="S2384" t="s">
        <v>51</v>
      </c>
      <c r="AI2384" t="s">
        <v>3942</v>
      </c>
      <c r="AJ2384" t="s">
        <v>659</v>
      </c>
      <c r="AK2384" t="s">
        <v>52</v>
      </c>
      <c r="AL2384" t="str">
        <f>HYPERLINK("http://assets3.thrillist.com/v1/image/2828872/size/gn-gift_guide_variable_c;jpeg_quality=20.jpg")</f>
        <v>http://assets3.thrillist.com/v1/image/2828872/size/gn-gift_guide_variable_c;jpeg_quality=20.jpg</v>
      </c>
      <c r="AM2384" t="s">
        <v>52</v>
      </c>
      <c r="AN2384" t="s">
        <v>53</v>
      </c>
    </row>
    <row r="2385" spans="1:40">
      <c r="A2385" t="s">
        <v>2370</v>
      </c>
      <c r="B2385" t="s">
        <v>2334</v>
      </c>
      <c r="C2385" t="s">
        <v>8043</v>
      </c>
      <c r="D2385" t="s">
        <v>52</v>
      </c>
      <c r="E2385" t="s">
        <v>7118</v>
      </c>
      <c r="F2385" t="s">
        <v>71</v>
      </c>
      <c r="G2385" t="str">
        <f>HYPERLINK("https://twitter.com/172004076/status/1143008414861279233")</f>
        <v>https://twitter.com/172004076/status/1143008414861279233</v>
      </c>
      <c r="H2385" t="s">
        <v>46</v>
      </c>
      <c r="I2385" t="s">
        <v>8054</v>
      </c>
      <c r="J2385" t="str">
        <f>HYPERLINK("http://twitter.com/Mike_Lebeko")</f>
        <v>http://twitter.com/Mike_Lebeko</v>
      </c>
      <c r="K2385">
        <v>1299</v>
      </c>
      <c r="N2385" t="s">
        <v>65</v>
      </c>
      <c r="R2385" t="s">
        <v>60</v>
      </c>
      <c r="W2385">
        <v>0</v>
      </c>
      <c r="X2385">
        <v>0</v>
      </c>
      <c r="AE2385">
        <v>0</v>
      </c>
      <c r="AF2385">
        <v>0</v>
      </c>
      <c r="AI2385" t="s">
        <v>108</v>
      </c>
      <c r="AJ2385" t="s">
        <v>52</v>
      </c>
      <c r="AK2385" t="s">
        <v>52</v>
      </c>
      <c r="AL2385" t="str">
        <f>HYPERLINK("https://pbs.twimg.com/media/D9sAXHUX4AA6vJs.jpg")</f>
        <v>https://pbs.twimg.com/media/D9sAXHUX4AA6vJs.jpg</v>
      </c>
      <c r="AM2385" t="s">
        <v>52</v>
      </c>
      <c r="AN2385" t="s">
        <v>53</v>
      </c>
    </row>
    <row r="2386" spans="1:40">
      <c r="A2386" t="s">
        <v>2370</v>
      </c>
      <c r="B2386" t="s">
        <v>8055</v>
      </c>
      <c r="C2386" t="s">
        <v>8056</v>
      </c>
      <c r="D2386" t="s">
        <v>52</v>
      </c>
      <c r="E2386" t="s">
        <v>5927</v>
      </c>
      <c r="F2386" t="s">
        <v>131</v>
      </c>
      <c r="G2386" t="str">
        <f>HYPERLINK("https://twitter.com/176440477/status/1143007890246123521")</f>
        <v>https://twitter.com/176440477/status/1143007890246123521</v>
      </c>
      <c r="H2386" t="s">
        <v>46</v>
      </c>
      <c r="I2386" t="s">
        <v>8057</v>
      </c>
      <c r="J2386" t="str">
        <f>HYPERLINK("http://twitter.com/twopartysucks")</f>
        <v>http://twitter.com/twopartysucks</v>
      </c>
      <c r="K2386">
        <v>44</v>
      </c>
      <c r="N2386" t="s">
        <v>65</v>
      </c>
      <c r="R2386" t="s">
        <v>60</v>
      </c>
      <c r="W2386">
        <v>0</v>
      </c>
      <c r="X2386">
        <v>0</v>
      </c>
      <c r="AE2386">
        <v>0</v>
      </c>
      <c r="AM2386" t="s">
        <v>52</v>
      </c>
      <c r="AN2386" t="s">
        <v>53</v>
      </c>
    </row>
    <row r="2387" spans="1:40">
      <c r="A2387" t="s">
        <v>2370</v>
      </c>
      <c r="B2387" t="s">
        <v>2338</v>
      </c>
      <c r="C2387" t="s">
        <v>7208</v>
      </c>
      <c r="D2387" t="s">
        <v>8058</v>
      </c>
      <c r="E2387" t="s">
        <v>8059</v>
      </c>
      <c r="F2387" t="s">
        <v>45</v>
      </c>
      <c r="G2387" t="str">
        <f>HYPERLINK("https://techknowbits.com/2019/06/23/pepsico-inc-nasdaqpep-shares-sold-by-altfest-l-j-co-inc.html")</f>
        <v>https://techknowbits.com/2019/06/23/pepsico-inc-nasdaqpep-shares-sold-by-altfest-l-j-co-inc.html</v>
      </c>
      <c r="H2387" t="s">
        <v>91</v>
      </c>
      <c r="I2387" t="s">
        <v>8060</v>
      </c>
      <c r="J2387" t="str">
        <f>HYPERLINK("https://techknowbits.com/2019/06/23/pepsico-inc-nasdaqpep-shares-sold-by-altfest-l-j-co-inc.html")</f>
        <v>https://techknowbits.com/2019/06/23/pepsico-inc-nasdaqpep-shares-sold-by-altfest-l-j-co-inc.html</v>
      </c>
      <c r="L2387" t="s">
        <v>48</v>
      </c>
      <c r="N2387" t="s">
        <v>49</v>
      </c>
      <c r="R2387" t="s">
        <v>50</v>
      </c>
      <c r="S2387" t="s">
        <v>51</v>
      </c>
      <c r="AM2387" t="s">
        <v>52</v>
      </c>
      <c r="AN2387" t="s">
        <v>53</v>
      </c>
    </row>
    <row r="2388" spans="1:40">
      <c r="A2388" t="s">
        <v>2370</v>
      </c>
      <c r="B2388" t="s">
        <v>2348</v>
      </c>
      <c r="C2388" t="s">
        <v>8043</v>
      </c>
      <c r="D2388" t="s">
        <v>8061</v>
      </c>
      <c r="E2388" t="s">
        <v>8062</v>
      </c>
      <c r="F2388" t="s">
        <v>45</v>
      </c>
      <c r="G2388" t="str">
        <f>HYPERLINK("https://www.cityguideny.com/event/Marquis-Theatre-2019-06-25-2019-06-25")</f>
        <v>https://www.cityguideny.com/event/Marquis-Theatre-2019-06-25-2019-06-25</v>
      </c>
      <c r="H2388" t="s">
        <v>46</v>
      </c>
      <c r="I2388" t="s">
        <v>8063</v>
      </c>
      <c r="J2388" t="str">
        <f>HYPERLINK("https://www.cityguideny.com")</f>
        <v>https://www.cityguideny.com</v>
      </c>
      <c r="N2388" t="s">
        <v>8064</v>
      </c>
      <c r="R2388" t="s">
        <v>357</v>
      </c>
      <c r="S2388" t="s">
        <v>51</v>
      </c>
      <c r="AM2388" t="s">
        <v>52</v>
      </c>
      <c r="AN2388" t="s">
        <v>53</v>
      </c>
    </row>
    <row r="2389" spans="1:40">
      <c r="A2389" t="s">
        <v>2370</v>
      </c>
      <c r="B2389" t="s">
        <v>2352</v>
      </c>
      <c r="C2389" t="s">
        <v>8056</v>
      </c>
      <c r="D2389" t="s">
        <v>52</v>
      </c>
      <c r="E2389" t="s">
        <v>8065</v>
      </c>
      <c r="F2389" t="s">
        <v>95</v>
      </c>
      <c r="G2389" t="str">
        <f>HYPERLINK("https://twitter.com/1102237997649588225/status/1143007043034464256")</f>
        <v>https://twitter.com/1102237997649588225/status/1143007043034464256</v>
      </c>
      <c r="H2389" t="s">
        <v>46</v>
      </c>
      <c r="I2389" t="s">
        <v>8066</v>
      </c>
      <c r="J2389" t="str">
        <f>HYPERLINK("http://twitter.com/aquarianonfire")</f>
        <v>http://twitter.com/aquarianonfire</v>
      </c>
      <c r="K2389">
        <v>150</v>
      </c>
      <c r="L2389" t="s">
        <v>58</v>
      </c>
      <c r="N2389" t="s">
        <v>65</v>
      </c>
      <c r="R2389" t="s">
        <v>60</v>
      </c>
      <c r="W2389">
        <v>1</v>
      </c>
      <c r="X2389">
        <v>1</v>
      </c>
      <c r="AE2389">
        <v>1</v>
      </c>
      <c r="AF2389">
        <v>0</v>
      </c>
      <c r="AI2389" t="s">
        <v>52</v>
      </c>
      <c r="AJ2389" t="s">
        <v>52</v>
      </c>
      <c r="AK2389" t="s">
        <v>52</v>
      </c>
      <c r="AL2389" t="str">
        <f>HYPERLINK("https://pbs.twimg.com/tweet_video_thumb/D9zG2DIWsAAjqY2.jpg")</f>
        <v>https://pbs.twimg.com/tweet_video_thumb/D9zG2DIWsAAjqY2.jpg</v>
      </c>
      <c r="AM2389" t="s">
        <v>52</v>
      </c>
      <c r="AN2389" t="s">
        <v>53</v>
      </c>
    </row>
    <row r="2390" spans="1:40">
      <c r="A2390" t="s">
        <v>2370</v>
      </c>
      <c r="B2390" t="s">
        <v>2352</v>
      </c>
      <c r="C2390" t="s">
        <v>8067</v>
      </c>
      <c r="D2390" t="s">
        <v>52</v>
      </c>
      <c r="E2390" t="s">
        <v>8068</v>
      </c>
      <c r="F2390" t="s">
        <v>71</v>
      </c>
      <c r="G2390" t="str">
        <f>HYPERLINK("https://twitter.com/1199203170/status/1143006916127408128")</f>
        <v>https://twitter.com/1199203170/status/1143006916127408128</v>
      </c>
      <c r="H2390" t="s">
        <v>46</v>
      </c>
      <c r="I2390" t="s">
        <v>8069</v>
      </c>
      <c r="J2390" t="str">
        <f>HYPERLINK("http://twitter.com/Hubichu")</f>
        <v>http://twitter.com/Hubichu</v>
      </c>
      <c r="K2390">
        <v>6779</v>
      </c>
      <c r="N2390" t="s">
        <v>65</v>
      </c>
      <c r="R2390" t="s">
        <v>60</v>
      </c>
      <c r="S2390" t="s">
        <v>51</v>
      </c>
      <c r="T2390" t="s">
        <v>4349</v>
      </c>
      <c r="U2390" t="s">
        <v>8070</v>
      </c>
      <c r="W2390">
        <v>1</v>
      </c>
      <c r="X2390">
        <v>1</v>
      </c>
      <c r="AE2390">
        <v>0</v>
      </c>
      <c r="AF2390">
        <v>0</v>
      </c>
      <c r="AI2390" t="s">
        <v>108</v>
      </c>
      <c r="AJ2390" t="s">
        <v>52</v>
      </c>
      <c r="AK2390" t="s">
        <v>52</v>
      </c>
      <c r="AL2390" t="str">
        <f>HYPERLINK("https://pbs.twimg.com/tweet_video_thumb/D9hvNNzXUAATAS3.jpg")</f>
        <v>https://pbs.twimg.com/tweet_video_thumb/D9hvNNzXUAATAS3.jpg</v>
      </c>
      <c r="AM2390" t="s">
        <v>52</v>
      </c>
      <c r="AN2390" t="s">
        <v>53</v>
      </c>
    </row>
    <row r="2391" spans="1:40">
      <c r="A2391" t="s">
        <v>2370</v>
      </c>
      <c r="B2391" t="s">
        <v>2352</v>
      </c>
      <c r="C2391" t="s">
        <v>7715</v>
      </c>
      <c r="D2391" t="s">
        <v>8071</v>
      </c>
      <c r="E2391" t="s">
        <v>8072</v>
      </c>
      <c r="F2391" t="s">
        <v>45</v>
      </c>
      <c r="G2391" t="str">
        <f>HYPERLINK("https://www.youtube.com/watch?v=AY7e0M0-cUs")</f>
        <v>https://www.youtube.com/watch?v=AY7e0M0-cUs</v>
      </c>
      <c r="H2391" t="s">
        <v>215</v>
      </c>
      <c r="I2391" t="s">
        <v>8073</v>
      </c>
      <c r="J2391" t="str">
        <f>HYPERLINK("https://www.youtube.com/channel/UCJ-MHv_UpKK1L1UzqHO--kA")</f>
        <v>https://www.youtube.com/channel/UCJ-MHv_UpKK1L1UzqHO--kA</v>
      </c>
      <c r="K2391">
        <v>3</v>
      </c>
      <c r="N2391" t="s">
        <v>116</v>
      </c>
      <c r="O2391" t="s">
        <v>8073</v>
      </c>
      <c r="P2391" t="str">
        <f>HYPERLINK("https://www.youtube.com/channel/UCJ-MHv_UpKK1L1UzqHO--kA")</f>
        <v>https://www.youtube.com/channel/UCJ-MHv_UpKK1L1UzqHO--kA</v>
      </c>
      <c r="Q2391">
        <v>3</v>
      </c>
      <c r="R2391" t="s">
        <v>60</v>
      </c>
      <c r="S2391" t="s">
        <v>51</v>
      </c>
      <c r="W2391">
        <v>4</v>
      </c>
      <c r="X2391">
        <v>4</v>
      </c>
      <c r="AD2391">
        <v>0</v>
      </c>
      <c r="AE2391">
        <v>2</v>
      </c>
      <c r="AG2391">
        <v>37</v>
      </c>
      <c r="AI2391" t="s">
        <v>52</v>
      </c>
      <c r="AJ2391" t="s">
        <v>52</v>
      </c>
      <c r="AK2391" t="s">
        <v>52</v>
      </c>
      <c r="AL2391" t="str">
        <f>HYPERLINK("https://i.ytimg.com/vi/AY7e0M0-cUs/maxresdefault.jpg")</f>
        <v>https://i.ytimg.com/vi/AY7e0M0-cUs/maxresdefault.jpg</v>
      </c>
      <c r="AM2391" t="s">
        <v>52</v>
      </c>
      <c r="AN2391" t="s">
        <v>53</v>
      </c>
    </row>
    <row r="2392" spans="1:40">
      <c r="A2392" t="s">
        <v>2370</v>
      </c>
      <c r="B2392" t="s">
        <v>2352</v>
      </c>
      <c r="C2392" t="s">
        <v>8067</v>
      </c>
      <c r="D2392" t="s">
        <v>52</v>
      </c>
      <c r="E2392" t="s">
        <v>1194</v>
      </c>
      <c r="F2392" t="s">
        <v>131</v>
      </c>
      <c r="G2392" t="str">
        <f>HYPERLINK("https://twitter.com/106855419/status/1143006861677027333")</f>
        <v>https://twitter.com/106855419/status/1143006861677027333</v>
      </c>
      <c r="H2392" t="s">
        <v>46</v>
      </c>
      <c r="I2392" t="s">
        <v>8074</v>
      </c>
      <c r="J2392" t="str">
        <f>HYPERLINK("http://twitter.com/morgdanielle_")</f>
        <v>http://twitter.com/morgdanielle_</v>
      </c>
      <c r="K2392">
        <v>1507</v>
      </c>
      <c r="N2392" t="s">
        <v>65</v>
      </c>
      <c r="R2392" t="s">
        <v>60</v>
      </c>
      <c r="S2392" t="s">
        <v>51</v>
      </c>
      <c r="T2392" t="s">
        <v>1785</v>
      </c>
      <c r="W2392">
        <v>0</v>
      </c>
      <c r="X2392">
        <v>0</v>
      </c>
      <c r="AE2392">
        <v>0</v>
      </c>
      <c r="AI2392" t="s">
        <v>52</v>
      </c>
      <c r="AJ2392" t="s">
        <v>1196</v>
      </c>
      <c r="AK2392" t="s">
        <v>52</v>
      </c>
      <c r="AL2392" t="str">
        <f>HYPERLINK("https://pbs.twimg.com/media/D9xgk2YXkAAd2ql.jpg")</f>
        <v>https://pbs.twimg.com/media/D9xgk2YXkAAd2ql.jpg</v>
      </c>
      <c r="AM2392" t="s">
        <v>52</v>
      </c>
      <c r="AN2392" t="s">
        <v>53</v>
      </c>
    </row>
    <row r="2393" spans="1:40">
      <c r="A2393" t="s">
        <v>2370</v>
      </c>
      <c r="B2393" t="s">
        <v>8075</v>
      </c>
      <c r="C2393" t="s">
        <v>8076</v>
      </c>
      <c r="D2393" t="s">
        <v>52</v>
      </c>
      <c r="E2393" t="s">
        <v>8077</v>
      </c>
      <c r="F2393" t="s">
        <v>45</v>
      </c>
      <c r="G2393" t="str">
        <f>HYPERLINK("https://twitter.com/14751595/status/1143006581140803585")</f>
        <v>https://twitter.com/14751595/status/1143006581140803585</v>
      </c>
      <c r="H2393" t="s">
        <v>46</v>
      </c>
      <c r="I2393" t="s">
        <v>8078</v>
      </c>
      <c r="J2393" t="str">
        <f>HYPERLINK("http://twitter.com/albertxii")</f>
        <v>http://twitter.com/albertxii</v>
      </c>
      <c r="K2393">
        <v>2836</v>
      </c>
      <c r="L2393" t="s">
        <v>48</v>
      </c>
      <c r="N2393" t="s">
        <v>65</v>
      </c>
      <c r="R2393" t="s">
        <v>60</v>
      </c>
      <c r="S2393" t="s">
        <v>3660</v>
      </c>
      <c r="T2393" t="s">
        <v>8079</v>
      </c>
      <c r="U2393" t="s">
        <v>8080</v>
      </c>
      <c r="W2393">
        <v>31</v>
      </c>
      <c r="X2393">
        <v>31</v>
      </c>
      <c r="AE2393">
        <v>2</v>
      </c>
      <c r="AF2393">
        <v>0</v>
      </c>
      <c r="AM2393" t="s">
        <v>52</v>
      </c>
      <c r="AN2393" t="s">
        <v>53</v>
      </c>
    </row>
    <row r="2394" spans="1:40">
      <c r="A2394" t="s">
        <v>8081</v>
      </c>
      <c r="B2394" t="s">
        <v>8082</v>
      </c>
      <c r="C2394" t="s">
        <v>8083</v>
      </c>
      <c r="D2394" t="s">
        <v>52</v>
      </c>
      <c r="E2394" t="s">
        <v>7615</v>
      </c>
      <c r="F2394" t="s">
        <v>71</v>
      </c>
      <c r="G2394" t="str">
        <f>HYPERLINK("https://twitter.com/346465494/status/1143005755479592960")</f>
        <v>https://twitter.com/346465494/status/1143005755479592960</v>
      </c>
      <c r="H2394" t="s">
        <v>46</v>
      </c>
      <c r="I2394" t="s">
        <v>7233</v>
      </c>
      <c r="J2394" t="str">
        <f>HYPERLINK("http://twitter.com/CenaTabu")</f>
        <v>http://twitter.com/CenaTabu</v>
      </c>
      <c r="K2394">
        <v>468</v>
      </c>
      <c r="N2394" t="s">
        <v>65</v>
      </c>
      <c r="R2394" t="s">
        <v>60</v>
      </c>
      <c r="W2394">
        <v>0</v>
      </c>
      <c r="X2394">
        <v>0</v>
      </c>
      <c r="AE2394">
        <v>0</v>
      </c>
      <c r="AF2394">
        <v>0</v>
      </c>
      <c r="AI2394" t="s">
        <v>108</v>
      </c>
      <c r="AJ2394" t="s">
        <v>52</v>
      </c>
      <c r="AK2394" t="s">
        <v>52</v>
      </c>
      <c r="AL2394" t="str">
        <f>HYPERLINK("https://pbs.twimg.com/media/D9sAXHUX4AA6vJs.jpg")</f>
        <v>https://pbs.twimg.com/media/D9sAXHUX4AA6vJs.jpg</v>
      </c>
      <c r="AM2394" t="s">
        <v>52</v>
      </c>
      <c r="AN2394" t="s">
        <v>53</v>
      </c>
    </row>
    <row r="2395" spans="1:40">
      <c r="A2395" t="s">
        <v>8081</v>
      </c>
      <c r="B2395" t="s">
        <v>2371</v>
      </c>
      <c r="C2395" t="s">
        <v>8084</v>
      </c>
      <c r="D2395" t="s">
        <v>52</v>
      </c>
      <c r="E2395" t="s">
        <v>8085</v>
      </c>
      <c r="F2395" t="s">
        <v>45</v>
      </c>
      <c r="G2395" t="str">
        <f>HYPERLINK("https://www.instagram.com/p/BzFAewag0bm")</f>
        <v>https://www.instagram.com/p/BzFAewag0bm</v>
      </c>
      <c r="H2395" t="s">
        <v>46</v>
      </c>
      <c r="I2395" t="s">
        <v>1924</v>
      </c>
      <c r="J2395" t="str">
        <f>HYPERLINK("http://instagram.com/chickeniseverything")</f>
        <v>http://instagram.com/chickeniseverything</v>
      </c>
      <c r="K2395">
        <v>103</v>
      </c>
      <c r="N2395" t="s">
        <v>59</v>
      </c>
      <c r="O2395" t="s">
        <v>1924</v>
      </c>
      <c r="P2395" t="str">
        <f>HYPERLINK("http://instagram.com/chickeniseverything")</f>
        <v>http://instagram.com/chickeniseverything</v>
      </c>
      <c r="Q2395">
        <v>103</v>
      </c>
      <c r="R2395" t="s">
        <v>60</v>
      </c>
      <c r="W2395">
        <v>29</v>
      </c>
      <c r="X2395">
        <v>29</v>
      </c>
      <c r="AE2395">
        <v>4</v>
      </c>
      <c r="AI2395" t="s">
        <v>52</v>
      </c>
      <c r="AJ2395" t="s">
        <v>8086</v>
      </c>
      <c r="AK2395" t="s">
        <v>52</v>
      </c>
      <c r="AL2395" t="str">
        <f>HYPERLINK("https://www.instagram.com/p/BzFAewag0bm/media/?size=l")</f>
        <v>https://www.instagram.com/p/BzFAewag0bm/media/?size=l</v>
      </c>
      <c r="AM2395" t="s">
        <v>52</v>
      </c>
      <c r="AN2395" t="s">
        <v>53</v>
      </c>
    </row>
    <row r="2396" spans="1:40">
      <c r="A2396" t="s">
        <v>8081</v>
      </c>
      <c r="B2396" t="s">
        <v>2371</v>
      </c>
      <c r="C2396" t="s">
        <v>8087</v>
      </c>
      <c r="D2396" t="s">
        <v>8088</v>
      </c>
      <c r="E2396" t="s">
        <v>8089</v>
      </c>
      <c r="F2396" t="s">
        <v>45</v>
      </c>
      <c r="G2396" t="str">
        <f>HYPERLINK("https://www.satoshinakamotoblog.com/esports-player-ninja-fails-to-qualify-for-fortnite-world-cup")</f>
        <v>https://www.satoshinakamotoblog.com/esports-player-ninja-fails-to-qualify-for-fortnite-world-cup</v>
      </c>
      <c r="H2396" t="s">
        <v>46</v>
      </c>
      <c r="I2396" t="s">
        <v>8090</v>
      </c>
      <c r="J2396" t="str">
        <f>HYPERLINK("https://www.satoshinakamotoblog.com/esports-player-ninja-fails-to-qualify-for-fortnite-world-cup")</f>
        <v>https://www.satoshinakamotoblog.com/esports-player-ninja-fails-to-qualify-for-fortnite-world-cup</v>
      </c>
      <c r="L2396" t="s">
        <v>48</v>
      </c>
      <c r="N2396" t="s">
        <v>8091</v>
      </c>
      <c r="R2396" t="s">
        <v>357</v>
      </c>
      <c r="S2396" t="s">
        <v>97</v>
      </c>
      <c r="AM2396" t="s">
        <v>52</v>
      </c>
      <c r="AN2396" t="s">
        <v>53</v>
      </c>
    </row>
    <row r="2397" spans="1:40">
      <c r="A2397" t="s">
        <v>8081</v>
      </c>
      <c r="B2397" t="s">
        <v>2384</v>
      </c>
      <c r="C2397" t="s">
        <v>8092</v>
      </c>
      <c r="D2397" t="s">
        <v>52</v>
      </c>
      <c r="E2397" t="s">
        <v>526</v>
      </c>
      <c r="F2397" t="s">
        <v>131</v>
      </c>
      <c r="G2397" t="str">
        <f>HYPERLINK("https://twitter.com/4649146153/status/1143004947170168832")</f>
        <v>https://twitter.com/4649146153/status/1143004947170168832</v>
      </c>
      <c r="H2397" t="s">
        <v>46</v>
      </c>
      <c r="I2397" t="s">
        <v>8093</v>
      </c>
      <c r="J2397" t="str">
        <f>HYPERLINK("http://twitter.com/aloswiftie")</f>
        <v>http://twitter.com/aloswiftie</v>
      </c>
      <c r="K2397">
        <v>49</v>
      </c>
      <c r="L2397" t="s">
        <v>48</v>
      </c>
      <c r="N2397" t="s">
        <v>65</v>
      </c>
      <c r="R2397" t="s">
        <v>60</v>
      </c>
      <c r="S2397" t="s">
        <v>437</v>
      </c>
      <c r="T2397" t="s">
        <v>8094</v>
      </c>
      <c r="U2397" t="s">
        <v>8095</v>
      </c>
      <c r="W2397">
        <v>0</v>
      </c>
      <c r="X2397">
        <v>0</v>
      </c>
      <c r="AE2397">
        <v>0</v>
      </c>
      <c r="AI2397" t="s">
        <v>108</v>
      </c>
      <c r="AJ2397" t="s">
        <v>52</v>
      </c>
      <c r="AK2397" t="s">
        <v>52</v>
      </c>
      <c r="AL2397" t="str">
        <f>HYPERLINK("https://pbs.twimg.com/ext_tw_video_thumb/1141360066962100224/pu/img/5_tGc4hLFQwcD07b.jpg")</f>
        <v>https://pbs.twimg.com/ext_tw_video_thumb/1141360066962100224/pu/img/5_tGc4hLFQwcD07b.jpg</v>
      </c>
      <c r="AM2397" t="s">
        <v>52</v>
      </c>
      <c r="AN2397" t="s">
        <v>53</v>
      </c>
    </row>
    <row r="2398" spans="1:40">
      <c r="A2398" t="s">
        <v>8081</v>
      </c>
      <c r="B2398" t="s">
        <v>2384</v>
      </c>
      <c r="C2398" t="s">
        <v>8084</v>
      </c>
      <c r="D2398" t="s">
        <v>52</v>
      </c>
      <c r="E2398" t="s">
        <v>526</v>
      </c>
      <c r="F2398" t="s">
        <v>131</v>
      </c>
      <c r="G2398" t="str">
        <f>HYPERLINK("https://twitter.com/938570354661801984/status/1143004865171525632")</f>
        <v>https://twitter.com/938570354661801984/status/1143004865171525632</v>
      </c>
      <c r="H2398" t="s">
        <v>46</v>
      </c>
      <c r="I2398" t="s">
        <v>8096</v>
      </c>
      <c r="J2398" t="str">
        <f>HYPERLINK("http://twitter.com/genesis_raneroo")</f>
        <v>http://twitter.com/genesis_raneroo</v>
      </c>
      <c r="K2398">
        <v>162</v>
      </c>
      <c r="N2398" t="s">
        <v>65</v>
      </c>
      <c r="R2398" t="s">
        <v>60</v>
      </c>
      <c r="W2398">
        <v>0</v>
      </c>
      <c r="X2398">
        <v>0</v>
      </c>
      <c r="AE2398">
        <v>0</v>
      </c>
      <c r="AI2398" t="s">
        <v>108</v>
      </c>
      <c r="AJ2398" t="s">
        <v>52</v>
      </c>
      <c r="AK2398" t="s">
        <v>52</v>
      </c>
      <c r="AL2398" t="str">
        <f>HYPERLINK("https://pbs.twimg.com/ext_tw_video_thumb/1141360066962100224/pu/img/5_tGc4hLFQwcD07b.jpg")</f>
        <v>https://pbs.twimg.com/ext_tw_video_thumb/1141360066962100224/pu/img/5_tGc4hLFQwcD07b.jpg</v>
      </c>
      <c r="AM2398" t="s">
        <v>52</v>
      </c>
      <c r="AN2398" t="s">
        <v>53</v>
      </c>
    </row>
    <row r="2399" spans="1:40">
      <c r="A2399" t="s">
        <v>8081</v>
      </c>
      <c r="B2399" t="s">
        <v>2395</v>
      </c>
      <c r="C2399" t="s">
        <v>8097</v>
      </c>
      <c r="D2399" t="s">
        <v>52</v>
      </c>
      <c r="E2399" t="s">
        <v>8098</v>
      </c>
      <c r="F2399" t="s">
        <v>45</v>
      </c>
      <c r="G2399" t="str">
        <f>HYPERLINK("https://www.instagram.com/p/BzFAFtvnXhx")</f>
        <v>https://www.instagram.com/p/BzFAFtvnXhx</v>
      </c>
      <c r="H2399" t="s">
        <v>46</v>
      </c>
      <c r="I2399" t="s">
        <v>8099</v>
      </c>
      <c r="J2399" t="str">
        <f>HYPERLINK("http://instagram.com/maah_mtsx")</f>
        <v>http://instagram.com/maah_mtsx</v>
      </c>
      <c r="K2399">
        <v>170</v>
      </c>
      <c r="N2399" t="s">
        <v>59</v>
      </c>
      <c r="O2399" t="s">
        <v>8099</v>
      </c>
      <c r="P2399" t="str">
        <f>HYPERLINK("http://instagram.com/maah_mtsx")</f>
        <v>http://instagram.com/maah_mtsx</v>
      </c>
      <c r="Q2399">
        <v>170</v>
      </c>
      <c r="R2399" t="s">
        <v>60</v>
      </c>
      <c r="W2399">
        <v>26</v>
      </c>
      <c r="X2399">
        <v>26</v>
      </c>
      <c r="AE2399">
        <v>1</v>
      </c>
      <c r="AI2399" t="s">
        <v>52</v>
      </c>
      <c r="AJ2399" t="s">
        <v>8100</v>
      </c>
      <c r="AK2399" t="s">
        <v>8101</v>
      </c>
      <c r="AL2399" t="str">
        <f>HYPERLINK("https://www.instagram.com/p/BzFAFtvnXhx/media/?size=l")</f>
        <v>https://www.instagram.com/p/BzFAFtvnXhx/media/?size=l</v>
      </c>
      <c r="AM2399" t="s">
        <v>52</v>
      </c>
      <c r="AN2399" t="s">
        <v>53</v>
      </c>
    </row>
    <row r="2400" spans="1:40">
      <c r="A2400" t="s">
        <v>8081</v>
      </c>
      <c r="B2400" t="s">
        <v>2427</v>
      </c>
      <c r="C2400" t="s">
        <v>8097</v>
      </c>
      <c r="D2400" t="s">
        <v>52</v>
      </c>
      <c r="E2400" t="s">
        <v>1194</v>
      </c>
      <c r="F2400" t="s">
        <v>131</v>
      </c>
      <c r="G2400" t="str">
        <f>HYPERLINK("https://twitter.com/752537336/status/1143004115179573248")</f>
        <v>https://twitter.com/752537336/status/1143004115179573248</v>
      </c>
      <c r="H2400" t="s">
        <v>46</v>
      </c>
      <c r="I2400" t="s">
        <v>8102</v>
      </c>
      <c r="J2400" t="str">
        <f>HYPERLINK("http://twitter.com/eramirezx__")</f>
        <v>http://twitter.com/eramirezx__</v>
      </c>
      <c r="K2400">
        <v>267</v>
      </c>
      <c r="L2400" t="s">
        <v>58</v>
      </c>
      <c r="N2400" t="s">
        <v>65</v>
      </c>
      <c r="R2400" t="s">
        <v>60</v>
      </c>
      <c r="W2400">
        <v>0</v>
      </c>
      <c r="X2400">
        <v>0</v>
      </c>
      <c r="AE2400">
        <v>0</v>
      </c>
      <c r="AI2400" t="s">
        <v>52</v>
      </c>
      <c r="AJ2400" t="s">
        <v>1196</v>
      </c>
      <c r="AK2400" t="s">
        <v>52</v>
      </c>
      <c r="AL2400" t="str">
        <f>HYPERLINK("https://pbs.twimg.com/media/D9xgk2YXkAAd2ql.jpg")</f>
        <v>https://pbs.twimg.com/media/D9xgk2YXkAAd2ql.jpg</v>
      </c>
      <c r="AM2400" t="s">
        <v>52</v>
      </c>
      <c r="AN2400" t="s">
        <v>53</v>
      </c>
    </row>
    <row r="2401" spans="1:40">
      <c r="A2401" t="s">
        <v>8081</v>
      </c>
      <c r="B2401" t="s">
        <v>2427</v>
      </c>
      <c r="C2401" t="s">
        <v>8097</v>
      </c>
      <c r="D2401" t="s">
        <v>52</v>
      </c>
      <c r="E2401" t="s">
        <v>8103</v>
      </c>
      <c r="F2401" t="s">
        <v>95</v>
      </c>
      <c r="G2401" t="str">
        <f>HYPERLINK("https://twitter.com/983159416089440256/status/1143004102718349313")</f>
        <v>https://twitter.com/983159416089440256/status/1143004102718349313</v>
      </c>
      <c r="H2401" t="s">
        <v>91</v>
      </c>
      <c r="I2401" t="s">
        <v>8104</v>
      </c>
      <c r="J2401" t="str">
        <f>HYPERLINK("http://twitter.com/TheLioness_AW")</f>
        <v>http://twitter.com/TheLioness_AW</v>
      </c>
      <c r="K2401">
        <v>154</v>
      </c>
      <c r="N2401" t="s">
        <v>65</v>
      </c>
      <c r="R2401" t="s">
        <v>60</v>
      </c>
      <c r="W2401">
        <v>0</v>
      </c>
      <c r="X2401">
        <v>0</v>
      </c>
      <c r="AE2401">
        <v>0</v>
      </c>
      <c r="AF2401">
        <v>0</v>
      </c>
      <c r="AM2401" t="s">
        <v>52</v>
      </c>
      <c r="AN2401" t="s">
        <v>53</v>
      </c>
    </row>
    <row r="2402" spans="1:40">
      <c r="A2402" t="s">
        <v>8081</v>
      </c>
      <c r="B2402" t="s">
        <v>2427</v>
      </c>
      <c r="C2402" t="s">
        <v>8097</v>
      </c>
      <c r="D2402" t="s">
        <v>52</v>
      </c>
      <c r="E2402" t="s">
        <v>1194</v>
      </c>
      <c r="F2402" t="s">
        <v>131</v>
      </c>
      <c r="G2402" t="str">
        <f>HYPERLINK("https://twitter.com/1258209894/status/1143004086125490177")</f>
        <v>https://twitter.com/1258209894/status/1143004086125490177</v>
      </c>
      <c r="H2402" t="s">
        <v>46</v>
      </c>
      <c r="I2402" t="s">
        <v>8105</v>
      </c>
      <c r="J2402" t="str">
        <f>HYPERLINK("http://twitter.com/shawndraxo")</f>
        <v>http://twitter.com/shawndraxo</v>
      </c>
      <c r="K2402">
        <v>349</v>
      </c>
      <c r="N2402" t="s">
        <v>65</v>
      </c>
      <c r="R2402" t="s">
        <v>60</v>
      </c>
      <c r="W2402">
        <v>0</v>
      </c>
      <c r="X2402">
        <v>0</v>
      </c>
      <c r="AE2402">
        <v>0</v>
      </c>
      <c r="AI2402" t="s">
        <v>52</v>
      </c>
      <c r="AJ2402" t="s">
        <v>1196</v>
      </c>
      <c r="AK2402" t="s">
        <v>52</v>
      </c>
      <c r="AL2402" t="str">
        <f>HYPERLINK("https://pbs.twimg.com/media/D9xgk2YXkAAd2ql.jpg")</f>
        <v>https://pbs.twimg.com/media/D9xgk2YXkAAd2ql.jpg</v>
      </c>
      <c r="AM2402" t="s">
        <v>52</v>
      </c>
      <c r="AN2402" t="s">
        <v>53</v>
      </c>
    </row>
    <row r="2403" spans="1:40">
      <c r="A2403" t="s">
        <v>8081</v>
      </c>
      <c r="B2403" t="s">
        <v>2427</v>
      </c>
      <c r="C2403" t="s">
        <v>8097</v>
      </c>
      <c r="D2403" t="s">
        <v>52</v>
      </c>
      <c r="E2403" t="s">
        <v>3992</v>
      </c>
      <c r="F2403" t="s">
        <v>95</v>
      </c>
      <c r="G2403" t="str">
        <f>HYPERLINK("https://twitter.com/1017039959243591680/status/1143004069683978240")</f>
        <v>https://twitter.com/1017039959243591680/status/1143004069683978240</v>
      </c>
      <c r="H2403" t="s">
        <v>46</v>
      </c>
      <c r="I2403" t="s">
        <v>8106</v>
      </c>
      <c r="J2403" t="str">
        <f>HYPERLINK("http://twitter.com/andrebarco2")</f>
        <v>http://twitter.com/andrebarco2</v>
      </c>
      <c r="K2403">
        <v>49</v>
      </c>
      <c r="N2403" t="s">
        <v>65</v>
      </c>
      <c r="R2403" t="s">
        <v>60</v>
      </c>
      <c r="S2403" t="s">
        <v>521</v>
      </c>
      <c r="T2403" t="s">
        <v>522</v>
      </c>
      <c r="U2403" t="s">
        <v>8107</v>
      </c>
      <c r="W2403">
        <v>0</v>
      </c>
      <c r="X2403">
        <v>0</v>
      </c>
      <c r="AE2403">
        <v>0</v>
      </c>
      <c r="AF2403">
        <v>0</v>
      </c>
      <c r="AM2403" t="s">
        <v>52</v>
      </c>
      <c r="AN2403" t="s">
        <v>53</v>
      </c>
    </row>
    <row r="2404" spans="1:40">
      <c r="A2404" t="s">
        <v>8081</v>
      </c>
      <c r="B2404" t="s">
        <v>2433</v>
      </c>
      <c r="C2404" t="s">
        <v>8108</v>
      </c>
      <c r="D2404" t="s">
        <v>52</v>
      </c>
      <c r="E2404" t="s">
        <v>1194</v>
      </c>
      <c r="F2404" t="s">
        <v>131</v>
      </c>
      <c r="G2404" t="str">
        <f>HYPERLINK("https://twitter.com/538618756/status/1143003974381056001")</f>
        <v>https://twitter.com/538618756/status/1143003974381056001</v>
      </c>
      <c r="H2404" t="s">
        <v>46</v>
      </c>
      <c r="I2404" t="s">
        <v>8109</v>
      </c>
      <c r="J2404" t="str">
        <f>HYPERLINK("http://twitter.com/myobrienheart")</f>
        <v>http://twitter.com/myobrienheart</v>
      </c>
      <c r="K2404">
        <v>7435</v>
      </c>
      <c r="N2404" t="s">
        <v>65</v>
      </c>
      <c r="R2404" t="s">
        <v>60</v>
      </c>
      <c r="W2404">
        <v>0</v>
      </c>
      <c r="X2404">
        <v>0</v>
      </c>
      <c r="AE2404">
        <v>0</v>
      </c>
      <c r="AI2404" t="s">
        <v>52</v>
      </c>
      <c r="AJ2404" t="s">
        <v>1196</v>
      </c>
      <c r="AK2404" t="s">
        <v>52</v>
      </c>
      <c r="AL2404" t="str">
        <f>HYPERLINK("https://pbs.twimg.com/media/D9xgk2YXkAAd2ql.jpg")</f>
        <v>https://pbs.twimg.com/media/D9xgk2YXkAAd2ql.jpg</v>
      </c>
      <c r="AM2404" t="s">
        <v>52</v>
      </c>
      <c r="AN2404" t="s">
        <v>53</v>
      </c>
    </row>
    <row r="2405" spans="1:40">
      <c r="A2405" t="s">
        <v>8081</v>
      </c>
      <c r="B2405" t="s">
        <v>2433</v>
      </c>
      <c r="C2405" t="s">
        <v>8110</v>
      </c>
      <c r="D2405" t="s">
        <v>52</v>
      </c>
      <c r="E2405" t="s">
        <v>8111</v>
      </c>
      <c r="F2405" t="s">
        <v>71</v>
      </c>
      <c r="G2405" t="str">
        <f>HYPERLINK("https://twitter.com/223739536/status/1143003927782330368")</f>
        <v>https://twitter.com/223739536/status/1143003927782330368</v>
      </c>
      <c r="H2405" t="s">
        <v>215</v>
      </c>
      <c r="I2405" t="s">
        <v>8112</v>
      </c>
      <c r="J2405" t="str">
        <f>HYPERLINK("http://twitter.com/kcurtis__")</f>
        <v>http://twitter.com/kcurtis__</v>
      </c>
      <c r="K2405">
        <v>452</v>
      </c>
      <c r="N2405" t="s">
        <v>65</v>
      </c>
      <c r="R2405" t="s">
        <v>60</v>
      </c>
      <c r="W2405">
        <v>0</v>
      </c>
      <c r="X2405">
        <v>0</v>
      </c>
      <c r="AE2405">
        <v>1</v>
      </c>
      <c r="AF2405">
        <v>0</v>
      </c>
      <c r="AM2405" t="s">
        <v>52</v>
      </c>
      <c r="AN2405" t="s">
        <v>53</v>
      </c>
    </row>
    <row r="2406" spans="1:40">
      <c r="A2406" t="s">
        <v>8081</v>
      </c>
      <c r="B2406" t="s">
        <v>2433</v>
      </c>
      <c r="C2406" t="s">
        <v>8110</v>
      </c>
      <c r="D2406" t="s">
        <v>52</v>
      </c>
      <c r="E2406" t="s">
        <v>3749</v>
      </c>
      <c r="F2406" t="s">
        <v>71</v>
      </c>
      <c r="G2406" t="str">
        <f>HYPERLINK("https://twitter.com/2870545571/status/1143003902939475970")</f>
        <v>https://twitter.com/2870545571/status/1143003902939475970</v>
      </c>
      <c r="H2406" t="s">
        <v>46</v>
      </c>
      <c r="I2406" t="s">
        <v>8113</v>
      </c>
      <c r="J2406" t="str">
        <f>HYPERLINK("http://twitter.com/abuti_tevin")</f>
        <v>http://twitter.com/abuti_tevin</v>
      </c>
      <c r="K2406">
        <v>3675</v>
      </c>
      <c r="N2406" t="s">
        <v>65</v>
      </c>
      <c r="R2406" t="s">
        <v>60</v>
      </c>
      <c r="S2406" t="s">
        <v>1071</v>
      </c>
      <c r="T2406" t="s">
        <v>5506</v>
      </c>
      <c r="U2406" t="s">
        <v>8114</v>
      </c>
      <c r="W2406">
        <v>0</v>
      </c>
      <c r="X2406">
        <v>0</v>
      </c>
      <c r="AE2406">
        <v>0</v>
      </c>
      <c r="AF2406">
        <v>0</v>
      </c>
      <c r="AI2406" t="s">
        <v>108</v>
      </c>
      <c r="AJ2406" t="s">
        <v>52</v>
      </c>
      <c r="AK2406" t="s">
        <v>52</v>
      </c>
      <c r="AL2406" t="str">
        <f>HYPERLINK("https://pbs.twimg.com/media/D9sAXHUX4AA6vJs.jpg")</f>
        <v>https://pbs.twimg.com/media/D9sAXHUX4AA6vJs.jpg</v>
      </c>
      <c r="AM2406" t="s">
        <v>52</v>
      </c>
      <c r="AN2406" t="s">
        <v>53</v>
      </c>
    </row>
    <row r="2407" spans="1:40">
      <c r="A2407" t="s">
        <v>8081</v>
      </c>
      <c r="B2407" t="s">
        <v>2433</v>
      </c>
      <c r="C2407" t="s">
        <v>8115</v>
      </c>
      <c r="D2407" t="s">
        <v>52</v>
      </c>
      <c r="E2407" t="s">
        <v>5927</v>
      </c>
      <c r="F2407" t="s">
        <v>131</v>
      </c>
      <c r="G2407" t="str">
        <f>HYPERLINK("https://twitter.com/1118652239483166720/status/1143003830818410501")</f>
        <v>https://twitter.com/1118652239483166720/status/1143003830818410501</v>
      </c>
      <c r="H2407" t="s">
        <v>46</v>
      </c>
      <c r="I2407" t="s">
        <v>8116</v>
      </c>
      <c r="J2407" t="str">
        <f>HYPERLINK("http://twitter.com/ManuelMerinoMo1")</f>
        <v>http://twitter.com/ManuelMerinoMo1</v>
      </c>
      <c r="K2407">
        <v>15</v>
      </c>
      <c r="L2407" t="s">
        <v>48</v>
      </c>
      <c r="N2407" t="s">
        <v>65</v>
      </c>
      <c r="R2407" t="s">
        <v>60</v>
      </c>
      <c r="W2407">
        <v>0</v>
      </c>
      <c r="X2407">
        <v>0</v>
      </c>
      <c r="AE2407">
        <v>0</v>
      </c>
      <c r="AM2407" t="s">
        <v>52</v>
      </c>
      <c r="AN2407" t="s">
        <v>53</v>
      </c>
    </row>
    <row r="2408" spans="1:40">
      <c r="A2408" t="s">
        <v>8081</v>
      </c>
      <c r="B2408" t="s">
        <v>2437</v>
      </c>
      <c r="C2408" t="s">
        <v>8117</v>
      </c>
      <c r="D2408" t="s">
        <v>52</v>
      </c>
      <c r="E2408" t="s">
        <v>8118</v>
      </c>
      <c r="F2408" t="s">
        <v>95</v>
      </c>
      <c r="G2408" t="str">
        <f>HYPERLINK("https://twitter.com/977674848259465217/status/1143003769120206849")</f>
        <v>https://twitter.com/977674848259465217/status/1143003769120206849</v>
      </c>
      <c r="H2408" t="s">
        <v>215</v>
      </c>
      <c r="I2408" t="s">
        <v>8119</v>
      </c>
      <c r="J2408" t="str">
        <f>HYPERLINK("http://twitter.com/MarksWithMics")</f>
        <v>http://twitter.com/MarksWithMics</v>
      </c>
      <c r="K2408">
        <v>1696</v>
      </c>
      <c r="N2408" t="s">
        <v>65</v>
      </c>
      <c r="R2408" t="s">
        <v>60</v>
      </c>
      <c r="S2408" t="s">
        <v>51</v>
      </c>
      <c r="T2408" t="s">
        <v>66</v>
      </c>
      <c r="U2408" t="s">
        <v>5976</v>
      </c>
      <c r="W2408">
        <v>0</v>
      </c>
      <c r="X2408">
        <v>0</v>
      </c>
      <c r="AE2408">
        <v>0</v>
      </c>
      <c r="AF2408">
        <v>0</v>
      </c>
      <c r="AI2408" t="s">
        <v>52</v>
      </c>
      <c r="AJ2408" t="s">
        <v>452</v>
      </c>
      <c r="AK2408" t="s">
        <v>4880</v>
      </c>
      <c r="AL2408" t="str">
        <f>HYPERLINK("https://pbs.twimg.com/tweet_video_thumb/D9zD2k6WwAECRuM.jpg")</f>
        <v>https://pbs.twimg.com/tweet_video_thumb/D9zD2k6WwAECRuM.jpg</v>
      </c>
      <c r="AM2408" t="s">
        <v>52</v>
      </c>
      <c r="AN2408" t="s">
        <v>53</v>
      </c>
    </row>
    <row r="2409" spans="1:40">
      <c r="A2409" t="s">
        <v>8081</v>
      </c>
      <c r="B2409" t="s">
        <v>2437</v>
      </c>
      <c r="C2409" t="s">
        <v>8120</v>
      </c>
      <c r="D2409" t="s">
        <v>52</v>
      </c>
      <c r="E2409" t="s">
        <v>8121</v>
      </c>
      <c r="F2409" t="s">
        <v>45</v>
      </c>
      <c r="G2409" t="str">
        <f>HYPERLINK("https://www.instagram.com/p/BzE_yuGgbql")</f>
        <v>https://www.instagram.com/p/BzE_yuGgbql</v>
      </c>
      <c r="H2409" t="s">
        <v>46</v>
      </c>
      <c r="I2409" t="s">
        <v>8122</v>
      </c>
      <c r="J2409" t="str">
        <f>HYPERLINK("http://instagram.com/kaushastra")</f>
        <v>http://instagram.com/kaushastra</v>
      </c>
      <c r="K2409">
        <v>2</v>
      </c>
      <c r="N2409" t="s">
        <v>59</v>
      </c>
      <c r="O2409" t="s">
        <v>8122</v>
      </c>
      <c r="P2409" t="str">
        <f>HYPERLINK("http://instagram.com/kaushastra")</f>
        <v>http://instagram.com/kaushastra</v>
      </c>
      <c r="Q2409">
        <v>2</v>
      </c>
      <c r="R2409" t="s">
        <v>60</v>
      </c>
      <c r="S2409" t="s">
        <v>1071</v>
      </c>
      <c r="T2409" t="s">
        <v>1072</v>
      </c>
      <c r="U2409" t="s">
        <v>1295</v>
      </c>
      <c r="W2409">
        <v>175</v>
      </c>
      <c r="X2409">
        <v>175</v>
      </c>
      <c r="AE2409">
        <v>2</v>
      </c>
      <c r="AI2409" t="s">
        <v>108</v>
      </c>
      <c r="AJ2409" t="s">
        <v>3626</v>
      </c>
      <c r="AK2409" t="s">
        <v>52</v>
      </c>
      <c r="AL2409" t="str">
        <f>HYPERLINK("https://www.instagram.com/p/BzE_yuGgbql/media/?size=l")</f>
        <v>https://www.instagram.com/p/BzE_yuGgbql/media/?size=l</v>
      </c>
      <c r="AM2409" t="s">
        <v>52</v>
      </c>
      <c r="AN2409" t="s">
        <v>53</v>
      </c>
    </row>
    <row r="2410" spans="1:40">
      <c r="A2410" t="s">
        <v>8081</v>
      </c>
      <c r="B2410" t="s">
        <v>2447</v>
      </c>
      <c r="C2410" t="s">
        <v>8123</v>
      </c>
      <c r="D2410" t="s">
        <v>52</v>
      </c>
      <c r="E2410" t="s">
        <v>8124</v>
      </c>
      <c r="F2410" t="s">
        <v>45</v>
      </c>
      <c r="G2410" t="str">
        <f>HYPERLINK("https://twitter.com/3059784345/status/1143003146471530496")</f>
        <v>https://twitter.com/3059784345/status/1143003146471530496</v>
      </c>
      <c r="H2410" t="s">
        <v>46</v>
      </c>
      <c r="I2410" t="s">
        <v>8125</v>
      </c>
      <c r="J2410" t="str">
        <f>HYPERLINK("http://twitter.com/JMcDonnell95")</f>
        <v>http://twitter.com/JMcDonnell95</v>
      </c>
      <c r="K2410">
        <v>582</v>
      </c>
      <c r="N2410" t="s">
        <v>65</v>
      </c>
      <c r="R2410" t="s">
        <v>60</v>
      </c>
      <c r="W2410">
        <v>1</v>
      </c>
      <c r="X2410">
        <v>1</v>
      </c>
      <c r="AE2410">
        <v>2</v>
      </c>
      <c r="AF2410">
        <v>0</v>
      </c>
      <c r="AM2410" t="s">
        <v>52</v>
      </c>
      <c r="AN2410" t="s">
        <v>53</v>
      </c>
    </row>
    <row r="2411" spans="1:40">
      <c r="A2411" t="s">
        <v>8081</v>
      </c>
      <c r="B2411" t="s">
        <v>2453</v>
      </c>
      <c r="C2411" t="s">
        <v>7208</v>
      </c>
      <c r="D2411" t="s">
        <v>8126</v>
      </c>
      <c r="E2411" t="s">
        <v>7498</v>
      </c>
      <c r="F2411" t="s">
        <v>45</v>
      </c>
      <c r="G2411" t="str">
        <f>HYPERLINK("https://techknowbits.com/2019/06/23/clarius-group-llc-grows-stake-in-pepsico-inc-pep.html")</f>
        <v>https://techknowbits.com/2019/06/23/clarius-group-llc-grows-stake-in-pepsico-inc-pep.html</v>
      </c>
      <c r="H2411" t="s">
        <v>91</v>
      </c>
      <c r="I2411" t="s">
        <v>8127</v>
      </c>
      <c r="J2411" t="str">
        <f>HYPERLINK("https://techknowbits.com/2019/06/23/clarius-group-llc-grows-stake-in-pepsico-inc-pep.html")</f>
        <v>https://techknowbits.com/2019/06/23/clarius-group-llc-grows-stake-in-pepsico-inc-pep.html</v>
      </c>
      <c r="L2411" t="s">
        <v>48</v>
      </c>
      <c r="N2411" t="s">
        <v>49</v>
      </c>
      <c r="R2411" t="s">
        <v>50</v>
      </c>
      <c r="S2411" t="s">
        <v>51</v>
      </c>
      <c r="AM2411" t="s">
        <v>52</v>
      </c>
      <c r="AN2411" t="s">
        <v>53</v>
      </c>
    </row>
    <row r="2412" spans="1:40">
      <c r="A2412" t="s">
        <v>8081</v>
      </c>
      <c r="B2412" t="s">
        <v>2453</v>
      </c>
      <c r="C2412" t="s">
        <v>7208</v>
      </c>
      <c r="D2412" t="s">
        <v>8128</v>
      </c>
      <c r="E2412" t="s">
        <v>8129</v>
      </c>
      <c r="F2412" t="s">
        <v>45</v>
      </c>
      <c r="G2412" t="str">
        <f>HYPERLINK("https://mayfieldrecorder.com/2019/06/23/forsta-ap-fonden-trims-holdings-in-pepsico-inc-pep.html")</f>
        <v>https://mayfieldrecorder.com/2019/06/23/forsta-ap-fonden-trims-holdings-in-pepsico-inc-pep.html</v>
      </c>
      <c r="H2412" t="s">
        <v>91</v>
      </c>
      <c r="I2412" t="s">
        <v>2537</v>
      </c>
      <c r="J2412" t="str">
        <f>HYPERLINK("https://mayfieldrecorder.com/2019/06/23/forsta-ap-fonden-trims-holdings-in-pepsico-inc-pep.html")</f>
        <v>https://mayfieldrecorder.com/2019/06/23/forsta-ap-fonden-trims-holdings-in-pepsico-inc-pep.html</v>
      </c>
      <c r="L2412" t="s">
        <v>48</v>
      </c>
      <c r="N2412" t="s">
        <v>356</v>
      </c>
      <c r="R2412" t="s">
        <v>357</v>
      </c>
      <c r="S2412" t="s">
        <v>51</v>
      </c>
      <c r="AM2412" t="s">
        <v>52</v>
      </c>
      <c r="AN2412" t="s">
        <v>53</v>
      </c>
    </row>
    <row r="2413" spans="1:40">
      <c r="A2413" t="s">
        <v>8081</v>
      </c>
      <c r="B2413" t="s">
        <v>2469</v>
      </c>
      <c r="C2413" t="s">
        <v>8130</v>
      </c>
      <c r="D2413" t="s">
        <v>52</v>
      </c>
      <c r="E2413" t="s">
        <v>8131</v>
      </c>
      <c r="F2413" t="s">
        <v>71</v>
      </c>
      <c r="G2413" t="str">
        <f>HYPERLINK("https://twitter.com/1052313725435346944/status/1143002509688094721")</f>
        <v>https://twitter.com/1052313725435346944/status/1143002509688094721</v>
      </c>
      <c r="H2413" t="s">
        <v>46</v>
      </c>
      <c r="I2413" t="s">
        <v>8132</v>
      </c>
      <c r="J2413" t="str">
        <f>HYPERLINK("http://twitter.com/WelquiGang")</f>
        <v>http://twitter.com/WelquiGang</v>
      </c>
      <c r="K2413">
        <v>87</v>
      </c>
      <c r="N2413" t="s">
        <v>65</v>
      </c>
      <c r="R2413" t="s">
        <v>60</v>
      </c>
      <c r="S2413" t="s">
        <v>701</v>
      </c>
      <c r="T2413" t="s">
        <v>702</v>
      </c>
      <c r="U2413" t="s">
        <v>702</v>
      </c>
      <c r="W2413">
        <v>0</v>
      </c>
      <c r="X2413">
        <v>0</v>
      </c>
      <c r="AE2413">
        <v>0</v>
      </c>
      <c r="AF2413">
        <v>0</v>
      </c>
      <c r="AI2413" t="s">
        <v>108</v>
      </c>
      <c r="AJ2413" t="s">
        <v>52</v>
      </c>
      <c r="AK2413" t="s">
        <v>52</v>
      </c>
      <c r="AL2413" t="str">
        <f>HYPERLINK("https://pbs.twimg.com/tweet_video_thumb/D9hvNNzXUAATAS3.jpg")</f>
        <v>https://pbs.twimg.com/tweet_video_thumb/D9hvNNzXUAATAS3.jpg</v>
      </c>
      <c r="AM2413" t="s">
        <v>52</v>
      </c>
      <c r="AN2413" t="s">
        <v>53</v>
      </c>
    </row>
    <row r="2414" spans="1:40">
      <c r="A2414" t="s">
        <v>8081</v>
      </c>
      <c r="B2414" t="s">
        <v>2469</v>
      </c>
      <c r="C2414" t="s">
        <v>8133</v>
      </c>
      <c r="D2414" t="s">
        <v>52</v>
      </c>
      <c r="E2414" t="s">
        <v>8134</v>
      </c>
      <c r="F2414" t="s">
        <v>71</v>
      </c>
      <c r="G2414" t="str">
        <f>HYPERLINK("https://twitter.com/3234380725/status/1143002340661895168")</f>
        <v>https://twitter.com/3234380725/status/1143002340661895168</v>
      </c>
      <c r="H2414" t="s">
        <v>46</v>
      </c>
      <c r="I2414" t="s">
        <v>8135</v>
      </c>
      <c r="J2414" t="str">
        <f>HYPERLINK("http://twitter.com/ghostinick")</f>
        <v>http://twitter.com/ghostinick</v>
      </c>
      <c r="K2414">
        <v>1251</v>
      </c>
      <c r="N2414" t="s">
        <v>65</v>
      </c>
      <c r="R2414" t="s">
        <v>60</v>
      </c>
      <c r="S2414" t="s">
        <v>226</v>
      </c>
      <c r="T2414" t="s">
        <v>8136</v>
      </c>
      <c r="U2414" t="s">
        <v>8137</v>
      </c>
      <c r="W2414">
        <v>10</v>
      </c>
      <c r="X2414">
        <v>10</v>
      </c>
      <c r="AE2414">
        <v>0</v>
      </c>
      <c r="AF2414">
        <v>0</v>
      </c>
      <c r="AI2414" t="s">
        <v>52</v>
      </c>
      <c r="AJ2414" t="s">
        <v>3639</v>
      </c>
      <c r="AK2414" t="s">
        <v>238</v>
      </c>
      <c r="AL2414" t="str">
        <f>HYPERLINK("https://pbs.twimg.com/media/D9jR1g0UYAAm_F_.jpg")</f>
        <v>https://pbs.twimg.com/media/D9jR1g0UYAAm_F_.jpg</v>
      </c>
      <c r="AM2414" t="s">
        <v>52</v>
      </c>
      <c r="AN2414" t="s">
        <v>53</v>
      </c>
    </row>
    <row r="2415" spans="1:40">
      <c r="A2415" t="s">
        <v>8081</v>
      </c>
      <c r="B2415" t="s">
        <v>2480</v>
      </c>
      <c r="C2415" t="s">
        <v>7395</v>
      </c>
      <c r="D2415" t="s">
        <v>7897</v>
      </c>
      <c r="E2415" t="s">
        <v>8138</v>
      </c>
      <c r="F2415" t="s">
        <v>95</v>
      </c>
      <c r="G2415" t="str">
        <f>HYPERLINK("https://www.youtube.com/watch?v=Kib5LJjVFfY&amp;lc=Ugy7rljlNl2v48qfSid4AaABAg")</f>
        <v>https://www.youtube.com/watch?v=Kib5LJjVFfY&amp;lc=Ugy7rljlNl2v48qfSid4AaABAg</v>
      </c>
      <c r="H2415" t="s">
        <v>46</v>
      </c>
      <c r="I2415" t="s">
        <v>8139</v>
      </c>
      <c r="J2415" t="str">
        <f>HYPERLINK("https://www.youtube.com/channel/UCyVJU3w34TDPxx97ALQfimA")</f>
        <v>https://www.youtube.com/channel/UCyVJU3w34TDPxx97ALQfimA</v>
      </c>
      <c r="K2415">
        <v>11</v>
      </c>
      <c r="N2415" t="s">
        <v>116</v>
      </c>
      <c r="O2415" t="s">
        <v>7900</v>
      </c>
      <c r="P2415" t="str">
        <f>HYPERLINK("https://www.youtube.com/channel/UCkQoTv36hzj4uzIiPgvZudQ")</f>
        <v>https://www.youtube.com/channel/UCkQoTv36hzj4uzIiPgvZudQ</v>
      </c>
      <c r="Q2415">
        <v>2563</v>
      </c>
      <c r="R2415" t="s">
        <v>60</v>
      </c>
      <c r="W2415">
        <v>1</v>
      </c>
      <c r="X2415">
        <v>1</v>
      </c>
      <c r="AE2415">
        <v>0</v>
      </c>
      <c r="AM2415" t="s">
        <v>52</v>
      </c>
      <c r="AN2415" t="s">
        <v>53</v>
      </c>
    </row>
    <row r="2416" spans="1:40">
      <c r="A2416" t="s">
        <v>8081</v>
      </c>
      <c r="B2416" t="s">
        <v>2489</v>
      </c>
      <c r="C2416" t="s">
        <v>8140</v>
      </c>
      <c r="D2416" t="s">
        <v>52</v>
      </c>
      <c r="E2416" t="s">
        <v>8141</v>
      </c>
      <c r="F2416" t="s">
        <v>95</v>
      </c>
      <c r="G2416" t="str">
        <f>HYPERLINK("https://twitter.com/150860325/status/1143001262591549440")</f>
        <v>https://twitter.com/150860325/status/1143001262591549440</v>
      </c>
      <c r="H2416" t="s">
        <v>215</v>
      </c>
      <c r="I2416" t="s">
        <v>8142</v>
      </c>
      <c r="J2416" t="str">
        <f>HYPERLINK("http://twitter.com/GamaX_HorroR")</f>
        <v>http://twitter.com/GamaX_HorroR</v>
      </c>
      <c r="K2416">
        <v>2733</v>
      </c>
      <c r="N2416" t="s">
        <v>65</v>
      </c>
      <c r="R2416" t="s">
        <v>60</v>
      </c>
      <c r="S2416" t="s">
        <v>1452</v>
      </c>
      <c r="U2416" t="s">
        <v>8143</v>
      </c>
      <c r="W2416">
        <v>0</v>
      </c>
      <c r="X2416">
        <v>0</v>
      </c>
      <c r="AE2416">
        <v>0</v>
      </c>
      <c r="AF2416">
        <v>0</v>
      </c>
      <c r="AM2416" t="s">
        <v>52</v>
      </c>
      <c r="AN2416" t="s">
        <v>53</v>
      </c>
    </row>
    <row r="2417" spans="1:40">
      <c r="A2417" t="s">
        <v>8081</v>
      </c>
      <c r="B2417" t="s">
        <v>2489</v>
      </c>
      <c r="C2417" t="s">
        <v>7395</v>
      </c>
      <c r="D2417" t="s">
        <v>7897</v>
      </c>
      <c r="E2417" t="s">
        <v>8144</v>
      </c>
      <c r="F2417" t="s">
        <v>45</v>
      </c>
      <c r="G2417" t="str">
        <f>HYPERLINK("https://www.youtube.com/watch?v=Kib5LJjVFfY")</f>
        <v>https://www.youtube.com/watch?v=Kib5LJjVFfY</v>
      </c>
      <c r="H2417" t="s">
        <v>46</v>
      </c>
      <c r="I2417" t="s">
        <v>7900</v>
      </c>
      <c r="J2417" t="str">
        <f>HYPERLINK("https://www.youtube.com/channel/UCkQoTv36hzj4uzIiPgvZudQ")</f>
        <v>https://www.youtube.com/channel/UCkQoTv36hzj4uzIiPgvZudQ</v>
      </c>
      <c r="K2417">
        <v>2563</v>
      </c>
      <c r="N2417" t="s">
        <v>116</v>
      </c>
      <c r="O2417" t="s">
        <v>7900</v>
      </c>
      <c r="P2417" t="str">
        <f>HYPERLINK("https://www.youtube.com/channel/UCkQoTv36hzj4uzIiPgvZudQ")</f>
        <v>https://www.youtube.com/channel/UCkQoTv36hzj4uzIiPgvZudQ</v>
      </c>
      <c r="Q2417">
        <v>2563</v>
      </c>
      <c r="R2417" t="s">
        <v>60</v>
      </c>
      <c r="W2417">
        <v>22</v>
      </c>
      <c r="X2417">
        <v>22</v>
      </c>
      <c r="AD2417">
        <v>1</v>
      </c>
      <c r="AE2417">
        <v>3</v>
      </c>
      <c r="AG2417">
        <v>176</v>
      </c>
      <c r="AI2417" t="s">
        <v>52</v>
      </c>
      <c r="AJ2417" t="s">
        <v>52</v>
      </c>
      <c r="AK2417" t="s">
        <v>52</v>
      </c>
      <c r="AL2417" t="str">
        <f>HYPERLINK("https://i.ytimg.com/vi/Kib5LJjVFfY/sddefault.jpg")</f>
        <v>https://i.ytimg.com/vi/Kib5LJjVFfY/sddefault.jpg</v>
      </c>
      <c r="AM2417" t="s">
        <v>52</v>
      </c>
      <c r="AN2417" t="s">
        <v>53</v>
      </c>
    </row>
    <row r="2418" spans="1:40">
      <c r="A2418" t="s">
        <v>8081</v>
      </c>
      <c r="B2418" t="s">
        <v>2489</v>
      </c>
      <c r="C2418" t="s">
        <v>8145</v>
      </c>
      <c r="D2418" t="s">
        <v>52</v>
      </c>
      <c r="E2418" t="s">
        <v>1194</v>
      </c>
      <c r="F2418" t="s">
        <v>131</v>
      </c>
      <c r="G2418" t="str">
        <f>HYPERLINK("https://twitter.com/1142415036922716161/status/1143001159139041281")</f>
        <v>https://twitter.com/1142415036922716161/status/1143001159139041281</v>
      </c>
      <c r="H2418" t="s">
        <v>46</v>
      </c>
      <c r="I2418" t="s">
        <v>6551</v>
      </c>
      <c r="J2418" t="str">
        <f>HYPERLINK("http://twitter.com/s0phbae")</f>
        <v>http://twitter.com/s0phbae</v>
      </c>
      <c r="K2418">
        <v>3</v>
      </c>
      <c r="L2418" t="s">
        <v>58</v>
      </c>
      <c r="N2418" t="s">
        <v>65</v>
      </c>
      <c r="R2418" t="s">
        <v>60</v>
      </c>
      <c r="W2418">
        <v>0</v>
      </c>
      <c r="X2418">
        <v>0</v>
      </c>
      <c r="AE2418">
        <v>0</v>
      </c>
      <c r="AI2418" t="s">
        <v>52</v>
      </c>
      <c r="AJ2418" t="s">
        <v>1196</v>
      </c>
      <c r="AK2418" t="s">
        <v>52</v>
      </c>
      <c r="AL2418" t="str">
        <f>HYPERLINK("https://pbs.twimg.com/media/D9xgk2YXkAAd2ql.jpg")</f>
        <v>https://pbs.twimg.com/media/D9xgk2YXkAAd2ql.jpg</v>
      </c>
      <c r="AM2418" t="s">
        <v>52</v>
      </c>
      <c r="AN2418" t="s">
        <v>53</v>
      </c>
    </row>
    <row r="2419" spans="1:40">
      <c r="A2419" t="s">
        <v>8081</v>
      </c>
      <c r="B2419" t="s">
        <v>2489</v>
      </c>
      <c r="C2419" t="s">
        <v>8145</v>
      </c>
      <c r="D2419" t="s">
        <v>52</v>
      </c>
      <c r="E2419" t="s">
        <v>8146</v>
      </c>
      <c r="F2419" t="s">
        <v>45</v>
      </c>
      <c r="G2419" t="str">
        <f>HYPERLINK("https://twitter.com/2359617954/status/1143001147814363136")</f>
        <v>https://twitter.com/2359617954/status/1143001147814363136</v>
      </c>
      <c r="H2419" t="s">
        <v>46</v>
      </c>
      <c r="I2419" t="s">
        <v>8147</v>
      </c>
      <c r="J2419" t="str">
        <f>HYPERLINK("http://twitter.com/HurtKobian")</f>
        <v>http://twitter.com/HurtKobian</v>
      </c>
      <c r="K2419">
        <v>445</v>
      </c>
      <c r="N2419" t="s">
        <v>65</v>
      </c>
      <c r="R2419" t="s">
        <v>60</v>
      </c>
      <c r="S2419" t="s">
        <v>51</v>
      </c>
      <c r="T2419" t="s">
        <v>84</v>
      </c>
      <c r="U2419" t="s">
        <v>85</v>
      </c>
      <c r="W2419">
        <v>0</v>
      </c>
      <c r="X2419">
        <v>0</v>
      </c>
      <c r="AE2419">
        <v>0</v>
      </c>
      <c r="AF2419">
        <v>0</v>
      </c>
      <c r="AM2419" t="s">
        <v>52</v>
      </c>
      <c r="AN2419" t="s">
        <v>53</v>
      </c>
    </row>
    <row r="2420" spans="1:40">
      <c r="A2420" t="s">
        <v>8081</v>
      </c>
      <c r="B2420" t="s">
        <v>2489</v>
      </c>
      <c r="C2420" t="s">
        <v>8145</v>
      </c>
      <c r="D2420" t="s">
        <v>52</v>
      </c>
      <c r="E2420" t="s">
        <v>8148</v>
      </c>
      <c r="F2420" t="s">
        <v>95</v>
      </c>
      <c r="G2420" t="str">
        <f>HYPERLINK("https://twitter.com/3310923346/status/1143001144903516161")</f>
        <v>https://twitter.com/3310923346/status/1143001144903516161</v>
      </c>
      <c r="H2420" t="s">
        <v>46</v>
      </c>
      <c r="I2420" t="s">
        <v>8149</v>
      </c>
      <c r="J2420" t="str">
        <f>HYPERLINK("http://twitter.com/ProdigyxCD")</f>
        <v>http://twitter.com/ProdigyxCD</v>
      </c>
      <c r="K2420">
        <v>700</v>
      </c>
      <c r="L2420" t="s">
        <v>48</v>
      </c>
      <c r="N2420" t="s">
        <v>65</v>
      </c>
      <c r="R2420" t="s">
        <v>60</v>
      </c>
      <c r="W2420">
        <v>1</v>
      </c>
      <c r="X2420">
        <v>1</v>
      </c>
      <c r="AE2420">
        <v>1</v>
      </c>
      <c r="AF2420">
        <v>0</v>
      </c>
      <c r="AI2420" t="s">
        <v>108</v>
      </c>
      <c r="AJ2420" t="s">
        <v>942</v>
      </c>
      <c r="AK2420" t="s">
        <v>52</v>
      </c>
      <c r="AL2420" t="str">
        <f>HYPERLINK("https://pbs.twimg.com/media/D9zBYviXUAASXzE.png")</f>
        <v>https://pbs.twimg.com/media/D9zBYviXUAASXzE.png</v>
      </c>
      <c r="AM2420" t="s">
        <v>52</v>
      </c>
      <c r="AN2420" t="s">
        <v>53</v>
      </c>
    </row>
    <row r="2421" spans="1:40">
      <c r="A2421" t="s">
        <v>8081</v>
      </c>
      <c r="B2421" t="s">
        <v>2489</v>
      </c>
      <c r="C2421" t="s">
        <v>8150</v>
      </c>
      <c r="D2421" t="s">
        <v>52</v>
      </c>
      <c r="E2421" t="s">
        <v>3749</v>
      </c>
      <c r="F2421" t="s">
        <v>71</v>
      </c>
      <c r="G2421" t="str">
        <f>HYPERLINK("https://twitter.com/915429195358130176/status/1143001121973264385")</f>
        <v>https://twitter.com/915429195358130176/status/1143001121973264385</v>
      </c>
      <c r="H2421" t="s">
        <v>46</v>
      </c>
      <c r="I2421" t="s">
        <v>8151</v>
      </c>
      <c r="J2421" t="str">
        <f>HYPERLINK("http://twitter.com/Timbah_")</f>
        <v>http://twitter.com/Timbah_</v>
      </c>
      <c r="K2421">
        <v>494</v>
      </c>
      <c r="N2421" t="s">
        <v>65</v>
      </c>
      <c r="R2421" t="s">
        <v>60</v>
      </c>
      <c r="S2421" t="s">
        <v>1071</v>
      </c>
      <c r="T2421" t="s">
        <v>5506</v>
      </c>
      <c r="U2421" t="s">
        <v>8152</v>
      </c>
      <c r="W2421">
        <v>0</v>
      </c>
      <c r="X2421">
        <v>0</v>
      </c>
      <c r="AE2421">
        <v>0</v>
      </c>
      <c r="AF2421">
        <v>0</v>
      </c>
      <c r="AI2421" t="s">
        <v>108</v>
      </c>
      <c r="AJ2421" t="s">
        <v>52</v>
      </c>
      <c r="AK2421" t="s">
        <v>52</v>
      </c>
      <c r="AL2421" t="str">
        <f>HYPERLINK("https://pbs.twimg.com/media/D9sAXHUX4AA6vJs.jpg")</f>
        <v>https://pbs.twimg.com/media/D9sAXHUX4AA6vJs.jpg</v>
      </c>
      <c r="AM2421" t="s">
        <v>52</v>
      </c>
      <c r="AN2421" t="s">
        <v>53</v>
      </c>
    </row>
    <row r="2422" spans="1:40">
      <c r="A2422" t="s">
        <v>8081</v>
      </c>
      <c r="B2422" t="s">
        <v>2489</v>
      </c>
      <c r="C2422" t="s">
        <v>8153</v>
      </c>
      <c r="D2422" t="s">
        <v>52</v>
      </c>
      <c r="E2422" t="s">
        <v>8154</v>
      </c>
      <c r="F2422" t="s">
        <v>45</v>
      </c>
      <c r="G2422" t="str">
        <f>HYPERLINK("https://twitter.com/81890340/status/1143001056047239168")</f>
        <v>https://twitter.com/81890340/status/1143001056047239168</v>
      </c>
      <c r="H2422" t="s">
        <v>46</v>
      </c>
      <c r="I2422" t="s">
        <v>8155</v>
      </c>
      <c r="J2422" t="str">
        <f>HYPERLINK("http://twitter.com/MaricleTanner")</f>
        <v>http://twitter.com/MaricleTanner</v>
      </c>
      <c r="K2422">
        <v>314</v>
      </c>
      <c r="N2422" t="s">
        <v>65</v>
      </c>
      <c r="R2422" t="s">
        <v>60</v>
      </c>
      <c r="S2422" t="s">
        <v>51</v>
      </c>
      <c r="T2422" t="s">
        <v>380</v>
      </c>
      <c r="U2422" t="s">
        <v>8156</v>
      </c>
      <c r="W2422">
        <v>6</v>
      </c>
      <c r="X2422">
        <v>6</v>
      </c>
      <c r="AE2422">
        <v>0</v>
      </c>
      <c r="AF2422">
        <v>0</v>
      </c>
      <c r="AM2422" t="s">
        <v>52</v>
      </c>
      <c r="AN2422" t="s">
        <v>53</v>
      </c>
    </row>
    <row r="2423" spans="1:40">
      <c r="A2423" t="s">
        <v>8081</v>
      </c>
      <c r="B2423" t="s">
        <v>8157</v>
      </c>
      <c r="C2423" t="s">
        <v>8158</v>
      </c>
      <c r="D2423" t="s">
        <v>52</v>
      </c>
      <c r="E2423" t="s">
        <v>1194</v>
      </c>
      <c r="F2423" t="s">
        <v>131</v>
      </c>
      <c r="G2423" t="str">
        <f>HYPERLINK("https://twitter.com/974683790730780672/status/1143001007619788800")</f>
        <v>https://twitter.com/974683790730780672/status/1143001007619788800</v>
      </c>
      <c r="H2423" t="s">
        <v>46</v>
      </c>
      <c r="I2423" t="s">
        <v>8159</v>
      </c>
      <c r="J2423" t="str">
        <f>HYPERLINK("http://twitter.com/Braoneye")</f>
        <v>http://twitter.com/Braoneye</v>
      </c>
      <c r="K2423">
        <v>2884</v>
      </c>
      <c r="N2423" t="s">
        <v>65</v>
      </c>
      <c r="R2423" t="s">
        <v>60</v>
      </c>
      <c r="W2423">
        <v>0</v>
      </c>
      <c r="X2423">
        <v>0</v>
      </c>
      <c r="AE2423">
        <v>0</v>
      </c>
      <c r="AI2423" t="s">
        <v>52</v>
      </c>
      <c r="AJ2423" t="s">
        <v>1196</v>
      </c>
      <c r="AK2423" t="s">
        <v>52</v>
      </c>
      <c r="AL2423" t="str">
        <f>HYPERLINK("https://pbs.twimg.com/media/D9xgk2YXkAAd2ql.jpg")</f>
        <v>https://pbs.twimg.com/media/D9xgk2YXkAAd2ql.jpg</v>
      </c>
      <c r="AM2423" t="s">
        <v>52</v>
      </c>
      <c r="AN2423" t="s">
        <v>53</v>
      </c>
    </row>
    <row r="2424" spans="1:40">
      <c r="A2424" t="s">
        <v>8081</v>
      </c>
      <c r="B2424" t="s">
        <v>8157</v>
      </c>
      <c r="C2424" t="s">
        <v>8158</v>
      </c>
      <c r="D2424" t="s">
        <v>52</v>
      </c>
      <c r="E2424" t="s">
        <v>8160</v>
      </c>
      <c r="F2424" t="s">
        <v>95</v>
      </c>
      <c r="G2424" t="str">
        <f>HYPERLINK("https://twitter.com/4913881854/status/1143000977387282433")</f>
        <v>https://twitter.com/4913881854/status/1143000977387282433</v>
      </c>
      <c r="H2424" t="s">
        <v>46</v>
      </c>
      <c r="I2424" t="s">
        <v>8161</v>
      </c>
      <c r="J2424" t="str">
        <f>HYPERLINK("http://twitter.com/cesaromarmedin8")</f>
        <v>http://twitter.com/cesaromarmedin8</v>
      </c>
      <c r="K2424">
        <v>41</v>
      </c>
      <c r="L2424" t="s">
        <v>48</v>
      </c>
      <c r="N2424" t="s">
        <v>65</v>
      </c>
      <c r="R2424" t="s">
        <v>60</v>
      </c>
      <c r="S2424" t="s">
        <v>437</v>
      </c>
      <c r="T2424" t="s">
        <v>4416</v>
      </c>
      <c r="W2424">
        <v>1</v>
      </c>
      <c r="X2424">
        <v>1</v>
      </c>
      <c r="AE2424">
        <v>1</v>
      </c>
      <c r="AF2424">
        <v>0</v>
      </c>
      <c r="AM2424" t="s">
        <v>52</v>
      </c>
      <c r="AN2424" t="s">
        <v>53</v>
      </c>
    </row>
    <row r="2425" spans="1:40">
      <c r="A2425" t="s">
        <v>8081</v>
      </c>
      <c r="B2425" t="s">
        <v>8162</v>
      </c>
      <c r="C2425" t="s">
        <v>7029</v>
      </c>
      <c r="D2425" t="s">
        <v>52</v>
      </c>
      <c r="E2425" t="s">
        <v>8163</v>
      </c>
      <c r="F2425" t="s">
        <v>45</v>
      </c>
      <c r="G2425" t="str">
        <f>HYPERLINK("https://www.instagram.com/p/BzE-caSFGsM")</f>
        <v>https://www.instagram.com/p/BzE-caSFGsM</v>
      </c>
      <c r="H2425" t="s">
        <v>46</v>
      </c>
      <c r="I2425" t="s">
        <v>8164</v>
      </c>
      <c r="J2425" t="str">
        <f>HYPERLINK("http://instagram.com/_bhaddi3feed_")</f>
        <v>http://instagram.com/_bhaddi3feed_</v>
      </c>
      <c r="K2425">
        <v>96</v>
      </c>
      <c r="N2425" t="s">
        <v>59</v>
      </c>
      <c r="O2425" t="s">
        <v>8164</v>
      </c>
      <c r="P2425" t="str">
        <f>HYPERLINK("http://instagram.com/_bhaddi3feed_")</f>
        <v>http://instagram.com/_bhaddi3feed_</v>
      </c>
      <c r="Q2425">
        <v>96</v>
      </c>
      <c r="R2425" t="s">
        <v>60</v>
      </c>
      <c r="W2425">
        <v>35</v>
      </c>
      <c r="X2425">
        <v>35</v>
      </c>
      <c r="AE2425">
        <v>4</v>
      </c>
      <c r="AI2425" t="s">
        <v>2529</v>
      </c>
      <c r="AJ2425" t="s">
        <v>8165</v>
      </c>
      <c r="AK2425" t="s">
        <v>2089</v>
      </c>
      <c r="AL2425" t="str">
        <f>HYPERLINK("https://www.instagram.com/p/BzE-caSFGsM/media/?size=l")</f>
        <v>https://www.instagram.com/p/BzE-caSFGsM/media/?size=l</v>
      </c>
      <c r="AM2425" t="s">
        <v>52</v>
      </c>
      <c r="AN2425" t="s">
        <v>53</v>
      </c>
    </row>
    <row r="2426" spans="1:40">
      <c r="A2426" t="s">
        <v>8081</v>
      </c>
      <c r="B2426" t="s">
        <v>8162</v>
      </c>
      <c r="C2426" t="s">
        <v>8130</v>
      </c>
      <c r="D2426" t="s">
        <v>52</v>
      </c>
      <c r="E2426" t="s">
        <v>8166</v>
      </c>
      <c r="F2426" t="s">
        <v>45</v>
      </c>
      <c r="G2426" t="str">
        <f>HYPERLINK("https://www.instagram.com/p/BzE-XErAorV")</f>
        <v>https://www.instagram.com/p/BzE-XErAorV</v>
      </c>
      <c r="H2426" t="s">
        <v>46</v>
      </c>
      <c r="I2426" t="s">
        <v>8167</v>
      </c>
      <c r="J2426" t="str">
        <f>HYPERLINK("http://instagram.com/gregmschwan")</f>
        <v>http://instagram.com/gregmschwan</v>
      </c>
      <c r="K2426">
        <v>304</v>
      </c>
      <c r="L2426" t="s">
        <v>48</v>
      </c>
      <c r="N2426" t="s">
        <v>59</v>
      </c>
      <c r="O2426" t="s">
        <v>8167</v>
      </c>
      <c r="P2426" t="str">
        <f>HYPERLINK("http://instagram.com/gregmschwan")</f>
        <v>http://instagram.com/gregmschwan</v>
      </c>
      <c r="Q2426">
        <v>304</v>
      </c>
      <c r="R2426" t="s">
        <v>60</v>
      </c>
      <c r="S2426" t="s">
        <v>444</v>
      </c>
      <c r="T2426" t="s">
        <v>1062</v>
      </c>
      <c r="U2426" t="s">
        <v>8168</v>
      </c>
      <c r="W2426">
        <v>40</v>
      </c>
      <c r="X2426">
        <v>40</v>
      </c>
      <c r="AE2426">
        <v>1</v>
      </c>
      <c r="AI2426" t="s">
        <v>52</v>
      </c>
      <c r="AJ2426" t="s">
        <v>1763</v>
      </c>
      <c r="AK2426" t="s">
        <v>8169</v>
      </c>
      <c r="AL2426" t="str">
        <f>HYPERLINK("https://www.instagram.com/p/BzE-XErAorV/media/?size=l")</f>
        <v>https://www.instagram.com/p/BzE-XErAorV/media/?size=l</v>
      </c>
      <c r="AM2426" t="s">
        <v>52</v>
      </c>
      <c r="AN2426" t="s">
        <v>53</v>
      </c>
    </row>
    <row r="2427" spans="1:40">
      <c r="A2427" t="s">
        <v>8081</v>
      </c>
      <c r="B2427" t="s">
        <v>8162</v>
      </c>
      <c r="C2427" t="s">
        <v>6896</v>
      </c>
      <c r="D2427" t="s">
        <v>8170</v>
      </c>
      <c r="E2427" t="s">
        <v>8171</v>
      </c>
      <c r="F2427" t="s">
        <v>45</v>
      </c>
      <c r="G2427" t="str">
        <f>HYPERLINK("https://www.reddit.com/r/gaming/comments/c4clm8/my_best_friend_of_13_years_who_i_met_through_xbox/?sort=new#thing_t1_erw03r0")</f>
        <v>https://www.reddit.com/r/gaming/comments/c4clm8/my_best_friend_of_13_years_who_i_met_through_xbox/?sort=new#thing_t1_erw03r0</v>
      </c>
      <c r="H2427" t="s">
        <v>46</v>
      </c>
      <c r="I2427" t="s">
        <v>8172</v>
      </c>
      <c r="J2427" t="str">
        <f>HYPERLINK("https://www.reddit.com/r/gaming/comments/c4clm8/my_best_friend_of_13_years_who_i_met_through_xbox/?sort=new#thing_t1_erw03r0")</f>
        <v>https://www.reddit.com/r/gaming/comments/c4clm8/my_best_friend_of_13_years_who_i_met_through_xbox/?sort=new#thing_t1_erw03r0</v>
      </c>
      <c r="N2427" t="s">
        <v>545</v>
      </c>
      <c r="O2427" t="s">
        <v>973</v>
      </c>
      <c r="P2427" t="str">
        <f>HYPERLINK("https://www.reddit.com/rising/")</f>
        <v>https://www.reddit.com/rising/</v>
      </c>
      <c r="R2427" t="s">
        <v>516</v>
      </c>
      <c r="S2427" t="s">
        <v>51</v>
      </c>
      <c r="AM2427" t="s">
        <v>52</v>
      </c>
      <c r="AN2427" t="s">
        <v>53</v>
      </c>
    </row>
    <row r="2428" spans="1:40">
      <c r="A2428" t="s">
        <v>8081</v>
      </c>
      <c r="B2428" t="s">
        <v>8173</v>
      </c>
      <c r="C2428" t="s">
        <v>8174</v>
      </c>
      <c r="D2428" t="s">
        <v>52</v>
      </c>
      <c r="E2428" t="s">
        <v>8175</v>
      </c>
      <c r="F2428" t="s">
        <v>95</v>
      </c>
      <c r="G2428" t="str">
        <f>HYPERLINK("https://twitter.com/2558855821/status/1143000519641714688")</f>
        <v>https://twitter.com/2558855821/status/1143000519641714688</v>
      </c>
      <c r="H2428" t="s">
        <v>46</v>
      </c>
      <c r="I2428" t="s">
        <v>8176</v>
      </c>
      <c r="J2428" t="str">
        <f>HYPERLINK("http://twitter.com/cbx180909")</f>
        <v>http://twitter.com/cbx180909</v>
      </c>
      <c r="K2428">
        <v>289</v>
      </c>
      <c r="N2428" t="s">
        <v>65</v>
      </c>
      <c r="R2428" t="s">
        <v>60</v>
      </c>
      <c r="S2428" t="s">
        <v>774</v>
      </c>
      <c r="W2428">
        <v>3</v>
      </c>
      <c r="X2428">
        <v>3</v>
      </c>
      <c r="AE2428">
        <v>1</v>
      </c>
      <c r="AF2428">
        <v>0</v>
      </c>
      <c r="AM2428" t="s">
        <v>52</v>
      </c>
      <c r="AN2428" t="s">
        <v>53</v>
      </c>
    </row>
    <row r="2429" spans="1:40">
      <c r="A2429" t="s">
        <v>8081</v>
      </c>
      <c r="B2429" t="s">
        <v>8173</v>
      </c>
      <c r="C2429" t="s">
        <v>8174</v>
      </c>
      <c r="D2429" t="s">
        <v>52</v>
      </c>
      <c r="E2429" t="s">
        <v>8177</v>
      </c>
      <c r="F2429" t="s">
        <v>45</v>
      </c>
      <c r="G2429" t="str">
        <f>HYPERLINK("https://www.instagram.com/p/BzE-LFkldMD")</f>
        <v>https://www.instagram.com/p/BzE-LFkldMD</v>
      </c>
      <c r="H2429" t="s">
        <v>46</v>
      </c>
      <c r="I2429" t="s">
        <v>8178</v>
      </c>
      <c r="J2429" t="str">
        <f>HYPERLINK("http://instagram.com/mememasterjim.v2")</f>
        <v>http://instagram.com/mememasterjim.v2</v>
      </c>
      <c r="K2429">
        <v>2478</v>
      </c>
      <c r="N2429" t="s">
        <v>59</v>
      </c>
      <c r="O2429" t="s">
        <v>8178</v>
      </c>
      <c r="P2429" t="str">
        <f>HYPERLINK("http://instagram.com/mememasterjim.v2")</f>
        <v>http://instagram.com/mememasterjim.v2</v>
      </c>
      <c r="Q2429">
        <v>2478</v>
      </c>
      <c r="R2429" t="s">
        <v>60</v>
      </c>
      <c r="W2429">
        <v>153</v>
      </c>
      <c r="X2429">
        <v>153</v>
      </c>
      <c r="AE2429">
        <v>4</v>
      </c>
      <c r="AG2429">
        <v>634</v>
      </c>
      <c r="AI2429" t="s">
        <v>52</v>
      </c>
      <c r="AJ2429" t="s">
        <v>52</v>
      </c>
      <c r="AK2429" t="s">
        <v>52</v>
      </c>
      <c r="AL2429" t="str">
        <f>HYPERLINK("https://www.instagram.com/p/BzE-LFkldMD/media/?size=l")</f>
        <v>https://www.instagram.com/p/BzE-LFkldMD/media/?size=l</v>
      </c>
      <c r="AM2429" t="s">
        <v>52</v>
      </c>
      <c r="AN2429" t="s">
        <v>53</v>
      </c>
    </row>
    <row r="2430" spans="1:40">
      <c r="A2430" t="s">
        <v>8081</v>
      </c>
      <c r="B2430" t="s">
        <v>2498</v>
      </c>
      <c r="C2430" t="s">
        <v>8179</v>
      </c>
      <c r="D2430" t="s">
        <v>52</v>
      </c>
      <c r="E2430" t="s">
        <v>8180</v>
      </c>
      <c r="F2430" t="s">
        <v>45</v>
      </c>
      <c r="G2430" t="str">
        <f>HYPERLINK("https://www.instagram.com/p/BzE-LJDgKgn")</f>
        <v>https://www.instagram.com/p/BzE-LJDgKgn</v>
      </c>
      <c r="H2430" t="s">
        <v>215</v>
      </c>
      <c r="I2430" t="s">
        <v>8181</v>
      </c>
      <c r="J2430" t="str">
        <f>HYPERLINK("http://instagram.com/explorermandy")</f>
        <v>http://instagram.com/explorermandy</v>
      </c>
      <c r="K2430">
        <v>162</v>
      </c>
      <c r="N2430" t="s">
        <v>59</v>
      </c>
      <c r="O2430" t="s">
        <v>8181</v>
      </c>
      <c r="P2430" t="str">
        <f>HYPERLINK("http://instagram.com/explorermandy")</f>
        <v>http://instagram.com/explorermandy</v>
      </c>
      <c r="Q2430">
        <v>162</v>
      </c>
      <c r="R2430" t="s">
        <v>60</v>
      </c>
      <c r="S2430" t="s">
        <v>51</v>
      </c>
      <c r="T2430" t="s">
        <v>173</v>
      </c>
      <c r="U2430" t="s">
        <v>8182</v>
      </c>
      <c r="W2430">
        <v>7</v>
      </c>
      <c r="X2430">
        <v>7</v>
      </c>
      <c r="AE2430">
        <v>0</v>
      </c>
      <c r="AI2430" t="s">
        <v>52</v>
      </c>
      <c r="AJ2430" t="s">
        <v>52</v>
      </c>
      <c r="AK2430" t="s">
        <v>52</v>
      </c>
      <c r="AL2430" t="str">
        <f>HYPERLINK("https://www.instagram.com/p/BzE-LJDgKgn/media/?size=l")</f>
        <v>https://www.instagram.com/p/BzE-LJDgKgn/media/?size=l</v>
      </c>
      <c r="AM2430" t="s">
        <v>52</v>
      </c>
      <c r="AN2430" t="s">
        <v>53</v>
      </c>
    </row>
    <row r="2431" spans="1:40">
      <c r="A2431" t="s">
        <v>8081</v>
      </c>
      <c r="B2431" t="s">
        <v>2498</v>
      </c>
      <c r="C2431" t="s">
        <v>8183</v>
      </c>
      <c r="D2431" t="s">
        <v>52</v>
      </c>
      <c r="E2431" t="s">
        <v>8184</v>
      </c>
      <c r="F2431" t="s">
        <v>45</v>
      </c>
      <c r="G2431" t="str">
        <f>HYPERLINK("https://twitter.com/586492603/status/1143000171413819393")</f>
        <v>https://twitter.com/586492603/status/1143000171413819393</v>
      </c>
      <c r="H2431" t="s">
        <v>46</v>
      </c>
      <c r="I2431" t="s">
        <v>8185</v>
      </c>
      <c r="J2431" t="str">
        <f>HYPERLINK("http://twitter.com/ntvddnadine")</f>
        <v>http://twitter.com/ntvddnadine</v>
      </c>
      <c r="K2431">
        <v>554</v>
      </c>
      <c r="N2431" t="s">
        <v>65</v>
      </c>
      <c r="R2431" t="s">
        <v>60</v>
      </c>
      <c r="S2431" t="s">
        <v>226</v>
      </c>
      <c r="T2431" t="s">
        <v>8186</v>
      </c>
      <c r="U2431" t="s">
        <v>8187</v>
      </c>
      <c r="W2431">
        <v>2</v>
      </c>
      <c r="X2431">
        <v>2</v>
      </c>
      <c r="AE2431">
        <v>0</v>
      </c>
      <c r="AF2431">
        <v>0</v>
      </c>
      <c r="AM2431" t="s">
        <v>52</v>
      </c>
      <c r="AN2431" t="s">
        <v>53</v>
      </c>
    </row>
    <row r="2432" spans="1:40">
      <c r="A2432" t="s">
        <v>8081</v>
      </c>
      <c r="B2432" t="s">
        <v>2511</v>
      </c>
      <c r="C2432" t="s">
        <v>8188</v>
      </c>
      <c r="D2432" t="s">
        <v>52</v>
      </c>
      <c r="E2432" t="s">
        <v>8189</v>
      </c>
      <c r="F2432" t="s">
        <v>45</v>
      </c>
      <c r="G2432" t="str">
        <f>HYPERLINK("https://www.instagram.com/p/BzE9z2RAv9p")</f>
        <v>https://www.instagram.com/p/BzE9z2RAv9p</v>
      </c>
      <c r="H2432" t="s">
        <v>215</v>
      </c>
      <c r="I2432" t="s">
        <v>8181</v>
      </c>
      <c r="J2432" t="str">
        <f>HYPERLINK("http://instagram.com/explorermandy")</f>
        <v>http://instagram.com/explorermandy</v>
      </c>
      <c r="K2432">
        <v>162</v>
      </c>
      <c r="N2432" t="s">
        <v>59</v>
      </c>
      <c r="O2432" t="s">
        <v>8181</v>
      </c>
      <c r="P2432" t="str">
        <f>HYPERLINK("http://instagram.com/explorermandy")</f>
        <v>http://instagram.com/explorermandy</v>
      </c>
      <c r="Q2432">
        <v>162</v>
      </c>
      <c r="R2432" t="s">
        <v>60</v>
      </c>
      <c r="S2432" t="s">
        <v>51</v>
      </c>
      <c r="T2432" t="s">
        <v>173</v>
      </c>
      <c r="U2432" t="s">
        <v>8182</v>
      </c>
      <c r="W2432">
        <v>3</v>
      </c>
      <c r="X2432">
        <v>3</v>
      </c>
      <c r="AE2432">
        <v>0</v>
      </c>
      <c r="AI2432" t="s">
        <v>108</v>
      </c>
      <c r="AJ2432" t="s">
        <v>1763</v>
      </c>
      <c r="AK2432" t="s">
        <v>52</v>
      </c>
      <c r="AL2432" t="str">
        <f>HYPERLINK("https://www.instagram.com/p/BzE9z2RAv9p/media/?size=l")</f>
        <v>https://www.instagram.com/p/BzE9z2RAv9p/media/?size=l</v>
      </c>
      <c r="AM2432" t="s">
        <v>52</v>
      </c>
      <c r="AN2432" t="s">
        <v>53</v>
      </c>
    </row>
    <row r="2433" spans="1:40">
      <c r="A2433" t="s">
        <v>8081</v>
      </c>
      <c r="B2433" t="s">
        <v>2511</v>
      </c>
      <c r="C2433" t="s">
        <v>8179</v>
      </c>
      <c r="D2433" t="s">
        <v>52</v>
      </c>
      <c r="E2433" t="s">
        <v>8190</v>
      </c>
      <c r="F2433" t="s">
        <v>45</v>
      </c>
      <c r="G2433" t="str">
        <f>HYPERLINK("https://twitter.com/1464041341/status/1142999381974638599")</f>
        <v>https://twitter.com/1464041341/status/1142999381974638599</v>
      </c>
      <c r="H2433" t="s">
        <v>46</v>
      </c>
      <c r="I2433" t="s">
        <v>8191</v>
      </c>
      <c r="J2433" t="str">
        <f>HYPERLINK("http://twitter.com/CluelessSpring")</f>
        <v>http://twitter.com/CluelessSpring</v>
      </c>
      <c r="K2433">
        <v>101</v>
      </c>
      <c r="N2433" t="s">
        <v>65</v>
      </c>
      <c r="R2433" t="s">
        <v>60</v>
      </c>
      <c r="S2433" t="s">
        <v>97</v>
      </c>
      <c r="T2433" t="s">
        <v>177</v>
      </c>
      <c r="U2433" t="s">
        <v>6660</v>
      </c>
      <c r="W2433">
        <v>0</v>
      </c>
      <c r="X2433">
        <v>0</v>
      </c>
      <c r="AE2433">
        <v>1</v>
      </c>
      <c r="AF2433">
        <v>0</v>
      </c>
      <c r="AM2433" t="s">
        <v>52</v>
      </c>
      <c r="AN2433" t="s">
        <v>53</v>
      </c>
    </row>
    <row r="2434" spans="1:40">
      <c r="A2434" t="s">
        <v>8081</v>
      </c>
      <c r="B2434" t="s">
        <v>2511</v>
      </c>
      <c r="C2434" t="s">
        <v>8179</v>
      </c>
      <c r="D2434" t="s">
        <v>52</v>
      </c>
      <c r="E2434" t="s">
        <v>8192</v>
      </c>
      <c r="F2434" t="s">
        <v>95</v>
      </c>
      <c r="G2434" t="str">
        <f>HYPERLINK("https://twitter.com/1041880299913674752/status/1142999369001529344")</f>
        <v>https://twitter.com/1041880299913674752/status/1142999369001529344</v>
      </c>
      <c r="H2434" t="s">
        <v>46</v>
      </c>
      <c r="I2434" t="s">
        <v>8193</v>
      </c>
      <c r="J2434" t="str">
        <f>HYPERLINK("http://twitter.com/GratonJustin")</f>
        <v>http://twitter.com/GratonJustin</v>
      </c>
      <c r="K2434">
        <v>166</v>
      </c>
      <c r="N2434" t="s">
        <v>65</v>
      </c>
      <c r="R2434" t="s">
        <v>60</v>
      </c>
      <c r="S2434" t="s">
        <v>387</v>
      </c>
      <c r="T2434" t="s">
        <v>2981</v>
      </c>
      <c r="U2434" t="s">
        <v>7015</v>
      </c>
      <c r="W2434">
        <v>2</v>
      </c>
      <c r="X2434">
        <v>2</v>
      </c>
      <c r="AE2434">
        <v>1</v>
      </c>
      <c r="AF2434">
        <v>0</v>
      </c>
      <c r="AI2434" t="s">
        <v>52</v>
      </c>
      <c r="AJ2434" t="s">
        <v>458</v>
      </c>
      <c r="AK2434" t="s">
        <v>110</v>
      </c>
      <c r="AL2434" t="str">
        <f>HYPERLINK("https://pbs.twimg.com/media/D9y_3gRVUAEjh8T.jpg")</f>
        <v>https://pbs.twimg.com/media/D9y_3gRVUAEjh8T.jpg</v>
      </c>
      <c r="AM2434" t="s">
        <v>52</v>
      </c>
      <c r="AN2434" t="s">
        <v>53</v>
      </c>
    </row>
    <row r="2435" spans="1:40">
      <c r="A2435" t="s">
        <v>8081</v>
      </c>
      <c r="B2435" t="s">
        <v>2511</v>
      </c>
      <c r="C2435" t="s">
        <v>8183</v>
      </c>
      <c r="D2435" t="s">
        <v>52</v>
      </c>
      <c r="E2435" t="s">
        <v>8194</v>
      </c>
      <c r="F2435" t="s">
        <v>95</v>
      </c>
      <c r="G2435" t="str">
        <f>HYPERLINK("https://twitter.com/1044928014730113024/status/1142999322276950017")</f>
        <v>https://twitter.com/1044928014730113024/status/1142999322276950017</v>
      </c>
      <c r="H2435" t="s">
        <v>46</v>
      </c>
      <c r="I2435" t="s">
        <v>8195</v>
      </c>
      <c r="J2435" t="str">
        <f>HYPERLINK("http://twitter.com/musicfr56933873")</f>
        <v>http://twitter.com/musicfr56933873</v>
      </c>
      <c r="K2435">
        <v>83</v>
      </c>
      <c r="N2435" t="s">
        <v>65</v>
      </c>
      <c r="R2435" t="s">
        <v>60</v>
      </c>
      <c r="S2435" t="s">
        <v>315</v>
      </c>
      <c r="T2435" t="s">
        <v>7335</v>
      </c>
      <c r="U2435" t="s">
        <v>7336</v>
      </c>
      <c r="W2435">
        <v>2</v>
      </c>
      <c r="X2435">
        <v>2</v>
      </c>
      <c r="AE2435">
        <v>0</v>
      </c>
      <c r="AF2435">
        <v>0</v>
      </c>
      <c r="AM2435" t="s">
        <v>52</v>
      </c>
      <c r="AN2435" t="s">
        <v>53</v>
      </c>
    </row>
    <row r="2436" spans="1:40">
      <c r="A2436" t="s">
        <v>8081</v>
      </c>
      <c r="B2436" t="s">
        <v>2518</v>
      </c>
      <c r="C2436" t="s">
        <v>8196</v>
      </c>
      <c r="D2436" t="s">
        <v>52</v>
      </c>
      <c r="E2436" t="s">
        <v>8197</v>
      </c>
      <c r="F2436" t="s">
        <v>95</v>
      </c>
      <c r="G2436" t="str">
        <f>HYPERLINK("https://twitter.com/873190904/status/1142999202860945408")</f>
        <v>https://twitter.com/873190904/status/1142999202860945408</v>
      </c>
      <c r="H2436" t="s">
        <v>46</v>
      </c>
      <c r="I2436" t="s">
        <v>8198</v>
      </c>
      <c r="J2436" t="str">
        <f>HYPERLINK("http://twitter.com/idiosyncrasie")</f>
        <v>http://twitter.com/idiosyncrasie</v>
      </c>
      <c r="K2436">
        <v>149</v>
      </c>
      <c r="N2436" t="s">
        <v>65</v>
      </c>
      <c r="R2436" t="s">
        <v>60</v>
      </c>
      <c r="W2436">
        <v>0</v>
      </c>
      <c r="X2436">
        <v>0</v>
      </c>
      <c r="AE2436">
        <v>0</v>
      </c>
      <c r="AF2436">
        <v>0</v>
      </c>
      <c r="AM2436" t="s">
        <v>52</v>
      </c>
      <c r="AN2436" t="s">
        <v>53</v>
      </c>
    </row>
    <row r="2437" spans="1:40">
      <c r="A2437" t="s">
        <v>8081</v>
      </c>
      <c r="B2437" t="s">
        <v>2518</v>
      </c>
      <c r="C2437" t="s">
        <v>8196</v>
      </c>
      <c r="D2437" t="s">
        <v>52</v>
      </c>
      <c r="E2437" t="s">
        <v>8199</v>
      </c>
      <c r="F2437" t="s">
        <v>95</v>
      </c>
      <c r="G2437" t="str">
        <f>HYPERLINK("https://twitter.com/1122623843233927171/status/1142999179494604806")</f>
        <v>https://twitter.com/1122623843233927171/status/1142999179494604806</v>
      </c>
      <c r="H2437" t="s">
        <v>46</v>
      </c>
      <c r="I2437" t="s">
        <v>8200</v>
      </c>
      <c r="J2437" t="str">
        <f>HYPERLINK("http://twitter.com/juliatutumee")</f>
        <v>http://twitter.com/juliatutumee</v>
      </c>
      <c r="K2437">
        <v>19</v>
      </c>
      <c r="L2437" t="s">
        <v>58</v>
      </c>
      <c r="N2437" t="s">
        <v>65</v>
      </c>
      <c r="R2437" t="s">
        <v>60</v>
      </c>
      <c r="W2437">
        <v>0</v>
      </c>
      <c r="X2437">
        <v>0</v>
      </c>
      <c r="AE2437">
        <v>0</v>
      </c>
      <c r="AF2437">
        <v>0</v>
      </c>
      <c r="AM2437" t="s">
        <v>52</v>
      </c>
      <c r="AN2437" t="s">
        <v>53</v>
      </c>
    </row>
    <row r="2438" spans="1:40">
      <c r="A2438" t="s">
        <v>8081</v>
      </c>
      <c r="B2438" t="s">
        <v>2518</v>
      </c>
      <c r="C2438" t="s">
        <v>8188</v>
      </c>
      <c r="D2438" t="s">
        <v>52</v>
      </c>
      <c r="E2438" t="s">
        <v>8201</v>
      </c>
      <c r="F2438" t="s">
        <v>131</v>
      </c>
      <c r="G2438" t="str">
        <f>HYPERLINK("https://twitter.com/548609765/status/1142999122233974785")</f>
        <v>https://twitter.com/548609765/status/1142999122233974785</v>
      </c>
      <c r="H2438" t="s">
        <v>46</v>
      </c>
      <c r="I2438" t="s">
        <v>8202</v>
      </c>
      <c r="J2438" t="str">
        <f>HYPERLINK("http://twitter.com/MattFreeze57")</f>
        <v>http://twitter.com/MattFreeze57</v>
      </c>
      <c r="K2438">
        <v>155</v>
      </c>
      <c r="N2438" t="s">
        <v>65</v>
      </c>
      <c r="R2438" t="s">
        <v>60</v>
      </c>
      <c r="S2438" t="s">
        <v>51</v>
      </c>
      <c r="T2438" t="s">
        <v>152</v>
      </c>
      <c r="U2438" t="s">
        <v>1958</v>
      </c>
      <c r="W2438">
        <v>0</v>
      </c>
      <c r="X2438">
        <v>0</v>
      </c>
      <c r="AE2438">
        <v>0</v>
      </c>
      <c r="AM2438" t="s">
        <v>52</v>
      </c>
      <c r="AN2438" t="s">
        <v>53</v>
      </c>
    </row>
    <row r="2439" spans="1:40">
      <c r="A2439" t="s">
        <v>8081</v>
      </c>
      <c r="B2439" t="s">
        <v>2518</v>
      </c>
      <c r="C2439" t="s">
        <v>8188</v>
      </c>
      <c r="D2439" t="s">
        <v>52</v>
      </c>
      <c r="E2439" t="s">
        <v>8203</v>
      </c>
      <c r="F2439" t="s">
        <v>131</v>
      </c>
      <c r="G2439" t="str">
        <f>HYPERLINK("https://twitter.com/819800349531738112/status/1142999083835154432")</f>
        <v>https://twitter.com/819800349531738112/status/1142999083835154432</v>
      </c>
      <c r="H2439" t="s">
        <v>215</v>
      </c>
      <c r="I2439" t="s">
        <v>8204</v>
      </c>
      <c r="J2439" t="str">
        <f>HYPERLINK("http://twitter.com/TheBigShordE")</f>
        <v>http://twitter.com/TheBigShordE</v>
      </c>
      <c r="K2439">
        <v>174</v>
      </c>
      <c r="N2439" t="s">
        <v>65</v>
      </c>
      <c r="R2439" t="s">
        <v>60</v>
      </c>
      <c r="S2439" t="s">
        <v>51</v>
      </c>
      <c r="T2439" t="s">
        <v>4893</v>
      </c>
      <c r="W2439">
        <v>0</v>
      </c>
      <c r="X2439">
        <v>0</v>
      </c>
      <c r="AE2439">
        <v>0</v>
      </c>
      <c r="AM2439" t="s">
        <v>52</v>
      </c>
      <c r="AN2439" t="s">
        <v>53</v>
      </c>
    </row>
    <row r="2440" spans="1:40">
      <c r="A2440" t="s">
        <v>8081</v>
      </c>
      <c r="B2440" t="s">
        <v>8205</v>
      </c>
      <c r="C2440" t="s">
        <v>8174</v>
      </c>
      <c r="D2440" t="s">
        <v>52</v>
      </c>
      <c r="E2440" t="s">
        <v>8206</v>
      </c>
      <c r="F2440" t="s">
        <v>71</v>
      </c>
      <c r="G2440" t="str">
        <f>HYPERLINK("https://twitter.com/3416958298/status/1142999014209654784")</f>
        <v>https://twitter.com/3416958298/status/1142999014209654784</v>
      </c>
      <c r="H2440" t="s">
        <v>46</v>
      </c>
      <c r="I2440" t="s">
        <v>8207</v>
      </c>
      <c r="J2440" t="str">
        <f>HYPERLINK("http://twitter.com/Kenman_RiderW")</f>
        <v>http://twitter.com/Kenman_RiderW</v>
      </c>
      <c r="K2440">
        <v>631</v>
      </c>
      <c r="N2440" t="s">
        <v>65</v>
      </c>
      <c r="R2440" t="s">
        <v>60</v>
      </c>
      <c r="S2440" t="s">
        <v>51</v>
      </c>
      <c r="T2440" t="s">
        <v>1218</v>
      </c>
      <c r="W2440">
        <v>0</v>
      </c>
      <c r="X2440">
        <v>0</v>
      </c>
      <c r="AE2440">
        <v>0</v>
      </c>
      <c r="AF2440">
        <v>0</v>
      </c>
      <c r="AI2440" t="s">
        <v>108</v>
      </c>
      <c r="AJ2440" t="s">
        <v>52</v>
      </c>
      <c r="AK2440" t="s">
        <v>52</v>
      </c>
      <c r="AL2440" t="str">
        <f>HYPERLINK("https://pbs.twimg.com/tweet_video_thumb/D9hvNNzXUAATAS3.jpg")</f>
        <v>https://pbs.twimg.com/tweet_video_thumb/D9hvNNzXUAATAS3.jpg</v>
      </c>
      <c r="AM2440" t="s">
        <v>52</v>
      </c>
      <c r="AN2440" t="s">
        <v>53</v>
      </c>
    </row>
    <row r="2441" spans="1:40">
      <c r="A2441" t="s">
        <v>8081</v>
      </c>
      <c r="B2441" t="s">
        <v>8208</v>
      </c>
      <c r="C2441" t="s">
        <v>6776</v>
      </c>
      <c r="D2441" t="s">
        <v>8209</v>
      </c>
      <c r="E2441" t="s">
        <v>8210</v>
      </c>
      <c r="F2441" t="s">
        <v>45</v>
      </c>
      <c r="G2441" t="str">
        <f>HYPERLINK("https://www.youtube.com/watch?v=syH3uJhChMY")</f>
        <v>https://www.youtube.com/watch?v=syH3uJhChMY</v>
      </c>
      <c r="H2441" t="s">
        <v>46</v>
      </c>
      <c r="I2441" t="s">
        <v>8211</v>
      </c>
      <c r="J2441" t="str">
        <f>HYPERLINK("https://www.youtube.com/channel/UCwceMBTRiTvWlhGhYgtAWmQ")</f>
        <v>https://www.youtube.com/channel/UCwceMBTRiTvWlhGhYgtAWmQ</v>
      </c>
      <c r="K2441">
        <v>243</v>
      </c>
      <c r="N2441" t="s">
        <v>116</v>
      </c>
      <c r="O2441" t="s">
        <v>8211</v>
      </c>
      <c r="P2441" t="str">
        <f>HYPERLINK("https://www.youtube.com/channel/UCwceMBTRiTvWlhGhYgtAWmQ")</f>
        <v>https://www.youtube.com/channel/UCwceMBTRiTvWlhGhYgtAWmQ</v>
      </c>
      <c r="Q2441">
        <v>243</v>
      </c>
      <c r="R2441" t="s">
        <v>60</v>
      </c>
      <c r="W2441">
        <v>0</v>
      </c>
      <c r="X2441">
        <v>0</v>
      </c>
      <c r="AD2441">
        <v>0</v>
      </c>
      <c r="AE2441">
        <v>0</v>
      </c>
      <c r="AG2441">
        <v>14</v>
      </c>
      <c r="AI2441" t="s">
        <v>108</v>
      </c>
      <c r="AJ2441" t="s">
        <v>52</v>
      </c>
      <c r="AK2441" t="s">
        <v>52</v>
      </c>
      <c r="AL2441" t="str">
        <f>HYPERLINK("https://i.ytimg.com/vi/syH3uJhChMY/hqdefault.jpg")</f>
        <v>https://i.ytimg.com/vi/syH3uJhChMY/hqdefault.jpg</v>
      </c>
      <c r="AM2441" t="s">
        <v>52</v>
      </c>
      <c r="AN2441" t="s">
        <v>53</v>
      </c>
    </row>
    <row r="2442" spans="1:40">
      <c r="A2442" t="s">
        <v>8081</v>
      </c>
      <c r="B2442" t="s">
        <v>8212</v>
      </c>
      <c r="C2442" t="s">
        <v>8213</v>
      </c>
      <c r="D2442" t="s">
        <v>52</v>
      </c>
      <c r="E2442" t="s">
        <v>8214</v>
      </c>
      <c r="F2442" t="s">
        <v>45</v>
      </c>
      <c r="G2442" t="str">
        <f>HYPERLINK("https://www.instagram.com/p/BzE9X55HYQD")</f>
        <v>https://www.instagram.com/p/BzE9X55HYQD</v>
      </c>
      <c r="H2442" t="s">
        <v>46</v>
      </c>
      <c r="I2442" t="s">
        <v>8215</v>
      </c>
      <c r="J2442" t="str">
        <f>HYPERLINK("http://instagram.com/eatrunliftteachrepeat")</f>
        <v>http://instagram.com/eatrunliftteachrepeat</v>
      </c>
      <c r="K2442">
        <v>92</v>
      </c>
      <c r="L2442" t="s">
        <v>48</v>
      </c>
      <c r="N2442" t="s">
        <v>59</v>
      </c>
      <c r="O2442" t="s">
        <v>8215</v>
      </c>
      <c r="P2442" t="str">
        <f>HYPERLINK("http://instagram.com/eatrunliftteachrepeat")</f>
        <v>http://instagram.com/eatrunliftteachrepeat</v>
      </c>
      <c r="Q2442">
        <v>92</v>
      </c>
      <c r="R2442" t="s">
        <v>60</v>
      </c>
      <c r="W2442">
        <v>2</v>
      </c>
      <c r="X2442">
        <v>2</v>
      </c>
      <c r="AE2442">
        <v>0</v>
      </c>
      <c r="AI2442" t="s">
        <v>52</v>
      </c>
      <c r="AJ2442" t="s">
        <v>8216</v>
      </c>
      <c r="AK2442" t="s">
        <v>52</v>
      </c>
      <c r="AL2442" t="str">
        <f>HYPERLINK("https://www.instagram.com/p/BzE9X55HYQD/media/?size=l")</f>
        <v>https://www.instagram.com/p/BzE9X55HYQD/media/?size=l</v>
      </c>
      <c r="AM2442" t="s">
        <v>52</v>
      </c>
      <c r="AN2442" t="s">
        <v>53</v>
      </c>
    </row>
    <row r="2443" spans="1:40">
      <c r="A2443" t="s">
        <v>8081</v>
      </c>
      <c r="B2443" t="s">
        <v>8217</v>
      </c>
      <c r="C2443" t="s">
        <v>8213</v>
      </c>
      <c r="D2443" t="s">
        <v>52</v>
      </c>
      <c r="E2443" t="s">
        <v>1194</v>
      </c>
      <c r="F2443" t="s">
        <v>131</v>
      </c>
      <c r="G2443" t="str">
        <f>HYPERLINK("https://twitter.com/2920476697/status/1142998083162087424")</f>
        <v>https://twitter.com/2920476697/status/1142998083162087424</v>
      </c>
      <c r="H2443" t="s">
        <v>46</v>
      </c>
      <c r="I2443" t="s">
        <v>8218</v>
      </c>
      <c r="J2443" t="str">
        <f>HYPERLINK("http://twitter.com/seulbottom")</f>
        <v>http://twitter.com/seulbottom</v>
      </c>
      <c r="K2443">
        <v>87</v>
      </c>
      <c r="N2443" t="s">
        <v>65</v>
      </c>
      <c r="R2443" t="s">
        <v>60</v>
      </c>
      <c r="W2443">
        <v>0</v>
      </c>
      <c r="X2443">
        <v>0</v>
      </c>
      <c r="AE2443">
        <v>0</v>
      </c>
      <c r="AI2443" t="s">
        <v>52</v>
      </c>
      <c r="AJ2443" t="s">
        <v>1196</v>
      </c>
      <c r="AK2443" t="s">
        <v>52</v>
      </c>
      <c r="AL2443" t="str">
        <f>HYPERLINK("https://pbs.twimg.com/media/D9xgk2YXkAAd2ql.jpg")</f>
        <v>https://pbs.twimg.com/media/D9xgk2YXkAAd2ql.jpg</v>
      </c>
      <c r="AM2443" t="s">
        <v>52</v>
      </c>
      <c r="AN2443" t="s">
        <v>53</v>
      </c>
    </row>
    <row r="2444" spans="1:40">
      <c r="A2444" t="s">
        <v>8081</v>
      </c>
      <c r="B2444" t="s">
        <v>8217</v>
      </c>
      <c r="C2444" t="s">
        <v>4249</v>
      </c>
      <c r="D2444" t="s">
        <v>8219</v>
      </c>
      <c r="E2444" t="s">
        <v>8220</v>
      </c>
      <c r="F2444" t="s">
        <v>45</v>
      </c>
      <c r="G2444" t="str">
        <f>HYPERLINK("https://www.reddit.com/r/CasualUK/comments/c499kc/right_oiks_sick_of_small_crumbly_supermarket/?sort=new#thing_t1_ervzcw5")</f>
        <v>https://www.reddit.com/r/CasualUK/comments/c499kc/right_oiks_sick_of_small_crumbly_supermarket/?sort=new#thing_t1_ervzcw5</v>
      </c>
      <c r="H2444" t="s">
        <v>46</v>
      </c>
      <c r="I2444" t="s">
        <v>8221</v>
      </c>
      <c r="J2444" t="str">
        <f>HYPERLINK("https://www.reddit.com/r/CasualUK/comments/c499kc/right_oiks_sick_of_small_crumbly_supermarket/?sort=new#thing_t1_ervzcw5")</f>
        <v>https://www.reddit.com/r/CasualUK/comments/c499kc/right_oiks_sick_of_small_crumbly_supermarket/?sort=new#thing_t1_ervzcw5</v>
      </c>
      <c r="N2444" t="s">
        <v>545</v>
      </c>
      <c r="O2444" t="s">
        <v>8222</v>
      </c>
      <c r="P2444" t="str">
        <f>HYPERLINK("https://www.reddit.com/r/CasualUK/")</f>
        <v>https://www.reddit.com/r/CasualUK/</v>
      </c>
      <c r="R2444" t="s">
        <v>516</v>
      </c>
      <c r="S2444" t="s">
        <v>51</v>
      </c>
      <c r="AM2444" t="s">
        <v>52</v>
      </c>
      <c r="AN2444" t="s">
        <v>53</v>
      </c>
    </row>
    <row r="2445" spans="1:40">
      <c r="A2445" t="s">
        <v>8081</v>
      </c>
      <c r="B2445" t="s">
        <v>8223</v>
      </c>
      <c r="C2445" t="s">
        <v>8224</v>
      </c>
      <c r="D2445" t="s">
        <v>52</v>
      </c>
      <c r="E2445" t="s">
        <v>6428</v>
      </c>
      <c r="F2445" t="s">
        <v>131</v>
      </c>
      <c r="G2445" t="str">
        <f>HYPERLINK("https://twitter.com/1141660513539170304/status/1142997874105602048")</f>
        <v>https://twitter.com/1141660513539170304/status/1142997874105602048</v>
      </c>
      <c r="H2445" t="s">
        <v>46</v>
      </c>
      <c r="I2445" t="s">
        <v>8225</v>
      </c>
      <c r="J2445" t="str">
        <f>HYPERLINK("http://twitter.com/Procrastwitnate")</f>
        <v>http://twitter.com/Procrastwitnate</v>
      </c>
      <c r="K2445">
        <v>5</v>
      </c>
      <c r="N2445" t="s">
        <v>65</v>
      </c>
      <c r="R2445" t="s">
        <v>60</v>
      </c>
      <c r="W2445">
        <v>0</v>
      </c>
      <c r="X2445">
        <v>0</v>
      </c>
      <c r="AE2445">
        <v>0</v>
      </c>
      <c r="AM2445" t="s">
        <v>52</v>
      </c>
      <c r="AN2445" t="s">
        <v>53</v>
      </c>
    </row>
    <row r="2446" spans="1:40">
      <c r="A2446" t="s">
        <v>8081</v>
      </c>
      <c r="B2446" t="s">
        <v>2538</v>
      </c>
      <c r="C2446" t="s">
        <v>8226</v>
      </c>
      <c r="D2446" t="s">
        <v>52</v>
      </c>
      <c r="E2446" t="s">
        <v>8227</v>
      </c>
      <c r="F2446" t="s">
        <v>45</v>
      </c>
      <c r="G2446" t="str">
        <f>HYPERLINK("https://www.instagram.com/p/BzE8ylYDbot")</f>
        <v>https://www.instagram.com/p/BzE8ylYDbot</v>
      </c>
      <c r="H2446" t="s">
        <v>46</v>
      </c>
      <c r="I2446" t="s">
        <v>7249</v>
      </c>
      <c r="J2446" t="str">
        <f>HYPERLINK("http://instagram.com/japindustries")</f>
        <v>http://instagram.com/japindustries</v>
      </c>
      <c r="K2446">
        <v>32</v>
      </c>
      <c r="N2446" t="s">
        <v>59</v>
      </c>
      <c r="O2446" t="s">
        <v>7249</v>
      </c>
      <c r="P2446" t="str">
        <f>HYPERLINK("http://instagram.com/japindustries")</f>
        <v>http://instagram.com/japindustries</v>
      </c>
      <c r="Q2446">
        <v>32</v>
      </c>
      <c r="R2446" t="s">
        <v>60</v>
      </c>
      <c r="W2446">
        <v>0</v>
      </c>
      <c r="X2446">
        <v>0</v>
      </c>
      <c r="AE2446">
        <v>0</v>
      </c>
      <c r="AG2446">
        <v>6</v>
      </c>
      <c r="AI2446" t="s">
        <v>108</v>
      </c>
      <c r="AJ2446" t="s">
        <v>52</v>
      </c>
      <c r="AK2446" t="s">
        <v>52</v>
      </c>
      <c r="AL2446" t="str">
        <f>HYPERLINK("https://www.instagram.com/p/BzE8ylYDbot/media/?size=l")</f>
        <v>https://www.instagram.com/p/BzE8ylYDbot/media/?size=l</v>
      </c>
      <c r="AM2446" t="s">
        <v>52</v>
      </c>
      <c r="AN2446" t="s">
        <v>53</v>
      </c>
    </row>
    <row r="2447" spans="1:40">
      <c r="A2447" t="s">
        <v>8081</v>
      </c>
      <c r="B2447" t="s">
        <v>8228</v>
      </c>
      <c r="C2447" t="s">
        <v>8229</v>
      </c>
      <c r="D2447" t="s">
        <v>8230</v>
      </c>
      <c r="E2447" t="s">
        <v>8230</v>
      </c>
      <c r="F2447" t="s">
        <v>45</v>
      </c>
      <c r="G2447" t="str">
        <f>HYPERLINK("https://www.youtube.com/watch?v=VQVHibVJq0Y")</f>
        <v>https://www.youtube.com/watch?v=VQVHibVJq0Y</v>
      </c>
      <c r="H2447" t="s">
        <v>46</v>
      </c>
      <c r="I2447" t="s">
        <v>8231</v>
      </c>
      <c r="J2447" t="str">
        <f>HYPERLINK("https://www.youtube.com/channel/UCHMRlTWYawo-588u-VJ5i2Q")</f>
        <v>https://www.youtube.com/channel/UCHMRlTWYawo-588u-VJ5i2Q</v>
      </c>
      <c r="K2447">
        <v>48</v>
      </c>
      <c r="N2447" t="s">
        <v>116</v>
      </c>
      <c r="O2447" t="s">
        <v>8231</v>
      </c>
      <c r="P2447" t="str">
        <f>HYPERLINK("https://www.youtube.com/channel/UCHMRlTWYawo-588u-VJ5i2Q")</f>
        <v>https://www.youtube.com/channel/UCHMRlTWYawo-588u-VJ5i2Q</v>
      </c>
      <c r="Q2447">
        <v>48</v>
      </c>
      <c r="R2447" t="s">
        <v>60</v>
      </c>
      <c r="W2447">
        <v>5</v>
      </c>
      <c r="X2447">
        <v>5</v>
      </c>
      <c r="AD2447">
        <v>0</v>
      </c>
      <c r="AE2447">
        <v>2</v>
      </c>
      <c r="AG2447">
        <v>40</v>
      </c>
      <c r="AI2447" t="s">
        <v>52</v>
      </c>
      <c r="AJ2447" t="s">
        <v>2277</v>
      </c>
      <c r="AK2447" t="s">
        <v>52</v>
      </c>
      <c r="AL2447" t="str">
        <f>HYPERLINK("https://i.ytimg.com/vi/VQVHibVJq0Y/maxresdefault.jpg")</f>
        <v>https://i.ytimg.com/vi/VQVHibVJq0Y/maxresdefault.jpg</v>
      </c>
      <c r="AM2447" t="s">
        <v>52</v>
      </c>
      <c r="AN2447" t="s">
        <v>53</v>
      </c>
    </row>
    <row r="2448" spans="1:40">
      <c r="A2448" t="s">
        <v>8081</v>
      </c>
      <c r="B2448" t="s">
        <v>8228</v>
      </c>
      <c r="C2448" t="s">
        <v>8213</v>
      </c>
      <c r="D2448" t="s">
        <v>52</v>
      </c>
      <c r="E2448" t="s">
        <v>8232</v>
      </c>
      <c r="F2448" t="s">
        <v>45</v>
      </c>
      <c r="G2448" t="str">
        <f>HYPERLINK("https://www.instagram.com/p/BzE8yjynhH4")</f>
        <v>https://www.instagram.com/p/BzE8yjynhH4</v>
      </c>
      <c r="H2448" t="s">
        <v>46</v>
      </c>
      <c r="I2448" t="s">
        <v>8233</v>
      </c>
      <c r="J2448" t="str">
        <f>HYPERLINK("http://instagram.com/jpeg.md")</f>
        <v>http://instagram.com/jpeg.md</v>
      </c>
      <c r="K2448">
        <v>1858</v>
      </c>
      <c r="N2448" t="s">
        <v>59</v>
      </c>
      <c r="O2448" t="s">
        <v>8233</v>
      </c>
      <c r="P2448" t="str">
        <f>HYPERLINK("http://instagram.com/jpeg.md")</f>
        <v>http://instagram.com/jpeg.md</v>
      </c>
      <c r="Q2448">
        <v>1858</v>
      </c>
      <c r="R2448" t="s">
        <v>60</v>
      </c>
      <c r="S2448" t="s">
        <v>432</v>
      </c>
      <c r="T2448" t="s">
        <v>433</v>
      </c>
      <c r="W2448">
        <v>128</v>
      </c>
      <c r="X2448">
        <v>128</v>
      </c>
      <c r="AE2448">
        <v>4</v>
      </c>
      <c r="AI2448" t="s">
        <v>108</v>
      </c>
      <c r="AJ2448" t="s">
        <v>52</v>
      </c>
      <c r="AK2448" t="s">
        <v>52</v>
      </c>
      <c r="AL2448" t="str">
        <f>HYPERLINK("https://www.instagram.com/p/BzE8yjynhH4/media/?size=l")</f>
        <v>https://www.instagram.com/p/BzE8yjynhH4/media/?size=l</v>
      </c>
      <c r="AM2448" t="s">
        <v>52</v>
      </c>
      <c r="AN2448" t="s">
        <v>53</v>
      </c>
    </row>
    <row r="2449" spans="1:40">
      <c r="A2449" t="s">
        <v>8081</v>
      </c>
      <c r="B2449" t="s">
        <v>2547</v>
      </c>
      <c r="C2449" t="s">
        <v>8234</v>
      </c>
      <c r="D2449" t="s">
        <v>52</v>
      </c>
      <c r="E2449" t="s">
        <v>8235</v>
      </c>
      <c r="F2449" t="s">
        <v>45</v>
      </c>
      <c r="G2449" t="str">
        <f>HYPERLINK("https://www.instagram.com/p/BzE8nVlBjwv")</f>
        <v>https://www.instagram.com/p/BzE8nVlBjwv</v>
      </c>
      <c r="H2449" t="s">
        <v>46</v>
      </c>
      <c r="I2449" t="s">
        <v>8236</v>
      </c>
      <c r="J2449" t="str">
        <f>HYPERLINK("http://instagram.com/michaelshawnmccabe")</f>
        <v>http://instagram.com/michaelshawnmccabe</v>
      </c>
      <c r="K2449">
        <v>1340</v>
      </c>
      <c r="L2449" t="s">
        <v>48</v>
      </c>
      <c r="N2449" t="s">
        <v>59</v>
      </c>
      <c r="O2449" t="s">
        <v>8236</v>
      </c>
      <c r="P2449" t="str">
        <f>HYPERLINK("http://instagram.com/michaelshawnmccabe")</f>
        <v>http://instagram.com/michaelshawnmccabe</v>
      </c>
      <c r="Q2449">
        <v>1340</v>
      </c>
      <c r="R2449" t="s">
        <v>60</v>
      </c>
      <c r="S2449" t="s">
        <v>51</v>
      </c>
      <c r="T2449" t="s">
        <v>66</v>
      </c>
      <c r="U2449" t="s">
        <v>8237</v>
      </c>
      <c r="W2449">
        <v>6</v>
      </c>
      <c r="X2449">
        <v>6</v>
      </c>
      <c r="AE2449">
        <v>0</v>
      </c>
      <c r="AI2449" t="s">
        <v>788</v>
      </c>
      <c r="AJ2449" t="s">
        <v>8238</v>
      </c>
      <c r="AK2449" t="s">
        <v>52</v>
      </c>
      <c r="AL2449" t="str">
        <f>HYPERLINK("https://www.instagram.com/p/BzE8nVlBjwv/media/?size=l")</f>
        <v>https://www.instagram.com/p/BzE8nVlBjwv/media/?size=l</v>
      </c>
      <c r="AM2449" t="s">
        <v>52</v>
      </c>
      <c r="AN2449" t="s">
        <v>53</v>
      </c>
    </row>
    <row r="2450" spans="1:40">
      <c r="A2450" t="s">
        <v>8081</v>
      </c>
      <c r="B2450" t="s">
        <v>2547</v>
      </c>
      <c r="C2450" t="s">
        <v>8239</v>
      </c>
      <c r="D2450" t="s">
        <v>52</v>
      </c>
      <c r="E2450" t="s">
        <v>8240</v>
      </c>
      <c r="F2450" t="s">
        <v>95</v>
      </c>
      <c r="G2450" t="str">
        <f>HYPERLINK("https://twitter.com/2691549648/status/1142996750724030464")</f>
        <v>https://twitter.com/2691549648/status/1142996750724030464</v>
      </c>
      <c r="H2450" t="s">
        <v>215</v>
      </c>
      <c r="I2450" t="s">
        <v>8241</v>
      </c>
      <c r="J2450" t="str">
        <f>HYPERLINK("http://twitter.com/MaryssaJE")</f>
        <v>http://twitter.com/MaryssaJE</v>
      </c>
      <c r="K2450">
        <v>183</v>
      </c>
      <c r="N2450" t="s">
        <v>65</v>
      </c>
      <c r="R2450" t="s">
        <v>60</v>
      </c>
      <c r="W2450">
        <v>6</v>
      </c>
      <c r="X2450">
        <v>6</v>
      </c>
      <c r="AE2450">
        <v>0</v>
      </c>
      <c r="AF2450">
        <v>0</v>
      </c>
      <c r="AM2450" t="s">
        <v>52</v>
      </c>
      <c r="AN2450" t="s">
        <v>53</v>
      </c>
    </row>
    <row r="2451" spans="1:40">
      <c r="A2451" t="s">
        <v>8081</v>
      </c>
      <c r="B2451" t="s">
        <v>2547</v>
      </c>
      <c r="C2451" t="s">
        <v>8226</v>
      </c>
      <c r="D2451" t="s">
        <v>52</v>
      </c>
      <c r="E2451" t="s">
        <v>1999</v>
      </c>
      <c r="F2451" t="s">
        <v>131</v>
      </c>
      <c r="G2451" t="str">
        <f>HYPERLINK("https://twitter.com/1343060508/status/1142996616909086720")</f>
        <v>https://twitter.com/1343060508/status/1142996616909086720</v>
      </c>
      <c r="H2451" t="s">
        <v>46</v>
      </c>
      <c r="I2451" t="s">
        <v>8242</v>
      </c>
      <c r="J2451" t="str">
        <f>HYPERLINK("http://twitter.com/hessayours")</f>
        <v>http://twitter.com/hessayours</v>
      </c>
      <c r="K2451">
        <v>15936</v>
      </c>
      <c r="N2451" t="s">
        <v>65</v>
      </c>
      <c r="R2451" t="s">
        <v>60</v>
      </c>
      <c r="W2451">
        <v>0</v>
      </c>
      <c r="X2451">
        <v>0</v>
      </c>
      <c r="AE2451">
        <v>0</v>
      </c>
      <c r="AI2451" t="s">
        <v>108</v>
      </c>
      <c r="AJ2451" t="s">
        <v>1894</v>
      </c>
      <c r="AK2451" t="s">
        <v>52</v>
      </c>
      <c r="AL2451" t="str">
        <f>HYPERLINK("https://pbs.twimg.com/media/D8yu-r3W4AIKwXN.jpg")</f>
        <v>https://pbs.twimg.com/media/D8yu-r3W4AIKwXN.jpg</v>
      </c>
      <c r="AM2451" t="s">
        <v>52</v>
      </c>
      <c r="AN2451" t="s">
        <v>53</v>
      </c>
    </row>
    <row r="2452" spans="1:40">
      <c r="A2452" t="s">
        <v>8081</v>
      </c>
      <c r="B2452" t="s">
        <v>2547</v>
      </c>
      <c r="C2452" t="s">
        <v>8226</v>
      </c>
      <c r="D2452" t="s">
        <v>52</v>
      </c>
      <c r="E2452" t="s">
        <v>1194</v>
      </c>
      <c r="F2452" t="s">
        <v>131</v>
      </c>
      <c r="G2452" t="str">
        <f>HYPERLINK("https://twitter.com/4338193394/status/1142996580271677440")</f>
        <v>https://twitter.com/4338193394/status/1142996580271677440</v>
      </c>
      <c r="H2452" t="s">
        <v>46</v>
      </c>
      <c r="I2452" t="s">
        <v>52</v>
      </c>
      <c r="J2452" t="str">
        <f>HYPERLINK("http://twitter.com/ysylyn")</f>
        <v>http://twitter.com/ysylyn</v>
      </c>
      <c r="K2452">
        <v>178</v>
      </c>
      <c r="N2452" t="s">
        <v>65</v>
      </c>
      <c r="R2452" t="s">
        <v>60</v>
      </c>
      <c r="W2452">
        <v>0</v>
      </c>
      <c r="X2452">
        <v>0</v>
      </c>
      <c r="AE2452">
        <v>0</v>
      </c>
      <c r="AI2452" t="s">
        <v>52</v>
      </c>
      <c r="AJ2452" t="s">
        <v>1196</v>
      </c>
      <c r="AK2452" t="s">
        <v>52</v>
      </c>
      <c r="AL2452" t="str">
        <f>HYPERLINK("https://pbs.twimg.com/media/D9xgk2YXkAAd2ql.jpg")</f>
        <v>https://pbs.twimg.com/media/D9xgk2YXkAAd2ql.jpg</v>
      </c>
      <c r="AM2452" t="s">
        <v>52</v>
      </c>
      <c r="AN2452" t="s">
        <v>53</v>
      </c>
    </row>
    <row r="2453" spans="1:40">
      <c r="A2453" t="s">
        <v>8081</v>
      </c>
      <c r="B2453" t="s">
        <v>8243</v>
      </c>
      <c r="C2453" t="s">
        <v>8244</v>
      </c>
      <c r="D2453" t="s">
        <v>52</v>
      </c>
      <c r="E2453" t="s">
        <v>8245</v>
      </c>
      <c r="F2453" t="s">
        <v>95</v>
      </c>
      <c r="G2453" t="str">
        <f>HYPERLINK("https://twitter.com/102431317/status/1142996395114131456")</f>
        <v>https://twitter.com/102431317/status/1142996395114131456</v>
      </c>
      <c r="H2453" t="s">
        <v>46</v>
      </c>
      <c r="I2453" t="s">
        <v>8246</v>
      </c>
      <c r="J2453" t="str">
        <f>HYPERLINK("http://twitter.com/Frenchie1904")</f>
        <v>http://twitter.com/Frenchie1904</v>
      </c>
      <c r="K2453">
        <v>262</v>
      </c>
      <c r="N2453" t="s">
        <v>65</v>
      </c>
      <c r="R2453" t="s">
        <v>60</v>
      </c>
      <c r="W2453">
        <v>4</v>
      </c>
      <c r="X2453">
        <v>4</v>
      </c>
      <c r="AE2453">
        <v>3</v>
      </c>
      <c r="AF2453">
        <v>0</v>
      </c>
      <c r="AI2453" t="s">
        <v>52</v>
      </c>
      <c r="AJ2453" t="s">
        <v>52</v>
      </c>
      <c r="AK2453" t="s">
        <v>52</v>
      </c>
      <c r="AL2453" t="str">
        <f>HYPERLINK("https://pbs.twimg.com/tweet_video_thumb/D9y9KOfU0AAqR5d.jpg")</f>
        <v>https://pbs.twimg.com/tweet_video_thumb/D9y9KOfU0AAqR5d.jpg</v>
      </c>
      <c r="AM2453" t="s">
        <v>52</v>
      </c>
      <c r="AN2453" t="s">
        <v>53</v>
      </c>
    </row>
    <row r="2454" spans="1:40">
      <c r="A2454" t="s">
        <v>8081</v>
      </c>
      <c r="B2454" t="s">
        <v>8243</v>
      </c>
      <c r="C2454" t="s">
        <v>8247</v>
      </c>
      <c r="D2454" t="s">
        <v>52</v>
      </c>
      <c r="E2454" t="s">
        <v>1194</v>
      </c>
      <c r="F2454" t="s">
        <v>131</v>
      </c>
      <c r="G2454" t="str">
        <f>HYPERLINK("https://twitter.com/348697260/status/1142996389233737728")</f>
        <v>https://twitter.com/348697260/status/1142996389233737728</v>
      </c>
      <c r="H2454" t="s">
        <v>46</v>
      </c>
      <c r="I2454" t="s">
        <v>8248</v>
      </c>
      <c r="J2454" t="str">
        <f>HYPERLINK("http://twitter.com/666noodz")</f>
        <v>http://twitter.com/666noodz</v>
      </c>
      <c r="K2454">
        <v>5990</v>
      </c>
      <c r="N2454" t="s">
        <v>65</v>
      </c>
      <c r="R2454" t="s">
        <v>60</v>
      </c>
      <c r="W2454">
        <v>0</v>
      </c>
      <c r="X2454">
        <v>0</v>
      </c>
      <c r="AE2454">
        <v>0</v>
      </c>
      <c r="AI2454" t="s">
        <v>52</v>
      </c>
      <c r="AJ2454" t="s">
        <v>1196</v>
      </c>
      <c r="AK2454" t="s">
        <v>52</v>
      </c>
      <c r="AL2454" t="str">
        <f>HYPERLINK("https://pbs.twimg.com/media/D9xgk2YXkAAd2ql.jpg")</f>
        <v>https://pbs.twimg.com/media/D9xgk2YXkAAd2ql.jpg</v>
      </c>
      <c r="AM2454" t="s">
        <v>52</v>
      </c>
      <c r="AN2454" t="s">
        <v>53</v>
      </c>
    </row>
    <row r="2455" spans="1:40">
      <c r="A2455" t="s">
        <v>8081</v>
      </c>
      <c r="B2455" t="s">
        <v>8249</v>
      </c>
      <c r="C2455" t="s">
        <v>8250</v>
      </c>
      <c r="D2455" t="s">
        <v>52</v>
      </c>
      <c r="E2455" t="s">
        <v>8251</v>
      </c>
      <c r="F2455" t="s">
        <v>71</v>
      </c>
      <c r="G2455" t="str">
        <f>HYPERLINK("https://twitter.com/412055733/status/1142995805369970689")</f>
        <v>https://twitter.com/412055733/status/1142995805369970689</v>
      </c>
      <c r="H2455" t="s">
        <v>46</v>
      </c>
      <c r="I2455" t="s">
        <v>8252</v>
      </c>
      <c r="J2455" t="str">
        <f>HYPERLINK("http://twitter.com/atthebeach4evr")</f>
        <v>http://twitter.com/atthebeach4evr</v>
      </c>
      <c r="K2455">
        <v>473</v>
      </c>
      <c r="N2455" t="s">
        <v>65</v>
      </c>
      <c r="R2455" t="s">
        <v>60</v>
      </c>
      <c r="S2455" t="s">
        <v>7582</v>
      </c>
      <c r="T2455" t="s">
        <v>8253</v>
      </c>
      <c r="U2455" t="s">
        <v>8254</v>
      </c>
      <c r="W2455">
        <v>0</v>
      </c>
      <c r="X2455">
        <v>0</v>
      </c>
      <c r="AE2455">
        <v>0</v>
      </c>
      <c r="AF2455">
        <v>0</v>
      </c>
      <c r="AI2455" t="s">
        <v>108</v>
      </c>
      <c r="AJ2455" t="s">
        <v>52</v>
      </c>
      <c r="AK2455" t="s">
        <v>52</v>
      </c>
      <c r="AL2455" t="str">
        <f>HYPERLINK("https://pbs.twimg.com/tweet_video_thumb/D9cjm2HUYAAJ9R9.jpg")</f>
        <v>https://pbs.twimg.com/tweet_video_thumb/D9cjm2HUYAAJ9R9.jpg</v>
      </c>
      <c r="AM2455" t="s">
        <v>52</v>
      </c>
      <c r="AN2455" t="s">
        <v>53</v>
      </c>
    </row>
    <row r="2456" spans="1:40">
      <c r="A2456" t="s">
        <v>8081</v>
      </c>
      <c r="B2456" t="s">
        <v>2558</v>
      </c>
      <c r="C2456" t="s">
        <v>6881</v>
      </c>
      <c r="D2456" t="s">
        <v>8255</v>
      </c>
      <c r="E2456" t="s">
        <v>8256</v>
      </c>
      <c r="F2456" t="s">
        <v>45</v>
      </c>
      <c r="G2456" t="str">
        <f>HYPERLINK("https://www.reddit.com/r/justneckbeardthings/comments/c4c5oc/my_sister_was_playing_the_game_and_i_spotted_the/?sort=new#thing_t1_erwkhli")</f>
        <v>https://www.reddit.com/r/justneckbeardthings/comments/c4c5oc/my_sister_was_playing_the_game_and_i_spotted_the/?sort=new#thing_t1_erwkhli</v>
      </c>
      <c r="H2456" t="s">
        <v>46</v>
      </c>
      <c r="I2456" t="s">
        <v>8257</v>
      </c>
      <c r="J2456" t="str">
        <f>HYPERLINK("https://www.reddit.com/r/justneckbeardthings/comments/c4c5oc/my_sister_was_playing_the_game_and_i_spotted_the/?sort=new#thing_t1_erwkhli")</f>
        <v>https://www.reddit.com/r/justneckbeardthings/comments/c4c5oc/my_sister_was_playing_the_game_and_i_spotted_the/?sort=new#thing_t1_erwkhli</v>
      </c>
      <c r="N2456" t="s">
        <v>545</v>
      </c>
      <c r="O2456" t="s">
        <v>778</v>
      </c>
      <c r="P2456" t="str">
        <f>HYPERLINK("https://www.reddit.com/r/justneckbeardthings/")</f>
        <v>https://www.reddit.com/r/justneckbeardthings/</v>
      </c>
      <c r="R2456" t="s">
        <v>516</v>
      </c>
      <c r="S2456" t="s">
        <v>51</v>
      </c>
      <c r="AM2456" t="s">
        <v>52</v>
      </c>
      <c r="AN2456" t="s">
        <v>53</v>
      </c>
    </row>
    <row r="2457" spans="1:40">
      <c r="A2457" t="s">
        <v>8081</v>
      </c>
      <c r="B2457" t="s">
        <v>2561</v>
      </c>
      <c r="C2457" t="s">
        <v>8250</v>
      </c>
      <c r="D2457" t="s">
        <v>52</v>
      </c>
      <c r="E2457" t="s">
        <v>8258</v>
      </c>
      <c r="F2457" t="s">
        <v>95</v>
      </c>
      <c r="G2457" t="str">
        <f>HYPERLINK("https://twitter.com/719005460/status/1142995436392910848")</f>
        <v>https://twitter.com/719005460/status/1142995436392910848</v>
      </c>
      <c r="H2457" t="s">
        <v>46</v>
      </c>
      <c r="I2457" t="s">
        <v>8259</v>
      </c>
      <c r="J2457" t="str">
        <f>HYPERLINK("http://twitter.com/Sarahbeamon")</f>
        <v>http://twitter.com/Sarahbeamon</v>
      </c>
      <c r="K2457">
        <v>359</v>
      </c>
      <c r="N2457" t="s">
        <v>65</v>
      </c>
      <c r="R2457" t="s">
        <v>60</v>
      </c>
      <c r="S2457" t="s">
        <v>51</v>
      </c>
      <c r="T2457" t="s">
        <v>2729</v>
      </c>
      <c r="U2457" t="s">
        <v>8007</v>
      </c>
      <c r="W2457">
        <v>0</v>
      </c>
      <c r="X2457">
        <v>0</v>
      </c>
      <c r="AE2457">
        <v>0</v>
      </c>
      <c r="AF2457">
        <v>0</v>
      </c>
      <c r="AM2457" t="s">
        <v>52</v>
      </c>
      <c r="AN2457" t="s">
        <v>53</v>
      </c>
    </row>
    <row r="2458" spans="1:40">
      <c r="A2458" t="s">
        <v>8081</v>
      </c>
      <c r="B2458" t="s">
        <v>2561</v>
      </c>
      <c r="C2458" t="s">
        <v>8260</v>
      </c>
      <c r="D2458" t="s">
        <v>52</v>
      </c>
      <c r="E2458" t="s">
        <v>8261</v>
      </c>
      <c r="F2458" t="s">
        <v>45</v>
      </c>
      <c r="G2458" t="str">
        <f>HYPERLINK("https://twitter.com/999106853543038976/status/1142995380038250496")</f>
        <v>https://twitter.com/999106853543038976/status/1142995380038250496</v>
      </c>
      <c r="H2458" t="s">
        <v>46</v>
      </c>
      <c r="I2458" t="s">
        <v>8262</v>
      </c>
      <c r="J2458" t="str">
        <f>HYPERLINK("http://twitter.com/SHllMADA")</f>
        <v>http://twitter.com/SHllMADA</v>
      </c>
      <c r="K2458">
        <v>56</v>
      </c>
      <c r="N2458" t="s">
        <v>65</v>
      </c>
      <c r="R2458" t="s">
        <v>60</v>
      </c>
      <c r="W2458">
        <v>0</v>
      </c>
      <c r="X2458">
        <v>0</v>
      </c>
      <c r="AE2458">
        <v>0</v>
      </c>
      <c r="AF2458">
        <v>0</v>
      </c>
      <c r="AM2458" t="s">
        <v>52</v>
      </c>
      <c r="AN2458" t="s">
        <v>53</v>
      </c>
    </row>
    <row r="2459" spans="1:40">
      <c r="A2459" t="s">
        <v>8081</v>
      </c>
      <c r="B2459" t="s">
        <v>2566</v>
      </c>
      <c r="C2459" t="s">
        <v>8263</v>
      </c>
      <c r="D2459" t="s">
        <v>52</v>
      </c>
      <c r="E2459" t="s">
        <v>1194</v>
      </c>
      <c r="F2459" t="s">
        <v>131</v>
      </c>
      <c r="G2459" t="str">
        <f>HYPERLINK("https://twitter.com/601740062/status/1142995256662618113")</f>
        <v>https://twitter.com/601740062/status/1142995256662618113</v>
      </c>
      <c r="H2459" t="s">
        <v>46</v>
      </c>
      <c r="I2459" t="s">
        <v>8264</v>
      </c>
      <c r="J2459" t="str">
        <f>HYPERLINK("http://twitter.com/carlowschester")</f>
        <v>http://twitter.com/carlowschester</v>
      </c>
      <c r="K2459">
        <v>498</v>
      </c>
      <c r="N2459" t="s">
        <v>65</v>
      </c>
      <c r="R2459" t="s">
        <v>60</v>
      </c>
      <c r="S2459" t="s">
        <v>1071</v>
      </c>
      <c r="W2459">
        <v>0</v>
      </c>
      <c r="X2459">
        <v>0</v>
      </c>
      <c r="AE2459">
        <v>0</v>
      </c>
      <c r="AI2459" t="s">
        <v>52</v>
      </c>
      <c r="AJ2459" t="s">
        <v>1196</v>
      </c>
      <c r="AK2459" t="s">
        <v>52</v>
      </c>
      <c r="AL2459" t="str">
        <f>HYPERLINK("https://pbs.twimg.com/media/D9xgk2YXkAAd2ql.jpg")</f>
        <v>https://pbs.twimg.com/media/D9xgk2YXkAAd2ql.jpg</v>
      </c>
      <c r="AM2459" t="s">
        <v>52</v>
      </c>
      <c r="AN2459" t="s">
        <v>53</v>
      </c>
    </row>
    <row r="2460" spans="1:40">
      <c r="A2460" t="s">
        <v>8081</v>
      </c>
      <c r="B2460" t="s">
        <v>2566</v>
      </c>
      <c r="C2460" t="s">
        <v>8239</v>
      </c>
      <c r="D2460" t="s">
        <v>52</v>
      </c>
      <c r="E2460" t="s">
        <v>8265</v>
      </c>
      <c r="F2460" t="s">
        <v>45</v>
      </c>
      <c r="G2460" t="str">
        <f>HYPERLINK("https://twitter.com/535977994/status/1142995144712622082")</f>
        <v>https://twitter.com/535977994/status/1142995144712622082</v>
      </c>
      <c r="H2460" t="s">
        <v>46</v>
      </c>
      <c r="I2460" t="s">
        <v>8266</v>
      </c>
      <c r="J2460" t="str">
        <f>HYPERLINK("http://twitter.com/lifehertz")</f>
        <v>http://twitter.com/lifehertz</v>
      </c>
      <c r="K2460">
        <v>239</v>
      </c>
      <c r="N2460" t="s">
        <v>65</v>
      </c>
      <c r="R2460" t="s">
        <v>60</v>
      </c>
      <c r="W2460">
        <v>0</v>
      </c>
      <c r="X2460">
        <v>0</v>
      </c>
      <c r="AE2460">
        <v>0</v>
      </c>
      <c r="AF2460">
        <v>0</v>
      </c>
      <c r="AM2460" t="s">
        <v>52</v>
      </c>
      <c r="AN2460" t="s">
        <v>53</v>
      </c>
    </row>
    <row r="2461" spans="1:40">
      <c r="A2461" t="s">
        <v>8081</v>
      </c>
      <c r="B2461" t="s">
        <v>2576</v>
      </c>
      <c r="C2461" t="s">
        <v>8267</v>
      </c>
      <c r="D2461" t="s">
        <v>52</v>
      </c>
      <c r="E2461" t="s">
        <v>8268</v>
      </c>
      <c r="F2461" t="s">
        <v>71</v>
      </c>
      <c r="G2461" t="str">
        <f>HYPERLINK("https://twitter.com/16231791/status/1142994575117692934")</f>
        <v>https://twitter.com/16231791/status/1142994575117692934</v>
      </c>
      <c r="H2461" t="s">
        <v>46</v>
      </c>
      <c r="I2461" t="s">
        <v>8269</v>
      </c>
      <c r="J2461" t="str">
        <f>HYPERLINK("http://twitter.com/37919KJ")</f>
        <v>http://twitter.com/37919KJ</v>
      </c>
      <c r="K2461">
        <v>866</v>
      </c>
      <c r="N2461" t="s">
        <v>65</v>
      </c>
      <c r="R2461" t="s">
        <v>60</v>
      </c>
      <c r="S2461" t="s">
        <v>51</v>
      </c>
      <c r="T2461" t="s">
        <v>497</v>
      </c>
      <c r="U2461" t="s">
        <v>498</v>
      </c>
      <c r="W2461">
        <v>0</v>
      </c>
      <c r="X2461">
        <v>0</v>
      </c>
      <c r="AE2461">
        <v>0</v>
      </c>
      <c r="AF2461">
        <v>0</v>
      </c>
      <c r="AM2461" t="s">
        <v>52</v>
      </c>
      <c r="AN2461" t="s">
        <v>53</v>
      </c>
    </row>
    <row r="2462" spans="1:40">
      <c r="A2462" t="s">
        <v>8081</v>
      </c>
      <c r="B2462" t="s">
        <v>2576</v>
      </c>
      <c r="C2462" t="s">
        <v>969</v>
      </c>
      <c r="D2462" t="s">
        <v>7816</v>
      </c>
      <c r="E2462" t="s">
        <v>8270</v>
      </c>
      <c r="F2462" t="s">
        <v>45</v>
      </c>
      <c r="G2462" t="str">
        <f>HYPERLINK("https://www.reddit.com/r/suspiciouslyspecific/comments/c45ha8/well_ok_then/?sort=new#thing_t1_ervy867")</f>
        <v>https://www.reddit.com/r/suspiciouslyspecific/comments/c45ha8/well_ok_then/?sort=new#thing_t1_ervy867</v>
      </c>
      <c r="H2462" t="s">
        <v>46</v>
      </c>
      <c r="I2462" t="s">
        <v>8271</v>
      </c>
      <c r="J2462" t="str">
        <f>HYPERLINK("https://www.reddit.com/r/suspiciouslyspecific/comments/c45ha8/well_ok_then/?sort=new#thing_t1_ervy867")</f>
        <v>https://www.reddit.com/r/suspiciouslyspecific/comments/c45ha8/well_ok_then/?sort=new#thing_t1_ervy867</v>
      </c>
      <c r="N2462" t="s">
        <v>545</v>
      </c>
      <c r="O2462" t="s">
        <v>7819</v>
      </c>
      <c r="P2462" t="str">
        <f>HYPERLINK("https://www.reddit.com/r/suspiciouslyspecific/")</f>
        <v>https://www.reddit.com/r/suspiciouslyspecific/</v>
      </c>
      <c r="R2462" t="s">
        <v>516</v>
      </c>
      <c r="S2462" t="s">
        <v>51</v>
      </c>
      <c r="AM2462" t="s">
        <v>52</v>
      </c>
      <c r="AN2462" t="s">
        <v>53</v>
      </c>
    </row>
    <row r="2463" spans="1:40">
      <c r="A2463" t="s">
        <v>8081</v>
      </c>
      <c r="B2463" t="s">
        <v>2601</v>
      </c>
      <c r="C2463" t="s">
        <v>8272</v>
      </c>
      <c r="D2463" t="s">
        <v>8273</v>
      </c>
      <c r="E2463" t="s">
        <v>8274</v>
      </c>
      <c r="F2463" t="s">
        <v>45</v>
      </c>
      <c r="G2463" t="str">
        <f>HYPERLINK("https://www.reddit.com/r/sadcringe/comments/c3umd3/this_sad_cringe/?sort=new#thing_t1_erwk1mn")</f>
        <v>https://www.reddit.com/r/sadcringe/comments/c3umd3/this_sad_cringe/?sort=new#thing_t1_erwk1mn</v>
      </c>
      <c r="H2463" t="s">
        <v>46</v>
      </c>
      <c r="I2463" t="s">
        <v>8275</v>
      </c>
      <c r="J2463" t="str">
        <f>HYPERLINK("https://www.reddit.com/r/sadcringe/comments/c3umd3/this_sad_cringe/?sort=new#thing_t1_erwk1mn")</f>
        <v>https://www.reddit.com/r/sadcringe/comments/c3umd3/this_sad_cringe/?sort=new#thing_t1_erwk1mn</v>
      </c>
      <c r="N2463" t="s">
        <v>545</v>
      </c>
      <c r="O2463" t="s">
        <v>8276</v>
      </c>
      <c r="P2463" t="str">
        <f>HYPERLINK("https://www.reddit.com/r/sadcringe/")</f>
        <v>https://www.reddit.com/r/sadcringe/</v>
      </c>
      <c r="R2463" t="s">
        <v>516</v>
      </c>
      <c r="S2463" t="s">
        <v>51</v>
      </c>
      <c r="AM2463" t="s">
        <v>52</v>
      </c>
      <c r="AN2463" t="s">
        <v>53</v>
      </c>
    </row>
    <row r="2464" spans="1:40">
      <c r="A2464" t="s">
        <v>8081</v>
      </c>
      <c r="B2464" t="s">
        <v>8277</v>
      </c>
      <c r="C2464" t="s">
        <v>8278</v>
      </c>
      <c r="D2464" t="s">
        <v>52</v>
      </c>
      <c r="E2464" t="s">
        <v>1194</v>
      </c>
      <c r="F2464" t="s">
        <v>131</v>
      </c>
      <c r="G2464" t="str">
        <f>HYPERLINK("https://twitter.com/3102377984/status/1142993456563965952")</f>
        <v>https://twitter.com/3102377984/status/1142993456563965952</v>
      </c>
      <c r="H2464" t="s">
        <v>46</v>
      </c>
      <c r="I2464" t="s">
        <v>8279</v>
      </c>
      <c r="J2464" t="str">
        <f>HYPERLINK("http://twitter.com/ToriRodriguez15")</f>
        <v>http://twitter.com/ToriRodriguez15</v>
      </c>
      <c r="K2464">
        <v>389</v>
      </c>
      <c r="N2464" t="s">
        <v>65</v>
      </c>
      <c r="R2464" t="s">
        <v>60</v>
      </c>
      <c r="W2464">
        <v>0</v>
      </c>
      <c r="X2464">
        <v>0</v>
      </c>
      <c r="AE2464">
        <v>0</v>
      </c>
      <c r="AI2464" t="s">
        <v>52</v>
      </c>
      <c r="AJ2464" t="s">
        <v>1196</v>
      </c>
      <c r="AK2464" t="s">
        <v>52</v>
      </c>
      <c r="AL2464" t="str">
        <f>HYPERLINK("https://pbs.twimg.com/media/D9xgk2YXkAAd2ql.jpg")</f>
        <v>https://pbs.twimg.com/media/D9xgk2YXkAAd2ql.jpg</v>
      </c>
      <c r="AM2464" t="s">
        <v>52</v>
      </c>
      <c r="AN2464" t="s">
        <v>53</v>
      </c>
    </row>
    <row r="2465" spans="1:40">
      <c r="A2465" t="s">
        <v>8081</v>
      </c>
      <c r="B2465" t="s">
        <v>8277</v>
      </c>
      <c r="C2465" t="s">
        <v>8278</v>
      </c>
      <c r="D2465" t="s">
        <v>52</v>
      </c>
      <c r="E2465" t="s">
        <v>8280</v>
      </c>
      <c r="F2465" t="s">
        <v>95</v>
      </c>
      <c r="G2465" t="str">
        <f>HYPERLINK("https://twitter.com/1099509588058140673/status/1142993445428060162")</f>
        <v>https://twitter.com/1099509588058140673/status/1142993445428060162</v>
      </c>
      <c r="H2465" t="s">
        <v>46</v>
      </c>
      <c r="I2465" t="s">
        <v>8281</v>
      </c>
      <c r="J2465" t="str">
        <f>HYPERLINK("http://twitter.com/PamelaVoorhee10")</f>
        <v>http://twitter.com/PamelaVoorhee10</v>
      </c>
      <c r="K2465">
        <v>113</v>
      </c>
      <c r="L2465" t="s">
        <v>58</v>
      </c>
      <c r="N2465" t="s">
        <v>65</v>
      </c>
      <c r="R2465" t="s">
        <v>60</v>
      </c>
      <c r="W2465">
        <v>0</v>
      </c>
      <c r="X2465">
        <v>0</v>
      </c>
      <c r="AE2465">
        <v>1</v>
      </c>
      <c r="AF2465">
        <v>0</v>
      </c>
      <c r="AM2465" t="s">
        <v>52</v>
      </c>
      <c r="AN2465" t="s">
        <v>53</v>
      </c>
    </row>
    <row r="2466" spans="1:40">
      <c r="A2466" t="s">
        <v>8081</v>
      </c>
      <c r="B2466" t="s">
        <v>8277</v>
      </c>
      <c r="C2466" t="s">
        <v>8282</v>
      </c>
      <c r="D2466" t="s">
        <v>52</v>
      </c>
      <c r="E2466" t="s">
        <v>8283</v>
      </c>
      <c r="F2466" t="s">
        <v>131</v>
      </c>
      <c r="G2466" t="str">
        <f>HYPERLINK("https://twitter.com/2657169521/status/1142993393813008385")</f>
        <v>https://twitter.com/2657169521/status/1142993393813008385</v>
      </c>
      <c r="H2466" t="s">
        <v>46</v>
      </c>
      <c r="I2466" t="s">
        <v>8284</v>
      </c>
      <c r="J2466" t="str">
        <f>HYPERLINK("http://twitter.com/YuhBoiJeremiah")</f>
        <v>http://twitter.com/YuhBoiJeremiah</v>
      </c>
      <c r="K2466">
        <v>60</v>
      </c>
      <c r="N2466" t="s">
        <v>65</v>
      </c>
      <c r="R2466" t="s">
        <v>60</v>
      </c>
      <c r="S2466" t="s">
        <v>51</v>
      </c>
      <c r="T2466" t="s">
        <v>84</v>
      </c>
      <c r="U2466" t="s">
        <v>85</v>
      </c>
      <c r="W2466">
        <v>0</v>
      </c>
      <c r="X2466">
        <v>0</v>
      </c>
      <c r="AE2466">
        <v>0</v>
      </c>
      <c r="AM2466" t="s">
        <v>52</v>
      </c>
      <c r="AN2466" t="s">
        <v>53</v>
      </c>
    </row>
    <row r="2467" spans="1:40">
      <c r="A2467" t="s">
        <v>8081</v>
      </c>
      <c r="B2467" t="s">
        <v>8277</v>
      </c>
      <c r="C2467" t="s">
        <v>8285</v>
      </c>
      <c r="D2467" t="s">
        <v>52</v>
      </c>
      <c r="E2467" t="s">
        <v>1194</v>
      </c>
      <c r="F2467" t="s">
        <v>131</v>
      </c>
      <c r="G2467" t="str">
        <f>HYPERLINK("https://twitter.com/1488100832/status/1142993259268116480")</f>
        <v>https://twitter.com/1488100832/status/1142993259268116480</v>
      </c>
      <c r="H2467" t="s">
        <v>46</v>
      </c>
      <c r="I2467" t="s">
        <v>8286</v>
      </c>
      <c r="J2467" t="str">
        <f>HYPERLINK("http://twitter.com/hudson_ingram")</f>
        <v>http://twitter.com/hudson_ingram</v>
      </c>
      <c r="K2467">
        <v>145</v>
      </c>
      <c r="N2467" t="s">
        <v>65</v>
      </c>
      <c r="R2467" t="s">
        <v>60</v>
      </c>
      <c r="S2467" t="s">
        <v>51</v>
      </c>
      <c r="T2467" t="s">
        <v>152</v>
      </c>
      <c r="W2467">
        <v>0</v>
      </c>
      <c r="X2467">
        <v>0</v>
      </c>
      <c r="AE2467">
        <v>0</v>
      </c>
      <c r="AI2467" t="s">
        <v>52</v>
      </c>
      <c r="AJ2467" t="s">
        <v>1196</v>
      </c>
      <c r="AK2467" t="s">
        <v>52</v>
      </c>
      <c r="AL2467" t="str">
        <f>HYPERLINK("https://pbs.twimg.com/media/D9xgk2YXkAAd2ql.jpg")</f>
        <v>https://pbs.twimg.com/media/D9xgk2YXkAAd2ql.jpg</v>
      </c>
      <c r="AM2467" t="s">
        <v>52</v>
      </c>
      <c r="AN2467" t="s">
        <v>53</v>
      </c>
    </row>
    <row r="2468" spans="1:40">
      <c r="A2468" t="s">
        <v>8081</v>
      </c>
      <c r="B2468" t="s">
        <v>8277</v>
      </c>
      <c r="C2468" t="s">
        <v>7208</v>
      </c>
      <c r="D2468" t="s">
        <v>8287</v>
      </c>
      <c r="E2468" t="s">
        <v>8288</v>
      </c>
      <c r="F2468" t="s">
        <v>45</v>
      </c>
      <c r="G2468" t="str">
        <f>HYPERLINK("https://techknowbits.com/2019/06/23/pepsico-inc-nasdaqpep-shares-sold-by-full-sail-capital-llc.html")</f>
        <v>https://techknowbits.com/2019/06/23/pepsico-inc-nasdaqpep-shares-sold-by-full-sail-capital-llc.html</v>
      </c>
      <c r="H2468" t="s">
        <v>91</v>
      </c>
      <c r="I2468" t="s">
        <v>8289</v>
      </c>
      <c r="J2468" t="str">
        <f>HYPERLINK("https://techknowbits.com/2019/06/23/pepsico-inc-nasdaqpep-shares-sold-by-full-sail-capital-llc.html")</f>
        <v>https://techknowbits.com/2019/06/23/pepsico-inc-nasdaqpep-shares-sold-by-full-sail-capital-llc.html</v>
      </c>
      <c r="N2468" t="s">
        <v>49</v>
      </c>
      <c r="R2468" t="s">
        <v>50</v>
      </c>
      <c r="S2468" t="s">
        <v>51</v>
      </c>
      <c r="AM2468" t="s">
        <v>52</v>
      </c>
      <c r="AN2468" t="s">
        <v>53</v>
      </c>
    </row>
    <row r="2469" spans="1:40">
      <c r="A2469" t="s">
        <v>8081</v>
      </c>
      <c r="B2469" t="s">
        <v>2622</v>
      </c>
      <c r="C2469" t="s">
        <v>8282</v>
      </c>
      <c r="D2469" t="s">
        <v>52</v>
      </c>
      <c r="E2469" t="s">
        <v>8290</v>
      </c>
      <c r="F2469" t="s">
        <v>131</v>
      </c>
      <c r="G2469" t="str">
        <f>HYPERLINK("https://twitter.com/789461151306227714/status/1142992641870749696")</f>
        <v>https://twitter.com/789461151306227714/status/1142992641870749696</v>
      </c>
      <c r="H2469" t="s">
        <v>215</v>
      </c>
      <c r="I2469" t="s">
        <v>8291</v>
      </c>
      <c r="J2469" t="str">
        <f>HYPERLINK("http://twitter.com/DanielleJean83")</f>
        <v>http://twitter.com/DanielleJean83</v>
      </c>
      <c r="K2469">
        <v>23</v>
      </c>
      <c r="L2469" t="s">
        <v>58</v>
      </c>
      <c r="N2469" t="s">
        <v>65</v>
      </c>
      <c r="R2469" t="s">
        <v>60</v>
      </c>
      <c r="S2469" t="s">
        <v>51</v>
      </c>
      <c r="T2469" t="s">
        <v>3267</v>
      </c>
      <c r="W2469">
        <v>0</v>
      </c>
      <c r="X2469">
        <v>0</v>
      </c>
      <c r="AE2469">
        <v>0</v>
      </c>
      <c r="AM2469" t="s">
        <v>52</v>
      </c>
      <c r="AN2469" t="s">
        <v>53</v>
      </c>
    </row>
    <row r="2470" spans="1:40">
      <c r="A2470" t="s">
        <v>8081</v>
      </c>
      <c r="B2470" t="s">
        <v>8292</v>
      </c>
      <c r="C2470" t="s">
        <v>8293</v>
      </c>
      <c r="D2470" t="s">
        <v>52</v>
      </c>
      <c r="E2470" t="s">
        <v>8294</v>
      </c>
      <c r="F2470" t="s">
        <v>71</v>
      </c>
      <c r="G2470" t="str">
        <f>HYPERLINK("https://twitter.com/938196564039712768/status/1142991574164561920")</f>
        <v>https://twitter.com/938196564039712768/status/1142991574164561920</v>
      </c>
      <c r="H2470" t="s">
        <v>46</v>
      </c>
      <c r="I2470" t="s">
        <v>8295</v>
      </c>
      <c r="J2470" t="str">
        <f>HYPERLINK("http://twitter.com/loripie365")</f>
        <v>http://twitter.com/loripie365</v>
      </c>
      <c r="K2470">
        <v>117</v>
      </c>
      <c r="N2470" t="s">
        <v>65</v>
      </c>
      <c r="R2470" t="s">
        <v>60</v>
      </c>
      <c r="S2470" t="s">
        <v>51</v>
      </c>
      <c r="T2470" t="s">
        <v>1669</v>
      </c>
      <c r="W2470">
        <v>0</v>
      </c>
      <c r="X2470">
        <v>0</v>
      </c>
      <c r="AE2470">
        <v>0</v>
      </c>
      <c r="AF2470">
        <v>0</v>
      </c>
      <c r="AI2470" t="s">
        <v>108</v>
      </c>
      <c r="AJ2470" t="s">
        <v>52</v>
      </c>
      <c r="AK2470" t="s">
        <v>52</v>
      </c>
      <c r="AL2470" t="str">
        <f>HYPERLINK("https://pbs.twimg.com/tweet_video_thumb/D9cjm2HUYAAJ9R9.jpg")</f>
        <v>https://pbs.twimg.com/tweet_video_thumb/D9cjm2HUYAAJ9R9.jpg</v>
      </c>
      <c r="AM2470" t="s">
        <v>52</v>
      </c>
      <c r="AN2470" t="s">
        <v>53</v>
      </c>
    </row>
    <row r="2471" spans="1:40">
      <c r="A2471" t="s">
        <v>8081</v>
      </c>
      <c r="B2471" t="s">
        <v>8296</v>
      </c>
      <c r="C2471" t="s">
        <v>8297</v>
      </c>
      <c r="D2471" t="s">
        <v>52</v>
      </c>
      <c r="E2471" t="s">
        <v>8298</v>
      </c>
      <c r="F2471" t="s">
        <v>131</v>
      </c>
      <c r="G2471" t="str">
        <f>HYPERLINK("https://twitter.com/1127615245596471296/status/1142991409026351105")</f>
        <v>https://twitter.com/1127615245596471296/status/1142991409026351105</v>
      </c>
      <c r="H2471" t="s">
        <v>46</v>
      </c>
      <c r="I2471" t="s">
        <v>8299</v>
      </c>
      <c r="J2471" t="str">
        <f>HYPERLINK("http://twitter.com/RiotGhostedGone")</f>
        <v>http://twitter.com/RiotGhostedGone</v>
      </c>
      <c r="K2471">
        <v>917</v>
      </c>
      <c r="N2471" t="s">
        <v>65</v>
      </c>
      <c r="R2471" t="s">
        <v>60</v>
      </c>
      <c r="W2471">
        <v>0</v>
      </c>
      <c r="X2471">
        <v>0</v>
      </c>
      <c r="AE2471">
        <v>0</v>
      </c>
      <c r="AI2471" t="s">
        <v>52</v>
      </c>
      <c r="AJ2471" t="s">
        <v>52</v>
      </c>
      <c r="AK2471" t="s">
        <v>52</v>
      </c>
      <c r="AL2471" t="str">
        <f>HYPERLINK("https://pbs.twimg.com/tweet_video_thumb/D9y3rWvUcAAKDax.jpg")</f>
        <v>https://pbs.twimg.com/tweet_video_thumb/D9y3rWvUcAAKDax.jpg</v>
      </c>
      <c r="AM2471" t="s">
        <v>52</v>
      </c>
      <c r="AN2471" t="s">
        <v>53</v>
      </c>
    </row>
    <row r="2472" spans="1:40">
      <c r="A2472" t="s">
        <v>8081</v>
      </c>
      <c r="B2472" t="s">
        <v>8296</v>
      </c>
      <c r="C2472" t="s">
        <v>8300</v>
      </c>
      <c r="D2472" t="s">
        <v>52</v>
      </c>
      <c r="E2472" t="s">
        <v>8301</v>
      </c>
      <c r="F2472" t="s">
        <v>131</v>
      </c>
      <c r="G2472" t="str">
        <f>HYPERLINK("https://twitter.com/2617720034/status/1142991328319553537")</f>
        <v>https://twitter.com/2617720034/status/1142991328319553537</v>
      </c>
      <c r="H2472" t="s">
        <v>46</v>
      </c>
      <c r="I2472" t="s">
        <v>8302</v>
      </c>
      <c r="J2472" t="str">
        <f>HYPERLINK("http://twitter.com/yazminramos19")</f>
        <v>http://twitter.com/yazminramos19</v>
      </c>
      <c r="K2472">
        <v>216</v>
      </c>
      <c r="N2472" t="s">
        <v>65</v>
      </c>
      <c r="R2472" t="s">
        <v>60</v>
      </c>
      <c r="W2472">
        <v>0</v>
      </c>
      <c r="X2472">
        <v>0</v>
      </c>
      <c r="AE2472">
        <v>0</v>
      </c>
      <c r="AM2472" t="s">
        <v>52</v>
      </c>
      <c r="AN2472" t="s">
        <v>53</v>
      </c>
    </row>
    <row r="2473" spans="1:40">
      <c r="A2473" t="s">
        <v>8081</v>
      </c>
      <c r="B2473" t="s">
        <v>8296</v>
      </c>
      <c r="C2473" t="s">
        <v>8303</v>
      </c>
      <c r="D2473" t="s">
        <v>52</v>
      </c>
      <c r="E2473" t="s">
        <v>1194</v>
      </c>
      <c r="F2473" t="s">
        <v>131</v>
      </c>
      <c r="G2473" t="str">
        <f>HYPERLINK("https://twitter.com/189696620/status/1142991325480071170")</f>
        <v>https://twitter.com/189696620/status/1142991325480071170</v>
      </c>
      <c r="H2473" t="s">
        <v>46</v>
      </c>
      <c r="I2473" t="s">
        <v>8304</v>
      </c>
      <c r="J2473" t="str">
        <f>HYPERLINK("http://twitter.com/JAnthony818")</f>
        <v>http://twitter.com/JAnthony818</v>
      </c>
      <c r="K2473">
        <v>37</v>
      </c>
      <c r="N2473" t="s">
        <v>65</v>
      </c>
      <c r="R2473" t="s">
        <v>60</v>
      </c>
      <c r="W2473">
        <v>0</v>
      </c>
      <c r="X2473">
        <v>0</v>
      </c>
      <c r="AE2473">
        <v>0</v>
      </c>
      <c r="AI2473" t="s">
        <v>52</v>
      </c>
      <c r="AJ2473" t="s">
        <v>1196</v>
      </c>
      <c r="AK2473" t="s">
        <v>52</v>
      </c>
      <c r="AL2473" t="str">
        <f>HYPERLINK("https://pbs.twimg.com/media/D9xgk2YXkAAd2ql.jpg")</f>
        <v>https://pbs.twimg.com/media/D9xgk2YXkAAd2ql.jpg</v>
      </c>
      <c r="AM2473" t="s">
        <v>52</v>
      </c>
      <c r="AN2473" t="s">
        <v>53</v>
      </c>
    </row>
    <row r="2474" spans="1:40">
      <c r="A2474" t="s">
        <v>8081</v>
      </c>
      <c r="B2474" t="s">
        <v>8296</v>
      </c>
      <c r="C2474" t="s">
        <v>8303</v>
      </c>
      <c r="D2474" t="s">
        <v>52</v>
      </c>
      <c r="E2474" t="s">
        <v>8305</v>
      </c>
      <c r="F2474" t="s">
        <v>95</v>
      </c>
      <c r="G2474" t="str">
        <f>HYPERLINK("https://twitter.com/938196564039712768/status/1142991300872036353")</f>
        <v>https://twitter.com/938196564039712768/status/1142991300872036353</v>
      </c>
      <c r="H2474" t="s">
        <v>215</v>
      </c>
      <c r="I2474" t="s">
        <v>8295</v>
      </c>
      <c r="J2474" t="str">
        <f>HYPERLINK("http://twitter.com/loripie365")</f>
        <v>http://twitter.com/loripie365</v>
      </c>
      <c r="K2474">
        <v>117</v>
      </c>
      <c r="N2474" t="s">
        <v>65</v>
      </c>
      <c r="R2474" t="s">
        <v>60</v>
      </c>
      <c r="S2474" t="s">
        <v>51</v>
      </c>
      <c r="T2474" t="s">
        <v>1669</v>
      </c>
      <c r="W2474">
        <v>0</v>
      </c>
      <c r="X2474">
        <v>0</v>
      </c>
      <c r="AE2474">
        <v>0</v>
      </c>
      <c r="AF2474">
        <v>0</v>
      </c>
      <c r="AM2474" t="s">
        <v>52</v>
      </c>
      <c r="AN2474" t="s">
        <v>53</v>
      </c>
    </row>
    <row r="2475" spans="1:40">
      <c r="A2475" t="s">
        <v>8081</v>
      </c>
      <c r="B2475" t="s">
        <v>8296</v>
      </c>
      <c r="C2475" t="s">
        <v>8303</v>
      </c>
      <c r="D2475" t="s">
        <v>52</v>
      </c>
      <c r="E2475" t="s">
        <v>8306</v>
      </c>
      <c r="F2475" t="s">
        <v>45</v>
      </c>
      <c r="G2475" t="str">
        <f>HYPERLINK("https://twitter.com/796764281773682688/status/1142991272258355201")</f>
        <v>https://twitter.com/796764281773682688/status/1142991272258355201</v>
      </c>
      <c r="H2475" t="s">
        <v>46</v>
      </c>
      <c r="I2475" t="s">
        <v>2934</v>
      </c>
      <c r="J2475" t="str">
        <f>HYPERLINK("http://twitter.com/its_bruno1")</f>
        <v>http://twitter.com/its_bruno1</v>
      </c>
      <c r="K2475">
        <v>574</v>
      </c>
      <c r="L2475" t="s">
        <v>48</v>
      </c>
      <c r="N2475" t="s">
        <v>65</v>
      </c>
      <c r="R2475" t="s">
        <v>60</v>
      </c>
      <c r="S2475" t="s">
        <v>51</v>
      </c>
      <c r="T2475" t="s">
        <v>738</v>
      </c>
      <c r="U2475" t="s">
        <v>8307</v>
      </c>
      <c r="W2475">
        <v>0</v>
      </c>
      <c r="X2475">
        <v>0</v>
      </c>
      <c r="AE2475">
        <v>0</v>
      </c>
      <c r="AF2475">
        <v>0</v>
      </c>
      <c r="AM2475" t="s">
        <v>52</v>
      </c>
      <c r="AN2475" t="s">
        <v>53</v>
      </c>
    </row>
    <row r="2476" spans="1:40">
      <c r="A2476" t="s">
        <v>8081</v>
      </c>
      <c r="B2476" t="s">
        <v>8296</v>
      </c>
      <c r="C2476" t="s">
        <v>8293</v>
      </c>
      <c r="D2476" t="s">
        <v>52</v>
      </c>
      <c r="E2476" t="s">
        <v>8298</v>
      </c>
      <c r="F2476" t="s">
        <v>131</v>
      </c>
      <c r="G2476" t="str">
        <f>HYPERLINK("https://twitter.com/1132636124495654915/status/1142991259499409409")</f>
        <v>https://twitter.com/1132636124495654915/status/1142991259499409409</v>
      </c>
      <c r="H2476" t="s">
        <v>46</v>
      </c>
      <c r="I2476" t="s">
        <v>8308</v>
      </c>
      <c r="J2476" t="str">
        <f>HYPERLINK("http://twitter.com/ItsARiotTags")</f>
        <v>http://twitter.com/ItsARiotTags</v>
      </c>
      <c r="K2476">
        <v>638</v>
      </c>
      <c r="N2476" t="s">
        <v>65</v>
      </c>
      <c r="R2476" t="s">
        <v>60</v>
      </c>
      <c r="W2476">
        <v>0</v>
      </c>
      <c r="X2476">
        <v>0</v>
      </c>
      <c r="AE2476">
        <v>0</v>
      </c>
      <c r="AI2476" t="s">
        <v>52</v>
      </c>
      <c r="AJ2476" t="s">
        <v>52</v>
      </c>
      <c r="AK2476" t="s">
        <v>52</v>
      </c>
      <c r="AL2476" t="str">
        <f>HYPERLINK("https://pbs.twimg.com/tweet_video_thumb/D9y3rWvUcAAKDax.jpg")</f>
        <v>https://pbs.twimg.com/tweet_video_thumb/D9y3rWvUcAAKDax.jpg</v>
      </c>
      <c r="AM2476" t="s">
        <v>52</v>
      </c>
      <c r="AN2476" t="s">
        <v>53</v>
      </c>
    </row>
    <row r="2477" spans="1:40">
      <c r="A2477" t="s">
        <v>8081</v>
      </c>
      <c r="B2477" t="s">
        <v>8296</v>
      </c>
      <c r="C2477" t="s">
        <v>8293</v>
      </c>
      <c r="D2477" t="s">
        <v>52</v>
      </c>
      <c r="E2477" t="s">
        <v>8309</v>
      </c>
      <c r="F2477" t="s">
        <v>95</v>
      </c>
      <c r="G2477" t="str">
        <f>HYPERLINK("https://twitter.com/1015305334116814849/status/1142991246396444672")</f>
        <v>https://twitter.com/1015305334116814849/status/1142991246396444672</v>
      </c>
      <c r="H2477" t="s">
        <v>46</v>
      </c>
      <c r="I2477" t="s">
        <v>8310</v>
      </c>
      <c r="J2477" t="str">
        <f>HYPERLINK("http://twitter.com/XANNYBAILEY")</f>
        <v>http://twitter.com/XANNYBAILEY</v>
      </c>
      <c r="K2477">
        <v>1036</v>
      </c>
      <c r="N2477" t="s">
        <v>65</v>
      </c>
      <c r="R2477" t="s">
        <v>60</v>
      </c>
      <c r="W2477">
        <v>2</v>
      </c>
      <c r="X2477">
        <v>2</v>
      </c>
      <c r="AE2477">
        <v>0</v>
      </c>
      <c r="AF2477">
        <v>0</v>
      </c>
      <c r="AM2477" t="s">
        <v>52</v>
      </c>
      <c r="AN2477" t="s">
        <v>53</v>
      </c>
    </row>
    <row r="2478" spans="1:40">
      <c r="A2478" t="s">
        <v>8081</v>
      </c>
      <c r="B2478" t="s">
        <v>8311</v>
      </c>
      <c r="C2478" t="s">
        <v>8312</v>
      </c>
      <c r="D2478" t="s">
        <v>8313</v>
      </c>
      <c r="E2478" t="s">
        <v>8314</v>
      </c>
      <c r="F2478" t="s">
        <v>95</v>
      </c>
      <c r="G2478" t="str">
        <f>HYPERLINK("http://www.worldstarhiphop.com/videos/video.php?v=wshhW9BVFo1qUtC02YIl#comment-4513709681")</f>
        <v>http://www.worldstarhiphop.com/videos/video.php?v=wshhW9BVFo1qUtC02YIl#comment-4513709681</v>
      </c>
      <c r="H2478" t="s">
        <v>46</v>
      </c>
      <c r="I2478" t="s">
        <v>8315</v>
      </c>
      <c r="J2478" t="str">
        <f>HYPERLINK("https://disqus.com/by/disqus_Bkf0R3OCuU/")</f>
        <v>https://disqus.com/by/disqus_Bkf0R3OCuU/</v>
      </c>
      <c r="K2478">
        <v>0</v>
      </c>
      <c r="N2478" t="s">
        <v>3966</v>
      </c>
      <c r="O2478" t="s">
        <v>3967</v>
      </c>
      <c r="P2478" t="str">
        <f>HYPERLINK("https://disqus.com/home/forum/worldstar/")</f>
        <v>https://disqus.com/home/forum/worldstar/</v>
      </c>
      <c r="R2478" t="s">
        <v>50</v>
      </c>
      <c r="W2478">
        <v>0</v>
      </c>
      <c r="X2478">
        <v>0</v>
      </c>
      <c r="AM2478" t="s">
        <v>52</v>
      </c>
      <c r="AN2478" t="s">
        <v>53</v>
      </c>
    </row>
    <row r="2479" spans="1:40">
      <c r="A2479" t="s">
        <v>8081</v>
      </c>
      <c r="B2479" t="s">
        <v>8311</v>
      </c>
      <c r="C2479" t="s">
        <v>8312</v>
      </c>
      <c r="D2479" t="s">
        <v>52</v>
      </c>
      <c r="E2479" t="s">
        <v>8306</v>
      </c>
      <c r="F2479" t="s">
        <v>45</v>
      </c>
      <c r="G2479" t="str">
        <f>HYPERLINK("https://twitter.com/796764281773682688/status/1142991154570567680")</f>
        <v>https://twitter.com/796764281773682688/status/1142991154570567680</v>
      </c>
      <c r="H2479" t="s">
        <v>46</v>
      </c>
      <c r="I2479" t="s">
        <v>2934</v>
      </c>
      <c r="J2479" t="str">
        <f>HYPERLINK("http://twitter.com/its_bruno1")</f>
        <v>http://twitter.com/its_bruno1</v>
      </c>
      <c r="K2479">
        <v>574</v>
      </c>
      <c r="L2479" t="s">
        <v>48</v>
      </c>
      <c r="N2479" t="s">
        <v>65</v>
      </c>
      <c r="R2479" t="s">
        <v>60</v>
      </c>
      <c r="S2479" t="s">
        <v>432</v>
      </c>
      <c r="T2479" t="s">
        <v>433</v>
      </c>
      <c r="U2479" t="s">
        <v>8316</v>
      </c>
      <c r="W2479">
        <v>0</v>
      </c>
      <c r="X2479">
        <v>0</v>
      </c>
      <c r="AE2479">
        <v>0</v>
      </c>
      <c r="AF2479">
        <v>0</v>
      </c>
      <c r="AM2479" t="s">
        <v>52</v>
      </c>
      <c r="AN2479" t="s">
        <v>53</v>
      </c>
    </row>
    <row r="2480" spans="1:40">
      <c r="A2480" t="s">
        <v>8081</v>
      </c>
      <c r="B2480" t="s">
        <v>8311</v>
      </c>
      <c r="C2480" t="s">
        <v>8312</v>
      </c>
      <c r="D2480" t="s">
        <v>52</v>
      </c>
      <c r="E2480" t="s">
        <v>8317</v>
      </c>
      <c r="F2480" t="s">
        <v>71</v>
      </c>
      <c r="G2480" t="str">
        <f>HYPERLINK("https://twitter.com/999106853543038976/status/1142991155841458176")</f>
        <v>https://twitter.com/999106853543038976/status/1142991155841458176</v>
      </c>
      <c r="H2480" t="s">
        <v>46</v>
      </c>
      <c r="I2480" t="s">
        <v>8262</v>
      </c>
      <c r="J2480" t="str">
        <f>HYPERLINK("http://twitter.com/SHllMADA")</f>
        <v>http://twitter.com/SHllMADA</v>
      </c>
      <c r="K2480">
        <v>56</v>
      </c>
      <c r="N2480" t="s">
        <v>65</v>
      </c>
      <c r="R2480" t="s">
        <v>60</v>
      </c>
      <c r="W2480">
        <v>0</v>
      </c>
      <c r="X2480">
        <v>0</v>
      </c>
      <c r="AE2480">
        <v>0</v>
      </c>
      <c r="AF2480">
        <v>0</v>
      </c>
      <c r="AM2480" t="s">
        <v>52</v>
      </c>
      <c r="AN2480" t="s">
        <v>53</v>
      </c>
    </row>
    <row r="2481" spans="1:40">
      <c r="A2481" t="s">
        <v>8081</v>
      </c>
      <c r="B2481" t="s">
        <v>8311</v>
      </c>
      <c r="C2481" t="s">
        <v>8318</v>
      </c>
      <c r="D2481" t="s">
        <v>52</v>
      </c>
      <c r="E2481" t="s">
        <v>8319</v>
      </c>
      <c r="F2481" t="s">
        <v>45</v>
      </c>
      <c r="G2481" t="str">
        <f>HYPERLINK("https://twitter.com/776296849720299520/status/1142991018125434881")</f>
        <v>https://twitter.com/776296849720299520/status/1142991018125434881</v>
      </c>
      <c r="H2481" t="s">
        <v>46</v>
      </c>
      <c r="I2481" t="s">
        <v>8320</v>
      </c>
      <c r="J2481" t="str">
        <f>HYPERLINK("http://twitter.com/phoebejoiner")</f>
        <v>http://twitter.com/phoebejoiner</v>
      </c>
      <c r="K2481">
        <v>16</v>
      </c>
      <c r="L2481" t="s">
        <v>58</v>
      </c>
      <c r="N2481" t="s">
        <v>65</v>
      </c>
      <c r="R2481" t="s">
        <v>60</v>
      </c>
      <c r="W2481">
        <v>6</v>
      </c>
      <c r="X2481">
        <v>6</v>
      </c>
      <c r="AE2481">
        <v>1</v>
      </c>
      <c r="AF2481">
        <v>0</v>
      </c>
      <c r="AM2481" t="s">
        <v>52</v>
      </c>
      <c r="AN2481" t="s">
        <v>53</v>
      </c>
    </row>
    <row r="2482" spans="1:40">
      <c r="A2482" t="s">
        <v>8081</v>
      </c>
      <c r="B2482" t="s">
        <v>8311</v>
      </c>
      <c r="C2482" t="s">
        <v>8321</v>
      </c>
      <c r="D2482" t="s">
        <v>52</v>
      </c>
      <c r="E2482" t="s">
        <v>8322</v>
      </c>
      <c r="F2482" t="s">
        <v>45</v>
      </c>
      <c r="G2482" t="str">
        <f>HYPERLINK("https://www.instagram.com/p/BzE5_qfh1P5")</f>
        <v>https://www.instagram.com/p/BzE5_qfh1P5</v>
      </c>
      <c r="H2482" t="s">
        <v>46</v>
      </c>
      <c r="I2482" t="s">
        <v>8323</v>
      </c>
      <c r="J2482" t="str">
        <f>HYPERLINK("http://instagram.com/raising.sweet.ones")</f>
        <v>http://instagram.com/raising.sweet.ones</v>
      </c>
      <c r="K2482">
        <v>168</v>
      </c>
      <c r="L2482" t="s">
        <v>58</v>
      </c>
      <c r="N2482" t="s">
        <v>59</v>
      </c>
      <c r="O2482" t="s">
        <v>8323</v>
      </c>
      <c r="P2482" t="str">
        <f>HYPERLINK("http://instagram.com/raising.sweet.ones")</f>
        <v>http://instagram.com/raising.sweet.ones</v>
      </c>
      <c r="Q2482">
        <v>168</v>
      </c>
      <c r="R2482" t="s">
        <v>60</v>
      </c>
      <c r="W2482">
        <v>35</v>
      </c>
      <c r="X2482">
        <v>35</v>
      </c>
      <c r="AE2482">
        <v>5</v>
      </c>
      <c r="AI2482" t="s">
        <v>52</v>
      </c>
      <c r="AJ2482" t="s">
        <v>52</v>
      </c>
      <c r="AK2482" t="s">
        <v>8324</v>
      </c>
      <c r="AL2482" t="str">
        <f>HYPERLINK("https://www.instagram.com/p/BzE5_qfh1P5/media/?size=l")</f>
        <v>https://www.instagram.com/p/BzE5_qfh1P5/media/?size=l</v>
      </c>
      <c r="AM2482" t="s">
        <v>52</v>
      </c>
      <c r="AN2482" t="s">
        <v>53</v>
      </c>
    </row>
    <row r="2483" spans="1:40">
      <c r="A2483" t="s">
        <v>8081</v>
      </c>
      <c r="B2483" t="s">
        <v>2640</v>
      </c>
      <c r="C2483" t="s">
        <v>8325</v>
      </c>
      <c r="D2483" t="s">
        <v>8326</v>
      </c>
      <c r="E2483" t="s">
        <v>8326</v>
      </c>
      <c r="F2483" t="s">
        <v>45</v>
      </c>
      <c r="G2483" t="str">
        <f>HYPERLINK("https://www.youtube.com/watch?v=wpIDhBrQ9N0")</f>
        <v>https://www.youtube.com/watch?v=wpIDhBrQ9N0</v>
      </c>
      <c r="H2483" t="s">
        <v>215</v>
      </c>
      <c r="I2483" t="s">
        <v>8327</v>
      </c>
      <c r="J2483" t="str">
        <f>HYPERLINK("https://www.youtube.com/channel/UCaImNUaG6817GxWuRIE8Okg")</f>
        <v>https://www.youtube.com/channel/UCaImNUaG6817GxWuRIE8Okg</v>
      </c>
      <c r="K2483">
        <v>1</v>
      </c>
      <c r="N2483" t="s">
        <v>116</v>
      </c>
      <c r="O2483" t="s">
        <v>8327</v>
      </c>
      <c r="P2483" t="str">
        <f>HYPERLINK("https://www.youtube.com/channel/UCaImNUaG6817GxWuRIE8Okg")</f>
        <v>https://www.youtube.com/channel/UCaImNUaG6817GxWuRIE8Okg</v>
      </c>
      <c r="Q2483">
        <v>1</v>
      </c>
      <c r="R2483" t="s">
        <v>60</v>
      </c>
      <c r="W2483">
        <v>0</v>
      </c>
      <c r="X2483">
        <v>0</v>
      </c>
      <c r="AD2483">
        <v>0</v>
      </c>
      <c r="AE2483">
        <v>0</v>
      </c>
      <c r="AG2483">
        <v>0</v>
      </c>
      <c r="AI2483" t="s">
        <v>108</v>
      </c>
      <c r="AJ2483" t="s">
        <v>1182</v>
      </c>
      <c r="AK2483" t="s">
        <v>52</v>
      </c>
      <c r="AL2483" t="str">
        <f>HYPERLINK("https://i.ytimg.com/vi/wpIDhBrQ9N0/sddefault.jpg")</f>
        <v>https://i.ytimg.com/vi/wpIDhBrQ9N0/sddefault.jpg</v>
      </c>
      <c r="AM2483" t="s">
        <v>52</v>
      </c>
      <c r="AN2483" t="s">
        <v>53</v>
      </c>
    </row>
    <row r="2484" spans="1:40">
      <c r="A2484" t="s">
        <v>8081</v>
      </c>
      <c r="B2484" t="s">
        <v>2644</v>
      </c>
      <c r="C2484" t="s">
        <v>8328</v>
      </c>
      <c r="D2484" t="s">
        <v>52</v>
      </c>
      <c r="E2484" t="s">
        <v>8298</v>
      </c>
      <c r="F2484" t="s">
        <v>131</v>
      </c>
      <c r="G2484" t="str">
        <f>HYPERLINK("https://twitter.com/19564764/status/1142990547788996609")</f>
        <v>https://twitter.com/19564764/status/1142990547788996609</v>
      </c>
      <c r="H2484" t="s">
        <v>46</v>
      </c>
      <c r="I2484" t="s">
        <v>8329</v>
      </c>
      <c r="J2484" t="str">
        <f>HYPERLINK("http://twitter.com/RiotGrlErin")</f>
        <v>http://twitter.com/RiotGrlErin</v>
      </c>
      <c r="K2484">
        <v>14155</v>
      </c>
      <c r="N2484" t="s">
        <v>65</v>
      </c>
      <c r="R2484" t="s">
        <v>60</v>
      </c>
      <c r="W2484">
        <v>0</v>
      </c>
      <c r="X2484">
        <v>0</v>
      </c>
      <c r="AE2484">
        <v>0</v>
      </c>
      <c r="AI2484" t="s">
        <v>52</v>
      </c>
      <c r="AJ2484" t="s">
        <v>52</v>
      </c>
      <c r="AK2484" t="s">
        <v>52</v>
      </c>
      <c r="AL2484" t="str">
        <f>HYPERLINK("https://pbs.twimg.com/tweet_video_thumb/D9y3rWvUcAAKDax.jpg")</f>
        <v>https://pbs.twimg.com/tweet_video_thumb/D9y3rWvUcAAKDax.jpg</v>
      </c>
      <c r="AM2484" t="s">
        <v>52</v>
      </c>
      <c r="AN2484" t="s">
        <v>53</v>
      </c>
    </row>
    <row r="2485" spans="1:40">
      <c r="A2485" t="s">
        <v>8081</v>
      </c>
      <c r="B2485" t="s">
        <v>2654</v>
      </c>
      <c r="C2485" t="s">
        <v>8312</v>
      </c>
      <c r="D2485" t="s">
        <v>52</v>
      </c>
      <c r="E2485" t="s">
        <v>8330</v>
      </c>
      <c r="F2485" t="s">
        <v>45</v>
      </c>
      <c r="G2485" t="str">
        <f>HYPERLINK("https://twitter.com/967101210347044864/status/1142990412707172352")</f>
        <v>https://twitter.com/967101210347044864/status/1142990412707172352</v>
      </c>
      <c r="H2485" t="s">
        <v>46</v>
      </c>
      <c r="I2485" t="s">
        <v>8331</v>
      </c>
      <c r="J2485" t="str">
        <f>HYPERLINK("http://twitter.com/mexicandylady")</f>
        <v>http://twitter.com/mexicandylady</v>
      </c>
      <c r="K2485">
        <v>60</v>
      </c>
      <c r="N2485" t="s">
        <v>65</v>
      </c>
      <c r="R2485" t="s">
        <v>60</v>
      </c>
      <c r="S2485" t="s">
        <v>51</v>
      </c>
      <c r="T2485" t="s">
        <v>152</v>
      </c>
      <c r="W2485">
        <v>1</v>
      </c>
      <c r="X2485">
        <v>1</v>
      </c>
      <c r="AE2485">
        <v>0</v>
      </c>
      <c r="AF2485">
        <v>0</v>
      </c>
      <c r="AI2485" t="s">
        <v>108</v>
      </c>
      <c r="AJ2485" t="s">
        <v>659</v>
      </c>
      <c r="AK2485" t="s">
        <v>52</v>
      </c>
      <c r="AL2485" t="str">
        <f>HYPERLINK("https://pbs.twimg.com/media/D9y3tlUX4AE2Yqm.jpg")</f>
        <v>https://pbs.twimg.com/media/D9y3tlUX4AE2Yqm.jpg</v>
      </c>
      <c r="AM2485" t="s">
        <v>52</v>
      </c>
      <c r="AN2485" t="s">
        <v>53</v>
      </c>
    </row>
    <row r="2486" spans="1:40">
      <c r="A2486" t="s">
        <v>8081</v>
      </c>
      <c r="B2486" t="s">
        <v>2671</v>
      </c>
      <c r="C2486" t="s">
        <v>4249</v>
      </c>
      <c r="D2486" t="s">
        <v>8219</v>
      </c>
      <c r="E2486" t="s">
        <v>8332</v>
      </c>
      <c r="F2486" t="s">
        <v>45</v>
      </c>
      <c r="G2486" t="str">
        <f>HYPERLINK("https://www.reddit.com/r/CasualUK/comments/c499kc/right_oiks_sick_of_small_crumbly_supermarket/?sort=new#thing_t1_ervwpof")</f>
        <v>https://www.reddit.com/r/CasualUK/comments/c499kc/right_oiks_sick_of_small_crumbly_supermarket/?sort=new#thing_t1_ervwpof</v>
      </c>
      <c r="H2486" t="s">
        <v>91</v>
      </c>
      <c r="I2486" t="s">
        <v>8333</v>
      </c>
      <c r="J2486" t="str">
        <f>HYPERLINK("https://www.reddit.com/r/CasualUK/comments/c499kc/right_oiks_sick_of_small_crumbly_supermarket/?sort=new#thing_t1_ervwpof")</f>
        <v>https://www.reddit.com/r/CasualUK/comments/c499kc/right_oiks_sick_of_small_crumbly_supermarket/?sort=new#thing_t1_ervwpof</v>
      </c>
      <c r="N2486" t="s">
        <v>545</v>
      </c>
      <c r="O2486" t="s">
        <v>8222</v>
      </c>
      <c r="P2486" t="str">
        <f>HYPERLINK("https://www.reddit.com/r/CasualUK/")</f>
        <v>https://www.reddit.com/r/CasualUK/</v>
      </c>
      <c r="R2486" t="s">
        <v>516</v>
      </c>
      <c r="S2486" t="s">
        <v>51</v>
      </c>
      <c r="AM2486" t="s">
        <v>52</v>
      </c>
      <c r="AN2486" t="s">
        <v>53</v>
      </c>
    </row>
    <row r="2487" spans="1:40">
      <c r="A2487" t="s">
        <v>8081</v>
      </c>
      <c r="B2487" t="s">
        <v>2683</v>
      </c>
      <c r="C2487" t="s">
        <v>8334</v>
      </c>
      <c r="D2487" t="s">
        <v>52</v>
      </c>
      <c r="E2487" t="s">
        <v>4514</v>
      </c>
      <c r="F2487" t="s">
        <v>71</v>
      </c>
      <c r="G2487" t="str">
        <f>HYPERLINK("https://twitter.com/2892724237/status/1142989453666877440")</f>
        <v>https://twitter.com/2892724237/status/1142989453666877440</v>
      </c>
      <c r="H2487" t="s">
        <v>46</v>
      </c>
      <c r="I2487" t="s">
        <v>8335</v>
      </c>
      <c r="J2487" t="str">
        <f>HYPERLINK("http://twitter.com/Irissssshhhhhhh")</f>
        <v>http://twitter.com/Irissssshhhhhhh</v>
      </c>
      <c r="K2487">
        <v>1401</v>
      </c>
      <c r="N2487" t="s">
        <v>65</v>
      </c>
      <c r="R2487" t="s">
        <v>60</v>
      </c>
      <c r="S2487" t="s">
        <v>387</v>
      </c>
      <c r="T2487" t="s">
        <v>388</v>
      </c>
      <c r="U2487" t="s">
        <v>8336</v>
      </c>
      <c r="W2487">
        <v>0</v>
      </c>
      <c r="X2487">
        <v>0</v>
      </c>
      <c r="AE2487">
        <v>0</v>
      </c>
      <c r="AF2487">
        <v>0</v>
      </c>
      <c r="AI2487" t="s">
        <v>108</v>
      </c>
      <c r="AJ2487" t="s">
        <v>52</v>
      </c>
      <c r="AK2487" t="s">
        <v>52</v>
      </c>
      <c r="AL2487" t="str">
        <f>HYPERLINK("https://pbs.twimg.com/tweet_video_thumb/D9hvNNzXUAATAS3.jpg")</f>
        <v>https://pbs.twimg.com/tweet_video_thumb/D9hvNNzXUAATAS3.jpg</v>
      </c>
      <c r="AM2487" t="s">
        <v>52</v>
      </c>
      <c r="AN2487" t="s">
        <v>53</v>
      </c>
    </row>
    <row r="2488" spans="1:40">
      <c r="A2488" t="s">
        <v>8081</v>
      </c>
      <c r="B2488" t="s">
        <v>2683</v>
      </c>
      <c r="C2488" t="s">
        <v>8337</v>
      </c>
      <c r="D2488" t="s">
        <v>52</v>
      </c>
      <c r="E2488" t="s">
        <v>8338</v>
      </c>
      <c r="F2488" t="s">
        <v>45</v>
      </c>
      <c r="G2488" t="str">
        <f>HYPERLINK("https://www.instagram.com/p/BzE5QkAJILF")</f>
        <v>https://www.instagram.com/p/BzE5QkAJILF</v>
      </c>
      <c r="H2488" t="s">
        <v>46</v>
      </c>
      <c r="I2488" t="s">
        <v>8339</v>
      </c>
      <c r="J2488" t="str">
        <f>HYPERLINK("http://instagram.com/almofti8872")</f>
        <v>http://instagram.com/almofti8872</v>
      </c>
      <c r="K2488">
        <v>10</v>
      </c>
      <c r="L2488" t="s">
        <v>58</v>
      </c>
      <c r="N2488" t="s">
        <v>59</v>
      </c>
      <c r="O2488" t="s">
        <v>8339</v>
      </c>
      <c r="P2488" t="str">
        <f>HYPERLINK("http://instagram.com/almofti8872")</f>
        <v>http://instagram.com/almofti8872</v>
      </c>
      <c r="Q2488">
        <v>10</v>
      </c>
      <c r="R2488" t="s">
        <v>60</v>
      </c>
      <c r="W2488">
        <v>9</v>
      </c>
      <c r="X2488">
        <v>9</v>
      </c>
      <c r="AE2488">
        <v>1</v>
      </c>
      <c r="AI2488" t="s">
        <v>52</v>
      </c>
      <c r="AJ2488" t="s">
        <v>2277</v>
      </c>
      <c r="AK2488" t="s">
        <v>52</v>
      </c>
      <c r="AL2488" t="str">
        <f>HYPERLINK("https://www.instagram.com/p/BzE5QkAJILF/media/?size=l")</f>
        <v>https://www.instagram.com/p/BzE5QkAJILF/media/?size=l</v>
      </c>
      <c r="AM2488" t="s">
        <v>52</v>
      </c>
      <c r="AN2488" t="s">
        <v>53</v>
      </c>
    </row>
    <row r="2489" spans="1:40">
      <c r="A2489" t="s">
        <v>8081</v>
      </c>
      <c r="B2489" t="s">
        <v>2683</v>
      </c>
      <c r="C2489" t="s">
        <v>8340</v>
      </c>
      <c r="D2489" t="s">
        <v>52</v>
      </c>
      <c r="E2489" t="s">
        <v>8341</v>
      </c>
      <c r="F2489" t="s">
        <v>45</v>
      </c>
      <c r="G2489" t="str">
        <f>HYPERLINK("https://twitter.com/37320177/status/1142989309567479809")</f>
        <v>https://twitter.com/37320177/status/1142989309567479809</v>
      </c>
      <c r="H2489" t="s">
        <v>46</v>
      </c>
      <c r="I2489" t="s">
        <v>8342</v>
      </c>
      <c r="J2489" t="str">
        <f>HYPERLINK("http://twitter.com/CloutChasing")</f>
        <v>http://twitter.com/CloutChasing</v>
      </c>
      <c r="K2489">
        <v>1211</v>
      </c>
      <c r="N2489" t="s">
        <v>65</v>
      </c>
      <c r="R2489" t="s">
        <v>60</v>
      </c>
      <c r="S2489" t="s">
        <v>51</v>
      </c>
      <c r="T2489" t="s">
        <v>490</v>
      </c>
      <c r="U2489" t="s">
        <v>8343</v>
      </c>
      <c r="W2489">
        <v>2</v>
      </c>
      <c r="X2489">
        <v>2</v>
      </c>
      <c r="AE2489">
        <v>0</v>
      </c>
      <c r="AF2489">
        <v>0</v>
      </c>
      <c r="AM2489" t="s">
        <v>52</v>
      </c>
      <c r="AN2489" t="s">
        <v>53</v>
      </c>
    </row>
    <row r="2490" spans="1:40">
      <c r="A2490" t="s">
        <v>8081</v>
      </c>
      <c r="B2490" t="s">
        <v>8344</v>
      </c>
      <c r="C2490" t="s">
        <v>6881</v>
      </c>
      <c r="D2490" t="s">
        <v>8345</v>
      </c>
      <c r="E2490" t="s">
        <v>8346</v>
      </c>
      <c r="F2490" t="s">
        <v>45</v>
      </c>
      <c r="G2490" t="str">
        <f>HYPERLINK("https://www.talkclassical.com/62063-completions-good-hoaxes-mistaken-post1659624.html#postcount1659601")</f>
        <v>https://www.talkclassical.com/62063-completions-good-hoaxes-mistaken-post1659624.html#postcount1659601</v>
      </c>
      <c r="H2490" t="s">
        <v>46</v>
      </c>
      <c r="I2490" t="s">
        <v>8347</v>
      </c>
      <c r="J2490" t="str">
        <f>HYPERLINK("https://www.talkclassical.com/62063-completions-good-hoaxes-mistaken-post1659624.html#postcount1659601")</f>
        <v>https://www.talkclassical.com/62063-completions-good-hoaxes-mistaken-post1659624.html#postcount1659601</v>
      </c>
      <c r="N2490" t="s">
        <v>8348</v>
      </c>
      <c r="O2490" t="s">
        <v>8349</v>
      </c>
      <c r="P2490" t="str">
        <f>HYPERLINK("https://www.talkclassical.com/classical-music-discussion/")</f>
        <v>https://www.talkclassical.com/classical-music-discussion/</v>
      </c>
      <c r="R2490" t="s">
        <v>516</v>
      </c>
      <c r="S2490" t="s">
        <v>51</v>
      </c>
      <c r="AM2490" t="s">
        <v>52</v>
      </c>
      <c r="AN2490" t="s">
        <v>53</v>
      </c>
    </row>
    <row r="2491" spans="1:40">
      <c r="A2491" t="s">
        <v>8081</v>
      </c>
      <c r="B2491" t="s">
        <v>8344</v>
      </c>
      <c r="C2491" t="s">
        <v>6873</v>
      </c>
      <c r="D2491" t="s">
        <v>8345</v>
      </c>
      <c r="E2491" t="s">
        <v>8346</v>
      </c>
      <c r="F2491" t="s">
        <v>45</v>
      </c>
      <c r="G2491" t="str">
        <f>HYPERLINK("https://www.talkclassical.com/62063-completions-good-hoaxes-mistaken-post1659606.html#postcount1659601")</f>
        <v>https://www.talkclassical.com/62063-completions-good-hoaxes-mistaken-post1659606.html#postcount1659601</v>
      </c>
      <c r="H2491" t="s">
        <v>46</v>
      </c>
      <c r="I2491" t="s">
        <v>8347</v>
      </c>
      <c r="J2491" t="str">
        <f>HYPERLINK("https://www.talkclassical.com/62063-completions-good-hoaxes-mistaken-post1659606.html#postcount1659601")</f>
        <v>https://www.talkclassical.com/62063-completions-good-hoaxes-mistaken-post1659606.html#postcount1659601</v>
      </c>
      <c r="N2491" t="s">
        <v>8348</v>
      </c>
      <c r="O2491" t="s">
        <v>8350</v>
      </c>
      <c r="P2491" t="str">
        <f>HYPERLINK("https://www.talkclassical.com/music-and-repertoire/")</f>
        <v>https://www.talkclassical.com/music-and-repertoire/</v>
      </c>
      <c r="R2491" t="s">
        <v>516</v>
      </c>
      <c r="S2491" t="s">
        <v>51</v>
      </c>
      <c r="AM2491" t="s">
        <v>52</v>
      </c>
      <c r="AN2491" t="s">
        <v>53</v>
      </c>
    </row>
    <row r="2492" spans="1:40">
      <c r="A2492" t="s">
        <v>8081</v>
      </c>
      <c r="B2492" t="s">
        <v>8351</v>
      </c>
      <c r="C2492" t="s">
        <v>8352</v>
      </c>
      <c r="D2492" t="s">
        <v>52</v>
      </c>
      <c r="E2492" t="s">
        <v>8353</v>
      </c>
      <c r="F2492" t="s">
        <v>45</v>
      </c>
      <c r="G2492" t="str">
        <f>HYPERLINK("https://twitter.com/30666106/status/1142988845786521600")</f>
        <v>https://twitter.com/30666106/status/1142988845786521600</v>
      </c>
      <c r="H2492" t="s">
        <v>46</v>
      </c>
      <c r="I2492" t="s">
        <v>8354</v>
      </c>
      <c r="J2492" t="str">
        <f>HYPERLINK("http://twitter.com/Lorraine_Ruth")</f>
        <v>http://twitter.com/Lorraine_Ruth</v>
      </c>
      <c r="K2492">
        <v>430</v>
      </c>
      <c r="N2492" t="s">
        <v>65</v>
      </c>
      <c r="R2492" t="s">
        <v>60</v>
      </c>
      <c r="S2492" t="s">
        <v>51</v>
      </c>
      <c r="T2492" t="s">
        <v>4893</v>
      </c>
      <c r="U2492" t="s">
        <v>8355</v>
      </c>
      <c r="W2492">
        <v>1</v>
      </c>
      <c r="X2492">
        <v>1</v>
      </c>
      <c r="AE2492">
        <v>0</v>
      </c>
      <c r="AF2492">
        <v>0</v>
      </c>
      <c r="AM2492" t="s">
        <v>52</v>
      </c>
      <c r="AN2492" t="s">
        <v>53</v>
      </c>
    </row>
    <row r="2493" spans="1:40">
      <c r="A2493" t="s">
        <v>8081</v>
      </c>
      <c r="B2493" t="s">
        <v>8351</v>
      </c>
      <c r="C2493" t="s">
        <v>7489</v>
      </c>
      <c r="D2493" t="s">
        <v>8000</v>
      </c>
      <c r="E2493" t="s">
        <v>8356</v>
      </c>
      <c r="F2493" t="s">
        <v>95</v>
      </c>
      <c r="G2493" t="str">
        <f>HYPERLINK("https://www.youtube.com/watch?v=Ch2IFmsv98k&amp;lc=Ugy5cKD28M2EeIx06D94AaABAg")</f>
        <v>https://www.youtube.com/watch?v=Ch2IFmsv98k&amp;lc=Ugy5cKD28M2EeIx06D94AaABAg</v>
      </c>
      <c r="H2493" t="s">
        <v>46</v>
      </c>
      <c r="I2493" t="s">
        <v>8357</v>
      </c>
      <c r="J2493" t="str">
        <f>HYPERLINK("https://www.youtube.com/channel/UCmKhv2LyWA7XpqB_X_iVnUw")</f>
        <v>https://www.youtube.com/channel/UCmKhv2LyWA7XpqB_X_iVnUw</v>
      </c>
      <c r="K2493">
        <v>23</v>
      </c>
      <c r="N2493" t="s">
        <v>116</v>
      </c>
      <c r="O2493" t="s">
        <v>8003</v>
      </c>
      <c r="P2493" t="str">
        <f>HYPERLINK("https://www.youtube.com/channel/UC2wKfjlioOCLP4xQMOWNcgg")</f>
        <v>https://www.youtube.com/channel/UC2wKfjlioOCLP4xQMOWNcgg</v>
      </c>
      <c r="Q2493">
        <v>8296636</v>
      </c>
      <c r="R2493" t="s">
        <v>60</v>
      </c>
      <c r="S2493" t="s">
        <v>444</v>
      </c>
      <c r="W2493">
        <v>3</v>
      </c>
      <c r="X2493">
        <v>3</v>
      </c>
      <c r="AE2493">
        <v>0</v>
      </c>
      <c r="AM2493" t="s">
        <v>52</v>
      </c>
      <c r="AN2493" t="s">
        <v>53</v>
      </c>
    </row>
    <row r="2494" spans="1:40">
      <c r="A2494" t="s">
        <v>8081</v>
      </c>
      <c r="B2494" t="s">
        <v>2691</v>
      </c>
      <c r="C2494" t="s">
        <v>8358</v>
      </c>
      <c r="D2494" t="s">
        <v>52</v>
      </c>
      <c r="E2494" t="s">
        <v>8359</v>
      </c>
      <c r="F2494" t="s">
        <v>95</v>
      </c>
      <c r="G2494" t="str">
        <f>HYPERLINK("https://twitter.com/632401661/status/1142988622150414337")</f>
        <v>https://twitter.com/632401661/status/1142988622150414337</v>
      </c>
      <c r="H2494" t="s">
        <v>46</v>
      </c>
      <c r="I2494" t="s">
        <v>8360</v>
      </c>
      <c r="J2494" t="str">
        <f>HYPERLINK("http://twitter.com/potatosalad_694")</f>
        <v>http://twitter.com/potatosalad_694</v>
      </c>
      <c r="K2494">
        <v>500</v>
      </c>
      <c r="N2494" t="s">
        <v>65</v>
      </c>
      <c r="R2494" t="s">
        <v>60</v>
      </c>
      <c r="S2494" t="s">
        <v>51</v>
      </c>
      <c r="T2494" t="s">
        <v>678</v>
      </c>
      <c r="U2494" t="s">
        <v>679</v>
      </c>
      <c r="W2494">
        <v>1</v>
      </c>
      <c r="X2494">
        <v>1</v>
      </c>
      <c r="AE2494">
        <v>1</v>
      </c>
      <c r="AF2494">
        <v>0</v>
      </c>
      <c r="AM2494" t="s">
        <v>52</v>
      </c>
      <c r="AN2494" t="s">
        <v>53</v>
      </c>
    </row>
    <row r="2495" spans="1:40">
      <c r="A2495" t="s">
        <v>8081</v>
      </c>
      <c r="B2495" t="s">
        <v>2691</v>
      </c>
      <c r="C2495" t="s">
        <v>8328</v>
      </c>
      <c r="D2495" t="s">
        <v>52</v>
      </c>
      <c r="E2495" t="s">
        <v>8361</v>
      </c>
      <c r="F2495" t="s">
        <v>45</v>
      </c>
      <c r="G2495" t="str">
        <f>HYPERLINK("https://twitter.com/702627992783233025/status/1142988527124307968")</f>
        <v>https://twitter.com/702627992783233025/status/1142988527124307968</v>
      </c>
      <c r="H2495" t="s">
        <v>46</v>
      </c>
      <c r="I2495" t="s">
        <v>8362</v>
      </c>
      <c r="J2495" t="str">
        <f>HYPERLINK("http://twitter.com/laulatorre2")</f>
        <v>http://twitter.com/laulatorre2</v>
      </c>
      <c r="K2495">
        <v>860</v>
      </c>
      <c r="N2495" t="s">
        <v>65</v>
      </c>
      <c r="R2495" t="s">
        <v>60</v>
      </c>
      <c r="W2495">
        <v>0</v>
      </c>
      <c r="X2495">
        <v>0</v>
      </c>
      <c r="AE2495">
        <v>0</v>
      </c>
      <c r="AF2495">
        <v>0</v>
      </c>
      <c r="AM2495" t="s">
        <v>52</v>
      </c>
      <c r="AN2495" t="s">
        <v>53</v>
      </c>
    </row>
    <row r="2496" spans="1:40">
      <c r="A2496" t="s">
        <v>8081</v>
      </c>
      <c r="B2496" t="s">
        <v>2691</v>
      </c>
      <c r="C2496" t="s">
        <v>8363</v>
      </c>
      <c r="D2496" t="s">
        <v>52</v>
      </c>
      <c r="E2496" t="s">
        <v>8364</v>
      </c>
      <c r="F2496" t="s">
        <v>45</v>
      </c>
      <c r="G2496" t="str">
        <f>HYPERLINK("https://www.instagram.com/p/BzE410nBtSC")</f>
        <v>https://www.instagram.com/p/BzE410nBtSC</v>
      </c>
      <c r="H2496" t="s">
        <v>46</v>
      </c>
      <c r="I2496" t="s">
        <v>8365</v>
      </c>
      <c r="J2496" t="str">
        <f>HYPERLINK("http://instagram.com/greatkingyoshi")</f>
        <v>http://instagram.com/greatkingyoshi</v>
      </c>
      <c r="K2496">
        <v>18</v>
      </c>
      <c r="N2496" t="s">
        <v>59</v>
      </c>
      <c r="O2496" t="s">
        <v>8365</v>
      </c>
      <c r="P2496" t="str">
        <f>HYPERLINK("http://instagram.com/greatkingyoshi")</f>
        <v>http://instagram.com/greatkingyoshi</v>
      </c>
      <c r="Q2496">
        <v>18</v>
      </c>
      <c r="R2496" t="s">
        <v>60</v>
      </c>
      <c r="W2496">
        <v>4</v>
      </c>
      <c r="X2496">
        <v>4</v>
      </c>
      <c r="AE2496">
        <v>0</v>
      </c>
      <c r="AI2496" t="s">
        <v>52</v>
      </c>
      <c r="AJ2496" t="s">
        <v>8366</v>
      </c>
      <c r="AK2496" t="s">
        <v>52</v>
      </c>
      <c r="AL2496" t="str">
        <f>HYPERLINK("https://www.instagram.com/p/BzE410nBtSC/media/?size=l")</f>
        <v>https://www.instagram.com/p/BzE410nBtSC/media/?size=l</v>
      </c>
      <c r="AM2496" t="s">
        <v>52</v>
      </c>
      <c r="AN2496" t="s">
        <v>53</v>
      </c>
    </row>
    <row r="2497" spans="1:40">
      <c r="A2497" t="s">
        <v>8081</v>
      </c>
      <c r="B2497" t="s">
        <v>2696</v>
      </c>
      <c r="C2497" t="s">
        <v>7105</v>
      </c>
      <c r="D2497" t="s">
        <v>52</v>
      </c>
      <c r="E2497" t="s">
        <v>8367</v>
      </c>
      <c r="F2497" t="s">
        <v>45</v>
      </c>
      <c r="G2497" t="str">
        <f>HYPERLINK("https://www.instagram.com/p/BzE4xEegWWC")</f>
        <v>https://www.instagram.com/p/BzE4xEegWWC</v>
      </c>
      <c r="H2497" t="s">
        <v>46</v>
      </c>
      <c r="I2497" t="s">
        <v>8368</v>
      </c>
      <c r="J2497" t="str">
        <f>HYPERLINK("http://instagram.com/wdwnt")</f>
        <v>http://instagram.com/wdwnt</v>
      </c>
      <c r="K2497">
        <v>123936</v>
      </c>
      <c r="N2497" t="s">
        <v>59</v>
      </c>
      <c r="O2497" t="s">
        <v>8368</v>
      </c>
      <c r="P2497" t="str">
        <f>HYPERLINK("http://instagram.com/wdwnt")</f>
        <v>http://instagram.com/wdwnt</v>
      </c>
      <c r="Q2497">
        <v>123936</v>
      </c>
      <c r="R2497" t="s">
        <v>60</v>
      </c>
      <c r="S2497" t="s">
        <v>51</v>
      </c>
      <c r="T2497" t="s">
        <v>73</v>
      </c>
      <c r="U2497" t="s">
        <v>8369</v>
      </c>
      <c r="W2497">
        <v>4831</v>
      </c>
      <c r="X2497">
        <v>4831</v>
      </c>
      <c r="AE2497">
        <v>79</v>
      </c>
      <c r="AI2497" t="s">
        <v>108</v>
      </c>
      <c r="AJ2497" t="s">
        <v>1763</v>
      </c>
      <c r="AK2497" t="s">
        <v>52</v>
      </c>
      <c r="AL2497" t="str">
        <f>HYPERLINK("https://www.instagram.com/p/BzE4xEegWWC/media/?size=l")</f>
        <v>https://www.instagram.com/p/BzE4xEegWWC/media/?size=l</v>
      </c>
      <c r="AM2497" t="s">
        <v>52</v>
      </c>
      <c r="AN2497" t="s">
        <v>53</v>
      </c>
    </row>
    <row r="2498" spans="1:40">
      <c r="A2498" t="s">
        <v>8081</v>
      </c>
      <c r="B2498" t="s">
        <v>2696</v>
      </c>
      <c r="C2498" t="s">
        <v>8334</v>
      </c>
      <c r="D2498" t="s">
        <v>52</v>
      </c>
      <c r="E2498" t="s">
        <v>466</v>
      </c>
      <c r="F2498" t="s">
        <v>131</v>
      </c>
      <c r="G2498" t="str">
        <f>HYPERLINK("https://twitter.com/750511053927178244/status/1142988295560806400")</f>
        <v>https://twitter.com/750511053927178244/status/1142988295560806400</v>
      </c>
      <c r="H2498" t="s">
        <v>46</v>
      </c>
      <c r="I2498" t="s">
        <v>6198</v>
      </c>
      <c r="J2498" t="str">
        <f>HYPERLINK("http://twitter.com/tomihoIInd")</f>
        <v>http://twitter.com/tomihoIInd</v>
      </c>
      <c r="K2498">
        <v>775</v>
      </c>
      <c r="N2498" t="s">
        <v>65</v>
      </c>
      <c r="R2498" t="s">
        <v>60</v>
      </c>
      <c r="W2498">
        <v>0</v>
      </c>
      <c r="X2498">
        <v>0</v>
      </c>
      <c r="AE2498">
        <v>0</v>
      </c>
      <c r="AI2498" t="s">
        <v>108</v>
      </c>
      <c r="AJ2498" t="s">
        <v>52</v>
      </c>
      <c r="AK2498" t="s">
        <v>110</v>
      </c>
      <c r="AL2498" t="str">
        <f>HYPERLINK("https://pbs.twimg.com/media/D9Ya7SQXUAEkrVl.jpg")</f>
        <v>https://pbs.twimg.com/media/D9Ya7SQXUAEkrVl.jpg</v>
      </c>
      <c r="AM2498" t="s">
        <v>52</v>
      </c>
      <c r="AN2498" t="s">
        <v>53</v>
      </c>
    </row>
    <row r="2499" spans="1:40">
      <c r="A2499" t="s">
        <v>8081</v>
      </c>
      <c r="B2499" t="s">
        <v>2696</v>
      </c>
      <c r="C2499" t="s">
        <v>8340</v>
      </c>
      <c r="D2499" t="s">
        <v>52</v>
      </c>
      <c r="E2499" t="s">
        <v>1194</v>
      </c>
      <c r="F2499" t="s">
        <v>131</v>
      </c>
      <c r="G2499" t="str">
        <f>HYPERLINK("https://twitter.com/276396900/status/1142988222689157125")</f>
        <v>https://twitter.com/276396900/status/1142988222689157125</v>
      </c>
      <c r="H2499" t="s">
        <v>46</v>
      </c>
      <c r="I2499" t="s">
        <v>8370</v>
      </c>
      <c r="J2499" t="str">
        <f>HYPERLINK("http://twitter.com/JaysAndFades")</f>
        <v>http://twitter.com/JaysAndFades</v>
      </c>
      <c r="K2499">
        <v>3540</v>
      </c>
      <c r="N2499" t="s">
        <v>65</v>
      </c>
      <c r="R2499" t="s">
        <v>60</v>
      </c>
      <c r="S2499" t="s">
        <v>6867</v>
      </c>
      <c r="T2499" t="s">
        <v>8371</v>
      </c>
      <c r="U2499" t="s">
        <v>8372</v>
      </c>
      <c r="W2499">
        <v>0</v>
      </c>
      <c r="X2499">
        <v>0</v>
      </c>
      <c r="AE2499">
        <v>0</v>
      </c>
      <c r="AI2499" t="s">
        <v>52</v>
      </c>
      <c r="AJ2499" t="s">
        <v>1196</v>
      </c>
      <c r="AK2499" t="s">
        <v>52</v>
      </c>
      <c r="AL2499" t="str">
        <f>HYPERLINK("https://pbs.twimg.com/media/D9xgk2YXkAAd2ql.jpg")</f>
        <v>https://pbs.twimg.com/media/D9xgk2YXkAAd2ql.jpg</v>
      </c>
      <c r="AM2499" t="s">
        <v>52</v>
      </c>
      <c r="AN2499" t="s">
        <v>53</v>
      </c>
    </row>
    <row r="2500" spans="1:40">
      <c r="A2500" t="s">
        <v>8081</v>
      </c>
      <c r="B2500" t="s">
        <v>2704</v>
      </c>
      <c r="C2500" t="s">
        <v>8373</v>
      </c>
      <c r="D2500" t="s">
        <v>52</v>
      </c>
      <c r="E2500" t="s">
        <v>8374</v>
      </c>
      <c r="F2500" t="s">
        <v>71</v>
      </c>
      <c r="G2500" t="str">
        <f>HYPERLINK("https://twitter.com/424707033/status/1142988178149826561")</f>
        <v>https://twitter.com/424707033/status/1142988178149826561</v>
      </c>
      <c r="H2500" t="s">
        <v>46</v>
      </c>
      <c r="I2500" t="s">
        <v>8375</v>
      </c>
      <c r="J2500" t="str">
        <f>HYPERLINK("http://twitter.com/ArielGravely")</f>
        <v>http://twitter.com/ArielGravely</v>
      </c>
      <c r="K2500">
        <v>453</v>
      </c>
      <c r="N2500" t="s">
        <v>65</v>
      </c>
      <c r="R2500" t="s">
        <v>60</v>
      </c>
      <c r="W2500">
        <v>9</v>
      </c>
      <c r="X2500">
        <v>9</v>
      </c>
      <c r="AE2500">
        <v>0</v>
      </c>
      <c r="AF2500">
        <v>0</v>
      </c>
      <c r="AI2500" t="s">
        <v>52</v>
      </c>
      <c r="AJ2500" t="s">
        <v>1196</v>
      </c>
      <c r="AK2500" t="s">
        <v>52</v>
      </c>
      <c r="AL2500" t="str">
        <f>HYPERLINK("https://pbs.twimg.com/media/D9xgk2YXkAAd2ql.jpg")</f>
        <v>https://pbs.twimg.com/media/D9xgk2YXkAAd2ql.jpg</v>
      </c>
      <c r="AM2500" t="s">
        <v>52</v>
      </c>
      <c r="AN2500" t="s">
        <v>53</v>
      </c>
    </row>
    <row r="2501" spans="1:40">
      <c r="A2501" t="s">
        <v>8081</v>
      </c>
      <c r="B2501" t="s">
        <v>2704</v>
      </c>
      <c r="C2501" t="s">
        <v>8376</v>
      </c>
      <c r="D2501" t="s">
        <v>52</v>
      </c>
      <c r="E2501" t="s">
        <v>8377</v>
      </c>
      <c r="F2501" t="s">
        <v>95</v>
      </c>
      <c r="G2501" t="str">
        <f>HYPERLINK("https://twitter.com/293101650/status/1142988036088745984")</f>
        <v>https://twitter.com/293101650/status/1142988036088745984</v>
      </c>
      <c r="H2501" t="s">
        <v>46</v>
      </c>
      <c r="I2501" t="s">
        <v>8378</v>
      </c>
      <c r="J2501" t="str">
        <f>HYPERLINK("http://twitter.com/TouchTheBanner")</f>
        <v>http://twitter.com/TouchTheBanner</v>
      </c>
      <c r="K2501">
        <v>6065</v>
      </c>
      <c r="N2501" t="s">
        <v>65</v>
      </c>
      <c r="R2501" t="s">
        <v>60</v>
      </c>
      <c r="S2501" t="s">
        <v>51</v>
      </c>
      <c r="W2501">
        <v>1</v>
      </c>
      <c r="X2501">
        <v>1</v>
      </c>
      <c r="AE2501">
        <v>0</v>
      </c>
      <c r="AF2501">
        <v>0</v>
      </c>
      <c r="AM2501" t="s">
        <v>52</v>
      </c>
      <c r="AN2501" t="s">
        <v>53</v>
      </c>
    </row>
    <row r="2502" spans="1:40">
      <c r="A2502" t="s">
        <v>8081</v>
      </c>
      <c r="B2502" t="s">
        <v>2704</v>
      </c>
      <c r="C2502" t="s">
        <v>8379</v>
      </c>
      <c r="D2502" t="s">
        <v>52</v>
      </c>
      <c r="E2502" t="s">
        <v>8380</v>
      </c>
      <c r="F2502" t="s">
        <v>45</v>
      </c>
      <c r="G2502" t="str">
        <f>HYPERLINK("https://twitter.com/187825932/status/1142987985610321932")</f>
        <v>https://twitter.com/187825932/status/1142987985610321932</v>
      </c>
      <c r="H2502" t="s">
        <v>46</v>
      </c>
      <c r="I2502" t="s">
        <v>8381</v>
      </c>
      <c r="J2502" t="str">
        <f>HYPERLINK("http://twitter.com/wantsmorenachos")</f>
        <v>http://twitter.com/wantsmorenachos</v>
      </c>
      <c r="K2502">
        <v>649</v>
      </c>
      <c r="L2502" t="s">
        <v>48</v>
      </c>
      <c r="N2502" t="s">
        <v>65</v>
      </c>
      <c r="R2502" t="s">
        <v>60</v>
      </c>
      <c r="S2502" t="s">
        <v>51</v>
      </c>
      <c r="T2502" t="s">
        <v>73</v>
      </c>
      <c r="U2502" t="s">
        <v>3854</v>
      </c>
      <c r="W2502">
        <v>2</v>
      </c>
      <c r="X2502">
        <v>2</v>
      </c>
      <c r="AE2502">
        <v>0</v>
      </c>
      <c r="AF2502">
        <v>0</v>
      </c>
      <c r="AM2502" t="s">
        <v>52</v>
      </c>
      <c r="AN2502" t="s">
        <v>53</v>
      </c>
    </row>
    <row r="2503" spans="1:40">
      <c r="A2503" t="s">
        <v>8081</v>
      </c>
      <c r="B2503" t="s">
        <v>2704</v>
      </c>
      <c r="C2503" t="s">
        <v>6881</v>
      </c>
      <c r="D2503" t="s">
        <v>8382</v>
      </c>
      <c r="E2503" t="s">
        <v>8383</v>
      </c>
      <c r="F2503" t="s">
        <v>45</v>
      </c>
      <c r="G2503" t="str">
        <f>HYPERLINK("http://www.scandinavianhomestaging.com/dva-gremlin.html")</f>
        <v>http://www.scandinavianhomestaging.com/dva-gremlin.html</v>
      </c>
      <c r="H2503" t="s">
        <v>46</v>
      </c>
      <c r="N2503" t="s">
        <v>7165</v>
      </c>
      <c r="R2503" t="s">
        <v>50</v>
      </c>
      <c r="S2503" t="s">
        <v>51</v>
      </c>
      <c r="AM2503" t="s">
        <v>52</v>
      </c>
      <c r="AN2503" t="s">
        <v>53</v>
      </c>
    </row>
    <row r="2504" spans="1:40">
      <c r="A2504" t="s">
        <v>8081</v>
      </c>
      <c r="B2504" t="s">
        <v>2711</v>
      </c>
      <c r="C2504" t="s">
        <v>8376</v>
      </c>
      <c r="D2504" t="s">
        <v>52</v>
      </c>
      <c r="E2504" t="s">
        <v>8384</v>
      </c>
      <c r="F2504" t="s">
        <v>95</v>
      </c>
      <c r="G2504" t="str">
        <f>HYPERLINK("https://twitter.com/3276600829/status/1142987944782913537")</f>
        <v>https://twitter.com/3276600829/status/1142987944782913537</v>
      </c>
      <c r="H2504" t="s">
        <v>46</v>
      </c>
      <c r="I2504" t="s">
        <v>8385</v>
      </c>
      <c r="J2504" t="str">
        <f>HYPERLINK("http://twitter.com/thelordofdarkn3")</f>
        <v>http://twitter.com/thelordofdarkn3</v>
      </c>
      <c r="K2504">
        <v>34</v>
      </c>
      <c r="N2504" t="s">
        <v>65</v>
      </c>
      <c r="R2504" t="s">
        <v>60</v>
      </c>
      <c r="W2504">
        <v>0</v>
      </c>
      <c r="X2504">
        <v>0</v>
      </c>
      <c r="AE2504">
        <v>0</v>
      </c>
      <c r="AF2504">
        <v>0</v>
      </c>
      <c r="AM2504" t="s">
        <v>52</v>
      </c>
      <c r="AN2504" t="s">
        <v>53</v>
      </c>
    </row>
    <row r="2505" spans="1:40">
      <c r="A2505" t="s">
        <v>8081</v>
      </c>
      <c r="B2505" t="s">
        <v>2711</v>
      </c>
      <c r="C2505" t="s">
        <v>8376</v>
      </c>
      <c r="D2505" t="s">
        <v>52</v>
      </c>
      <c r="E2505" t="s">
        <v>8386</v>
      </c>
      <c r="F2505" t="s">
        <v>71</v>
      </c>
      <c r="G2505" t="str">
        <f>HYPERLINK("https://twitter.com/4071512477/status/1142987846330081283")</f>
        <v>https://twitter.com/4071512477/status/1142987846330081283</v>
      </c>
      <c r="H2505" t="s">
        <v>46</v>
      </c>
      <c r="I2505" t="s">
        <v>8387</v>
      </c>
      <c r="J2505" t="str">
        <f>HYPERLINK("http://twitter.com/NoLoneRangerz")</f>
        <v>http://twitter.com/NoLoneRangerz</v>
      </c>
      <c r="K2505">
        <v>670</v>
      </c>
      <c r="N2505" t="s">
        <v>65</v>
      </c>
      <c r="R2505" t="s">
        <v>60</v>
      </c>
      <c r="S2505" t="s">
        <v>51</v>
      </c>
      <c r="T2505" t="s">
        <v>5316</v>
      </c>
      <c r="U2505" t="s">
        <v>8388</v>
      </c>
      <c r="W2505">
        <v>1</v>
      </c>
      <c r="X2505">
        <v>1</v>
      </c>
      <c r="AE2505">
        <v>0</v>
      </c>
      <c r="AF2505">
        <v>0</v>
      </c>
      <c r="AM2505" t="s">
        <v>52</v>
      </c>
      <c r="AN2505" t="s">
        <v>53</v>
      </c>
    </row>
    <row r="2506" spans="1:40">
      <c r="A2506" t="s">
        <v>8081</v>
      </c>
      <c r="B2506" t="s">
        <v>2711</v>
      </c>
      <c r="C2506" t="s">
        <v>7101</v>
      </c>
      <c r="D2506" t="s">
        <v>52</v>
      </c>
      <c r="E2506" t="s">
        <v>8389</v>
      </c>
      <c r="F2506" t="s">
        <v>45</v>
      </c>
      <c r="G2506" t="str">
        <f>HYPERLINK("https://www.instagram.com/p/BzE4ht8Hfld")</f>
        <v>https://www.instagram.com/p/BzE4ht8Hfld</v>
      </c>
      <c r="H2506" t="s">
        <v>46</v>
      </c>
      <c r="I2506" t="s">
        <v>52</v>
      </c>
      <c r="J2506" t="str">
        <f>HYPERLINK("http://instagram.com/_rockstar_shoutout_")</f>
        <v>http://instagram.com/_rockstar_shoutout_</v>
      </c>
      <c r="K2506">
        <v>5</v>
      </c>
      <c r="N2506" t="s">
        <v>59</v>
      </c>
      <c r="O2506" t="s">
        <v>52</v>
      </c>
      <c r="P2506" t="str">
        <f>HYPERLINK("http://instagram.com/_rockstar_shoutout_")</f>
        <v>http://instagram.com/_rockstar_shoutout_</v>
      </c>
      <c r="Q2506">
        <v>5</v>
      </c>
      <c r="R2506" t="s">
        <v>60</v>
      </c>
      <c r="W2506">
        <v>17</v>
      </c>
      <c r="X2506">
        <v>17</v>
      </c>
      <c r="AE2506">
        <v>1</v>
      </c>
      <c r="AI2506" t="s">
        <v>108</v>
      </c>
      <c r="AJ2506" t="s">
        <v>8390</v>
      </c>
      <c r="AK2506" t="s">
        <v>52</v>
      </c>
      <c r="AL2506" t="str">
        <f>HYPERLINK("https://www.instagram.com/p/BzE4ht8Hfld/media/?size=l")</f>
        <v>https://www.instagram.com/p/BzE4ht8Hfld/media/?size=l</v>
      </c>
      <c r="AM2506" t="s">
        <v>52</v>
      </c>
      <c r="AN2506" t="s">
        <v>53</v>
      </c>
    </row>
    <row r="2507" spans="1:40">
      <c r="A2507" t="s">
        <v>8081</v>
      </c>
      <c r="B2507" t="s">
        <v>2711</v>
      </c>
      <c r="C2507" t="s">
        <v>8391</v>
      </c>
      <c r="D2507" t="s">
        <v>52</v>
      </c>
      <c r="E2507" t="s">
        <v>8392</v>
      </c>
      <c r="F2507" t="s">
        <v>95</v>
      </c>
      <c r="G2507" t="str">
        <f>HYPERLINK("https://twitter.com/32940985/status/1142987770023092224")</f>
        <v>https://twitter.com/32940985/status/1142987770023092224</v>
      </c>
      <c r="H2507" t="s">
        <v>215</v>
      </c>
      <c r="I2507" t="s">
        <v>8393</v>
      </c>
      <c r="J2507" t="str">
        <f>HYPERLINK("http://twitter.com/Mar_Musa")</f>
        <v>http://twitter.com/Mar_Musa</v>
      </c>
      <c r="K2507">
        <v>1588</v>
      </c>
      <c r="L2507" t="s">
        <v>48</v>
      </c>
      <c r="N2507" t="s">
        <v>65</v>
      </c>
      <c r="R2507" t="s">
        <v>60</v>
      </c>
      <c r="S2507" t="s">
        <v>51</v>
      </c>
      <c r="T2507" t="s">
        <v>1669</v>
      </c>
      <c r="U2507" t="s">
        <v>8394</v>
      </c>
      <c r="W2507">
        <v>0</v>
      </c>
      <c r="X2507">
        <v>0</v>
      </c>
      <c r="AE2507">
        <v>0</v>
      </c>
      <c r="AF2507">
        <v>0</v>
      </c>
      <c r="AM2507" t="s">
        <v>52</v>
      </c>
      <c r="AN2507" t="s">
        <v>53</v>
      </c>
    </row>
    <row r="2508" spans="1:40">
      <c r="A2508" t="s">
        <v>8081</v>
      </c>
      <c r="B2508" t="s">
        <v>2731</v>
      </c>
      <c r="C2508" t="s">
        <v>8391</v>
      </c>
      <c r="D2508" t="s">
        <v>52</v>
      </c>
      <c r="E2508" t="s">
        <v>8395</v>
      </c>
      <c r="F2508" t="s">
        <v>45</v>
      </c>
      <c r="G2508" t="str">
        <f>HYPERLINK("https://twitter.com/342147155/status/1142986673166442502")</f>
        <v>https://twitter.com/342147155/status/1142986673166442502</v>
      </c>
      <c r="H2508" t="s">
        <v>215</v>
      </c>
      <c r="I2508" t="s">
        <v>8396</v>
      </c>
      <c r="J2508" t="str">
        <f>HYPERLINK("http://twitter.com/nick_maybe")</f>
        <v>http://twitter.com/nick_maybe</v>
      </c>
      <c r="K2508">
        <v>455</v>
      </c>
      <c r="N2508" t="s">
        <v>65</v>
      </c>
      <c r="R2508" t="s">
        <v>60</v>
      </c>
      <c r="S2508" t="s">
        <v>51</v>
      </c>
      <c r="T2508" t="s">
        <v>380</v>
      </c>
      <c r="U2508" t="s">
        <v>380</v>
      </c>
      <c r="W2508">
        <v>4</v>
      </c>
      <c r="X2508">
        <v>4</v>
      </c>
      <c r="AE2508">
        <v>1</v>
      </c>
      <c r="AF2508">
        <v>0</v>
      </c>
      <c r="AM2508" t="s">
        <v>52</v>
      </c>
      <c r="AN2508" t="s">
        <v>53</v>
      </c>
    </row>
    <row r="2509" spans="1:40">
      <c r="A2509" t="s">
        <v>8081</v>
      </c>
      <c r="B2509" t="s">
        <v>2731</v>
      </c>
      <c r="C2509" t="s">
        <v>8391</v>
      </c>
      <c r="D2509" t="s">
        <v>52</v>
      </c>
      <c r="E2509" t="s">
        <v>1194</v>
      </c>
      <c r="F2509" t="s">
        <v>131</v>
      </c>
      <c r="G2509" t="str">
        <f>HYPERLINK("https://twitter.com/1046060243879321600/status/1142986659341819904")</f>
        <v>https://twitter.com/1046060243879321600/status/1142986659341819904</v>
      </c>
      <c r="H2509" t="s">
        <v>46</v>
      </c>
      <c r="I2509" t="s">
        <v>8397</v>
      </c>
      <c r="J2509" t="str">
        <f>HYPERLINK("http://twitter.com/infrared_rosess")</f>
        <v>http://twitter.com/infrared_rosess</v>
      </c>
      <c r="K2509">
        <v>148</v>
      </c>
      <c r="N2509" t="s">
        <v>65</v>
      </c>
      <c r="R2509" t="s">
        <v>60</v>
      </c>
      <c r="S2509" t="s">
        <v>51</v>
      </c>
      <c r="T2509" t="s">
        <v>173</v>
      </c>
      <c r="W2509">
        <v>0</v>
      </c>
      <c r="X2509">
        <v>0</v>
      </c>
      <c r="AE2509">
        <v>0</v>
      </c>
      <c r="AI2509" t="s">
        <v>52</v>
      </c>
      <c r="AJ2509" t="s">
        <v>1196</v>
      </c>
      <c r="AK2509" t="s">
        <v>52</v>
      </c>
      <c r="AL2509" t="str">
        <f>HYPERLINK("https://pbs.twimg.com/media/D9xgk2YXkAAd2ql.jpg")</f>
        <v>https://pbs.twimg.com/media/D9xgk2YXkAAd2ql.jpg</v>
      </c>
      <c r="AM2509" t="s">
        <v>52</v>
      </c>
      <c r="AN2509" t="s">
        <v>53</v>
      </c>
    </row>
    <row r="2510" spans="1:40">
      <c r="A2510" t="s">
        <v>8081</v>
      </c>
      <c r="B2510" t="s">
        <v>2731</v>
      </c>
      <c r="C2510" t="s">
        <v>8391</v>
      </c>
      <c r="D2510" t="s">
        <v>52</v>
      </c>
      <c r="E2510" t="s">
        <v>8398</v>
      </c>
      <c r="F2510" t="s">
        <v>45</v>
      </c>
      <c r="G2510" t="str">
        <f>HYPERLINK("https://twitter.com/2899492911/status/1142986652484288512")</f>
        <v>https://twitter.com/2899492911/status/1142986652484288512</v>
      </c>
      <c r="H2510" t="s">
        <v>46</v>
      </c>
      <c r="I2510" t="s">
        <v>8399</v>
      </c>
      <c r="J2510" t="str">
        <f>HYPERLINK("http://twitter.com/FloralJenni")</f>
        <v>http://twitter.com/FloralJenni</v>
      </c>
      <c r="K2510">
        <v>22</v>
      </c>
      <c r="N2510" t="s">
        <v>65</v>
      </c>
      <c r="R2510" t="s">
        <v>60</v>
      </c>
      <c r="W2510">
        <v>0</v>
      </c>
      <c r="X2510">
        <v>0</v>
      </c>
      <c r="AE2510">
        <v>1</v>
      </c>
      <c r="AF2510">
        <v>0</v>
      </c>
      <c r="AM2510" t="s">
        <v>52</v>
      </c>
      <c r="AN2510" t="s">
        <v>53</v>
      </c>
    </row>
    <row r="2511" spans="1:40">
      <c r="A2511" t="s">
        <v>8081</v>
      </c>
      <c r="B2511" t="s">
        <v>2731</v>
      </c>
      <c r="C2511" t="s">
        <v>8400</v>
      </c>
      <c r="D2511" t="s">
        <v>52</v>
      </c>
      <c r="E2511" t="s">
        <v>8401</v>
      </c>
      <c r="F2511" t="s">
        <v>45</v>
      </c>
      <c r="G2511" t="str">
        <f>HYPERLINK("https://www.instagram.com/p/BzE3xwZgDsS")</f>
        <v>https://www.instagram.com/p/BzE3xwZgDsS</v>
      </c>
      <c r="H2511" t="s">
        <v>215</v>
      </c>
      <c r="I2511" t="s">
        <v>8181</v>
      </c>
      <c r="J2511" t="str">
        <f>HYPERLINK("http://instagram.com/explorermandy")</f>
        <v>http://instagram.com/explorermandy</v>
      </c>
      <c r="K2511">
        <v>162</v>
      </c>
      <c r="N2511" t="s">
        <v>59</v>
      </c>
      <c r="O2511" t="s">
        <v>8181</v>
      </c>
      <c r="P2511" t="str">
        <f>HYPERLINK("http://instagram.com/explorermandy")</f>
        <v>http://instagram.com/explorermandy</v>
      </c>
      <c r="Q2511">
        <v>162</v>
      </c>
      <c r="R2511" t="s">
        <v>60</v>
      </c>
      <c r="S2511" t="s">
        <v>51</v>
      </c>
      <c r="T2511" t="s">
        <v>173</v>
      </c>
      <c r="U2511" t="s">
        <v>8182</v>
      </c>
      <c r="W2511">
        <v>14</v>
      </c>
      <c r="X2511">
        <v>14</v>
      </c>
      <c r="AE2511">
        <v>1</v>
      </c>
      <c r="AG2511">
        <v>35</v>
      </c>
      <c r="AI2511" t="s">
        <v>52</v>
      </c>
      <c r="AJ2511" t="s">
        <v>1805</v>
      </c>
      <c r="AK2511" t="s">
        <v>680</v>
      </c>
      <c r="AL2511" t="str">
        <f>HYPERLINK("https://www.instagram.com/p/BzE3xwZgDsS/media/?size=l")</f>
        <v>https://www.instagram.com/p/BzE3xwZgDsS/media/?size=l</v>
      </c>
      <c r="AM2511" t="s">
        <v>52</v>
      </c>
      <c r="AN2511" t="s">
        <v>53</v>
      </c>
    </row>
    <row r="2512" spans="1:40">
      <c r="A2512" t="s">
        <v>8081</v>
      </c>
      <c r="B2512" t="s">
        <v>2731</v>
      </c>
      <c r="C2512" t="s">
        <v>8402</v>
      </c>
      <c r="D2512" t="s">
        <v>52</v>
      </c>
      <c r="E2512" t="s">
        <v>8403</v>
      </c>
      <c r="F2512" t="s">
        <v>45</v>
      </c>
      <c r="G2512" t="str">
        <f>HYPERLINK("https://twitter.com/419480437/status/1142986527817052160")</f>
        <v>https://twitter.com/419480437/status/1142986527817052160</v>
      </c>
      <c r="H2512" t="s">
        <v>215</v>
      </c>
      <c r="I2512" t="s">
        <v>8404</v>
      </c>
      <c r="J2512" t="str">
        <f>HYPERLINK("http://twitter.com/friedeggbrain")</f>
        <v>http://twitter.com/friedeggbrain</v>
      </c>
      <c r="K2512">
        <v>67</v>
      </c>
      <c r="L2512" t="s">
        <v>58</v>
      </c>
      <c r="N2512" t="s">
        <v>65</v>
      </c>
      <c r="R2512" t="s">
        <v>60</v>
      </c>
      <c r="S2512" t="s">
        <v>4276</v>
      </c>
      <c r="W2512">
        <v>0</v>
      </c>
      <c r="X2512">
        <v>0</v>
      </c>
      <c r="AE2512">
        <v>0</v>
      </c>
      <c r="AF2512">
        <v>0</v>
      </c>
      <c r="AM2512" t="s">
        <v>52</v>
      </c>
      <c r="AN2512" t="s">
        <v>53</v>
      </c>
    </row>
    <row r="2513" spans="1:40">
      <c r="A2513" t="s">
        <v>8081</v>
      </c>
      <c r="B2513" t="s">
        <v>2736</v>
      </c>
      <c r="C2513" t="s">
        <v>8400</v>
      </c>
      <c r="D2513" t="s">
        <v>52</v>
      </c>
      <c r="E2513" t="s">
        <v>8405</v>
      </c>
      <c r="F2513" t="s">
        <v>45</v>
      </c>
      <c r="G2513" t="str">
        <f>HYPERLINK("https://twitter.com/984841672617086976/status/1142986405355950080")</f>
        <v>https://twitter.com/984841672617086976/status/1142986405355950080</v>
      </c>
      <c r="H2513" t="s">
        <v>215</v>
      </c>
      <c r="I2513" t="s">
        <v>8406</v>
      </c>
      <c r="J2513" t="str">
        <f>HYPERLINK("http://twitter.com/AngelesIbaez5")</f>
        <v>http://twitter.com/AngelesIbaez5</v>
      </c>
      <c r="K2513">
        <v>177</v>
      </c>
      <c r="N2513" t="s">
        <v>65</v>
      </c>
      <c r="R2513" t="s">
        <v>60</v>
      </c>
      <c r="S2513" t="s">
        <v>701</v>
      </c>
      <c r="T2513" t="s">
        <v>2321</v>
      </c>
      <c r="W2513">
        <v>1</v>
      </c>
      <c r="X2513">
        <v>1</v>
      </c>
      <c r="AE2513">
        <v>0</v>
      </c>
      <c r="AF2513">
        <v>0</v>
      </c>
      <c r="AM2513" t="s">
        <v>52</v>
      </c>
      <c r="AN2513" t="s">
        <v>53</v>
      </c>
    </row>
    <row r="2514" spans="1:40">
      <c r="A2514" t="s">
        <v>8081</v>
      </c>
      <c r="B2514" t="s">
        <v>8407</v>
      </c>
      <c r="C2514" t="s">
        <v>7448</v>
      </c>
      <c r="D2514" t="s">
        <v>8408</v>
      </c>
      <c r="E2514" t="s">
        <v>8409</v>
      </c>
      <c r="F2514" t="s">
        <v>45</v>
      </c>
      <c r="G2514" t="str">
        <f>HYPERLINK("https://messiahmews.blogspot.com/2019/06/glyphosate-in-food-complete-list-of.html")</f>
        <v>https://messiahmews.blogspot.com/2019/06/glyphosate-in-food-complete-list-of.html</v>
      </c>
      <c r="H2514" t="s">
        <v>46</v>
      </c>
      <c r="I2514" t="s">
        <v>8410</v>
      </c>
      <c r="J2514" t="str">
        <f>HYPERLINK("https://messiahmews.blogspot.com/2019/06/glyphosate-in-food-complete-list-of.html")</f>
        <v>https://messiahmews.blogspot.com/2019/06/glyphosate-in-food-complete-list-of.html</v>
      </c>
      <c r="N2514" t="s">
        <v>2497</v>
      </c>
      <c r="R2514" t="s">
        <v>50</v>
      </c>
      <c r="S2514" t="s">
        <v>51</v>
      </c>
      <c r="AM2514" t="s">
        <v>52</v>
      </c>
      <c r="AN2514" t="s">
        <v>53</v>
      </c>
    </row>
    <row r="2515" spans="1:40">
      <c r="A2515" t="s">
        <v>8081</v>
      </c>
      <c r="B2515" t="s">
        <v>2747</v>
      </c>
      <c r="C2515" t="s">
        <v>8411</v>
      </c>
      <c r="D2515" t="s">
        <v>52</v>
      </c>
      <c r="E2515" t="s">
        <v>8412</v>
      </c>
      <c r="F2515" t="s">
        <v>45</v>
      </c>
      <c r="G2515" t="str">
        <f>HYPERLINK("https://twitter.com/162278272/status/1142985945731477505")</f>
        <v>https://twitter.com/162278272/status/1142985945731477505</v>
      </c>
      <c r="H2515" t="s">
        <v>46</v>
      </c>
      <c r="I2515" t="s">
        <v>8413</v>
      </c>
      <c r="J2515" t="str">
        <f>HYPERLINK("http://twitter.com/AyeeCee_Xo")</f>
        <v>http://twitter.com/AyeeCee_Xo</v>
      </c>
      <c r="K2515">
        <v>1517</v>
      </c>
      <c r="N2515" t="s">
        <v>65</v>
      </c>
      <c r="R2515" t="s">
        <v>60</v>
      </c>
      <c r="W2515">
        <v>0</v>
      </c>
      <c r="X2515">
        <v>0</v>
      </c>
      <c r="AE2515">
        <v>0</v>
      </c>
      <c r="AF2515">
        <v>0</v>
      </c>
      <c r="AM2515" t="s">
        <v>52</v>
      </c>
      <c r="AN2515" t="s">
        <v>53</v>
      </c>
    </row>
    <row r="2516" spans="1:40">
      <c r="A2516" t="s">
        <v>8081</v>
      </c>
      <c r="B2516" t="s">
        <v>2747</v>
      </c>
      <c r="C2516" t="s">
        <v>8400</v>
      </c>
      <c r="D2516" t="s">
        <v>52</v>
      </c>
      <c r="E2516" t="s">
        <v>8414</v>
      </c>
      <c r="F2516" t="s">
        <v>45</v>
      </c>
      <c r="G2516" t="str">
        <f>HYPERLINK("https://www.instagram.com/p/BzE3nVgnLNr")</f>
        <v>https://www.instagram.com/p/BzE3nVgnLNr</v>
      </c>
      <c r="H2516" t="s">
        <v>46</v>
      </c>
      <c r="I2516" t="s">
        <v>8415</v>
      </c>
      <c r="J2516" t="str">
        <f>HYPERLINK("http://instagram.com/jerryalvesoficial")</f>
        <v>http://instagram.com/jerryalvesoficial</v>
      </c>
      <c r="K2516">
        <v>1286</v>
      </c>
      <c r="N2516" t="s">
        <v>59</v>
      </c>
      <c r="O2516" t="s">
        <v>8415</v>
      </c>
      <c r="P2516" t="str">
        <f>HYPERLINK("http://instagram.com/jerryalvesoficial")</f>
        <v>http://instagram.com/jerryalvesoficial</v>
      </c>
      <c r="Q2516">
        <v>1286</v>
      </c>
      <c r="R2516" t="s">
        <v>60</v>
      </c>
      <c r="S2516" t="s">
        <v>432</v>
      </c>
      <c r="T2516" t="s">
        <v>433</v>
      </c>
      <c r="W2516">
        <v>30</v>
      </c>
      <c r="X2516">
        <v>30</v>
      </c>
      <c r="AE2516">
        <v>0</v>
      </c>
      <c r="AI2516" t="s">
        <v>1176</v>
      </c>
      <c r="AJ2516" t="s">
        <v>5474</v>
      </c>
      <c r="AK2516" t="s">
        <v>52</v>
      </c>
      <c r="AL2516" t="str">
        <f>HYPERLINK("https://www.instagram.com/p/BzE3nVgnLNr/media/?size=l")</f>
        <v>https://www.instagram.com/p/BzE3nVgnLNr/media/?size=l</v>
      </c>
      <c r="AM2516" t="s">
        <v>52</v>
      </c>
      <c r="AN2516" t="s">
        <v>53</v>
      </c>
    </row>
    <row r="2517" spans="1:40">
      <c r="A2517" t="s">
        <v>8081</v>
      </c>
      <c r="B2517" t="s">
        <v>8416</v>
      </c>
      <c r="C2517" t="s">
        <v>8417</v>
      </c>
      <c r="D2517" t="s">
        <v>52</v>
      </c>
      <c r="E2517" t="s">
        <v>1194</v>
      </c>
      <c r="F2517" t="s">
        <v>131</v>
      </c>
      <c r="G2517" t="str">
        <f>HYPERLINK("https://twitter.com/432061514/status/1142985422881955840")</f>
        <v>https://twitter.com/432061514/status/1142985422881955840</v>
      </c>
      <c r="H2517" t="s">
        <v>46</v>
      </c>
      <c r="I2517" t="s">
        <v>8418</v>
      </c>
      <c r="J2517" t="str">
        <f>HYPERLINK("http://twitter.com/robdietz_")</f>
        <v>http://twitter.com/robdietz_</v>
      </c>
      <c r="K2517">
        <v>954</v>
      </c>
      <c r="N2517" t="s">
        <v>65</v>
      </c>
      <c r="R2517" t="s">
        <v>60</v>
      </c>
      <c r="S2517" t="s">
        <v>51</v>
      </c>
      <c r="T2517" t="s">
        <v>173</v>
      </c>
      <c r="W2517">
        <v>0</v>
      </c>
      <c r="X2517">
        <v>0</v>
      </c>
      <c r="AE2517">
        <v>0</v>
      </c>
      <c r="AI2517" t="s">
        <v>52</v>
      </c>
      <c r="AJ2517" t="s">
        <v>1196</v>
      </c>
      <c r="AK2517" t="s">
        <v>52</v>
      </c>
      <c r="AL2517" t="str">
        <f>HYPERLINK("https://pbs.twimg.com/media/D9xgk2YXkAAd2ql.jpg")</f>
        <v>https://pbs.twimg.com/media/D9xgk2YXkAAd2ql.jpg</v>
      </c>
      <c r="AM2517" t="s">
        <v>52</v>
      </c>
      <c r="AN2517" t="s">
        <v>53</v>
      </c>
    </row>
    <row r="2518" spans="1:40">
      <c r="A2518" t="s">
        <v>8081</v>
      </c>
      <c r="B2518" t="s">
        <v>8416</v>
      </c>
      <c r="C2518" t="s">
        <v>8411</v>
      </c>
      <c r="D2518" t="s">
        <v>52</v>
      </c>
      <c r="E2518" t="s">
        <v>5514</v>
      </c>
      <c r="F2518" t="s">
        <v>45</v>
      </c>
      <c r="G2518" t="str">
        <f>HYPERLINK("https://twitter.com/1128718169366040582/status/1142985354917621760")</f>
        <v>https://twitter.com/1128718169366040582/status/1142985354917621760</v>
      </c>
      <c r="H2518" t="s">
        <v>46</v>
      </c>
      <c r="I2518" t="s">
        <v>8419</v>
      </c>
      <c r="J2518" t="str">
        <f>HYPERLINK("http://twitter.com/aguspasciu")</f>
        <v>http://twitter.com/aguspasciu</v>
      </c>
      <c r="K2518">
        <v>27</v>
      </c>
      <c r="N2518" t="s">
        <v>65</v>
      </c>
      <c r="R2518" t="s">
        <v>60</v>
      </c>
      <c r="W2518">
        <v>1</v>
      </c>
      <c r="X2518">
        <v>1</v>
      </c>
      <c r="AE2518">
        <v>0</v>
      </c>
      <c r="AF2518">
        <v>2</v>
      </c>
      <c r="AM2518" t="s">
        <v>52</v>
      </c>
      <c r="AN2518" t="s">
        <v>53</v>
      </c>
    </row>
    <row r="2519" spans="1:40">
      <c r="A2519" t="s">
        <v>8081</v>
      </c>
      <c r="B2519" t="s">
        <v>8416</v>
      </c>
      <c r="C2519" t="s">
        <v>8411</v>
      </c>
      <c r="D2519" t="s">
        <v>52</v>
      </c>
      <c r="E2519" t="s">
        <v>8420</v>
      </c>
      <c r="F2519" t="s">
        <v>71</v>
      </c>
      <c r="G2519" t="str">
        <f>HYPERLINK("https://twitter.com/200361184/status/1142985329424699392")</f>
        <v>https://twitter.com/200361184/status/1142985329424699392</v>
      </c>
      <c r="H2519" t="s">
        <v>46</v>
      </c>
      <c r="I2519" t="s">
        <v>52</v>
      </c>
      <c r="J2519" t="str">
        <f>HYPERLINK("http://twitter.com/AnitaZibana")</f>
        <v>http://twitter.com/AnitaZibana</v>
      </c>
      <c r="K2519">
        <v>353</v>
      </c>
      <c r="N2519" t="s">
        <v>65</v>
      </c>
      <c r="R2519" t="s">
        <v>60</v>
      </c>
      <c r="S2519" t="s">
        <v>701</v>
      </c>
      <c r="W2519">
        <v>1</v>
      </c>
      <c r="X2519">
        <v>1</v>
      </c>
      <c r="AE2519">
        <v>0</v>
      </c>
      <c r="AF2519">
        <v>0</v>
      </c>
      <c r="AM2519" t="s">
        <v>52</v>
      </c>
      <c r="AN2519" t="s">
        <v>53</v>
      </c>
    </row>
    <row r="2520" spans="1:40">
      <c r="A2520" t="s">
        <v>8081</v>
      </c>
      <c r="B2520" t="s">
        <v>8416</v>
      </c>
      <c r="C2520" t="s">
        <v>8421</v>
      </c>
      <c r="D2520" t="s">
        <v>52</v>
      </c>
      <c r="E2520" t="s">
        <v>8422</v>
      </c>
      <c r="F2520" t="s">
        <v>45</v>
      </c>
      <c r="G2520" t="str">
        <f>HYPERLINK("https://twitter.com/535833901/status/1142985270939328512")</f>
        <v>https://twitter.com/535833901/status/1142985270939328512</v>
      </c>
      <c r="H2520" t="s">
        <v>46</v>
      </c>
      <c r="I2520" t="s">
        <v>8423</v>
      </c>
      <c r="J2520" t="str">
        <f>HYPERLINK("http://twitter.com/helturskeltur")</f>
        <v>http://twitter.com/helturskeltur</v>
      </c>
      <c r="K2520">
        <v>351</v>
      </c>
      <c r="N2520" t="s">
        <v>65</v>
      </c>
      <c r="R2520" t="s">
        <v>60</v>
      </c>
      <c r="S2520" t="s">
        <v>315</v>
      </c>
      <c r="T2520" t="s">
        <v>8424</v>
      </c>
      <c r="U2520" t="s">
        <v>8425</v>
      </c>
      <c r="W2520">
        <v>1</v>
      </c>
      <c r="X2520">
        <v>1</v>
      </c>
      <c r="AE2520">
        <v>0</v>
      </c>
      <c r="AF2520">
        <v>0</v>
      </c>
      <c r="AM2520" t="s">
        <v>52</v>
      </c>
      <c r="AN2520" t="s">
        <v>53</v>
      </c>
    </row>
    <row r="2521" spans="1:40">
      <c r="A2521" t="s">
        <v>8081</v>
      </c>
      <c r="B2521" t="s">
        <v>8416</v>
      </c>
      <c r="C2521" t="s">
        <v>8426</v>
      </c>
      <c r="D2521" t="s">
        <v>52</v>
      </c>
      <c r="E2521" t="s">
        <v>4514</v>
      </c>
      <c r="F2521" t="s">
        <v>71</v>
      </c>
      <c r="G2521" t="str">
        <f>HYPERLINK("https://twitter.com/832796460710125568/status/1142985219798028288")</f>
        <v>https://twitter.com/832796460710125568/status/1142985219798028288</v>
      </c>
      <c r="H2521" t="s">
        <v>46</v>
      </c>
      <c r="I2521" t="s">
        <v>8427</v>
      </c>
      <c r="J2521" t="str">
        <f>HYPERLINK("http://twitter.com/BrontieLouiseGJ")</f>
        <v>http://twitter.com/BrontieLouiseGJ</v>
      </c>
      <c r="K2521">
        <v>48</v>
      </c>
      <c r="N2521" t="s">
        <v>65</v>
      </c>
      <c r="R2521" t="s">
        <v>60</v>
      </c>
      <c r="S2521" t="s">
        <v>774</v>
      </c>
      <c r="T2521" t="s">
        <v>2679</v>
      </c>
      <c r="U2521" t="s">
        <v>2680</v>
      </c>
      <c r="W2521">
        <v>0</v>
      </c>
      <c r="X2521">
        <v>0</v>
      </c>
      <c r="AE2521">
        <v>0</v>
      </c>
      <c r="AF2521">
        <v>0</v>
      </c>
      <c r="AI2521" t="s">
        <v>108</v>
      </c>
      <c r="AJ2521" t="s">
        <v>52</v>
      </c>
      <c r="AK2521" t="s">
        <v>52</v>
      </c>
      <c r="AL2521" t="str">
        <f>HYPERLINK("https://pbs.twimg.com/tweet_video_thumb/D9hvNNzXUAATAS3.jpg")</f>
        <v>https://pbs.twimg.com/tweet_video_thumb/D9hvNNzXUAATAS3.jpg</v>
      </c>
      <c r="AM2521" t="s">
        <v>52</v>
      </c>
      <c r="AN2521" t="s">
        <v>53</v>
      </c>
    </row>
    <row r="2522" spans="1:40">
      <c r="A2522" t="s">
        <v>8081</v>
      </c>
      <c r="B2522" t="s">
        <v>8416</v>
      </c>
      <c r="C2522" t="s">
        <v>8428</v>
      </c>
      <c r="D2522" t="s">
        <v>52</v>
      </c>
      <c r="E2522" t="s">
        <v>8429</v>
      </c>
      <c r="F2522" t="s">
        <v>95</v>
      </c>
      <c r="G2522" t="str">
        <f>HYPERLINK("https://twitter.com/54386790/status/1142985205294104576")</f>
        <v>https://twitter.com/54386790/status/1142985205294104576</v>
      </c>
      <c r="H2522" t="s">
        <v>215</v>
      </c>
      <c r="I2522" t="s">
        <v>8430</v>
      </c>
      <c r="J2522" t="str">
        <f>HYPERLINK("http://twitter.com/Tuckerpete")</f>
        <v>http://twitter.com/Tuckerpete</v>
      </c>
      <c r="K2522">
        <v>478</v>
      </c>
      <c r="L2522" t="s">
        <v>48</v>
      </c>
      <c r="N2522" t="s">
        <v>65</v>
      </c>
      <c r="R2522" t="s">
        <v>60</v>
      </c>
      <c r="S2522" t="s">
        <v>51</v>
      </c>
      <c r="T2522" t="s">
        <v>173</v>
      </c>
      <c r="U2522" t="s">
        <v>8431</v>
      </c>
      <c r="W2522">
        <v>0</v>
      </c>
      <c r="X2522">
        <v>0</v>
      </c>
      <c r="AE2522">
        <v>0</v>
      </c>
      <c r="AF2522">
        <v>0</v>
      </c>
      <c r="AM2522" t="s">
        <v>52</v>
      </c>
      <c r="AN2522" t="s">
        <v>53</v>
      </c>
    </row>
    <row r="2523" spans="1:40">
      <c r="A2523" t="s">
        <v>8081</v>
      </c>
      <c r="B2523" t="s">
        <v>8416</v>
      </c>
      <c r="C2523" t="s">
        <v>4249</v>
      </c>
      <c r="D2523" t="s">
        <v>8219</v>
      </c>
      <c r="E2523" t="s">
        <v>8432</v>
      </c>
      <c r="F2523" t="s">
        <v>45</v>
      </c>
      <c r="G2523" t="str">
        <f>HYPERLINK("https://www.reddit.com/r/CasualUK/comments/c499kc/right_oiks_sick_of_small_crumbly_supermarket/?sort=new#thing_t1_ervv84z")</f>
        <v>https://www.reddit.com/r/CasualUK/comments/c499kc/right_oiks_sick_of_small_crumbly_supermarket/?sort=new#thing_t1_ervv84z</v>
      </c>
      <c r="H2523" t="s">
        <v>46</v>
      </c>
      <c r="I2523" t="s">
        <v>8433</v>
      </c>
      <c r="J2523" t="str">
        <f>HYPERLINK("https://www.reddit.com/r/CasualUK/comments/c499kc/right_oiks_sick_of_small_crumbly_supermarket/?sort=new#thing_t1_ervv84z")</f>
        <v>https://www.reddit.com/r/CasualUK/comments/c499kc/right_oiks_sick_of_small_crumbly_supermarket/?sort=new#thing_t1_ervv84z</v>
      </c>
      <c r="N2523" t="s">
        <v>545</v>
      </c>
      <c r="O2523" t="s">
        <v>8222</v>
      </c>
      <c r="P2523" t="str">
        <f>HYPERLINK("https://www.reddit.com/r/CasualUK/")</f>
        <v>https://www.reddit.com/r/CasualUK/</v>
      </c>
      <c r="R2523" t="s">
        <v>516</v>
      </c>
      <c r="S2523" t="s">
        <v>51</v>
      </c>
      <c r="AM2523" t="s">
        <v>52</v>
      </c>
      <c r="AN2523" t="s">
        <v>53</v>
      </c>
    </row>
    <row r="2524" spans="1:40">
      <c r="A2524" t="s">
        <v>8081</v>
      </c>
      <c r="B2524" t="s">
        <v>2775</v>
      </c>
      <c r="C2524" t="s">
        <v>8426</v>
      </c>
      <c r="D2524" t="s">
        <v>52</v>
      </c>
      <c r="E2524" t="s">
        <v>6428</v>
      </c>
      <c r="F2524" t="s">
        <v>131</v>
      </c>
      <c r="G2524" t="str">
        <f>HYPERLINK("https://twitter.com/943657651187142656/status/1142985183576113155")</f>
        <v>https://twitter.com/943657651187142656/status/1142985183576113155</v>
      </c>
      <c r="H2524" t="s">
        <v>46</v>
      </c>
      <c r="I2524" t="s">
        <v>8434</v>
      </c>
      <c r="J2524" t="str">
        <f>HYPERLINK("http://twitter.com/RandomPickens")</f>
        <v>http://twitter.com/RandomPickens</v>
      </c>
      <c r="K2524">
        <v>3162</v>
      </c>
      <c r="N2524" t="s">
        <v>65</v>
      </c>
      <c r="R2524" t="s">
        <v>60</v>
      </c>
      <c r="W2524">
        <v>0</v>
      </c>
      <c r="X2524">
        <v>0</v>
      </c>
      <c r="AE2524">
        <v>0</v>
      </c>
      <c r="AM2524" t="s">
        <v>52</v>
      </c>
      <c r="AN2524" t="s">
        <v>53</v>
      </c>
    </row>
    <row r="2525" spans="1:40">
      <c r="A2525" t="s">
        <v>8081</v>
      </c>
      <c r="B2525" t="s">
        <v>2775</v>
      </c>
      <c r="C2525" t="s">
        <v>8435</v>
      </c>
      <c r="D2525" t="s">
        <v>52</v>
      </c>
      <c r="E2525" t="s">
        <v>8436</v>
      </c>
      <c r="F2525" t="s">
        <v>45</v>
      </c>
      <c r="G2525" t="str">
        <f>HYPERLINK("https://www.instagram.com/p/BzE3PoQDXyo")</f>
        <v>https://www.instagram.com/p/BzE3PoQDXyo</v>
      </c>
      <c r="H2525" t="s">
        <v>46</v>
      </c>
      <c r="I2525" t="s">
        <v>7249</v>
      </c>
      <c r="J2525" t="str">
        <f>HYPERLINK("http://instagram.com/japindustries")</f>
        <v>http://instagram.com/japindustries</v>
      </c>
      <c r="K2525">
        <v>32</v>
      </c>
      <c r="N2525" t="s">
        <v>59</v>
      </c>
      <c r="O2525" t="s">
        <v>7249</v>
      </c>
      <c r="P2525" t="str">
        <f>HYPERLINK("http://instagram.com/japindustries")</f>
        <v>http://instagram.com/japindustries</v>
      </c>
      <c r="Q2525">
        <v>32</v>
      </c>
      <c r="R2525" t="s">
        <v>60</v>
      </c>
      <c r="W2525">
        <v>9</v>
      </c>
      <c r="X2525">
        <v>9</v>
      </c>
      <c r="AE2525">
        <v>1</v>
      </c>
      <c r="AI2525" t="s">
        <v>108</v>
      </c>
      <c r="AJ2525" t="s">
        <v>52</v>
      </c>
      <c r="AK2525" t="s">
        <v>52</v>
      </c>
      <c r="AL2525" t="str">
        <f>HYPERLINK("https://www.instagram.com/p/BzE3PoQDXyo/media/?size=l")</f>
        <v>https://www.instagram.com/p/BzE3PoQDXyo/media/?size=l</v>
      </c>
      <c r="AM2525" t="s">
        <v>52</v>
      </c>
      <c r="AN2525" t="s">
        <v>53</v>
      </c>
    </row>
    <row r="2526" spans="1:40">
      <c r="A2526" t="s">
        <v>8081</v>
      </c>
      <c r="B2526" t="s">
        <v>8437</v>
      </c>
      <c r="C2526" t="s">
        <v>8417</v>
      </c>
      <c r="D2526" t="s">
        <v>52</v>
      </c>
      <c r="E2526" t="s">
        <v>7606</v>
      </c>
      <c r="F2526" t="s">
        <v>131</v>
      </c>
      <c r="G2526" t="str">
        <f>HYPERLINK("https://twitter.com/2856127790/status/1142984736979079168")</f>
        <v>https://twitter.com/2856127790/status/1142984736979079168</v>
      </c>
      <c r="H2526" t="s">
        <v>46</v>
      </c>
      <c r="I2526" t="s">
        <v>8438</v>
      </c>
      <c r="J2526" t="str">
        <f>HYPERLINK("http://twitter.com/wideawokee")</f>
        <v>http://twitter.com/wideawokee</v>
      </c>
      <c r="K2526">
        <v>96987</v>
      </c>
      <c r="N2526" t="s">
        <v>65</v>
      </c>
      <c r="R2526" t="s">
        <v>60</v>
      </c>
      <c r="S2526" t="s">
        <v>51</v>
      </c>
      <c r="T2526" t="s">
        <v>2522</v>
      </c>
      <c r="U2526" t="s">
        <v>2523</v>
      </c>
      <c r="W2526">
        <v>0</v>
      </c>
      <c r="X2526">
        <v>0</v>
      </c>
      <c r="AE2526">
        <v>0</v>
      </c>
      <c r="AM2526" t="s">
        <v>52</v>
      </c>
      <c r="AN2526" t="s">
        <v>53</v>
      </c>
    </row>
    <row r="2527" spans="1:40">
      <c r="A2527" t="s">
        <v>8081</v>
      </c>
      <c r="B2527" t="s">
        <v>2778</v>
      </c>
      <c r="C2527" t="s">
        <v>8439</v>
      </c>
      <c r="D2527" t="s">
        <v>52</v>
      </c>
      <c r="E2527" t="s">
        <v>8440</v>
      </c>
      <c r="F2527" t="s">
        <v>45</v>
      </c>
      <c r="G2527" t="str">
        <f>HYPERLINK("https://twitter.com/1507960801/status/1142984288968642560")</f>
        <v>https://twitter.com/1507960801/status/1142984288968642560</v>
      </c>
      <c r="H2527" t="s">
        <v>46</v>
      </c>
      <c r="I2527" t="s">
        <v>8441</v>
      </c>
      <c r="J2527" t="str">
        <f>HYPERLINK("http://twitter.com/DillonGuiboche1")</f>
        <v>http://twitter.com/DillonGuiboche1</v>
      </c>
      <c r="K2527">
        <v>192</v>
      </c>
      <c r="N2527" t="s">
        <v>65</v>
      </c>
      <c r="R2527" t="s">
        <v>60</v>
      </c>
      <c r="S2527" t="s">
        <v>444</v>
      </c>
      <c r="T2527" t="s">
        <v>8442</v>
      </c>
      <c r="U2527" t="s">
        <v>8443</v>
      </c>
      <c r="W2527">
        <v>1</v>
      </c>
      <c r="X2527">
        <v>1</v>
      </c>
      <c r="AE2527">
        <v>0</v>
      </c>
      <c r="AF2527">
        <v>0</v>
      </c>
      <c r="AM2527" t="s">
        <v>52</v>
      </c>
      <c r="AN2527" t="s">
        <v>53</v>
      </c>
    </row>
    <row r="2528" spans="1:40">
      <c r="A2528" t="s">
        <v>8081</v>
      </c>
      <c r="B2528" t="s">
        <v>2784</v>
      </c>
      <c r="C2528" t="s">
        <v>8411</v>
      </c>
      <c r="D2528" t="s">
        <v>52</v>
      </c>
      <c r="E2528" t="s">
        <v>8444</v>
      </c>
      <c r="F2528" t="s">
        <v>45</v>
      </c>
      <c r="G2528" t="str">
        <f>HYPERLINK("https://www.instagram.com/p/BzE21AoJi3_")</f>
        <v>https://www.instagram.com/p/BzE21AoJi3_</v>
      </c>
      <c r="H2528" t="s">
        <v>46</v>
      </c>
      <c r="I2528" t="s">
        <v>8445</v>
      </c>
      <c r="J2528" t="str">
        <f>HYPERLINK("http://instagram.com/veganelder")</f>
        <v>http://instagram.com/veganelder</v>
      </c>
      <c r="K2528">
        <v>1727</v>
      </c>
      <c r="N2528" t="s">
        <v>59</v>
      </c>
      <c r="O2528" t="s">
        <v>8445</v>
      </c>
      <c r="P2528" t="str">
        <f>HYPERLINK("http://instagram.com/veganelder")</f>
        <v>http://instagram.com/veganelder</v>
      </c>
      <c r="Q2528">
        <v>1727</v>
      </c>
      <c r="R2528" t="s">
        <v>60</v>
      </c>
      <c r="W2528">
        <v>62</v>
      </c>
      <c r="X2528">
        <v>62</v>
      </c>
      <c r="AE2528">
        <v>2</v>
      </c>
      <c r="AI2528" t="s">
        <v>52</v>
      </c>
      <c r="AJ2528" t="s">
        <v>4685</v>
      </c>
      <c r="AK2528" t="s">
        <v>52</v>
      </c>
      <c r="AL2528" t="str">
        <f>HYPERLINK("https://www.instagram.com/p/BzE21AoJi3_/media/?size=l")</f>
        <v>https://www.instagram.com/p/BzE21AoJi3_/media/?size=l</v>
      </c>
      <c r="AM2528" t="s">
        <v>52</v>
      </c>
      <c r="AN2528" t="s">
        <v>53</v>
      </c>
    </row>
    <row r="2529" spans="1:40">
      <c r="A2529" t="s">
        <v>8081</v>
      </c>
      <c r="B2529" t="s">
        <v>8446</v>
      </c>
      <c r="C2529" t="s">
        <v>7477</v>
      </c>
      <c r="D2529" t="s">
        <v>8447</v>
      </c>
      <c r="E2529" t="s">
        <v>4497</v>
      </c>
      <c r="F2529" t="s">
        <v>95</v>
      </c>
      <c r="G2529" t="str">
        <f>HYPERLINK("https://www.youtube.com/watch?v=_G2x_0KJnYY&amp;lc=UgxzRJZzSAp-YzALSQd4AaABAg")</f>
        <v>https://www.youtube.com/watch?v=_G2x_0KJnYY&amp;lc=UgxzRJZzSAp-YzALSQd4AaABAg</v>
      </c>
      <c r="H2529" t="s">
        <v>46</v>
      </c>
      <c r="I2529" t="s">
        <v>8448</v>
      </c>
      <c r="J2529" t="str">
        <f>HYPERLINK("https://www.youtube.com/channel/UCgHdLeTlzF9QEm_eOprwiJg")</f>
        <v>https://www.youtube.com/channel/UCgHdLeTlzF9QEm_eOprwiJg</v>
      </c>
      <c r="K2529">
        <v>11</v>
      </c>
      <c r="L2529" t="s">
        <v>48</v>
      </c>
      <c r="N2529" t="s">
        <v>116</v>
      </c>
      <c r="O2529" t="s">
        <v>8449</v>
      </c>
      <c r="P2529" t="str">
        <f>HYPERLINK("https://www.youtube.com/channel/UCFD4yofEQbx2aconNQ-wa3g")</f>
        <v>https://www.youtube.com/channel/UCFD4yofEQbx2aconNQ-wa3g</v>
      </c>
      <c r="Q2529">
        <v>58</v>
      </c>
      <c r="R2529" t="s">
        <v>60</v>
      </c>
      <c r="W2529">
        <v>1</v>
      </c>
      <c r="X2529">
        <v>1</v>
      </c>
      <c r="AE2529">
        <v>0</v>
      </c>
      <c r="AM2529" t="s">
        <v>52</v>
      </c>
      <c r="AN2529" t="s">
        <v>53</v>
      </c>
    </row>
    <row r="2530" spans="1:40">
      <c r="A2530" t="s">
        <v>8081</v>
      </c>
      <c r="B2530" t="s">
        <v>2788</v>
      </c>
      <c r="C2530" t="s">
        <v>8428</v>
      </c>
      <c r="D2530" t="s">
        <v>8450</v>
      </c>
      <c r="E2530" t="s">
        <v>8451</v>
      </c>
      <c r="F2530" t="s">
        <v>45</v>
      </c>
      <c r="G2530" t="str">
        <f>HYPERLINK("https://www.msn.com/en-nz/lifestyle/lifestylegeneral/these-seven-mums-lost-a-combined-300kg/ar-AADjHVE")</f>
        <v>https://www.msn.com/en-nz/lifestyle/lifestylegeneral/these-seven-mums-lost-a-combined-300kg/ar-AADjHVE</v>
      </c>
      <c r="H2530" t="s">
        <v>46</v>
      </c>
      <c r="I2530" t="s">
        <v>8452</v>
      </c>
      <c r="J2530" t="str">
        <f>HYPERLINK("https://www.msn.com/en-nz/")</f>
        <v>https://www.msn.com/en-nz/</v>
      </c>
      <c r="N2530" t="s">
        <v>8453</v>
      </c>
      <c r="R2530" t="s">
        <v>357</v>
      </c>
      <c r="S2530" t="s">
        <v>2226</v>
      </c>
      <c r="AI2530" t="s">
        <v>52</v>
      </c>
      <c r="AJ2530" t="s">
        <v>3777</v>
      </c>
      <c r="AK2530" t="s">
        <v>52</v>
      </c>
      <c r="AL2530" t="str">
        <f>HYPERLINK("https://img-s-msn-com.akamaized.net/tenant/amp/entityid/AADj7qo.img?h=226&amp;w=270&amp;m=6&amp;q=60&amp;o=f&amp;l=f&amp;x=146&amp;y=120")</f>
        <v>https://img-s-msn-com.akamaized.net/tenant/amp/entityid/AADj7qo.img?h=226&amp;w=270&amp;m=6&amp;q=60&amp;o=f&amp;l=f&amp;x=146&amp;y=120</v>
      </c>
      <c r="AM2530" t="s">
        <v>52</v>
      </c>
      <c r="AN2530" t="s">
        <v>53</v>
      </c>
    </row>
    <row r="2531" spans="1:40">
      <c r="A2531" t="s">
        <v>8081</v>
      </c>
      <c r="B2531" t="s">
        <v>2788</v>
      </c>
      <c r="C2531" t="s">
        <v>8400</v>
      </c>
      <c r="D2531" t="s">
        <v>52</v>
      </c>
      <c r="E2531" t="s">
        <v>8454</v>
      </c>
      <c r="F2531" t="s">
        <v>45</v>
      </c>
      <c r="G2531" t="str">
        <f>HYPERLINK("https://www.instagram.com/p/BzE2l8ngYAY")</f>
        <v>https://www.instagram.com/p/BzE2l8ngYAY</v>
      </c>
      <c r="H2531" t="s">
        <v>46</v>
      </c>
      <c r="I2531" t="s">
        <v>8455</v>
      </c>
      <c r="J2531" t="str">
        <f>HYPERLINK("http://instagram.com/camilereyes")</f>
        <v>http://instagram.com/camilereyes</v>
      </c>
      <c r="K2531">
        <v>608</v>
      </c>
      <c r="N2531" t="s">
        <v>59</v>
      </c>
      <c r="O2531" t="s">
        <v>8455</v>
      </c>
      <c r="P2531" t="str">
        <f>HYPERLINK("http://instagram.com/camilereyes")</f>
        <v>http://instagram.com/camilereyes</v>
      </c>
      <c r="Q2531">
        <v>608</v>
      </c>
      <c r="R2531" t="s">
        <v>60</v>
      </c>
      <c r="W2531">
        <v>37</v>
      </c>
      <c r="X2531">
        <v>37</v>
      </c>
      <c r="AE2531">
        <v>0</v>
      </c>
      <c r="AI2531" t="s">
        <v>52</v>
      </c>
      <c r="AJ2531" t="s">
        <v>52</v>
      </c>
      <c r="AK2531" t="s">
        <v>8456</v>
      </c>
      <c r="AL2531" t="str">
        <f>HYPERLINK("https://www.instagram.com/p/BzE2l8ngYAY/media/?size=l")</f>
        <v>https://www.instagram.com/p/BzE2l8ngYAY/media/?size=l</v>
      </c>
      <c r="AM2531" t="s">
        <v>52</v>
      </c>
      <c r="AN2531" t="s">
        <v>53</v>
      </c>
    </row>
    <row r="2532" spans="1:40">
      <c r="A2532" t="s">
        <v>8081</v>
      </c>
      <c r="B2532" t="s">
        <v>8457</v>
      </c>
      <c r="C2532" t="s">
        <v>8458</v>
      </c>
      <c r="D2532" t="s">
        <v>52</v>
      </c>
      <c r="E2532" t="s">
        <v>8459</v>
      </c>
      <c r="F2532" t="s">
        <v>95</v>
      </c>
      <c r="G2532" t="str">
        <f>HYPERLINK("https://twitter.com/986603383552294912/status/1142983236244533249")</f>
        <v>https://twitter.com/986603383552294912/status/1142983236244533249</v>
      </c>
      <c r="H2532" t="s">
        <v>46</v>
      </c>
      <c r="I2532" t="s">
        <v>8460</v>
      </c>
      <c r="J2532" t="str">
        <f>HYPERLINK("http://twitter.com/SkyShine_tbh")</f>
        <v>http://twitter.com/SkyShine_tbh</v>
      </c>
      <c r="K2532">
        <v>272</v>
      </c>
      <c r="N2532" t="s">
        <v>65</v>
      </c>
      <c r="R2532" t="s">
        <v>60</v>
      </c>
      <c r="W2532">
        <v>1</v>
      </c>
      <c r="X2532">
        <v>1</v>
      </c>
      <c r="AE2532">
        <v>0</v>
      </c>
      <c r="AF2532">
        <v>0</v>
      </c>
      <c r="AM2532" t="s">
        <v>52</v>
      </c>
      <c r="AN2532" t="s">
        <v>53</v>
      </c>
    </row>
    <row r="2533" spans="1:40">
      <c r="A2533" t="s">
        <v>8081</v>
      </c>
      <c r="B2533" t="s">
        <v>8457</v>
      </c>
      <c r="C2533" t="s">
        <v>8458</v>
      </c>
      <c r="D2533" t="s">
        <v>52</v>
      </c>
      <c r="E2533" t="s">
        <v>8461</v>
      </c>
      <c r="F2533" t="s">
        <v>95</v>
      </c>
      <c r="G2533" t="str">
        <f>HYPERLINK("https://twitter.com/2235079340/status/1142983223556943872")</f>
        <v>https://twitter.com/2235079340/status/1142983223556943872</v>
      </c>
      <c r="H2533" t="s">
        <v>46</v>
      </c>
      <c r="I2533" t="s">
        <v>8462</v>
      </c>
      <c r="J2533" t="str">
        <f>HYPERLINK("http://twitter.com/_Emorgann")</f>
        <v>http://twitter.com/_Emorgann</v>
      </c>
      <c r="K2533">
        <v>967</v>
      </c>
      <c r="N2533" t="s">
        <v>65</v>
      </c>
      <c r="R2533" t="s">
        <v>60</v>
      </c>
      <c r="W2533">
        <v>1</v>
      </c>
      <c r="X2533">
        <v>1</v>
      </c>
      <c r="AE2533">
        <v>0</v>
      </c>
      <c r="AF2533">
        <v>0</v>
      </c>
      <c r="AM2533" t="s">
        <v>52</v>
      </c>
      <c r="AN2533" t="s">
        <v>53</v>
      </c>
    </row>
    <row r="2534" spans="1:40">
      <c r="A2534" t="s">
        <v>8081</v>
      </c>
      <c r="B2534" t="s">
        <v>8457</v>
      </c>
      <c r="C2534" t="s">
        <v>8463</v>
      </c>
      <c r="D2534" t="s">
        <v>52</v>
      </c>
      <c r="E2534" t="s">
        <v>1194</v>
      </c>
      <c r="F2534" t="s">
        <v>131</v>
      </c>
      <c r="G2534" t="str">
        <f>HYPERLINK("https://twitter.com/1970379000/status/1142983203436859392")</f>
        <v>https://twitter.com/1970379000/status/1142983203436859392</v>
      </c>
      <c r="H2534" t="s">
        <v>46</v>
      </c>
      <c r="I2534" t="s">
        <v>8464</v>
      </c>
      <c r="J2534" t="str">
        <f>HYPERLINK("http://twitter.com/mcc_nfreak")</f>
        <v>http://twitter.com/mcc_nfreak</v>
      </c>
      <c r="K2534">
        <v>2105</v>
      </c>
      <c r="N2534" t="s">
        <v>65</v>
      </c>
      <c r="R2534" t="s">
        <v>60</v>
      </c>
      <c r="S2534" t="s">
        <v>51</v>
      </c>
      <c r="T2534" t="s">
        <v>263</v>
      </c>
      <c r="U2534" t="s">
        <v>352</v>
      </c>
      <c r="W2534">
        <v>0</v>
      </c>
      <c r="X2534">
        <v>0</v>
      </c>
      <c r="AE2534">
        <v>0</v>
      </c>
      <c r="AI2534" t="s">
        <v>52</v>
      </c>
      <c r="AJ2534" t="s">
        <v>1196</v>
      </c>
      <c r="AK2534" t="s">
        <v>52</v>
      </c>
      <c r="AL2534" t="str">
        <f>HYPERLINK("https://pbs.twimg.com/media/D9xgk2YXkAAd2ql.jpg")</f>
        <v>https://pbs.twimg.com/media/D9xgk2YXkAAd2ql.jpg</v>
      </c>
      <c r="AM2534" t="s">
        <v>52</v>
      </c>
      <c r="AN2534" t="s">
        <v>53</v>
      </c>
    </row>
    <row r="2535" spans="1:40">
      <c r="A2535" t="s">
        <v>8081</v>
      </c>
      <c r="B2535" t="s">
        <v>2794</v>
      </c>
      <c r="C2535" t="s">
        <v>8465</v>
      </c>
      <c r="D2535" t="s">
        <v>52</v>
      </c>
      <c r="E2535" t="s">
        <v>8466</v>
      </c>
      <c r="F2535" t="s">
        <v>45</v>
      </c>
      <c r="G2535" t="str">
        <f>HYPERLINK("https://twitter.com/1111089315776466944/status/1142983142665576449")</f>
        <v>https://twitter.com/1111089315776466944/status/1142983142665576449</v>
      </c>
      <c r="H2535" t="s">
        <v>46</v>
      </c>
      <c r="I2535" t="s">
        <v>8467</v>
      </c>
      <c r="J2535" t="str">
        <f>HYPERLINK("http://twitter.com/Agusmonje5")</f>
        <v>http://twitter.com/Agusmonje5</v>
      </c>
      <c r="K2535">
        <v>47</v>
      </c>
      <c r="N2535" t="s">
        <v>65</v>
      </c>
      <c r="R2535" t="s">
        <v>60</v>
      </c>
      <c r="S2535" t="s">
        <v>701</v>
      </c>
      <c r="T2535" t="s">
        <v>2528</v>
      </c>
      <c r="U2535" t="s">
        <v>2816</v>
      </c>
      <c r="W2535">
        <v>0</v>
      </c>
      <c r="X2535">
        <v>0</v>
      </c>
      <c r="AE2535">
        <v>0</v>
      </c>
      <c r="AF2535">
        <v>0</v>
      </c>
      <c r="AM2535" t="s">
        <v>52</v>
      </c>
      <c r="AN2535" t="s">
        <v>53</v>
      </c>
    </row>
    <row r="2536" spans="1:40">
      <c r="A2536" t="s">
        <v>8081</v>
      </c>
      <c r="B2536" t="s">
        <v>2794</v>
      </c>
      <c r="C2536" t="s">
        <v>8468</v>
      </c>
      <c r="D2536" t="s">
        <v>52</v>
      </c>
      <c r="E2536" t="s">
        <v>8469</v>
      </c>
      <c r="F2536" t="s">
        <v>95</v>
      </c>
      <c r="G2536" t="str">
        <f>HYPERLINK("https://twitter.com/2695923089/status/1142982977338707968")</f>
        <v>https://twitter.com/2695923089/status/1142982977338707968</v>
      </c>
      <c r="H2536" t="s">
        <v>46</v>
      </c>
      <c r="I2536" t="s">
        <v>8470</v>
      </c>
      <c r="J2536" t="str">
        <f>HYPERLINK("http://twitter.com/_trinnnx")</f>
        <v>http://twitter.com/_trinnnx</v>
      </c>
      <c r="K2536">
        <v>712</v>
      </c>
      <c r="N2536" t="s">
        <v>65</v>
      </c>
      <c r="R2536" t="s">
        <v>60</v>
      </c>
      <c r="W2536">
        <v>0</v>
      </c>
      <c r="X2536">
        <v>0</v>
      </c>
      <c r="AE2536">
        <v>1</v>
      </c>
      <c r="AF2536">
        <v>0</v>
      </c>
      <c r="AM2536" t="s">
        <v>52</v>
      </c>
      <c r="AN2536" t="s">
        <v>53</v>
      </c>
    </row>
    <row r="2537" spans="1:40">
      <c r="A2537" t="s">
        <v>8081</v>
      </c>
      <c r="B2537" t="s">
        <v>2799</v>
      </c>
      <c r="C2537" t="s">
        <v>8458</v>
      </c>
      <c r="D2537" t="s">
        <v>8471</v>
      </c>
      <c r="E2537" t="s">
        <v>8471</v>
      </c>
      <c r="F2537" t="s">
        <v>45</v>
      </c>
      <c r="G2537" t="str">
        <f>HYPERLINK("https://www.youtube.com/watch?v=_7LvaScfWOU")</f>
        <v>https://www.youtube.com/watch?v=_7LvaScfWOU</v>
      </c>
      <c r="H2537" t="s">
        <v>46</v>
      </c>
      <c r="I2537" t="s">
        <v>8472</v>
      </c>
      <c r="J2537" t="str">
        <f>HYPERLINK("https://www.youtube.com/channel/UC9v4eATnkWPFhmU5pZ-Njsw")</f>
        <v>https://www.youtube.com/channel/UC9v4eATnkWPFhmU5pZ-Njsw</v>
      </c>
      <c r="K2537">
        <v>13</v>
      </c>
      <c r="N2537" t="s">
        <v>116</v>
      </c>
      <c r="O2537" t="s">
        <v>8472</v>
      </c>
      <c r="P2537" t="str">
        <f>HYPERLINK("https://www.youtube.com/channel/UC9v4eATnkWPFhmU5pZ-Njsw")</f>
        <v>https://www.youtube.com/channel/UC9v4eATnkWPFhmU5pZ-Njsw</v>
      </c>
      <c r="Q2537">
        <v>13</v>
      </c>
      <c r="R2537" t="s">
        <v>60</v>
      </c>
      <c r="W2537">
        <v>1</v>
      </c>
      <c r="X2537">
        <v>1</v>
      </c>
      <c r="AD2537">
        <v>0</v>
      </c>
      <c r="AE2537">
        <v>0</v>
      </c>
      <c r="AG2537">
        <v>1</v>
      </c>
      <c r="AI2537" t="s">
        <v>52</v>
      </c>
      <c r="AJ2537" t="s">
        <v>268</v>
      </c>
      <c r="AK2537" t="s">
        <v>52</v>
      </c>
      <c r="AL2537" t="str">
        <f>HYPERLINK("https://i.ytimg.com/vi/_7LvaScfWOU/hqdefault.jpg")</f>
        <v>https://i.ytimg.com/vi/_7LvaScfWOU/hqdefault.jpg</v>
      </c>
      <c r="AM2537" t="s">
        <v>52</v>
      </c>
      <c r="AN2537" t="s">
        <v>53</v>
      </c>
    </row>
    <row r="2538" spans="1:40">
      <c r="A2538" t="s">
        <v>8081</v>
      </c>
      <c r="B2538" t="s">
        <v>2799</v>
      </c>
      <c r="C2538" t="s">
        <v>8400</v>
      </c>
      <c r="D2538" t="s">
        <v>52</v>
      </c>
      <c r="E2538" t="s">
        <v>8473</v>
      </c>
      <c r="F2538" t="s">
        <v>45</v>
      </c>
      <c r="G2538" t="str">
        <f>HYPERLINK("https://www.instagram.com/p/BzE2O2Hg2W_")</f>
        <v>https://www.instagram.com/p/BzE2O2Hg2W_</v>
      </c>
      <c r="H2538" t="s">
        <v>46</v>
      </c>
      <c r="I2538" t="s">
        <v>8474</v>
      </c>
      <c r="J2538" t="str">
        <f>HYPERLINK("http://instagram.com/king_moral")</f>
        <v>http://instagram.com/king_moral</v>
      </c>
      <c r="K2538">
        <v>1432</v>
      </c>
      <c r="N2538" t="s">
        <v>59</v>
      </c>
      <c r="O2538" t="s">
        <v>8474</v>
      </c>
      <c r="P2538" t="str">
        <f>HYPERLINK("http://instagram.com/king_moral")</f>
        <v>http://instagram.com/king_moral</v>
      </c>
      <c r="Q2538">
        <v>1432</v>
      </c>
      <c r="R2538" t="s">
        <v>60</v>
      </c>
      <c r="W2538">
        <v>46</v>
      </c>
      <c r="X2538">
        <v>46</v>
      </c>
      <c r="AE2538">
        <v>1</v>
      </c>
      <c r="AI2538" t="s">
        <v>52</v>
      </c>
      <c r="AJ2538" t="s">
        <v>977</v>
      </c>
      <c r="AK2538" t="s">
        <v>8475</v>
      </c>
      <c r="AL2538" t="str">
        <f>HYPERLINK("https://www.instagram.com/p/BzE2O2Hg2W_/media/?size=l")</f>
        <v>https://www.instagram.com/p/BzE2O2Hg2W_/media/?size=l</v>
      </c>
      <c r="AM2538" t="s">
        <v>52</v>
      </c>
      <c r="AN2538" t="s">
        <v>53</v>
      </c>
    </row>
    <row r="2539" spans="1:40">
      <c r="A2539" t="s">
        <v>8081</v>
      </c>
      <c r="B2539" t="s">
        <v>2799</v>
      </c>
      <c r="C2539" t="s">
        <v>6918</v>
      </c>
      <c r="D2539" t="s">
        <v>8476</v>
      </c>
      <c r="E2539" t="s">
        <v>8477</v>
      </c>
      <c r="F2539" t="s">
        <v>45</v>
      </c>
      <c r="G2539" t="str">
        <f>HYPERLINK("https://www.reddit.com/r/cats/comments/c45zku/bean_has_been_missing_for_an_entire_year_today_he/?sort=new#thing_t1_ervuebh")</f>
        <v>https://www.reddit.com/r/cats/comments/c45zku/bean_has_been_missing_for_an_entire_year_today_he/?sort=new#thing_t1_ervuebh</v>
      </c>
      <c r="H2539" t="s">
        <v>46</v>
      </c>
      <c r="I2539" t="s">
        <v>8478</v>
      </c>
      <c r="J2539" t="str">
        <f>HYPERLINK("https://www.reddit.com/r/cats/comments/c45zku/bean_has_been_missing_for_an_entire_year_today_he/?sort=new#thing_t1_ervuebh")</f>
        <v>https://www.reddit.com/r/cats/comments/c45zku/bean_has_been_missing_for_an_entire_year_today_he/?sort=new#thing_t1_ervuebh</v>
      </c>
      <c r="N2539" t="s">
        <v>545</v>
      </c>
      <c r="O2539" t="s">
        <v>8479</v>
      </c>
      <c r="P2539" t="str">
        <f>HYPERLINK("https://www.reddit.com/r/cats/")</f>
        <v>https://www.reddit.com/r/cats/</v>
      </c>
      <c r="R2539" t="s">
        <v>516</v>
      </c>
      <c r="S2539" t="s">
        <v>51</v>
      </c>
      <c r="AM2539" t="s">
        <v>52</v>
      </c>
      <c r="AN2539" t="s">
        <v>53</v>
      </c>
    </row>
    <row r="2540" spans="1:40">
      <c r="A2540" t="s">
        <v>8081</v>
      </c>
      <c r="B2540" t="s">
        <v>2810</v>
      </c>
      <c r="C2540" t="s">
        <v>7275</v>
      </c>
      <c r="D2540" t="s">
        <v>8219</v>
      </c>
      <c r="E2540" t="s">
        <v>8480</v>
      </c>
      <c r="F2540" t="s">
        <v>45</v>
      </c>
      <c r="G2540" t="str">
        <f>HYPERLINK("https://www.reddit.com/r/CasualUK/comments/c499kc/right_oiks_sick_of_small_crumbly_supermarket/?sort=new#thing_t1_erwgtbj")</f>
        <v>https://www.reddit.com/r/CasualUK/comments/c499kc/right_oiks_sick_of_small_crumbly_supermarket/?sort=new#thing_t1_erwgtbj</v>
      </c>
      <c r="H2540" t="s">
        <v>46</v>
      </c>
      <c r="I2540" t="s">
        <v>8481</v>
      </c>
      <c r="J2540" t="str">
        <f>HYPERLINK("https://www.reddit.com/r/CasualUK/comments/c499kc/right_oiks_sick_of_small_crumbly_supermarket/?sort=new#thing_t1_erwgtbj")</f>
        <v>https://www.reddit.com/r/CasualUK/comments/c499kc/right_oiks_sick_of_small_crumbly_supermarket/?sort=new#thing_t1_erwgtbj</v>
      </c>
      <c r="N2540" t="s">
        <v>545</v>
      </c>
      <c r="O2540" t="s">
        <v>8222</v>
      </c>
      <c r="P2540" t="str">
        <f>HYPERLINK("https://www.reddit.com/r/CasualUK/")</f>
        <v>https://www.reddit.com/r/CasualUK/</v>
      </c>
      <c r="R2540" t="s">
        <v>516</v>
      </c>
      <c r="S2540" t="s">
        <v>51</v>
      </c>
      <c r="AM2540" t="s">
        <v>52</v>
      </c>
      <c r="AN2540" t="s">
        <v>53</v>
      </c>
    </row>
    <row r="2541" spans="1:40">
      <c r="A2541" t="s">
        <v>8081</v>
      </c>
      <c r="B2541" t="s">
        <v>8482</v>
      </c>
      <c r="C2541" t="s">
        <v>8458</v>
      </c>
      <c r="D2541" t="s">
        <v>8398</v>
      </c>
      <c r="E2541" t="s">
        <v>8483</v>
      </c>
      <c r="F2541" t="s">
        <v>45</v>
      </c>
      <c r="G2541" t="str">
        <f>HYPERLINK("https://www.youtube.com/watch?v=Z2R02gC_Eek")</f>
        <v>https://www.youtube.com/watch?v=Z2R02gC_Eek</v>
      </c>
      <c r="H2541" t="s">
        <v>46</v>
      </c>
      <c r="I2541" t="s">
        <v>8484</v>
      </c>
      <c r="J2541" t="str">
        <f>HYPERLINK("https://www.youtube.com/channel/UCofjChv5kFhQMuFpbwM6tqA")</f>
        <v>https://www.youtube.com/channel/UCofjChv5kFhQMuFpbwM6tqA</v>
      </c>
      <c r="K2541">
        <v>38</v>
      </c>
      <c r="N2541" t="s">
        <v>116</v>
      </c>
      <c r="O2541" t="s">
        <v>8484</v>
      </c>
      <c r="P2541" t="str">
        <f>HYPERLINK("https://www.youtube.com/channel/UCofjChv5kFhQMuFpbwM6tqA")</f>
        <v>https://www.youtube.com/channel/UCofjChv5kFhQMuFpbwM6tqA</v>
      </c>
      <c r="Q2541">
        <v>38</v>
      </c>
      <c r="R2541" t="s">
        <v>60</v>
      </c>
      <c r="W2541">
        <v>0</v>
      </c>
      <c r="X2541">
        <v>0</v>
      </c>
      <c r="AD2541">
        <v>1</v>
      </c>
      <c r="AE2541">
        <v>0</v>
      </c>
      <c r="AG2541">
        <v>184</v>
      </c>
      <c r="AI2541" t="s">
        <v>52</v>
      </c>
      <c r="AJ2541" t="s">
        <v>52</v>
      </c>
      <c r="AK2541" t="s">
        <v>52</v>
      </c>
      <c r="AL2541" t="str">
        <f>HYPERLINK("https://i.ytimg.com/vi/Z2R02gC_Eek/maxresdefault_live.jpg")</f>
        <v>https://i.ytimg.com/vi/Z2R02gC_Eek/maxresdefault_live.jpg</v>
      </c>
      <c r="AM2541" t="s">
        <v>52</v>
      </c>
      <c r="AN2541" t="s">
        <v>53</v>
      </c>
    </row>
    <row r="2542" spans="1:40">
      <c r="A2542" t="s">
        <v>8081</v>
      </c>
      <c r="B2542" t="s">
        <v>8482</v>
      </c>
      <c r="C2542" t="s">
        <v>7425</v>
      </c>
      <c r="D2542" t="s">
        <v>8485</v>
      </c>
      <c r="E2542" t="s">
        <v>8486</v>
      </c>
      <c r="F2542" t="s">
        <v>95</v>
      </c>
      <c r="G2542" t="str">
        <f>HYPERLINK("https://www.youtube.com/watch?v=VoXCySPoqF0&amp;lc=UgyWvnZNcKxCBO3bcbt4AaABAg")</f>
        <v>https://www.youtube.com/watch?v=VoXCySPoqF0&amp;lc=UgyWvnZNcKxCBO3bcbt4AaABAg</v>
      </c>
      <c r="H2542" t="s">
        <v>46</v>
      </c>
      <c r="I2542" t="s">
        <v>8487</v>
      </c>
      <c r="J2542" t="str">
        <f>HYPERLINK("https://www.youtube.com/channel/UCqBOHjy7eIkaq4H5MVJK_MA")</f>
        <v>https://www.youtube.com/channel/UCqBOHjy7eIkaq4H5MVJK_MA</v>
      </c>
      <c r="K2542">
        <v>10</v>
      </c>
      <c r="N2542" t="s">
        <v>116</v>
      </c>
      <c r="O2542" t="s">
        <v>8488</v>
      </c>
      <c r="P2542" t="str">
        <f>HYPERLINK("https://www.youtube.com/channel/UCr5c8kFaRnD9RkpiLwceTpA")</f>
        <v>https://www.youtube.com/channel/UCr5c8kFaRnD9RkpiLwceTpA</v>
      </c>
      <c r="Q2542">
        <v>3</v>
      </c>
      <c r="R2542" t="s">
        <v>60</v>
      </c>
      <c r="W2542">
        <v>0</v>
      </c>
      <c r="X2542">
        <v>0</v>
      </c>
      <c r="AE2542">
        <v>0</v>
      </c>
      <c r="AM2542" t="s">
        <v>52</v>
      </c>
      <c r="AN2542" t="s">
        <v>53</v>
      </c>
    </row>
    <row r="2543" spans="1:40">
      <c r="A2543" t="s">
        <v>8081</v>
      </c>
      <c r="B2543" t="s">
        <v>2817</v>
      </c>
      <c r="C2543" t="s">
        <v>8489</v>
      </c>
      <c r="D2543" t="s">
        <v>52</v>
      </c>
      <c r="E2543" t="s">
        <v>8490</v>
      </c>
      <c r="F2543" t="s">
        <v>131</v>
      </c>
      <c r="G2543" t="str">
        <f>HYPERLINK("https://twitter.com/1062595977620713472/status/1142981829705764864")</f>
        <v>https://twitter.com/1062595977620713472/status/1142981829705764864</v>
      </c>
      <c r="H2543" t="s">
        <v>46</v>
      </c>
      <c r="I2543" t="s">
        <v>8491</v>
      </c>
      <c r="J2543" t="str">
        <f>HYPERLINK("http://twitter.com/AdrianE40912660")</f>
        <v>http://twitter.com/AdrianE40912660</v>
      </c>
      <c r="K2543">
        <v>2</v>
      </c>
      <c r="L2543" t="s">
        <v>48</v>
      </c>
      <c r="N2543" t="s">
        <v>65</v>
      </c>
      <c r="R2543" t="s">
        <v>60</v>
      </c>
      <c r="S2543" t="s">
        <v>437</v>
      </c>
      <c r="T2543" t="s">
        <v>6309</v>
      </c>
      <c r="U2543" t="s">
        <v>6310</v>
      </c>
      <c r="W2543">
        <v>0</v>
      </c>
      <c r="X2543">
        <v>0</v>
      </c>
      <c r="AE2543">
        <v>0</v>
      </c>
      <c r="AI2543" t="s">
        <v>52</v>
      </c>
      <c r="AJ2543" t="s">
        <v>659</v>
      </c>
      <c r="AK2543" t="s">
        <v>52</v>
      </c>
      <c r="AL2543" t="str">
        <f>HYPERLINK("https://pbs.twimg.com/media/D9yvuLYU8AALuGp.jpg")</f>
        <v>https://pbs.twimg.com/media/D9yvuLYU8AALuGp.jpg</v>
      </c>
      <c r="AM2543" t="s">
        <v>52</v>
      </c>
      <c r="AN2543" t="s">
        <v>53</v>
      </c>
    </row>
    <row r="2544" spans="1:40">
      <c r="A2544" t="s">
        <v>8081</v>
      </c>
      <c r="B2544" t="s">
        <v>2817</v>
      </c>
      <c r="C2544" t="s">
        <v>8489</v>
      </c>
      <c r="D2544" t="s">
        <v>52</v>
      </c>
      <c r="E2544" t="s">
        <v>8492</v>
      </c>
      <c r="F2544" t="s">
        <v>45</v>
      </c>
      <c r="G2544" t="str">
        <f>HYPERLINK("https://twitter.com/940215411588632578/status/1142981820000198657")</f>
        <v>https://twitter.com/940215411588632578/status/1142981820000198657</v>
      </c>
      <c r="H2544" t="s">
        <v>46</v>
      </c>
      <c r="I2544" t="s">
        <v>8493</v>
      </c>
      <c r="J2544" t="str">
        <f>HYPERLINK("http://twitter.com/GabrielDestroy_")</f>
        <v>http://twitter.com/GabrielDestroy_</v>
      </c>
      <c r="K2544">
        <v>203</v>
      </c>
      <c r="N2544" t="s">
        <v>65</v>
      </c>
      <c r="R2544" t="s">
        <v>60</v>
      </c>
      <c r="S2544" t="s">
        <v>8494</v>
      </c>
      <c r="T2544" t="s">
        <v>8495</v>
      </c>
      <c r="W2544">
        <v>0</v>
      </c>
      <c r="X2544">
        <v>0</v>
      </c>
      <c r="AE2544">
        <v>1</v>
      </c>
      <c r="AF2544">
        <v>0</v>
      </c>
      <c r="AM2544" t="s">
        <v>52</v>
      </c>
      <c r="AN2544" t="s">
        <v>53</v>
      </c>
    </row>
    <row r="2545" spans="1:40">
      <c r="A2545" t="s">
        <v>8081</v>
      </c>
      <c r="B2545" t="s">
        <v>2817</v>
      </c>
      <c r="C2545" t="s">
        <v>8496</v>
      </c>
      <c r="D2545" t="s">
        <v>52</v>
      </c>
      <c r="E2545" t="s">
        <v>8490</v>
      </c>
      <c r="F2545" t="s">
        <v>131</v>
      </c>
      <c r="G2545" t="str">
        <f>HYPERLINK("https://twitter.com/3250240014/status/1142981792573644803")</f>
        <v>https://twitter.com/3250240014/status/1142981792573644803</v>
      </c>
      <c r="H2545" t="s">
        <v>46</v>
      </c>
      <c r="I2545" t="s">
        <v>8497</v>
      </c>
      <c r="J2545" t="str">
        <f>HYPERLINK("http://twitter.com/danacrespo18")</f>
        <v>http://twitter.com/danacrespo18</v>
      </c>
      <c r="K2545">
        <v>12</v>
      </c>
      <c r="N2545" t="s">
        <v>65</v>
      </c>
      <c r="R2545" t="s">
        <v>60</v>
      </c>
      <c r="W2545">
        <v>0</v>
      </c>
      <c r="X2545">
        <v>0</v>
      </c>
      <c r="AE2545">
        <v>0</v>
      </c>
      <c r="AI2545" t="s">
        <v>52</v>
      </c>
      <c r="AJ2545" t="s">
        <v>659</v>
      </c>
      <c r="AK2545" t="s">
        <v>52</v>
      </c>
      <c r="AL2545" t="str">
        <f>HYPERLINK("https://pbs.twimg.com/media/D9yvuLYU8AALuGp.jpg")</f>
        <v>https://pbs.twimg.com/media/D9yvuLYU8AALuGp.jpg</v>
      </c>
      <c r="AM2545" t="s">
        <v>52</v>
      </c>
      <c r="AN2545" t="s">
        <v>53</v>
      </c>
    </row>
    <row r="2546" spans="1:40">
      <c r="A2546" t="s">
        <v>8081</v>
      </c>
      <c r="B2546" t="s">
        <v>2817</v>
      </c>
      <c r="C2546" t="s">
        <v>8496</v>
      </c>
      <c r="D2546" t="s">
        <v>52</v>
      </c>
      <c r="E2546" t="s">
        <v>8490</v>
      </c>
      <c r="F2546" t="s">
        <v>131</v>
      </c>
      <c r="G2546" t="str">
        <f>HYPERLINK("https://twitter.com/1121962116272001025/status/1142981789360766977")</f>
        <v>https://twitter.com/1121962116272001025/status/1142981789360766977</v>
      </c>
      <c r="H2546" t="s">
        <v>46</v>
      </c>
      <c r="I2546" t="s">
        <v>8498</v>
      </c>
      <c r="J2546" t="str">
        <f>HYPERLINK("http://twitter.com/Emiliacoariste2")</f>
        <v>http://twitter.com/Emiliacoariste2</v>
      </c>
      <c r="K2546">
        <v>20</v>
      </c>
      <c r="N2546" t="s">
        <v>65</v>
      </c>
      <c r="R2546" t="s">
        <v>60</v>
      </c>
      <c r="W2546">
        <v>0</v>
      </c>
      <c r="X2546">
        <v>0</v>
      </c>
      <c r="AE2546">
        <v>0</v>
      </c>
      <c r="AI2546" t="s">
        <v>52</v>
      </c>
      <c r="AJ2546" t="s">
        <v>659</v>
      </c>
      <c r="AK2546" t="s">
        <v>52</v>
      </c>
      <c r="AL2546" t="str">
        <f>HYPERLINK("https://pbs.twimg.com/media/D9yvuLYU8AALuGp.jpg")</f>
        <v>https://pbs.twimg.com/media/D9yvuLYU8AALuGp.jpg</v>
      </c>
      <c r="AM2546" t="s">
        <v>52</v>
      </c>
      <c r="AN2546" t="s">
        <v>53</v>
      </c>
    </row>
    <row r="2547" spans="1:40">
      <c r="A2547" t="s">
        <v>8081</v>
      </c>
      <c r="B2547" t="s">
        <v>2817</v>
      </c>
      <c r="C2547" t="s">
        <v>8499</v>
      </c>
      <c r="D2547" t="s">
        <v>52</v>
      </c>
      <c r="E2547" t="s">
        <v>1194</v>
      </c>
      <c r="F2547" t="s">
        <v>131</v>
      </c>
      <c r="G2547" t="str">
        <f>HYPERLINK("https://twitter.com/1373161896/status/1142981741445091330")</f>
        <v>https://twitter.com/1373161896/status/1142981741445091330</v>
      </c>
      <c r="H2547" t="s">
        <v>46</v>
      </c>
      <c r="I2547" t="s">
        <v>8500</v>
      </c>
      <c r="J2547" t="str">
        <f>HYPERLINK("http://twitter.com/Weebvile")</f>
        <v>http://twitter.com/Weebvile</v>
      </c>
      <c r="K2547">
        <v>728</v>
      </c>
      <c r="N2547" t="s">
        <v>65</v>
      </c>
      <c r="R2547" t="s">
        <v>60</v>
      </c>
      <c r="S2547" t="s">
        <v>432</v>
      </c>
      <c r="T2547" t="s">
        <v>4929</v>
      </c>
      <c r="U2547" t="s">
        <v>4930</v>
      </c>
      <c r="W2547">
        <v>0</v>
      </c>
      <c r="X2547">
        <v>0</v>
      </c>
      <c r="AE2547">
        <v>0</v>
      </c>
      <c r="AI2547" t="s">
        <v>52</v>
      </c>
      <c r="AJ2547" t="s">
        <v>1196</v>
      </c>
      <c r="AK2547" t="s">
        <v>52</v>
      </c>
      <c r="AL2547" t="str">
        <f>HYPERLINK("https://pbs.twimg.com/media/D9xgk2YXkAAd2ql.jpg")</f>
        <v>https://pbs.twimg.com/media/D9xgk2YXkAAd2ql.jpg</v>
      </c>
      <c r="AM2547" t="s">
        <v>52</v>
      </c>
      <c r="AN2547" t="s">
        <v>53</v>
      </c>
    </row>
    <row r="2548" spans="1:40">
      <c r="A2548" t="s">
        <v>8081</v>
      </c>
      <c r="B2548" t="s">
        <v>2817</v>
      </c>
      <c r="C2548" t="s">
        <v>8499</v>
      </c>
      <c r="D2548" t="s">
        <v>52</v>
      </c>
      <c r="E2548" t="s">
        <v>8501</v>
      </c>
      <c r="F2548" t="s">
        <v>95</v>
      </c>
      <c r="G2548" t="str">
        <f>HYPERLINK("https://twitter.com/1206655639/status/1142981707911630849")</f>
        <v>https://twitter.com/1206655639/status/1142981707911630849</v>
      </c>
      <c r="H2548" t="s">
        <v>46</v>
      </c>
      <c r="I2548" t="s">
        <v>8502</v>
      </c>
      <c r="J2548" t="str">
        <f>HYPERLINK("http://twitter.com/ValeriValshe55")</f>
        <v>http://twitter.com/ValeriValshe55</v>
      </c>
      <c r="K2548">
        <v>29</v>
      </c>
      <c r="N2548" t="s">
        <v>65</v>
      </c>
      <c r="R2548" t="s">
        <v>60</v>
      </c>
      <c r="W2548">
        <v>0</v>
      </c>
      <c r="X2548">
        <v>0</v>
      </c>
      <c r="AE2548">
        <v>0</v>
      </c>
      <c r="AF2548">
        <v>0</v>
      </c>
      <c r="AM2548" t="s">
        <v>52</v>
      </c>
      <c r="AN2548" t="s">
        <v>53</v>
      </c>
    </row>
    <row r="2549" spans="1:40">
      <c r="A2549" t="s">
        <v>8081</v>
      </c>
      <c r="B2549" t="s">
        <v>2817</v>
      </c>
      <c r="C2549" t="s">
        <v>8499</v>
      </c>
      <c r="D2549" t="s">
        <v>52</v>
      </c>
      <c r="E2549" t="s">
        <v>1194</v>
      </c>
      <c r="F2549" t="s">
        <v>131</v>
      </c>
      <c r="G2549" t="str">
        <f>HYPERLINK("https://twitter.com/844459176919216128/status/1142981689628430336")</f>
        <v>https://twitter.com/844459176919216128/status/1142981689628430336</v>
      </c>
      <c r="H2549" t="s">
        <v>46</v>
      </c>
      <c r="I2549" t="s">
        <v>8503</v>
      </c>
      <c r="J2549" t="str">
        <f>HYPERLINK("http://twitter.com/nhsyarina")</f>
        <v>http://twitter.com/nhsyarina</v>
      </c>
      <c r="K2549">
        <v>182</v>
      </c>
      <c r="N2549" t="s">
        <v>65</v>
      </c>
      <c r="R2549" t="s">
        <v>60</v>
      </c>
      <c r="W2549">
        <v>0</v>
      </c>
      <c r="X2549">
        <v>0</v>
      </c>
      <c r="AE2549">
        <v>0</v>
      </c>
      <c r="AI2549" t="s">
        <v>52</v>
      </c>
      <c r="AJ2549" t="s">
        <v>1196</v>
      </c>
      <c r="AK2549" t="s">
        <v>52</v>
      </c>
      <c r="AL2549" t="str">
        <f>HYPERLINK("https://pbs.twimg.com/media/D9xgk2YXkAAd2ql.jpg")</f>
        <v>https://pbs.twimg.com/media/D9xgk2YXkAAd2ql.jpg</v>
      </c>
      <c r="AM2549" t="s">
        <v>52</v>
      </c>
      <c r="AN2549" t="s">
        <v>53</v>
      </c>
    </row>
    <row r="2550" spans="1:40">
      <c r="A2550" t="s">
        <v>8081</v>
      </c>
      <c r="B2550" t="s">
        <v>2820</v>
      </c>
      <c r="C2550" t="s">
        <v>8504</v>
      </c>
      <c r="D2550" t="s">
        <v>52</v>
      </c>
      <c r="E2550" t="s">
        <v>8490</v>
      </c>
      <c r="F2550" t="s">
        <v>45</v>
      </c>
      <c r="G2550" t="str">
        <f>HYPERLINK("https://twitter.com/1116481113621295104/status/1142981666656284673")</f>
        <v>https://twitter.com/1116481113621295104/status/1142981666656284673</v>
      </c>
      <c r="H2550" t="s">
        <v>46</v>
      </c>
      <c r="I2550" t="s">
        <v>8505</v>
      </c>
      <c r="J2550" t="str">
        <f>HYPERLINK("http://twitter.com/Quetzal79092252")</f>
        <v>http://twitter.com/Quetzal79092252</v>
      </c>
      <c r="K2550">
        <v>17</v>
      </c>
      <c r="N2550" t="s">
        <v>65</v>
      </c>
      <c r="R2550" t="s">
        <v>60</v>
      </c>
      <c r="W2550">
        <v>1</v>
      </c>
      <c r="X2550">
        <v>1</v>
      </c>
      <c r="AE2550">
        <v>0</v>
      </c>
      <c r="AF2550">
        <v>1</v>
      </c>
      <c r="AI2550" t="s">
        <v>52</v>
      </c>
      <c r="AJ2550" t="s">
        <v>659</v>
      </c>
      <c r="AK2550" t="s">
        <v>52</v>
      </c>
      <c r="AL2550" t="str">
        <f>HYPERLINK("https://pbs.twimg.com/media/D9yvuLYU8AALuGp.jpg")</f>
        <v>https://pbs.twimg.com/media/D9yvuLYU8AALuGp.jpg</v>
      </c>
      <c r="AM2550" t="s">
        <v>52</v>
      </c>
      <c r="AN2550" t="s">
        <v>53</v>
      </c>
    </row>
    <row r="2551" spans="1:40">
      <c r="A2551" t="s">
        <v>8081</v>
      </c>
      <c r="B2551" t="s">
        <v>2820</v>
      </c>
      <c r="C2551" t="s">
        <v>8504</v>
      </c>
      <c r="D2551" t="s">
        <v>52</v>
      </c>
      <c r="E2551" t="s">
        <v>8506</v>
      </c>
      <c r="F2551" t="s">
        <v>45</v>
      </c>
      <c r="G2551" t="str">
        <f>HYPERLINK("https://twitter.com/706161116729184256/status/1142981632602849285")</f>
        <v>https://twitter.com/706161116729184256/status/1142981632602849285</v>
      </c>
      <c r="H2551" t="s">
        <v>215</v>
      </c>
      <c r="I2551" t="s">
        <v>8507</v>
      </c>
      <c r="J2551" t="str">
        <f>HYPERLINK("http://twitter.com/SofiBorda4")</f>
        <v>http://twitter.com/SofiBorda4</v>
      </c>
      <c r="K2551">
        <v>838</v>
      </c>
      <c r="N2551" t="s">
        <v>65</v>
      </c>
      <c r="R2551" t="s">
        <v>60</v>
      </c>
      <c r="W2551">
        <v>0</v>
      </c>
      <c r="X2551">
        <v>0</v>
      </c>
      <c r="AE2551">
        <v>1</v>
      </c>
      <c r="AF2551">
        <v>8</v>
      </c>
      <c r="AM2551" t="s">
        <v>52</v>
      </c>
      <c r="AN2551" t="s">
        <v>53</v>
      </c>
    </row>
    <row r="2552" spans="1:40">
      <c r="A2552" t="s">
        <v>8081</v>
      </c>
      <c r="B2552" t="s">
        <v>2820</v>
      </c>
      <c r="C2552" t="s">
        <v>8508</v>
      </c>
      <c r="D2552" t="s">
        <v>52</v>
      </c>
      <c r="E2552" t="s">
        <v>2549</v>
      </c>
      <c r="F2552" t="s">
        <v>45</v>
      </c>
      <c r="G2552" t="str">
        <f>HYPERLINK("https://twitter.com/3059623168/status/1142981620636344320")</f>
        <v>https://twitter.com/3059623168/status/1142981620636344320</v>
      </c>
      <c r="H2552" t="s">
        <v>215</v>
      </c>
      <c r="I2552" t="s">
        <v>2550</v>
      </c>
      <c r="J2552" t="str">
        <f>HYPERLINK("http://twitter.com/MLGJAC3")</f>
        <v>http://twitter.com/MLGJAC3</v>
      </c>
      <c r="K2552">
        <v>59</v>
      </c>
      <c r="N2552" t="s">
        <v>65</v>
      </c>
      <c r="R2552" t="s">
        <v>60</v>
      </c>
      <c r="W2552">
        <v>0</v>
      </c>
      <c r="X2552">
        <v>0</v>
      </c>
      <c r="AE2552">
        <v>0</v>
      </c>
      <c r="AF2552">
        <v>0</v>
      </c>
      <c r="AM2552" t="s">
        <v>52</v>
      </c>
      <c r="AN2552" t="s">
        <v>53</v>
      </c>
    </row>
    <row r="2553" spans="1:40">
      <c r="A2553" t="s">
        <v>8081</v>
      </c>
      <c r="B2553" t="s">
        <v>2820</v>
      </c>
      <c r="C2553" t="s">
        <v>8509</v>
      </c>
      <c r="D2553" t="s">
        <v>52</v>
      </c>
      <c r="E2553" t="s">
        <v>1194</v>
      </c>
      <c r="F2553" t="s">
        <v>131</v>
      </c>
      <c r="G2553" t="str">
        <f>HYPERLINK("https://twitter.com/1065072522046058497/status/1142981588898029568")</f>
        <v>https://twitter.com/1065072522046058497/status/1142981588898029568</v>
      </c>
      <c r="H2553" t="s">
        <v>46</v>
      </c>
      <c r="I2553" t="s">
        <v>8510</v>
      </c>
      <c r="J2553" t="str">
        <f>HYPERLINK("http://twitter.com/lagay_lamar")</f>
        <v>http://twitter.com/lagay_lamar</v>
      </c>
      <c r="K2553">
        <v>49</v>
      </c>
      <c r="L2553" t="s">
        <v>48</v>
      </c>
      <c r="N2553" t="s">
        <v>65</v>
      </c>
      <c r="R2553" t="s">
        <v>60</v>
      </c>
      <c r="W2553">
        <v>0</v>
      </c>
      <c r="X2553">
        <v>0</v>
      </c>
      <c r="AE2553">
        <v>0</v>
      </c>
      <c r="AI2553" t="s">
        <v>52</v>
      </c>
      <c r="AJ2553" t="s">
        <v>1196</v>
      </c>
      <c r="AK2553" t="s">
        <v>52</v>
      </c>
      <c r="AL2553" t="str">
        <f>HYPERLINK("https://pbs.twimg.com/media/D9xgk2YXkAAd2ql.jpg")</f>
        <v>https://pbs.twimg.com/media/D9xgk2YXkAAd2ql.jpg</v>
      </c>
      <c r="AM2553" t="s">
        <v>52</v>
      </c>
      <c r="AN2553" t="s">
        <v>53</v>
      </c>
    </row>
    <row r="2554" spans="1:40">
      <c r="A2554" t="s">
        <v>8081</v>
      </c>
      <c r="B2554" t="s">
        <v>2824</v>
      </c>
      <c r="C2554" t="s">
        <v>6800</v>
      </c>
      <c r="D2554" t="s">
        <v>52</v>
      </c>
      <c r="E2554" t="s">
        <v>8511</v>
      </c>
      <c r="F2554" t="s">
        <v>45</v>
      </c>
      <c r="G2554" t="str">
        <f>HYPERLINK("https://www.facebook.com/106535585517/posts/10155982868950518")</f>
        <v>https://www.facebook.com/106535585517/posts/10155982868950518</v>
      </c>
      <c r="H2554" t="s">
        <v>46</v>
      </c>
      <c r="I2554" t="s">
        <v>8512</v>
      </c>
      <c r="J2554" t="str">
        <f>HYPERLINK("https://www.facebook.com/106535585517")</f>
        <v>https://www.facebook.com/106535585517</v>
      </c>
      <c r="K2554">
        <v>21758</v>
      </c>
      <c r="L2554" t="s">
        <v>651</v>
      </c>
      <c r="N2554" t="s">
        <v>1792</v>
      </c>
      <c r="O2554" t="s">
        <v>8512</v>
      </c>
      <c r="P2554" t="str">
        <f>HYPERLINK("https://www.facebook.com/106535585517")</f>
        <v>https://www.facebook.com/106535585517</v>
      </c>
      <c r="Q2554">
        <v>21758</v>
      </c>
      <c r="R2554" t="s">
        <v>60</v>
      </c>
      <c r="S2554" t="s">
        <v>51</v>
      </c>
      <c r="W2554">
        <v>0</v>
      </c>
      <c r="X2554">
        <v>0</v>
      </c>
      <c r="Y2554">
        <v>0</v>
      </c>
      <c r="Z2554">
        <v>0</v>
      </c>
      <c r="AA2554">
        <v>0</v>
      </c>
      <c r="AB2554">
        <v>0</v>
      </c>
      <c r="AC2554">
        <v>0</v>
      </c>
      <c r="AE2554">
        <v>0</v>
      </c>
      <c r="AF2554">
        <v>0</v>
      </c>
      <c r="AI2554" t="s">
        <v>108</v>
      </c>
      <c r="AJ2554" t="s">
        <v>659</v>
      </c>
      <c r="AK2554" t="s">
        <v>52</v>
      </c>
      <c r="AL2554" t="str">
        <f>HYPERLINK("https://townsquare.media/site/182/files/2019/06/YouTube.jpg?w=1200&amp;h=0&amp;zc=1&amp;s=0&amp;a=t&amp;q=89")</f>
        <v>https://townsquare.media/site/182/files/2019/06/YouTube.jpg?w=1200&amp;h=0&amp;zc=1&amp;s=0&amp;a=t&amp;q=89</v>
      </c>
      <c r="AM2554" t="s">
        <v>52</v>
      </c>
      <c r="AN2554" t="s">
        <v>53</v>
      </c>
    </row>
    <row r="2555" spans="1:40">
      <c r="A2555" t="s">
        <v>8081</v>
      </c>
      <c r="B2555" t="s">
        <v>2841</v>
      </c>
      <c r="C2555" t="s">
        <v>8513</v>
      </c>
      <c r="D2555" t="s">
        <v>52</v>
      </c>
      <c r="E2555" t="s">
        <v>8514</v>
      </c>
      <c r="F2555" t="s">
        <v>45</v>
      </c>
      <c r="G2555" t="str">
        <f>HYPERLINK("https://twitter.com/918146156969914368/status/1142980845722116097")</f>
        <v>https://twitter.com/918146156969914368/status/1142980845722116097</v>
      </c>
      <c r="H2555" t="s">
        <v>46</v>
      </c>
      <c r="I2555" t="s">
        <v>8515</v>
      </c>
      <c r="J2555" t="str">
        <f>HYPERLINK("http://twitter.com/wandarenee27")</f>
        <v>http://twitter.com/wandarenee27</v>
      </c>
      <c r="K2555">
        <v>37</v>
      </c>
      <c r="N2555" t="s">
        <v>65</v>
      </c>
      <c r="R2555" t="s">
        <v>60</v>
      </c>
      <c r="S2555" t="s">
        <v>51</v>
      </c>
      <c r="T2555" t="s">
        <v>3267</v>
      </c>
      <c r="U2555" t="s">
        <v>8388</v>
      </c>
      <c r="W2555">
        <v>0</v>
      </c>
      <c r="X2555">
        <v>0</v>
      </c>
      <c r="AE2555">
        <v>0</v>
      </c>
      <c r="AF2555">
        <v>0</v>
      </c>
      <c r="AM2555" t="s">
        <v>52</v>
      </c>
      <c r="AN2555" t="s">
        <v>53</v>
      </c>
    </row>
    <row r="2556" spans="1:40">
      <c r="A2556" t="s">
        <v>8081</v>
      </c>
      <c r="B2556" t="s">
        <v>2841</v>
      </c>
      <c r="C2556" t="s">
        <v>8508</v>
      </c>
      <c r="D2556" t="s">
        <v>52</v>
      </c>
      <c r="E2556" t="s">
        <v>8516</v>
      </c>
      <c r="F2556" t="s">
        <v>45</v>
      </c>
      <c r="G2556" t="str">
        <f>HYPERLINK("https://www.instagram.com/p/BzE1UZ3lP31")</f>
        <v>https://www.instagram.com/p/BzE1UZ3lP31</v>
      </c>
      <c r="H2556" t="s">
        <v>46</v>
      </c>
      <c r="I2556" t="s">
        <v>8517</v>
      </c>
      <c r="J2556" t="str">
        <f>HYPERLINK("http://instagram.com/alchemyandatwist")</f>
        <v>http://instagram.com/alchemyandatwist</v>
      </c>
      <c r="K2556">
        <v>411</v>
      </c>
      <c r="N2556" t="s">
        <v>59</v>
      </c>
      <c r="O2556" t="s">
        <v>8517</v>
      </c>
      <c r="P2556" t="str">
        <f>HYPERLINK("http://instagram.com/alchemyandatwist")</f>
        <v>http://instagram.com/alchemyandatwist</v>
      </c>
      <c r="Q2556">
        <v>411</v>
      </c>
      <c r="R2556" t="s">
        <v>60</v>
      </c>
      <c r="S2556" t="s">
        <v>51</v>
      </c>
      <c r="T2556" t="s">
        <v>1218</v>
      </c>
      <c r="U2556" t="s">
        <v>8518</v>
      </c>
      <c r="W2556">
        <v>37</v>
      </c>
      <c r="X2556">
        <v>37</v>
      </c>
      <c r="AE2556">
        <v>4</v>
      </c>
      <c r="AI2556" t="s">
        <v>52</v>
      </c>
      <c r="AJ2556" t="s">
        <v>8519</v>
      </c>
      <c r="AK2556" t="s">
        <v>8520</v>
      </c>
      <c r="AL2556" t="str">
        <f>HYPERLINK("https://www.instagram.com/p/BzE1UZ3lP31/media/?size=l")</f>
        <v>https://www.instagram.com/p/BzE1UZ3lP31/media/?size=l</v>
      </c>
      <c r="AM2556" t="s">
        <v>52</v>
      </c>
      <c r="AN2556" t="s">
        <v>53</v>
      </c>
    </row>
    <row r="2557" spans="1:40">
      <c r="A2557" t="s">
        <v>8081</v>
      </c>
      <c r="B2557" t="s">
        <v>8521</v>
      </c>
      <c r="C2557" t="s">
        <v>8508</v>
      </c>
      <c r="D2557" t="s">
        <v>52</v>
      </c>
      <c r="E2557" t="s">
        <v>8522</v>
      </c>
      <c r="F2557" t="s">
        <v>95</v>
      </c>
      <c r="G2557" t="str">
        <f>HYPERLINK("https://twitter.com/1099078313404846080/status/1142980380162609152")</f>
        <v>https://twitter.com/1099078313404846080/status/1142980380162609152</v>
      </c>
      <c r="H2557" t="s">
        <v>46</v>
      </c>
      <c r="I2557" t="s">
        <v>8523</v>
      </c>
      <c r="J2557" t="str">
        <f>HYPERLINK("http://twitter.com/logical_empress")</f>
        <v>http://twitter.com/logical_empress</v>
      </c>
      <c r="K2557">
        <v>2</v>
      </c>
      <c r="N2557" t="s">
        <v>65</v>
      </c>
      <c r="R2557" t="s">
        <v>60</v>
      </c>
      <c r="W2557">
        <v>5</v>
      </c>
      <c r="X2557">
        <v>5</v>
      </c>
      <c r="AE2557">
        <v>1</v>
      </c>
      <c r="AF2557">
        <v>0</v>
      </c>
      <c r="AM2557" t="s">
        <v>52</v>
      </c>
      <c r="AN2557" t="s">
        <v>53</v>
      </c>
    </row>
    <row r="2558" spans="1:40">
      <c r="A2558" t="s">
        <v>8081</v>
      </c>
      <c r="B2558" t="s">
        <v>8521</v>
      </c>
      <c r="C2558" t="s">
        <v>8379</v>
      </c>
      <c r="D2558" t="s">
        <v>52</v>
      </c>
      <c r="E2558" t="s">
        <v>8524</v>
      </c>
      <c r="F2558" t="s">
        <v>45</v>
      </c>
      <c r="G2558" t="str">
        <f>HYPERLINK("https://www.instagram.com/p/BzE1KIpBBFE")</f>
        <v>https://www.instagram.com/p/BzE1KIpBBFE</v>
      </c>
      <c r="H2558" t="s">
        <v>46</v>
      </c>
      <c r="I2558" t="s">
        <v>8525</v>
      </c>
      <c r="J2558" t="str">
        <f>HYPERLINK("http://instagram.com/eusebianena")</f>
        <v>http://instagram.com/eusebianena</v>
      </c>
      <c r="K2558">
        <v>224</v>
      </c>
      <c r="N2558" t="s">
        <v>59</v>
      </c>
      <c r="O2558" t="s">
        <v>8525</v>
      </c>
      <c r="P2558" t="str">
        <f>HYPERLINK("http://instagram.com/eusebianena")</f>
        <v>http://instagram.com/eusebianena</v>
      </c>
      <c r="Q2558">
        <v>224</v>
      </c>
      <c r="R2558" t="s">
        <v>60</v>
      </c>
      <c r="S2558" t="s">
        <v>51</v>
      </c>
      <c r="T2558" t="s">
        <v>152</v>
      </c>
      <c r="U2558" t="s">
        <v>8526</v>
      </c>
      <c r="W2558">
        <v>15</v>
      </c>
      <c r="X2558">
        <v>15</v>
      </c>
      <c r="AE2558">
        <v>3</v>
      </c>
      <c r="AI2558" t="s">
        <v>108</v>
      </c>
      <c r="AJ2558" t="s">
        <v>4054</v>
      </c>
      <c r="AK2558" t="s">
        <v>52</v>
      </c>
      <c r="AL2558" t="str">
        <f>HYPERLINK("https://www.instagram.com/p/BzE1KIpBBFE/media/?size=l")</f>
        <v>https://www.instagram.com/p/BzE1KIpBBFE/media/?size=l</v>
      </c>
      <c r="AM2558" t="s">
        <v>52</v>
      </c>
      <c r="AN2558" t="s">
        <v>53</v>
      </c>
    </row>
    <row r="2559" spans="1:40">
      <c r="A2559" t="s">
        <v>8081</v>
      </c>
      <c r="B2559" t="s">
        <v>8521</v>
      </c>
      <c r="C2559" t="s">
        <v>8499</v>
      </c>
      <c r="D2559" t="s">
        <v>52</v>
      </c>
      <c r="E2559" t="s">
        <v>7606</v>
      </c>
      <c r="F2559" t="s">
        <v>131</v>
      </c>
      <c r="G2559" t="str">
        <f>HYPERLINK("https://twitter.com/858893832615800832/status/1142980296469549056")</f>
        <v>https://twitter.com/858893832615800832/status/1142980296469549056</v>
      </c>
      <c r="H2559" t="s">
        <v>46</v>
      </c>
      <c r="I2559" t="s">
        <v>8527</v>
      </c>
      <c r="J2559" t="str">
        <f>HYPERLINK("http://twitter.com/lovely_erica_")</f>
        <v>http://twitter.com/lovely_erica_</v>
      </c>
      <c r="K2559">
        <v>574</v>
      </c>
      <c r="N2559" t="s">
        <v>65</v>
      </c>
      <c r="R2559" t="s">
        <v>60</v>
      </c>
      <c r="W2559">
        <v>0</v>
      </c>
      <c r="X2559">
        <v>0</v>
      </c>
      <c r="AE2559">
        <v>0</v>
      </c>
      <c r="AM2559" t="s">
        <v>52</v>
      </c>
      <c r="AN2559" t="s">
        <v>53</v>
      </c>
    </row>
    <row r="2560" spans="1:40">
      <c r="A2560" t="s">
        <v>8081</v>
      </c>
      <c r="B2560" t="s">
        <v>2858</v>
      </c>
      <c r="C2560" t="s">
        <v>7489</v>
      </c>
      <c r="D2560" t="s">
        <v>8528</v>
      </c>
      <c r="E2560" t="s">
        <v>8529</v>
      </c>
      <c r="F2560" t="s">
        <v>45</v>
      </c>
      <c r="G2560" t="str">
        <f>HYPERLINK("https://www.youtube.com/watch?v=MGOEU1X30xU")</f>
        <v>https://www.youtube.com/watch?v=MGOEU1X30xU</v>
      </c>
      <c r="H2560" t="s">
        <v>215</v>
      </c>
      <c r="I2560" t="s">
        <v>8530</v>
      </c>
      <c r="J2560" t="str">
        <f>HYPERLINK("https://www.youtube.com/channel/UCkb3HqUY_vvq-qt4wWWJ4Lg")</f>
        <v>https://www.youtube.com/channel/UCkb3HqUY_vvq-qt4wWWJ4Lg</v>
      </c>
      <c r="K2560">
        <v>54</v>
      </c>
      <c r="N2560" t="s">
        <v>116</v>
      </c>
      <c r="O2560" t="s">
        <v>8530</v>
      </c>
      <c r="P2560" t="str">
        <f>HYPERLINK("https://www.youtube.com/channel/UCkb3HqUY_vvq-qt4wWWJ4Lg")</f>
        <v>https://www.youtube.com/channel/UCkb3HqUY_vvq-qt4wWWJ4Lg</v>
      </c>
      <c r="Q2560">
        <v>54</v>
      </c>
      <c r="R2560" t="s">
        <v>60</v>
      </c>
      <c r="W2560">
        <v>0</v>
      </c>
      <c r="X2560">
        <v>0</v>
      </c>
      <c r="AD2560">
        <v>0</v>
      </c>
      <c r="AE2560">
        <v>0</v>
      </c>
      <c r="AG2560">
        <v>5</v>
      </c>
      <c r="AI2560" t="s">
        <v>52</v>
      </c>
      <c r="AJ2560" t="s">
        <v>8531</v>
      </c>
      <c r="AK2560" t="s">
        <v>2986</v>
      </c>
      <c r="AL2560" t="str">
        <f>HYPERLINK("https://i.ytimg.com/vi/MGOEU1X30xU/hqdefault.jpg")</f>
        <v>https://i.ytimg.com/vi/MGOEU1X30xU/hqdefault.jpg</v>
      </c>
      <c r="AM2560" t="s">
        <v>52</v>
      </c>
      <c r="AN2560" t="s">
        <v>53</v>
      </c>
    </row>
    <row r="2561" spans="1:40">
      <c r="A2561" t="s">
        <v>8081</v>
      </c>
      <c r="B2561" t="s">
        <v>8532</v>
      </c>
      <c r="C2561" t="s">
        <v>8509</v>
      </c>
      <c r="D2561" t="s">
        <v>52</v>
      </c>
      <c r="E2561" t="s">
        <v>8533</v>
      </c>
      <c r="F2561" t="s">
        <v>45</v>
      </c>
      <c r="G2561" t="str">
        <f>HYPERLINK("https://twitter.com/871590200429785088/status/1142979871892578304")</f>
        <v>https://twitter.com/871590200429785088/status/1142979871892578304</v>
      </c>
      <c r="H2561" t="s">
        <v>46</v>
      </c>
      <c r="I2561" t="s">
        <v>8534</v>
      </c>
      <c r="J2561" t="str">
        <f>HYPERLINK("http://twitter.com/MariaPafo")</f>
        <v>http://twitter.com/MariaPafo</v>
      </c>
      <c r="K2561">
        <v>70</v>
      </c>
      <c r="L2561" t="s">
        <v>58</v>
      </c>
      <c r="N2561" t="s">
        <v>65</v>
      </c>
      <c r="R2561" t="s">
        <v>60</v>
      </c>
      <c r="W2561">
        <v>0</v>
      </c>
      <c r="X2561">
        <v>0</v>
      </c>
      <c r="AE2561">
        <v>2</v>
      </c>
      <c r="AF2561">
        <v>0</v>
      </c>
      <c r="AM2561" t="s">
        <v>52</v>
      </c>
      <c r="AN2561" t="s">
        <v>53</v>
      </c>
    </row>
    <row r="2562" spans="1:40">
      <c r="A2562" t="s">
        <v>8081</v>
      </c>
      <c r="B2562" t="s">
        <v>8532</v>
      </c>
      <c r="C2562" t="s">
        <v>8509</v>
      </c>
      <c r="D2562" t="s">
        <v>52</v>
      </c>
      <c r="E2562" t="s">
        <v>8535</v>
      </c>
      <c r="F2562" t="s">
        <v>45</v>
      </c>
      <c r="G2562" t="str">
        <f>HYPERLINK("https://twitter.com/179738684/status/1142979856063504386")</f>
        <v>https://twitter.com/179738684/status/1142979856063504386</v>
      </c>
      <c r="H2562" t="s">
        <v>46</v>
      </c>
      <c r="I2562" t="s">
        <v>8536</v>
      </c>
      <c r="J2562" t="str">
        <f>HYPERLINK("http://twitter.com/giovarobles")</f>
        <v>http://twitter.com/giovarobles</v>
      </c>
      <c r="K2562">
        <v>2392</v>
      </c>
      <c r="N2562" t="s">
        <v>65</v>
      </c>
      <c r="R2562" t="s">
        <v>60</v>
      </c>
      <c r="W2562">
        <v>1</v>
      </c>
      <c r="X2562">
        <v>1</v>
      </c>
      <c r="AE2562">
        <v>1</v>
      </c>
      <c r="AF2562">
        <v>0</v>
      </c>
      <c r="AM2562" t="s">
        <v>52</v>
      </c>
      <c r="AN2562" t="s">
        <v>53</v>
      </c>
    </row>
    <row r="2563" spans="1:40">
      <c r="A2563" t="s">
        <v>8081</v>
      </c>
      <c r="B2563" t="s">
        <v>8532</v>
      </c>
      <c r="C2563" t="s">
        <v>8537</v>
      </c>
      <c r="D2563" t="s">
        <v>52</v>
      </c>
      <c r="E2563" t="s">
        <v>8538</v>
      </c>
      <c r="F2563" t="s">
        <v>95</v>
      </c>
      <c r="G2563" t="str">
        <f>HYPERLINK("https://twitter.com/2999158160/status/1142979823767187456")</f>
        <v>https://twitter.com/2999158160/status/1142979823767187456</v>
      </c>
      <c r="H2563" t="s">
        <v>46</v>
      </c>
      <c r="I2563" t="s">
        <v>8539</v>
      </c>
      <c r="J2563" t="str">
        <f>HYPERLINK("http://twitter.com/pixelatedboat")</f>
        <v>http://twitter.com/pixelatedboat</v>
      </c>
      <c r="K2563">
        <v>284613</v>
      </c>
      <c r="N2563" t="s">
        <v>65</v>
      </c>
      <c r="R2563" t="s">
        <v>60</v>
      </c>
      <c r="S2563" t="s">
        <v>156</v>
      </c>
      <c r="T2563" t="s">
        <v>7299</v>
      </c>
      <c r="U2563" t="s">
        <v>8540</v>
      </c>
      <c r="W2563">
        <v>50</v>
      </c>
      <c r="X2563">
        <v>50</v>
      </c>
      <c r="AE2563">
        <v>0</v>
      </c>
      <c r="AF2563">
        <v>1</v>
      </c>
      <c r="AM2563" t="s">
        <v>52</v>
      </c>
      <c r="AN2563" t="s">
        <v>53</v>
      </c>
    </row>
    <row r="2564" spans="1:40">
      <c r="A2564" t="s">
        <v>8081</v>
      </c>
      <c r="B2564" t="s">
        <v>8532</v>
      </c>
      <c r="C2564" t="s">
        <v>8537</v>
      </c>
      <c r="D2564" t="s">
        <v>52</v>
      </c>
      <c r="E2564" t="s">
        <v>3749</v>
      </c>
      <c r="F2564" t="s">
        <v>71</v>
      </c>
      <c r="G2564" t="str">
        <f>HYPERLINK("https://twitter.com/756931637787684864/status/1142979821158449155")</f>
        <v>https://twitter.com/756931637787684864/status/1142979821158449155</v>
      </c>
      <c r="H2564" t="s">
        <v>46</v>
      </c>
      <c r="I2564" t="s">
        <v>52</v>
      </c>
      <c r="J2564" t="str">
        <f>HYPERLINK("http://twitter.com/MilawandeL")</f>
        <v>http://twitter.com/MilawandeL</v>
      </c>
      <c r="K2564">
        <v>460</v>
      </c>
      <c r="N2564" t="s">
        <v>65</v>
      </c>
      <c r="R2564" t="s">
        <v>60</v>
      </c>
      <c r="S2564" t="s">
        <v>8541</v>
      </c>
      <c r="T2564" t="s">
        <v>8542</v>
      </c>
      <c r="U2564" t="s">
        <v>8543</v>
      </c>
      <c r="W2564">
        <v>0</v>
      </c>
      <c r="X2564">
        <v>0</v>
      </c>
      <c r="AE2564">
        <v>0</v>
      </c>
      <c r="AF2564">
        <v>0</v>
      </c>
      <c r="AI2564" t="s">
        <v>108</v>
      </c>
      <c r="AJ2564" t="s">
        <v>52</v>
      </c>
      <c r="AK2564" t="s">
        <v>52</v>
      </c>
      <c r="AL2564" t="str">
        <f>HYPERLINK("https://pbs.twimg.com/media/D9sAXHUX4AA6vJs.jpg")</f>
        <v>https://pbs.twimg.com/media/D9sAXHUX4AA6vJs.jpg</v>
      </c>
      <c r="AM2564" t="s">
        <v>52</v>
      </c>
      <c r="AN2564" t="s">
        <v>53</v>
      </c>
    </row>
    <row r="2565" spans="1:40">
      <c r="A2565" t="s">
        <v>8081</v>
      </c>
      <c r="B2565" t="s">
        <v>8532</v>
      </c>
      <c r="C2565" t="s">
        <v>8537</v>
      </c>
      <c r="D2565" t="s">
        <v>52</v>
      </c>
      <c r="E2565" t="s">
        <v>3749</v>
      </c>
      <c r="F2565" t="s">
        <v>71</v>
      </c>
      <c r="G2565" t="str">
        <f>HYPERLINK("https://twitter.com/2207067498/status/1142979807082373120")</f>
        <v>https://twitter.com/2207067498/status/1142979807082373120</v>
      </c>
      <c r="H2565" t="s">
        <v>46</v>
      </c>
      <c r="I2565" t="s">
        <v>8544</v>
      </c>
      <c r="J2565" t="str">
        <f>HYPERLINK("http://twitter.com/kobedoan1999")</f>
        <v>http://twitter.com/kobedoan1999</v>
      </c>
      <c r="K2565">
        <v>24</v>
      </c>
      <c r="N2565" t="s">
        <v>65</v>
      </c>
      <c r="R2565" t="s">
        <v>60</v>
      </c>
      <c r="W2565">
        <v>0</v>
      </c>
      <c r="X2565">
        <v>0</v>
      </c>
      <c r="AE2565">
        <v>0</v>
      </c>
      <c r="AF2565">
        <v>0</v>
      </c>
      <c r="AI2565" t="s">
        <v>108</v>
      </c>
      <c r="AJ2565" t="s">
        <v>52</v>
      </c>
      <c r="AK2565" t="s">
        <v>52</v>
      </c>
      <c r="AL2565" t="str">
        <f>HYPERLINK("https://pbs.twimg.com/media/D9sAXHUX4AA6vJs.jpg")</f>
        <v>https://pbs.twimg.com/media/D9sAXHUX4AA6vJs.jpg</v>
      </c>
      <c r="AM2565" t="s">
        <v>52</v>
      </c>
      <c r="AN2565" t="s">
        <v>53</v>
      </c>
    </row>
    <row r="2566" spans="1:40">
      <c r="A2566" t="s">
        <v>8081</v>
      </c>
      <c r="B2566" t="s">
        <v>8532</v>
      </c>
      <c r="C2566" t="s">
        <v>8513</v>
      </c>
      <c r="D2566" t="s">
        <v>52</v>
      </c>
      <c r="E2566" t="s">
        <v>526</v>
      </c>
      <c r="F2566" t="s">
        <v>131</v>
      </c>
      <c r="G2566" t="str">
        <f>HYPERLINK("https://twitter.com/830353259869134848/status/1142979737012228096")</f>
        <v>https://twitter.com/830353259869134848/status/1142979737012228096</v>
      </c>
      <c r="H2566" t="s">
        <v>46</v>
      </c>
      <c r="I2566" t="s">
        <v>8545</v>
      </c>
      <c r="J2566" t="str">
        <f>HYPERLINK("http://twitter.com/boommexicali94")</f>
        <v>http://twitter.com/boommexicali94</v>
      </c>
      <c r="K2566">
        <v>200</v>
      </c>
      <c r="N2566" t="s">
        <v>65</v>
      </c>
      <c r="R2566" t="s">
        <v>60</v>
      </c>
      <c r="W2566">
        <v>0</v>
      </c>
      <c r="X2566">
        <v>0</v>
      </c>
      <c r="AE2566">
        <v>0</v>
      </c>
      <c r="AI2566" t="s">
        <v>108</v>
      </c>
      <c r="AJ2566" t="s">
        <v>52</v>
      </c>
      <c r="AK2566" t="s">
        <v>52</v>
      </c>
      <c r="AL2566" t="str">
        <f>HYPERLINK("https://pbs.twimg.com/ext_tw_video_thumb/1141360066962100224/pu/img/5_tGc4hLFQwcD07b.jpg")</f>
        <v>https://pbs.twimg.com/ext_tw_video_thumb/1141360066962100224/pu/img/5_tGc4hLFQwcD07b.jpg</v>
      </c>
      <c r="AM2566" t="s">
        <v>52</v>
      </c>
      <c r="AN2566" t="s">
        <v>53</v>
      </c>
    </row>
    <row r="2567" spans="1:40">
      <c r="A2567" t="s">
        <v>8081</v>
      </c>
      <c r="B2567" t="s">
        <v>2862</v>
      </c>
      <c r="C2567" t="s">
        <v>8546</v>
      </c>
      <c r="D2567" t="s">
        <v>52</v>
      </c>
      <c r="E2567" t="s">
        <v>8547</v>
      </c>
      <c r="F2567" t="s">
        <v>71</v>
      </c>
      <c r="G2567" t="str">
        <f>HYPERLINK("https://twitter.com/1106695612001644544/status/1142979625431248897")</f>
        <v>https://twitter.com/1106695612001644544/status/1142979625431248897</v>
      </c>
      <c r="H2567" t="s">
        <v>91</v>
      </c>
      <c r="I2567" t="s">
        <v>8548</v>
      </c>
      <c r="J2567" t="str">
        <f>HYPERLINK("http://twitter.com/Ismellsuperior")</f>
        <v>http://twitter.com/Ismellsuperior</v>
      </c>
      <c r="K2567">
        <v>3</v>
      </c>
      <c r="N2567" t="s">
        <v>65</v>
      </c>
      <c r="R2567" t="s">
        <v>60</v>
      </c>
      <c r="S2567" t="s">
        <v>51</v>
      </c>
      <c r="T2567" t="s">
        <v>380</v>
      </c>
      <c r="U2567" t="s">
        <v>8549</v>
      </c>
      <c r="W2567">
        <v>0</v>
      </c>
      <c r="X2567">
        <v>0</v>
      </c>
      <c r="AE2567">
        <v>0</v>
      </c>
      <c r="AF2567">
        <v>0</v>
      </c>
      <c r="AI2567" t="s">
        <v>52</v>
      </c>
      <c r="AJ2567" t="s">
        <v>52</v>
      </c>
      <c r="AK2567" t="s">
        <v>110</v>
      </c>
      <c r="AL2567" t="str">
        <f>HYPERLINK("https://pbs.twimg.com/tweet_video_thumb/D9yt6CjXoAA3rQX.jpg")</f>
        <v>https://pbs.twimg.com/tweet_video_thumb/D9yt6CjXoAA3rQX.jpg</v>
      </c>
      <c r="AM2567" t="s">
        <v>52</v>
      </c>
      <c r="AN2567" t="s">
        <v>53</v>
      </c>
    </row>
    <row r="2568" spans="1:40">
      <c r="A2568" t="s">
        <v>8081</v>
      </c>
      <c r="B2568" t="s">
        <v>2862</v>
      </c>
      <c r="C2568" t="s">
        <v>8546</v>
      </c>
      <c r="D2568" t="s">
        <v>52</v>
      </c>
      <c r="E2568" t="s">
        <v>8550</v>
      </c>
      <c r="F2568" t="s">
        <v>131</v>
      </c>
      <c r="G2568" t="str">
        <f>HYPERLINK("https://twitter.com/923863162331516928/status/1142979623178919936")</f>
        <v>https://twitter.com/923863162331516928/status/1142979623178919936</v>
      </c>
      <c r="H2568" t="s">
        <v>46</v>
      </c>
      <c r="I2568" t="s">
        <v>52</v>
      </c>
      <c r="J2568" t="str">
        <f>HYPERLINK("http://twitter.com/vabymg")</f>
        <v>http://twitter.com/vabymg</v>
      </c>
      <c r="K2568">
        <v>527</v>
      </c>
      <c r="N2568" t="s">
        <v>65</v>
      </c>
      <c r="R2568" t="s">
        <v>60</v>
      </c>
      <c r="S2568" t="s">
        <v>701</v>
      </c>
      <c r="T2568" t="s">
        <v>2321</v>
      </c>
      <c r="W2568">
        <v>0</v>
      </c>
      <c r="X2568">
        <v>0</v>
      </c>
      <c r="AE2568">
        <v>0</v>
      </c>
      <c r="AM2568" t="s">
        <v>52</v>
      </c>
      <c r="AN2568" t="s">
        <v>53</v>
      </c>
    </row>
    <row r="2569" spans="1:40">
      <c r="A2569" t="s">
        <v>8081</v>
      </c>
      <c r="B2569" t="s">
        <v>2862</v>
      </c>
      <c r="C2569" t="s">
        <v>8546</v>
      </c>
      <c r="D2569" t="s">
        <v>52</v>
      </c>
      <c r="E2569" t="s">
        <v>8551</v>
      </c>
      <c r="F2569" t="s">
        <v>71</v>
      </c>
      <c r="G2569" t="str">
        <f>HYPERLINK("https://twitter.com/921443596796137473/status/1142979611007098885")</f>
        <v>https://twitter.com/921443596796137473/status/1142979611007098885</v>
      </c>
      <c r="H2569" t="s">
        <v>46</v>
      </c>
      <c r="I2569" t="s">
        <v>8552</v>
      </c>
      <c r="J2569" t="str">
        <f>HYPERLINK("http://twitter.com/PherroSb")</f>
        <v>http://twitter.com/PherroSb</v>
      </c>
      <c r="K2569">
        <v>16680</v>
      </c>
      <c r="N2569" t="s">
        <v>65</v>
      </c>
      <c r="R2569" t="s">
        <v>60</v>
      </c>
      <c r="S2569" t="s">
        <v>8553</v>
      </c>
      <c r="T2569" t="s">
        <v>8554</v>
      </c>
      <c r="U2569" t="s">
        <v>8555</v>
      </c>
      <c r="W2569">
        <v>0</v>
      </c>
      <c r="X2569">
        <v>0</v>
      </c>
      <c r="AE2569">
        <v>0</v>
      </c>
      <c r="AF2569">
        <v>0</v>
      </c>
      <c r="AI2569" t="s">
        <v>108</v>
      </c>
      <c r="AJ2569" t="s">
        <v>52</v>
      </c>
      <c r="AK2569" t="s">
        <v>52</v>
      </c>
      <c r="AL2569" t="str">
        <f>HYPERLINK("https://pbs.twimg.com/media/D9sAXHUX4AA6vJs.jpg")</f>
        <v>https://pbs.twimg.com/media/D9sAXHUX4AA6vJs.jpg</v>
      </c>
      <c r="AM2569" t="s">
        <v>52</v>
      </c>
      <c r="AN2569" t="s">
        <v>53</v>
      </c>
    </row>
    <row r="2570" spans="1:40">
      <c r="A2570" t="s">
        <v>8081</v>
      </c>
      <c r="B2570" t="s">
        <v>2862</v>
      </c>
      <c r="C2570" t="s">
        <v>8556</v>
      </c>
      <c r="D2570" t="s">
        <v>52</v>
      </c>
      <c r="E2570" t="s">
        <v>1194</v>
      </c>
      <c r="F2570" t="s">
        <v>131</v>
      </c>
      <c r="G2570" t="str">
        <f>HYPERLINK("https://twitter.com/1119953479374659586/status/1142979577209380871")</f>
        <v>https://twitter.com/1119953479374659586/status/1142979577209380871</v>
      </c>
      <c r="H2570" t="s">
        <v>46</v>
      </c>
      <c r="I2570" t="s">
        <v>8557</v>
      </c>
      <c r="J2570" t="str">
        <f>HYPERLINK("http://twitter.com/natan56582119")</f>
        <v>http://twitter.com/natan56582119</v>
      </c>
      <c r="K2570">
        <v>35</v>
      </c>
      <c r="N2570" t="s">
        <v>65</v>
      </c>
      <c r="R2570" t="s">
        <v>60</v>
      </c>
      <c r="S2570" t="s">
        <v>432</v>
      </c>
      <c r="T2570" t="s">
        <v>4311</v>
      </c>
      <c r="U2570" t="s">
        <v>8558</v>
      </c>
      <c r="W2570">
        <v>0</v>
      </c>
      <c r="X2570">
        <v>0</v>
      </c>
      <c r="AE2570">
        <v>0</v>
      </c>
      <c r="AI2570" t="s">
        <v>52</v>
      </c>
      <c r="AJ2570" t="s">
        <v>1196</v>
      </c>
      <c r="AK2570" t="s">
        <v>52</v>
      </c>
      <c r="AL2570" t="str">
        <f>HYPERLINK("https://pbs.twimg.com/media/D9xgk2YXkAAd2ql.jpg")</f>
        <v>https://pbs.twimg.com/media/D9xgk2YXkAAd2ql.jpg</v>
      </c>
      <c r="AM2570" t="s">
        <v>52</v>
      </c>
      <c r="AN2570" t="s">
        <v>53</v>
      </c>
    </row>
    <row r="2571" spans="1:40">
      <c r="A2571" t="s">
        <v>8081</v>
      </c>
      <c r="B2571" t="s">
        <v>8559</v>
      </c>
      <c r="C2571" t="s">
        <v>8546</v>
      </c>
      <c r="D2571" t="s">
        <v>52</v>
      </c>
      <c r="E2571" t="s">
        <v>8560</v>
      </c>
      <c r="F2571" t="s">
        <v>95</v>
      </c>
      <c r="G2571" t="str">
        <f>HYPERLINK("https://twitter.com/3919163480/status/1142979342588350465")</f>
        <v>https://twitter.com/3919163480/status/1142979342588350465</v>
      </c>
      <c r="H2571" t="s">
        <v>46</v>
      </c>
      <c r="I2571" t="s">
        <v>8561</v>
      </c>
      <c r="J2571" t="str">
        <f>HYPERLINK("http://twitter.com/jmu12001")</f>
        <v>http://twitter.com/jmu12001</v>
      </c>
      <c r="K2571">
        <v>26</v>
      </c>
      <c r="N2571" t="s">
        <v>65</v>
      </c>
      <c r="R2571" t="s">
        <v>60</v>
      </c>
      <c r="S2571" t="s">
        <v>51</v>
      </c>
      <c r="T2571" t="s">
        <v>2729</v>
      </c>
      <c r="W2571">
        <v>0</v>
      </c>
      <c r="X2571">
        <v>0</v>
      </c>
      <c r="AE2571">
        <v>0</v>
      </c>
      <c r="AF2571">
        <v>0</v>
      </c>
      <c r="AM2571" t="s">
        <v>52</v>
      </c>
      <c r="AN2571" t="s">
        <v>53</v>
      </c>
    </row>
    <row r="2572" spans="1:40">
      <c r="A2572" t="s">
        <v>8081</v>
      </c>
      <c r="B2572" t="s">
        <v>8562</v>
      </c>
      <c r="C2572" t="s">
        <v>8537</v>
      </c>
      <c r="D2572" t="s">
        <v>52</v>
      </c>
      <c r="E2572" t="s">
        <v>8563</v>
      </c>
      <c r="F2572" t="s">
        <v>45</v>
      </c>
      <c r="G2572" t="str">
        <f>HYPERLINK("https://www.instagram.com/p/BzE0mRvBcmu")</f>
        <v>https://www.instagram.com/p/BzE0mRvBcmu</v>
      </c>
      <c r="H2572" t="s">
        <v>46</v>
      </c>
      <c r="I2572" t="s">
        <v>52</v>
      </c>
      <c r="J2572" t="str">
        <f>HYPERLINK("http://instagram.com/batibraxi__")</f>
        <v>http://instagram.com/batibraxi__</v>
      </c>
      <c r="K2572">
        <v>2354</v>
      </c>
      <c r="N2572" t="s">
        <v>59</v>
      </c>
      <c r="O2572" t="s">
        <v>52</v>
      </c>
      <c r="P2572" t="str">
        <f>HYPERLINK("http://instagram.com/batibraxi__")</f>
        <v>http://instagram.com/batibraxi__</v>
      </c>
      <c r="Q2572">
        <v>2354</v>
      </c>
      <c r="R2572" t="s">
        <v>60</v>
      </c>
      <c r="W2572">
        <v>16</v>
      </c>
      <c r="X2572">
        <v>16</v>
      </c>
      <c r="AE2572">
        <v>0</v>
      </c>
      <c r="AI2572" t="s">
        <v>108</v>
      </c>
      <c r="AJ2572" t="s">
        <v>1182</v>
      </c>
      <c r="AK2572" t="s">
        <v>52</v>
      </c>
      <c r="AL2572" t="str">
        <f>HYPERLINK("https://www.instagram.com/p/BzE0mRvBcmu/media/?size=l")</f>
        <v>https://www.instagram.com/p/BzE0mRvBcmu/media/?size=l</v>
      </c>
      <c r="AM2572" t="s">
        <v>52</v>
      </c>
      <c r="AN2572" t="s">
        <v>53</v>
      </c>
    </row>
    <row r="2573" spans="1:40">
      <c r="A2573" t="s">
        <v>8081</v>
      </c>
      <c r="B2573" t="s">
        <v>8564</v>
      </c>
      <c r="C2573" t="s">
        <v>8565</v>
      </c>
      <c r="D2573" t="s">
        <v>52</v>
      </c>
      <c r="E2573" t="s">
        <v>8566</v>
      </c>
      <c r="F2573" t="s">
        <v>131</v>
      </c>
      <c r="G2573" t="str">
        <f>HYPERLINK("https://twitter.com/426006276/status/1142978684686651392")</f>
        <v>https://twitter.com/426006276/status/1142978684686651392</v>
      </c>
      <c r="H2573" t="s">
        <v>46</v>
      </c>
      <c r="I2573" t="s">
        <v>8567</v>
      </c>
      <c r="J2573" t="str">
        <f>HYPERLINK("http://twitter.com/J3nRu574d")</f>
        <v>http://twitter.com/J3nRu574d</v>
      </c>
      <c r="K2573">
        <v>19</v>
      </c>
      <c r="L2573" t="s">
        <v>58</v>
      </c>
      <c r="N2573" t="s">
        <v>65</v>
      </c>
      <c r="R2573" t="s">
        <v>60</v>
      </c>
      <c r="W2573">
        <v>0</v>
      </c>
      <c r="X2573">
        <v>0</v>
      </c>
      <c r="AE2573">
        <v>0</v>
      </c>
      <c r="AM2573" t="s">
        <v>52</v>
      </c>
      <c r="AN2573" t="s">
        <v>53</v>
      </c>
    </row>
    <row r="2574" spans="1:40">
      <c r="A2574" t="s">
        <v>8081</v>
      </c>
      <c r="B2574" t="s">
        <v>8568</v>
      </c>
      <c r="C2574" t="s">
        <v>8569</v>
      </c>
      <c r="D2574" t="s">
        <v>52</v>
      </c>
      <c r="E2574" t="s">
        <v>8570</v>
      </c>
      <c r="F2574" t="s">
        <v>131</v>
      </c>
      <c r="G2574" t="str">
        <f>HYPERLINK("https://twitter.com/471206527/status/1142978550485725184")</f>
        <v>https://twitter.com/471206527/status/1142978550485725184</v>
      </c>
      <c r="H2574" t="s">
        <v>46</v>
      </c>
      <c r="I2574" t="s">
        <v>8571</v>
      </c>
      <c r="J2574" t="str">
        <f>HYPERLINK("http://twitter.com/butcheradrienne")</f>
        <v>http://twitter.com/butcheradrienne</v>
      </c>
      <c r="K2574">
        <v>148</v>
      </c>
      <c r="L2574" t="s">
        <v>58</v>
      </c>
      <c r="N2574" t="s">
        <v>65</v>
      </c>
      <c r="R2574" t="s">
        <v>60</v>
      </c>
      <c r="S2574" t="s">
        <v>51</v>
      </c>
      <c r="T2574" t="s">
        <v>152</v>
      </c>
      <c r="U2574" t="s">
        <v>236</v>
      </c>
      <c r="W2574">
        <v>0</v>
      </c>
      <c r="X2574">
        <v>0</v>
      </c>
      <c r="AE2574">
        <v>0</v>
      </c>
      <c r="AI2574" t="s">
        <v>52</v>
      </c>
      <c r="AJ2574" t="s">
        <v>8572</v>
      </c>
      <c r="AK2574" t="s">
        <v>52</v>
      </c>
      <c r="AL2574" t="str">
        <f>HYPERLINK("https://pbs.twimg.com/media/D9ykLZlXYAAXpWD.jpg")</f>
        <v>https://pbs.twimg.com/media/D9ykLZlXYAAXpWD.jpg</v>
      </c>
      <c r="AM2574" t="s">
        <v>52</v>
      </c>
      <c r="AN2574" t="s">
        <v>53</v>
      </c>
    </row>
    <row r="2575" spans="1:40">
      <c r="A2575" t="s">
        <v>8081</v>
      </c>
      <c r="B2575" t="s">
        <v>8568</v>
      </c>
      <c r="C2575" t="s">
        <v>8565</v>
      </c>
      <c r="D2575" t="s">
        <v>52</v>
      </c>
      <c r="E2575" t="s">
        <v>8573</v>
      </c>
      <c r="F2575" t="s">
        <v>45</v>
      </c>
      <c r="G2575" t="str">
        <f>HYPERLINK("https://twitter.com/27558592/status/1142978477563400192")</f>
        <v>https://twitter.com/27558592/status/1142978477563400192</v>
      </c>
      <c r="H2575" t="s">
        <v>215</v>
      </c>
      <c r="I2575" t="s">
        <v>8574</v>
      </c>
      <c r="J2575" t="str">
        <f>HYPERLINK("http://twitter.com/bucketsdntlie")</f>
        <v>http://twitter.com/bucketsdntlie</v>
      </c>
      <c r="K2575">
        <v>821</v>
      </c>
      <c r="N2575" t="s">
        <v>65</v>
      </c>
      <c r="R2575" t="s">
        <v>60</v>
      </c>
      <c r="S2575" t="s">
        <v>8575</v>
      </c>
      <c r="T2575" t="s">
        <v>8576</v>
      </c>
      <c r="U2575" t="s">
        <v>8577</v>
      </c>
      <c r="W2575">
        <v>3</v>
      </c>
      <c r="X2575">
        <v>3</v>
      </c>
      <c r="AE2575">
        <v>0</v>
      </c>
      <c r="AF2575">
        <v>0</v>
      </c>
      <c r="AM2575" t="s">
        <v>52</v>
      </c>
      <c r="AN2575" t="s">
        <v>53</v>
      </c>
    </row>
    <row r="2576" spans="1:40">
      <c r="A2576" t="s">
        <v>8081</v>
      </c>
      <c r="B2576" t="s">
        <v>8568</v>
      </c>
      <c r="C2576" t="s">
        <v>7208</v>
      </c>
      <c r="D2576" t="s">
        <v>8578</v>
      </c>
      <c r="E2576" t="s">
        <v>8579</v>
      </c>
      <c r="F2576" t="s">
        <v>45</v>
      </c>
      <c r="G2576" t="str">
        <f>HYPERLINK("https://techknowbits.com/2019/06/23/halbert-hargrove-russell-llc-grows-position-in-pepsico-inc-pep.html")</f>
        <v>https://techknowbits.com/2019/06/23/halbert-hargrove-russell-llc-grows-position-in-pepsico-inc-pep.html</v>
      </c>
      <c r="H2576" t="s">
        <v>46</v>
      </c>
      <c r="I2576" t="s">
        <v>8580</v>
      </c>
      <c r="J2576" t="str">
        <f>HYPERLINK("https://techknowbits.com/2019/06/23/halbert-hargrove-russell-llc-grows-position-in-pepsico-inc-pep.html")</f>
        <v>https://techknowbits.com/2019/06/23/halbert-hargrove-russell-llc-grows-position-in-pepsico-inc-pep.html</v>
      </c>
      <c r="L2576" t="s">
        <v>58</v>
      </c>
      <c r="N2576" t="s">
        <v>49</v>
      </c>
      <c r="R2576" t="s">
        <v>50</v>
      </c>
      <c r="S2576" t="s">
        <v>51</v>
      </c>
      <c r="AM2576" t="s">
        <v>52</v>
      </c>
      <c r="AN2576" t="s">
        <v>53</v>
      </c>
    </row>
    <row r="2577" spans="1:40">
      <c r="A2577" t="s">
        <v>8081</v>
      </c>
      <c r="B2577" t="s">
        <v>8568</v>
      </c>
      <c r="C2577" t="s">
        <v>8581</v>
      </c>
      <c r="D2577" t="s">
        <v>52</v>
      </c>
      <c r="E2577" t="s">
        <v>3749</v>
      </c>
      <c r="F2577" t="s">
        <v>71</v>
      </c>
      <c r="G2577" t="str">
        <f>HYPERLINK("https://twitter.com/1010153539673427968/status/1142978398421245952")</f>
        <v>https://twitter.com/1010153539673427968/status/1142978398421245952</v>
      </c>
      <c r="H2577" t="s">
        <v>46</v>
      </c>
      <c r="I2577" t="s">
        <v>8582</v>
      </c>
      <c r="J2577" t="str">
        <f>HYPERLINK("http://twitter.com/tonybaby98")</f>
        <v>http://twitter.com/tonybaby98</v>
      </c>
      <c r="K2577">
        <v>504</v>
      </c>
      <c r="N2577" t="s">
        <v>65</v>
      </c>
      <c r="R2577" t="s">
        <v>60</v>
      </c>
      <c r="S2577" t="s">
        <v>51</v>
      </c>
      <c r="T2577" t="s">
        <v>1657</v>
      </c>
      <c r="W2577">
        <v>0</v>
      </c>
      <c r="X2577">
        <v>0</v>
      </c>
      <c r="AE2577">
        <v>0</v>
      </c>
      <c r="AF2577">
        <v>0</v>
      </c>
      <c r="AI2577" t="s">
        <v>108</v>
      </c>
      <c r="AJ2577" t="s">
        <v>52</v>
      </c>
      <c r="AK2577" t="s">
        <v>52</v>
      </c>
      <c r="AL2577" t="str">
        <f>HYPERLINK("https://pbs.twimg.com/media/D9sAXHUX4AA6vJs.jpg")</f>
        <v>https://pbs.twimg.com/media/D9sAXHUX4AA6vJs.jpg</v>
      </c>
      <c r="AM2577" t="s">
        <v>52</v>
      </c>
      <c r="AN2577" t="s">
        <v>53</v>
      </c>
    </row>
    <row r="2578" spans="1:40">
      <c r="A2578" t="s">
        <v>8081</v>
      </c>
      <c r="B2578" t="s">
        <v>2879</v>
      </c>
      <c r="C2578" t="s">
        <v>8565</v>
      </c>
      <c r="D2578" t="s">
        <v>52</v>
      </c>
      <c r="E2578" t="s">
        <v>8583</v>
      </c>
      <c r="F2578" t="s">
        <v>45</v>
      </c>
      <c r="G2578" t="str">
        <f>HYPERLINK("https://twitter.com/243066126/status/1142978270394232832")</f>
        <v>https://twitter.com/243066126/status/1142978270394232832</v>
      </c>
      <c r="H2578" t="s">
        <v>91</v>
      </c>
      <c r="I2578" t="s">
        <v>8584</v>
      </c>
      <c r="J2578" t="str">
        <f>HYPERLINK("http://twitter.com/7Trill")</f>
        <v>http://twitter.com/7Trill</v>
      </c>
      <c r="K2578">
        <v>188</v>
      </c>
      <c r="N2578" t="s">
        <v>65</v>
      </c>
      <c r="R2578" t="s">
        <v>60</v>
      </c>
      <c r="S2578" t="s">
        <v>7582</v>
      </c>
      <c r="T2578" t="s">
        <v>8253</v>
      </c>
      <c r="U2578" t="s">
        <v>8254</v>
      </c>
      <c r="W2578">
        <v>1</v>
      </c>
      <c r="X2578">
        <v>1</v>
      </c>
      <c r="AE2578">
        <v>0</v>
      </c>
      <c r="AF2578">
        <v>0</v>
      </c>
      <c r="AM2578" t="s">
        <v>52</v>
      </c>
      <c r="AN2578" t="s">
        <v>53</v>
      </c>
    </row>
    <row r="2579" spans="1:40">
      <c r="A2579" t="s">
        <v>8081</v>
      </c>
      <c r="B2579" t="s">
        <v>2879</v>
      </c>
      <c r="C2579" t="s">
        <v>8585</v>
      </c>
      <c r="D2579" t="s">
        <v>52</v>
      </c>
      <c r="E2579" t="s">
        <v>8586</v>
      </c>
      <c r="F2579" t="s">
        <v>71</v>
      </c>
      <c r="G2579" t="str">
        <f>HYPERLINK("https://twitter.com/775292454044065793/status/1142978221505470465")</f>
        <v>https://twitter.com/775292454044065793/status/1142978221505470465</v>
      </c>
      <c r="H2579" t="s">
        <v>46</v>
      </c>
      <c r="I2579" t="s">
        <v>8587</v>
      </c>
      <c r="J2579" t="str">
        <f>HYPERLINK("http://twitter.com/Tincho_919")</f>
        <v>http://twitter.com/Tincho_919</v>
      </c>
      <c r="K2579">
        <v>265</v>
      </c>
      <c r="N2579" t="s">
        <v>65</v>
      </c>
      <c r="R2579" t="s">
        <v>60</v>
      </c>
      <c r="S2579" t="s">
        <v>701</v>
      </c>
      <c r="T2579" t="s">
        <v>702</v>
      </c>
      <c r="U2579" t="s">
        <v>8588</v>
      </c>
      <c r="W2579">
        <v>1</v>
      </c>
      <c r="X2579">
        <v>1</v>
      </c>
      <c r="AE2579">
        <v>0</v>
      </c>
      <c r="AF2579">
        <v>0</v>
      </c>
      <c r="AI2579" t="s">
        <v>52</v>
      </c>
      <c r="AJ2579" t="s">
        <v>121</v>
      </c>
      <c r="AK2579" t="s">
        <v>52</v>
      </c>
      <c r="AL2579" t="str">
        <f>HYPERLINK("https://pbs.twimg.com/media/D9wtOyNXoAAdifI.jpg")</f>
        <v>https://pbs.twimg.com/media/D9wtOyNXoAAdifI.jpg</v>
      </c>
      <c r="AM2579" t="s">
        <v>52</v>
      </c>
      <c r="AN2579" t="s">
        <v>53</v>
      </c>
    </row>
    <row r="2580" spans="1:40">
      <c r="A2580" t="s">
        <v>8081</v>
      </c>
      <c r="B2580" t="s">
        <v>2879</v>
      </c>
      <c r="C2580" t="s">
        <v>6736</v>
      </c>
      <c r="D2580" t="s">
        <v>6669</v>
      </c>
      <c r="E2580" t="s">
        <v>8589</v>
      </c>
      <c r="F2580" t="s">
        <v>45</v>
      </c>
      <c r="G2580" t="str">
        <f>HYPERLINK("https://y105fm.com/kentucky-fried-cheetos-items-are-coming-to-rochester")</f>
        <v>https://y105fm.com/kentucky-fried-cheetos-items-are-coming-to-rochester</v>
      </c>
      <c r="H2580" t="s">
        <v>46</v>
      </c>
      <c r="I2580" t="s">
        <v>6671</v>
      </c>
      <c r="J2580" t="str">
        <f>HYPERLINK("https://y105fm.com/kentucky-fried-cheetos-items-are-coming-to-rochester/")</f>
        <v>https://y105fm.com/kentucky-fried-cheetos-items-are-coming-to-rochester/</v>
      </c>
      <c r="L2580" t="s">
        <v>48</v>
      </c>
      <c r="N2580" t="s">
        <v>8590</v>
      </c>
      <c r="R2580" t="s">
        <v>357</v>
      </c>
      <c r="S2580" t="s">
        <v>51</v>
      </c>
      <c r="AM2580" t="s">
        <v>52</v>
      </c>
      <c r="AN2580" t="s">
        <v>53</v>
      </c>
    </row>
    <row r="2581" spans="1:40">
      <c r="A2581" t="s">
        <v>8081</v>
      </c>
      <c r="B2581" t="s">
        <v>8591</v>
      </c>
      <c r="C2581" t="s">
        <v>8592</v>
      </c>
      <c r="D2581" t="s">
        <v>52</v>
      </c>
      <c r="E2581" t="s">
        <v>8593</v>
      </c>
      <c r="F2581" t="s">
        <v>71</v>
      </c>
      <c r="G2581" t="str">
        <f>HYPERLINK("https://twitter.com/974036807091412998/status/1142977434142334976")</f>
        <v>https://twitter.com/974036807091412998/status/1142977434142334976</v>
      </c>
      <c r="H2581" t="s">
        <v>46</v>
      </c>
      <c r="I2581" t="s">
        <v>8594</v>
      </c>
      <c r="J2581" t="str">
        <f>HYPERLINK("http://twitter.com/haiitch_")</f>
        <v>http://twitter.com/haiitch_</v>
      </c>
      <c r="K2581">
        <v>26</v>
      </c>
      <c r="N2581" t="s">
        <v>65</v>
      </c>
      <c r="R2581" t="s">
        <v>60</v>
      </c>
      <c r="S2581" t="s">
        <v>51</v>
      </c>
      <c r="T2581" t="s">
        <v>380</v>
      </c>
      <c r="U2581" t="s">
        <v>380</v>
      </c>
      <c r="W2581">
        <v>2</v>
      </c>
      <c r="X2581">
        <v>2</v>
      </c>
      <c r="AE2581">
        <v>1</v>
      </c>
      <c r="AF2581">
        <v>0</v>
      </c>
      <c r="AM2581" t="s">
        <v>52</v>
      </c>
      <c r="AN2581" t="s">
        <v>53</v>
      </c>
    </row>
    <row r="2582" spans="1:40">
      <c r="A2582" t="s">
        <v>8081</v>
      </c>
      <c r="B2582" t="s">
        <v>2899</v>
      </c>
      <c r="C2582" t="s">
        <v>8585</v>
      </c>
      <c r="D2582" t="s">
        <v>52</v>
      </c>
      <c r="E2582" t="s">
        <v>8595</v>
      </c>
      <c r="F2582" t="s">
        <v>45</v>
      </c>
      <c r="G2582" t="str">
        <f>HYPERLINK("https://www.instagram.com/p/BzEzytIB7Rw")</f>
        <v>https://www.instagram.com/p/BzEzytIB7Rw</v>
      </c>
      <c r="H2582" t="s">
        <v>46</v>
      </c>
      <c r="I2582" t="s">
        <v>8596</v>
      </c>
      <c r="J2582" t="str">
        <f>HYPERLINK("http://instagram.com/steffy1385")</f>
        <v>http://instagram.com/steffy1385</v>
      </c>
      <c r="K2582">
        <v>4918</v>
      </c>
      <c r="N2582" t="s">
        <v>59</v>
      </c>
      <c r="O2582" t="s">
        <v>8596</v>
      </c>
      <c r="P2582" t="str">
        <f>HYPERLINK("http://instagram.com/steffy1385")</f>
        <v>http://instagram.com/steffy1385</v>
      </c>
      <c r="Q2582">
        <v>4918</v>
      </c>
      <c r="R2582" t="s">
        <v>60</v>
      </c>
      <c r="W2582">
        <v>110</v>
      </c>
      <c r="X2582">
        <v>110</v>
      </c>
      <c r="AE2582">
        <v>5</v>
      </c>
      <c r="AI2582" t="s">
        <v>52</v>
      </c>
      <c r="AJ2582" t="s">
        <v>8597</v>
      </c>
      <c r="AK2582" t="s">
        <v>52</v>
      </c>
      <c r="AL2582" t="str">
        <f>HYPERLINK("https://www.instagram.com/p/BzEzytIB7Rw/media/?size=l")</f>
        <v>https://www.instagram.com/p/BzEzytIB7Rw/media/?size=l</v>
      </c>
      <c r="AM2582" t="s">
        <v>52</v>
      </c>
      <c r="AN2582" t="s">
        <v>53</v>
      </c>
    </row>
    <row r="2583" spans="1:40">
      <c r="A2583" t="s">
        <v>8081</v>
      </c>
      <c r="B2583" t="s">
        <v>2899</v>
      </c>
      <c r="C2583" t="s">
        <v>8585</v>
      </c>
      <c r="D2583" t="s">
        <v>52</v>
      </c>
      <c r="E2583" t="s">
        <v>7867</v>
      </c>
      <c r="F2583" t="s">
        <v>45</v>
      </c>
      <c r="G2583" t="str">
        <f>HYPERLINK("https://twitter.com/2618866743/status/1142977274758590464")</f>
        <v>https://twitter.com/2618866743/status/1142977274758590464</v>
      </c>
      <c r="H2583" t="s">
        <v>91</v>
      </c>
      <c r="I2583" t="s">
        <v>8598</v>
      </c>
      <c r="J2583" t="str">
        <f>HYPERLINK("http://twitter.com/Distinctivered")</f>
        <v>http://twitter.com/Distinctivered</v>
      </c>
      <c r="K2583">
        <v>16</v>
      </c>
      <c r="N2583" t="s">
        <v>65</v>
      </c>
      <c r="R2583" t="s">
        <v>60</v>
      </c>
      <c r="W2583">
        <v>3</v>
      </c>
      <c r="X2583">
        <v>3</v>
      </c>
      <c r="AE2583">
        <v>0</v>
      </c>
      <c r="AF2583">
        <v>3</v>
      </c>
      <c r="AM2583" t="s">
        <v>52</v>
      </c>
      <c r="AN2583" t="s">
        <v>53</v>
      </c>
    </row>
    <row r="2584" spans="1:40">
      <c r="A2584" t="s">
        <v>8081</v>
      </c>
      <c r="B2584" t="s">
        <v>2899</v>
      </c>
      <c r="C2584" t="s">
        <v>8592</v>
      </c>
      <c r="D2584" t="s">
        <v>52</v>
      </c>
      <c r="E2584" t="s">
        <v>8599</v>
      </c>
      <c r="F2584" t="s">
        <v>131</v>
      </c>
      <c r="G2584" t="str">
        <f>HYPERLINK("https://twitter.com/120668044/status/1142977261471068160")</f>
        <v>https://twitter.com/120668044/status/1142977261471068160</v>
      </c>
      <c r="H2584" t="s">
        <v>46</v>
      </c>
      <c r="I2584" t="s">
        <v>8600</v>
      </c>
      <c r="J2584" t="str">
        <f>HYPERLINK("http://twitter.com/Lord_Wrath")</f>
        <v>http://twitter.com/Lord_Wrath</v>
      </c>
      <c r="K2584">
        <v>139</v>
      </c>
      <c r="N2584" t="s">
        <v>65</v>
      </c>
      <c r="R2584" t="s">
        <v>60</v>
      </c>
      <c r="S2584" t="s">
        <v>1857</v>
      </c>
      <c r="T2584" t="s">
        <v>8601</v>
      </c>
      <c r="U2584" t="s">
        <v>8602</v>
      </c>
      <c r="W2584">
        <v>0</v>
      </c>
      <c r="X2584">
        <v>0</v>
      </c>
      <c r="AE2584">
        <v>0</v>
      </c>
      <c r="AM2584" t="s">
        <v>52</v>
      </c>
      <c r="AN2584" t="s">
        <v>53</v>
      </c>
    </row>
    <row r="2585" spans="1:40">
      <c r="A2585" t="s">
        <v>8081</v>
      </c>
      <c r="B2585" t="s">
        <v>2899</v>
      </c>
      <c r="C2585" t="s">
        <v>8603</v>
      </c>
      <c r="D2585" t="s">
        <v>52</v>
      </c>
      <c r="E2585" t="s">
        <v>8604</v>
      </c>
      <c r="F2585" t="s">
        <v>45</v>
      </c>
      <c r="G2585" t="str">
        <f>HYPERLINK("https://www.instagram.com/p/BzEzvm1hARz")</f>
        <v>https://www.instagram.com/p/BzEzvm1hARz</v>
      </c>
      <c r="H2585" t="s">
        <v>46</v>
      </c>
      <c r="I2585" t="s">
        <v>8605</v>
      </c>
      <c r="J2585" t="str">
        <f>HYPERLINK("http://instagram.com/xempxthyx")</f>
        <v>http://instagram.com/xempxthyx</v>
      </c>
      <c r="K2585">
        <v>162</v>
      </c>
      <c r="L2585" t="s">
        <v>48</v>
      </c>
      <c r="N2585" t="s">
        <v>59</v>
      </c>
      <c r="O2585" t="s">
        <v>8605</v>
      </c>
      <c r="P2585" t="str">
        <f>HYPERLINK("http://instagram.com/xempxthyx")</f>
        <v>http://instagram.com/xempxthyx</v>
      </c>
      <c r="Q2585">
        <v>162</v>
      </c>
      <c r="R2585" t="s">
        <v>60</v>
      </c>
      <c r="W2585">
        <v>27</v>
      </c>
      <c r="X2585">
        <v>27</v>
      </c>
      <c r="AE2585">
        <v>1</v>
      </c>
      <c r="AI2585" t="s">
        <v>52</v>
      </c>
      <c r="AJ2585" t="s">
        <v>121</v>
      </c>
      <c r="AK2585" t="s">
        <v>52</v>
      </c>
      <c r="AL2585" t="str">
        <f>HYPERLINK("https://www.instagram.com/p/BzEzvm1hARz/media/?size=l")</f>
        <v>https://www.instagram.com/p/BzEzvm1hARz/media/?size=l</v>
      </c>
      <c r="AM2585" t="s">
        <v>52</v>
      </c>
      <c r="AN2585" t="s">
        <v>53</v>
      </c>
    </row>
    <row r="2586" spans="1:40">
      <c r="A2586" t="s">
        <v>8081</v>
      </c>
      <c r="B2586" t="s">
        <v>2899</v>
      </c>
      <c r="C2586" t="s">
        <v>8603</v>
      </c>
      <c r="D2586" t="s">
        <v>52</v>
      </c>
      <c r="E2586" t="s">
        <v>1194</v>
      </c>
      <c r="F2586" t="s">
        <v>131</v>
      </c>
      <c r="G2586" t="str">
        <f>HYPERLINK("https://twitter.com/779753393313034240/status/1142977160954728448")</f>
        <v>https://twitter.com/779753393313034240/status/1142977160954728448</v>
      </c>
      <c r="H2586" t="s">
        <v>46</v>
      </c>
      <c r="I2586" t="s">
        <v>8606</v>
      </c>
      <c r="J2586" t="str">
        <f>HYPERLINK("http://twitter.com/WhystTheFuck")</f>
        <v>http://twitter.com/WhystTheFuck</v>
      </c>
      <c r="K2586">
        <v>103</v>
      </c>
      <c r="N2586" t="s">
        <v>65</v>
      </c>
      <c r="R2586" t="s">
        <v>60</v>
      </c>
      <c r="S2586" t="s">
        <v>387</v>
      </c>
      <c r="T2586" t="s">
        <v>2981</v>
      </c>
      <c r="U2586" t="s">
        <v>7015</v>
      </c>
      <c r="W2586">
        <v>0</v>
      </c>
      <c r="X2586">
        <v>0</v>
      </c>
      <c r="AE2586">
        <v>0</v>
      </c>
      <c r="AI2586" t="s">
        <v>52</v>
      </c>
      <c r="AJ2586" t="s">
        <v>1196</v>
      </c>
      <c r="AK2586" t="s">
        <v>52</v>
      </c>
      <c r="AL2586" t="str">
        <f>HYPERLINK("https://pbs.twimg.com/media/D9xgk2YXkAAd2ql.jpg")</f>
        <v>https://pbs.twimg.com/media/D9xgk2YXkAAd2ql.jpg</v>
      </c>
      <c r="AM2586" t="s">
        <v>52</v>
      </c>
      <c r="AN2586" t="s">
        <v>53</v>
      </c>
    </row>
    <row r="2587" spans="1:40">
      <c r="A2587" t="s">
        <v>8081</v>
      </c>
      <c r="B2587" t="s">
        <v>2901</v>
      </c>
      <c r="C2587" t="s">
        <v>8607</v>
      </c>
      <c r="D2587" t="s">
        <v>52</v>
      </c>
      <c r="E2587" t="s">
        <v>8608</v>
      </c>
      <c r="F2587" t="s">
        <v>71</v>
      </c>
      <c r="G2587" t="str">
        <f>HYPERLINK("https://twitter.com/592601409/status/1142977087772360705")</f>
        <v>https://twitter.com/592601409/status/1142977087772360705</v>
      </c>
      <c r="H2587" t="s">
        <v>46</v>
      </c>
      <c r="I2587" t="s">
        <v>8609</v>
      </c>
      <c r="J2587" t="str">
        <f>HYPERLINK("http://twitter.com/ClutchVFerguson")</f>
        <v>http://twitter.com/ClutchVFerguson</v>
      </c>
      <c r="K2587">
        <v>1432</v>
      </c>
      <c r="N2587" t="s">
        <v>65</v>
      </c>
      <c r="R2587" t="s">
        <v>60</v>
      </c>
      <c r="W2587">
        <v>4</v>
      </c>
      <c r="X2587">
        <v>4</v>
      </c>
      <c r="AE2587">
        <v>0</v>
      </c>
      <c r="AF2587">
        <v>1</v>
      </c>
      <c r="AI2587" t="s">
        <v>52</v>
      </c>
      <c r="AJ2587" t="s">
        <v>52</v>
      </c>
      <c r="AK2587" t="s">
        <v>680</v>
      </c>
      <c r="AL2587" t="str">
        <f>HYPERLINK("https://pbs.twimg.com/ext_tw_video_thumb/1142968873752420358/pu/img/lFTiPBaEkMi_nxbt.jpg")</f>
        <v>https://pbs.twimg.com/ext_tw_video_thumb/1142968873752420358/pu/img/lFTiPBaEkMi_nxbt.jpg</v>
      </c>
      <c r="AM2587" t="s">
        <v>52</v>
      </c>
      <c r="AN2587" t="s">
        <v>53</v>
      </c>
    </row>
    <row r="2588" spans="1:40">
      <c r="A2588" t="s">
        <v>8081</v>
      </c>
      <c r="B2588" t="s">
        <v>2907</v>
      </c>
      <c r="C2588" t="s">
        <v>7800</v>
      </c>
      <c r="D2588" t="s">
        <v>8610</v>
      </c>
      <c r="E2588" t="s">
        <v>8611</v>
      </c>
      <c r="F2588" t="s">
        <v>95</v>
      </c>
      <c r="G2588" t="str">
        <f>HYPERLINK("https://telegram.me/FurryMX/213465")</f>
        <v>https://telegram.me/FurryMX/213465</v>
      </c>
      <c r="H2588" t="s">
        <v>46</v>
      </c>
      <c r="I2588" t="s">
        <v>8612</v>
      </c>
      <c r="J2588" t="str">
        <f>HYPERLINK("https://telegram.me/grewrion")</f>
        <v>https://telegram.me/grewrion</v>
      </c>
      <c r="N2588" t="s">
        <v>4242</v>
      </c>
      <c r="O2588" t="s">
        <v>8613</v>
      </c>
      <c r="P2588" t="str">
        <f>HYPERLINK("https://telegram.me/furrymx")</f>
        <v>https://telegram.me/furrymx</v>
      </c>
      <c r="Q2588">
        <v>156</v>
      </c>
      <c r="R2588" t="s">
        <v>4244</v>
      </c>
      <c r="AM2588" t="s">
        <v>52</v>
      </c>
      <c r="AN2588" t="s">
        <v>53</v>
      </c>
    </row>
    <row r="2589" spans="1:40">
      <c r="A2589" t="s">
        <v>8081</v>
      </c>
      <c r="B2589" t="s">
        <v>2907</v>
      </c>
      <c r="C2589" t="s">
        <v>8614</v>
      </c>
      <c r="D2589" t="s">
        <v>52</v>
      </c>
      <c r="E2589" t="s">
        <v>8615</v>
      </c>
      <c r="F2589" t="s">
        <v>45</v>
      </c>
      <c r="G2589" t="str">
        <f>HYPERLINK("https://www.instagram.com/p/BzEzcIUBkNe")</f>
        <v>https://www.instagram.com/p/BzEzcIUBkNe</v>
      </c>
      <c r="H2589" t="s">
        <v>46</v>
      </c>
      <c r="I2589" t="s">
        <v>8616</v>
      </c>
      <c r="J2589" t="str">
        <f>HYPERLINK("http://instagram.com/rafaelximenez")</f>
        <v>http://instagram.com/rafaelximenez</v>
      </c>
      <c r="K2589">
        <v>8788</v>
      </c>
      <c r="L2589" t="s">
        <v>48</v>
      </c>
      <c r="N2589" t="s">
        <v>59</v>
      </c>
      <c r="O2589" t="s">
        <v>8616</v>
      </c>
      <c r="P2589" t="str">
        <f>HYPERLINK("http://instagram.com/rafaelximenez")</f>
        <v>http://instagram.com/rafaelximenez</v>
      </c>
      <c r="Q2589">
        <v>8788</v>
      </c>
      <c r="R2589" t="s">
        <v>60</v>
      </c>
      <c r="S2589" t="s">
        <v>432</v>
      </c>
      <c r="T2589" t="s">
        <v>433</v>
      </c>
      <c r="W2589">
        <v>46</v>
      </c>
      <c r="X2589">
        <v>46</v>
      </c>
      <c r="AE2589">
        <v>2</v>
      </c>
      <c r="AI2589" t="s">
        <v>52</v>
      </c>
      <c r="AJ2589" t="s">
        <v>8617</v>
      </c>
      <c r="AK2589" t="s">
        <v>8618</v>
      </c>
      <c r="AL2589" t="str">
        <f>HYPERLINK("https://www.instagram.com/p/BzEzcIUBkNe/media/?size=l")</f>
        <v>https://www.instagram.com/p/BzEzcIUBkNe/media/?size=l</v>
      </c>
      <c r="AM2589" t="s">
        <v>52</v>
      </c>
      <c r="AN2589" t="s">
        <v>53</v>
      </c>
    </row>
    <row r="2590" spans="1:40">
      <c r="A2590" t="s">
        <v>8081</v>
      </c>
      <c r="B2590" t="s">
        <v>2907</v>
      </c>
      <c r="C2590" t="s">
        <v>8607</v>
      </c>
      <c r="D2590" t="s">
        <v>52</v>
      </c>
      <c r="E2590" t="s">
        <v>526</v>
      </c>
      <c r="F2590" t="s">
        <v>131</v>
      </c>
      <c r="G2590" t="str">
        <f>HYPERLINK("https://twitter.com/722933606679642113/status/1142976518517350400")</f>
        <v>https://twitter.com/722933606679642113/status/1142976518517350400</v>
      </c>
      <c r="H2590" t="s">
        <v>46</v>
      </c>
      <c r="I2590" t="s">
        <v>8619</v>
      </c>
      <c r="J2590" t="str">
        <f>HYPERLINK("http://twitter.com/fernandyz2")</f>
        <v>http://twitter.com/fernandyz2</v>
      </c>
      <c r="K2590">
        <v>66</v>
      </c>
      <c r="N2590" t="s">
        <v>65</v>
      </c>
      <c r="R2590" t="s">
        <v>60</v>
      </c>
      <c r="S2590" t="s">
        <v>437</v>
      </c>
      <c r="T2590" t="s">
        <v>5401</v>
      </c>
      <c r="W2590">
        <v>0</v>
      </c>
      <c r="X2590">
        <v>0</v>
      </c>
      <c r="AE2590">
        <v>0</v>
      </c>
      <c r="AI2590" t="s">
        <v>108</v>
      </c>
      <c r="AJ2590" t="s">
        <v>52</v>
      </c>
      <c r="AK2590" t="s">
        <v>52</v>
      </c>
      <c r="AL2590" t="str">
        <f>HYPERLINK("https://pbs.twimg.com/ext_tw_video_thumb/1141360066962100224/pu/img/5_tGc4hLFQwcD07b.jpg")</f>
        <v>https://pbs.twimg.com/ext_tw_video_thumb/1141360066962100224/pu/img/5_tGc4hLFQwcD07b.jpg</v>
      </c>
      <c r="AM2590" t="s">
        <v>52</v>
      </c>
      <c r="AN2590" t="s">
        <v>53</v>
      </c>
    </row>
    <row r="2591" spans="1:40">
      <c r="A2591" t="s">
        <v>8081</v>
      </c>
      <c r="B2591" t="s">
        <v>2907</v>
      </c>
      <c r="C2591" t="s">
        <v>8620</v>
      </c>
      <c r="D2591" t="s">
        <v>52</v>
      </c>
      <c r="E2591" t="s">
        <v>8621</v>
      </c>
      <c r="F2591" t="s">
        <v>45</v>
      </c>
      <c r="G2591" t="str">
        <f>HYPERLINK("https://www.instagram.com/p/BzEzWk3gcM0")</f>
        <v>https://www.instagram.com/p/BzEzWk3gcM0</v>
      </c>
      <c r="H2591" t="s">
        <v>215</v>
      </c>
      <c r="I2591" t="s">
        <v>8622</v>
      </c>
      <c r="J2591" t="str">
        <f>HYPERLINK("http://instagram.com/ro_tube_tv_")</f>
        <v>http://instagram.com/ro_tube_tv_</v>
      </c>
      <c r="K2591">
        <v>8018</v>
      </c>
      <c r="L2591" t="s">
        <v>48</v>
      </c>
      <c r="N2591" t="s">
        <v>59</v>
      </c>
      <c r="O2591" t="s">
        <v>8622</v>
      </c>
      <c r="P2591" t="str">
        <f>HYPERLINK("http://instagram.com/ro_tube_tv_")</f>
        <v>http://instagram.com/ro_tube_tv_</v>
      </c>
      <c r="Q2591">
        <v>8018</v>
      </c>
      <c r="R2591" t="s">
        <v>60</v>
      </c>
      <c r="S2591" t="s">
        <v>432</v>
      </c>
      <c r="T2591" t="s">
        <v>4451</v>
      </c>
      <c r="U2591" t="s">
        <v>8623</v>
      </c>
      <c r="W2591">
        <v>52</v>
      </c>
      <c r="X2591">
        <v>52</v>
      </c>
      <c r="AE2591">
        <v>2</v>
      </c>
      <c r="AI2591" t="s">
        <v>108</v>
      </c>
      <c r="AJ2591" t="s">
        <v>8624</v>
      </c>
      <c r="AK2591" t="s">
        <v>4550</v>
      </c>
      <c r="AL2591" t="str">
        <f>HYPERLINK("https://www.instagram.com/p/BzEzWk3gcM0/media/?size=l")</f>
        <v>https://www.instagram.com/p/BzEzWk3gcM0/media/?size=l</v>
      </c>
      <c r="AM2591" t="s">
        <v>52</v>
      </c>
      <c r="AN2591" t="s">
        <v>53</v>
      </c>
    </row>
    <row r="2592" spans="1:40">
      <c r="A2592" t="s">
        <v>8081</v>
      </c>
      <c r="B2592" t="s">
        <v>2915</v>
      </c>
      <c r="C2592" t="s">
        <v>8625</v>
      </c>
      <c r="D2592" t="s">
        <v>52</v>
      </c>
      <c r="E2592" t="s">
        <v>8626</v>
      </c>
      <c r="F2592" t="s">
        <v>95</v>
      </c>
      <c r="G2592" t="str">
        <f>HYPERLINK("https://twitter.com/1029560680276533248/status/1142976382517096448")</f>
        <v>https://twitter.com/1029560680276533248/status/1142976382517096448</v>
      </c>
      <c r="H2592" t="s">
        <v>46</v>
      </c>
      <c r="I2592" t="s">
        <v>8627</v>
      </c>
      <c r="J2592" t="str">
        <f>HYPERLINK("http://twitter.com/GmgQue")</f>
        <v>http://twitter.com/GmgQue</v>
      </c>
      <c r="K2592">
        <v>103</v>
      </c>
      <c r="N2592" t="s">
        <v>65</v>
      </c>
      <c r="R2592" t="s">
        <v>60</v>
      </c>
      <c r="S2592" t="s">
        <v>51</v>
      </c>
      <c r="T2592" t="s">
        <v>66</v>
      </c>
      <c r="U2592" t="s">
        <v>4744</v>
      </c>
      <c r="W2592">
        <v>1</v>
      </c>
      <c r="X2592">
        <v>1</v>
      </c>
      <c r="AE2592">
        <v>0</v>
      </c>
      <c r="AF2592">
        <v>0</v>
      </c>
      <c r="AM2592" t="s">
        <v>52</v>
      </c>
      <c r="AN2592" t="s">
        <v>53</v>
      </c>
    </row>
    <row r="2593" spans="1:40">
      <c r="A2593" t="s">
        <v>8081</v>
      </c>
      <c r="B2593" t="s">
        <v>2915</v>
      </c>
      <c r="C2593" t="s">
        <v>8592</v>
      </c>
      <c r="D2593" t="s">
        <v>52</v>
      </c>
      <c r="E2593" t="s">
        <v>8628</v>
      </c>
      <c r="F2593" t="s">
        <v>71</v>
      </c>
      <c r="G2593" t="str">
        <f>HYPERLINK("https://twitter.com/2866245186/status/1142976316788158465")</f>
        <v>https://twitter.com/2866245186/status/1142976316788158465</v>
      </c>
      <c r="H2593" t="s">
        <v>46</v>
      </c>
      <c r="I2593" t="s">
        <v>8629</v>
      </c>
      <c r="J2593" t="str">
        <f>HYPERLINK("http://twitter.com/thatmcgrittle")</f>
        <v>http://twitter.com/thatmcgrittle</v>
      </c>
      <c r="K2593">
        <v>98</v>
      </c>
      <c r="N2593" t="s">
        <v>65</v>
      </c>
      <c r="R2593" t="s">
        <v>60</v>
      </c>
      <c r="S2593" t="s">
        <v>325</v>
      </c>
      <c r="U2593" t="s">
        <v>8630</v>
      </c>
      <c r="W2593">
        <v>1</v>
      </c>
      <c r="X2593">
        <v>1</v>
      </c>
      <c r="AE2593">
        <v>0</v>
      </c>
      <c r="AF2593">
        <v>0</v>
      </c>
      <c r="AI2593" t="s">
        <v>52</v>
      </c>
      <c r="AJ2593" t="s">
        <v>52</v>
      </c>
      <c r="AK2593" t="s">
        <v>8631</v>
      </c>
      <c r="AL2593" t="str">
        <f>HYPERLINK("https://pbs.twimg.com/tweet_video_thumb/D9yq5d-XUAE11W2.jpg")</f>
        <v>https://pbs.twimg.com/tweet_video_thumb/D9yq5d-XUAE11W2.jpg</v>
      </c>
      <c r="AM2593" t="s">
        <v>52</v>
      </c>
      <c r="AN2593" t="s">
        <v>53</v>
      </c>
    </row>
    <row r="2594" spans="1:40">
      <c r="A2594" t="s">
        <v>8081</v>
      </c>
      <c r="B2594" t="s">
        <v>2915</v>
      </c>
      <c r="C2594" t="s">
        <v>8632</v>
      </c>
      <c r="D2594" t="s">
        <v>52</v>
      </c>
      <c r="E2594" t="s">
        <v>8633</v>
      </c>
      <c r="F2594" t="s">
        <v>45</v>
      </c>
      <c r="G2594" t="str">
        <f>HYPERLINK("https://www.instagram.com/p/BzEzPN5BD_n")</f>
        <v>https://www.instagram.com/p/BzEzPN5BD_n</v>
      </c>
      <c r="H2594" t="s">
        <v>46</v>
      </c>
      <c r="I2594" t="s">
        <v>8634</v>
      </c>
      <c r="J2594" t="str">
        <f>HYPERLINK("http://instagram.com/lunaboonathebulldog")</f>
        <v>http://instagram.com/lunaboonathebulldog</v>
      </c>
      <c r="K2594">
        <v>172</v>
      </c>
      <c r="N2594" t="s">
        <v>59</v>
      </c>
      <c r="O2594" t="s">
        <v>8634</v>
      </c>
      <c r="P2594" t="str">
        <f>HYPERLINK("http://instagram.com/lunaboonathebulldog")</f>
        <v>http://instagram.com/lunaboonathebulldog</v>
      </c>
      <c r="Q2594">
        <v>172</v>
      </c>
      <c r="R2594" t="s">
        <v>60</v>
      </c>
      <c r="S2594" t="s">
        <v>51</v>
      </c>
      <c r="T2594" t="s">
        <v>678</v>
      </c>
      <c r="U2594" t="s">
        <v>8635</v>
      </c>
      <c r="W2594">
        <v>41</v>
      </c>
      <c r="X2594">
        <v>41</v>
      </c>
      <c r="AE2594">
        <v>7</v>
      </c>
      <c r="AI2594" t="s">
        <v>108</v>
      </c>
      <c r="AJ2594" t="s">
        <v>148</v>
      </c>
      <c r="AK2594" t="s">
        <v>52</v>
      </c>
      <c r="AL2594" t="str">
        <f>HYPERLINK("https://www.instagram.com/p/BzEzPN5BD_n/media/?size=l")</f>
        <v>https://www.instagram.com/p/BzEzPN5BD_n/media/?size=l</v>
      </c>
      <c r="AM2594" t="s">
        <v>52</v>
      </c>
      <c r="AN2594" t="s">
        <v>53</v>
      </c>
    </row>
    <row r="2595" spans="1:40">
      <c r="A2595" t="s">
        <v>8081</v>
      </c>
      <c r="B2595" t="s">
        <v>8636</v>
      </c>
      <c r="C2595" t="s">
        <v>8458</v>
      </c>
      <c r="D2595" t="s">
        <v>8637</v>
      </c>
      <c r="E2595" t="s">
        <v>8638</v>
      </c>
      <c r="F2595" t="s">
        <v>45</v>
      </c>
      <c r="G2595" t="str">
        <f>HYPERLINK("https://www.youtube.com/watch?v=aqllxcnoCBc")</f>
        <v>https://www.youtube.com/watch?v=aqllxcnoCBc</v>
      </c>
      <c r="H2595" t="s">
        <v>46</v>
      </c>
      <c r="I2595" t="s">
        <v>8639</v>
      </c>
      <c r="J2595" t="str">
        <f>HYPERLINK("https://www.youtube.com/channel/UC5qs401gFSEGsNZWpezSM6w")</f>
        <v>https://www.youtube.com/channel/UC5qs401gFSEGsNZWpezSM6w</v>
      </c>
      <c r="K2595">
        <v>19</v>
      </c>
      <c r="N2595" t="s">
        <v>116</v>
      </c>
      <c r="O2595" t="s">
        <v>8639</v>
      </c>
      <c r="P2595" t="str">
        <f>HYPERLINK("https://www.youtube.com/channel/UC5qs401gFSEGsNZWpezSM6w")</f>
        <v>https://www.youtube.com/channel/UC5qs401gFSEGsNZWpezSM6w</v>
      </c>
      <c r="Q2595">
        <v>19</v>
      </c>
      <c r="R2595" t="s">
        <v>60</v>
      </c>
      <c r="W2595">
        <v>0</v>
      </c>
      <c r="X2595">
        <v>0</v>
      </c>
      <c r="AD2595">
        <v>0</v>
      </c>
      <c r="AE2595">
        <v>0</v>
      </c>
      <c r="AG2595">
        <v>1</v>
      </c>
      <c r="AI2595" t="s">
        <v>108</v>
      </c>
      <c r="AJ2595" t="s">
        <v>52</v>
      </c>
      <c r="AK2595" t="s">
        <v>680</v>
      </c>
      <c r="AL2595" t="str">
        <f>HYPERLINK("https://i.ytimg.com/vi/aqllxcnoCBc/maxresdefault.jpg")</f>
        <v>https://i.ytimg.com/vi/aqllxcnoCBc/maxresdefault.jpg</v>
      </c>
      <c r="AM2595" t="s">
        <v>52</v>
      </c>
      <c r="AN2595" t="s">
        <v>53</v>
      </c>
    </row>
    <row r="2596" spans="1:40">
      <c r="A2596" t="s">
        <v>8081</v>
      </c>
      <c r="B2596" t="s">
        <v>2919</v>
      </c>
      <c r="C2596" t="s">
        <v>8625</v>
      </c>
      <c r="D2596" t="s">
        <v>52</v>
      </c>
      <c r="E2596" t="s">
        <v>8640</v>
      </c>
      <c r="F2596" t="s">
        <v>95</v>
      </c>
      <c r="G2596" t="str">
        <f>HYPERLINK("https://twitter.com/2418134510/status/1142975643866394624")</f>
        <v>https://twitter.com/2418134510/status/1142975643866394624</v>
      </c>
      <c r="H2596" t="s">
        <v>46</v>
      </c>
      <c r="I2596" t="s">
        <v>8641</v>
      </c>
      <c r="J2596" t="str">
        <f>HYPERLINK("http://twitter.com/Darkpr0_Gaming")</f>
        <v>http://twitter.com/Darkpr0_Gaming</v>
      </c>
      <c r="K2596">
        <v>429</v>
      </c>
      <c r="N2596" t="s">
        <v>65</v>
      </c>
      <c r="R2596" t="s">
        <v>60</v>
      </c>
      <c r="W2596">
        <v>2</v>
      </c>
      <c r="X2596">
        <v>2</v>
      </c>
      <c r="AE2596">
        <v>2</v>
      </c>
      <c r="AF2596">
        <v>0</v>
      </c>
      <c r="AM2596" t="s">
        <v>52</v>
      </c>
      <c r="AN2596" t="s">
        <v>53</v>
      </c>
    </row>
    <row r="2597" spans="1:40">
      <c r="A2597" t="s">
        <v>8081</v>
      </c>
      <c r="B2597" t="s">
        <v>2926</v>
      </c>
      <c r="C2597" t="s">
        <v>8642</v>
      </c>
      <c r="D2597" t="s">
        <v>52</v>
      </c>
      <c r="E2597" t="s">
        <v>8643</v>
      </c>
      <c r="F2597" t="s">
        <v>131</v>
      </c>
      <c r="G2597" t="str">
        <f>HYPERLINK("https://twitter.com/825341706467999744/status/1142975570105589766")</f>
        <v>https://twitter.com/825341706467999744/status/1142975570105589766</v>
      </c>
      <c r="H2597" t="s">
        <v>46</v>
      </c>
      <c r="I2597" t="s">
        <v>8644</v>
      </c>
      <c r="J2597" t="str">
        <f>HYPERLINK("http://twitter.com/Gavin_Gouge")</f>
        <v>http://twitter.com/Gavin_Gouge</v>
      </c>
      <c r="K2597">
        <v>57</v>
      </c>
      <c r="L2597" t="s">
        <v>48</v>
      </c>
      <c r="N2597" t="s">
        <v>65</v>
      </c>
      <c r="R2597" t="s">
        <v>60</v>
      </c>
      <c r="W2597">
        <v>0</v>
      </c>
      <c r="X2597">
        <v>0</v>
      </c>
      <c r="AE2597">
        <v>0</v>
      </c>
      <c r="AI2597" t="s">
        <v>108</v>
      </c>
      <c r="AJ2597" t="s">
        <v>321</v>
      </c>
      <c r="AK2597" t="s">
        <v>52</v>
      </c>
      <c r="AL2597" t="str">
        <f>HYPERLINK("https://pbs.twimg.com/media/D9hIrC5XsAUIoz6.jpg")</f>
        <v>https://pbs.twimg.com/media/D9hIrC5XsAUIoz6.jpg</v>
      </c>
      <c r="AM2597" t="s">
        <v>52</v>
      </c>
      <c r="AN2597" t="s">
        <v>53</v>
      </c>
    </row>
    <row r="2598" spans="1:40">
      <c r="A2598" t="s">
        <v>8081</v>
      </c>
      <c r="B2598" t="s">
        <v>2926</v>
      </c>
      <c r="C2598" t="s">
        <v>8645</v>
      </c>
      <c r="D2598" t="s">
        <v>52</v>
      </c>
      <c r="E2598" t="s">
        <v>3749</v>
      </c>
      <c r="F2598" t="s">
        <v>71</v>
      </c>
      <c r="G2598" t="str">
        <f>HYPERLINK("https://twitter.com/806698822437109760/status/1142975492930330624")</f>
        <v>https://twitter.com/806698822437109760/status/1142975492930330624</v>
      </c>
      <c r="H2598" t="s">
        <v>46</v>
      </c>
      <c r="I2598" t="s">
        <v>8646</v>
      </c>
      <c r="J2598" t="str">
        <f>HYPERLINK("http://twitter.com/LimitBreaker69")</f>
        <v>http://twitter.com/LimitBreaker69</v>
      </c>
      <c r="K2598">
        <v>201</v>
      </c>
      <c r="N2598" t="s">
        <v>65</v>
      </c>
      <c r="R2598" t="s">
        <v>60</v>
      </c>
      <c r="S2598" t="s">
        <v>7157</v>
      </c>
      <c r="W2598">
        <v>0</v>
      </c>
      <c r="X2598">
        <v>0</v>
      </c>
      <c r="AE2598">
        <v>0</v>
      </c>
      <c r="AF2598">
        <v>0</v>
      </c>
      <c r="AI2598" t="s">
        <v>108</v>
      </c>
      <c r="AJ2598" t="s">
        <v>52</v>
      </c>
      <c r="AK2598" t="s">
        <v>52</v>
      </c>
      <c r="AL2598" t="str">
        <f>HYPERLINK("https://pbs.twimg.com/media/D9sAXHUX4AA6vJs.jpg")</f>
        <v>https://pbs.twimg.com/media/D9sAXHUX4AA6vJs.jpg</v>
      </c>
      <c r="AM2598" t="s">
        <v>52</v>
      </c>
      <c r="AN2598" t="s">
        <v>53</v>
      </c>
    </row>
    <row r="2599" spans="1:40">
      <c r="A2599" t="s">
        <v>8081</v>
      </c>
      <c r="B2599" t="s">
        <v>2930</v>
      </c>
      <c r="C2599" t="s">
        <v>8647</v>
      </c>
      <c r="D2599" t="s">
        <v>52</v>
      </c>
      <c r="E2599" t="s">
        <v>8648</v>
      </c>
      <c r="F2599" t="s">
        <v>71</v>
      </c>
      <c r="G2599" t="str">
        <f>HYPERLINK("https://twitter.com/512460426/status/1142974942901878785")</f>
        <v>https://twitter.com/512460426/status/1142974942901878785</v>
      </c>
      <c r="H2599" t="s">
        <v>46</v>
      </c>
      <c r="I2599" t="s">
        <v>8649</v>
      </c>
      <c r="J2599" t="str">
        <f>HYPERLINK("http://twitter.com/Vjollnir")</f>
        <v>http://twitter.com/Vjollnir</v>
      </c>
      <c r="K2599">
        <v>551</v>
      </c>
      <c r="N2599" t="s">
        <v>65</v>
      </c>
      <c r="R2599" t="s">
        <v>60</v>
      </c>
      <c r="S2599" t="s">
        <v>1963</v>
      </c>
      <c r="T2599" t="s">
        <v>8650</v>
      </c>
      <c r="U2599" t="s">
        <v>8651</v>
      </c>
      <c r="W2599">
        <v>0</v>
      </c>
      <c r="X2599">
        <v>0</v>
      </c>
      <c r="AE2599">
        <v>0</v>
      </c>
      <c r="AF2599">
        <v>0</v>
      </c>
      <c r="AI2599" t="s">
        <v>52</v>
      </c>
      <c r="AJ2599" t="s">
        <v>52</v>
      </c>
      <c r="AK2599" t="s">
        <v>52</v>
      </c>
      <c r="AL2599" t="str">
        <f>HYPERLINK("https://pbs.twimg.com/tweet_video_thumb/D9nlNdoXoAAX_ln.jpg")</f>
        <v>https://pbs.twimg.com/tweet_video_thumb/D9nlNdoXoAAX_ln.jpg</v>
      </c>
      <c r="AM2599" t="s">
        <v>52</v>
      </c>
      <c r="AN2599" t="s">
        <v>53</v>
      </c>
    </row>
    <row r="2600" spans="1:40">
      <c r="A2600" t="s">
        <v>8081</v>
      </c>
      <c r="B2600" t="s">
        <v>2952</v>
      </c>
      <c r="C2600" t="s">
        <v>8652</v>
      </c>
      <c r="D2600" t="s">
        <v>8653</v>
      </c>
      <c r="E2600" t="s">
        <v>8654</v>
      </c>
      <c r="F2600" t="s">
        <v>95</v>
      </c>
      <c r="G2600" t="str">
        <f>HYPERLINK("https://www.joemygod.com/2019/06/chatter-away-overnight-open-thread-459/#comment-4513661116")</f>
        <v>https://www.joemygod.com/2019/06/chatter-away-overnight-open-thread-459/#comment-4513661116</v>
      </c>
      <c r="H2600" t="s">
        <v>46</v>
      </c>
      <c r="I2600" t="s">
        <v>8655</v>
      </c>
      <c r="J2600" t="str">
        <f>HYPERLINK("https://disqus.com/by/safari2bongaloo/")</f>
        <v>https://disqus.com/by/safari2bongaloo/</v>
      </c>
      <c r="K2600">
        <v>0</v>
      </c>
      <c r="N2600" t="s">
        <v>8656</v>
      </c>
      <c r="O2600" t="s">
        <v>8657</v>
      </c>
      <c r="P2600" t="str">
        <f>HYPERLINK("https://disqus.com/home/forum/joemygod/")</f>
        <v>https://disqus.com/home/forum/joemygod/</v>
      </c>
      <c r="R2600" t="s">
        <v>50</v>
      </c>
      <c r="W2600">
        <v>0</v>
      </c>
      <c r="X2600">
        <v>0</v>
      </c>
      <c r="AM2600" t="s">
        <v>52</v>
      </c>
      <c r="AN2600" t="s">
        <v>53</v>
      </c>
    </row>
    <row r="2601" spans="1:40">
      <c r="A2601" t="s">
        <v>8081</v>
      </c>
      <c r="B2601" t="s">
        <v>2957</v>
      </c>
      <c r="C2601" t="s">
        <v>8658</v>
      </c>
      <c r="D2601" t="s">
        <v>52</v>
      </c>
      <c r="E2601" t="s">
        <v>8659</v>
      </c>
      <c r="F2601" t="s">
        <v>71</v>
      </c>
      <c r="G2601" t="str">
        <f>HYPERLINK("https://twitter.com/717580431315460096/status/1142973777317257217")</f>
        <v>https://twitter.com/717580431315460096/status/1142973777317257217</v>
      </c>
      <c r="H2601" t="s">
        <v>46</v>
      </c>
      <c r="I2601" t="s">
        <v>8660</v>
      </c>
      <c r="J2601" t="str">
        <f>HYPERLINK("http://twitter.com/ewwteo")</f>
        <v>http://twitter.com/ewwteo</v>
      </c>
      <c r="K2601">
        <v>201</v>
      </c>
      <c r="N2601" t="s">
        <v>65</v>
      </c>
      <c r="R2601" t="s">
        <v>60</v>
      </c>
      <c r="W2601">
        <v>0</v>
      </c>
      <c r="X2601">
        <v>0</v>
      </c>
      <c r="AE2601">
        <v>0</v>
      </c>
      <c r="AF2601">
        <v>0</v>
      </c>
      <c r="AI2601" t="s">
        <v>52</v>
      </c>
      <c r="AJ2601" t="s">
        <v>3639</v>
      </c>
      <c r="AK2601" t="s">
        <v>238</v>
      </c>
      <c r="AL2601" t="str">
        <f>HYPERLINK("https://pbs.twimg.com/media/D9jR1g0UYAAm_F_.jpg")</f>
        <v>https://pbs.twimg.com/media/D9jR1g0UYAAm_F_.jpg</v>
      </c>
      <c r="AM2601" t="s">
        <v>52</v>
      </c>
      <c r="AN2601" t="s">
        <v>53</v>
      </c>
    </row>
    <row r="2602" spans="1:40">
      <c r="A2602" t="s">
        <v>8081</v>
      </c>
      <c r="B2602" t="s">
        <v>2957</v>
      </c>
      <c r="C2602" t="s">
        <v>8661</v>
      </c>
      <c r="D2602" t="s">
        <v>52</v>
      </c>
      <c r="E2602" t="s">
        <v>8662</v>
      </c>
      <c r="F2602" t="s">
        <v>95</v>
      </c>
      <c r="G2602" t="str">
        <f>HYPERLINK("https://twitter.com/59732778/status/1142973737634897920")</f>
        <v>https://twitter.com/59732778/status/1142973737634897920</v>
      </c>
      <c r="H2602" t="s">
        <v>46</v>
      </c>
      <c r="I2602" t="s">
        <v>8663</v>
      </c>
      <c r="J2602" t="str">
        <f>HYPERLINK("http://twitter.com/Chaoticblaze27")</f>
        <v>http://twitter.com/Chaoticblaze27</v>
      </c>
      <c r="K2602">
        <v>654</v>
      </c>
      <c r="N2602" t="s">
        <v>65</v>
      </c>
      <c r="R2602" t="s">
        <v>60</v>
      </c>
      <c r="S2602" t="s">
        <v>51</v>
      </c>
      <c r="T2602" t="s">
        <v>173</v>
      </c>
      <c r="U2602" t="s">
        <v>4051</v>
      </c>
      <c r="W2602">
        <v>1</v>
      </c>
      <c r="X2602">
        <v>1</v>
      </c>
      <c r="AE2602">
        <v>1</v>
      </c>
      <c r="AF2602">
        <v>0</v>
      </c>
      <c r="AM2602" t="s">
        <v>52</v>
      </c>
      <c r="AN2602" t="s">
        <v>53</v>
      </c>
    </row>
    <row r="2603" spans="1:40">
      <c r="A2603" t="s">
        <v>8081</v>
      </c>
      <c r="B2603" t="s">
        <v>2957</v>
      </c>
      <c r="C2603" t="s">
        <v>8664</v>
      </c>
      <c r="D2603" t="s">
        <v>52</v>
      </c>
      <c r="E2603" t="s">
        <v>4256</v>
      </c>
      <c r="F2603" t="s">
        <v>131</v>
      </c>
      <c r="G2603" t="str">
        <f>HYPERLINK("https://twitter.com/271667471/status/1142973719612133376")</f>
        <v>https://twitter.com/271667471/status/1142973719612133376</v>
      </c>
      <c r="H2603" t="s">
        <v>215</v>
      </c>
      <c r="I2603" t="s">
        <v>8665</v>
      </c>
      <c r="J2603" t="str">
        <f>HYPERLINK("http://twitter.com/AndrewNathanM")</f>
        <v>http://twitter.com/AndrewNathanM</v>
      </c>
      <c r="K2603">
        <v>284</v>
      </c>
      <c r="L2603" t="s">
        <v>48</v>
      </c>
      <c r="N2603" t="s">
        <v>65</v>
      </c>
      <c r="R2603" t="s">
        <v>60</v>
      </c>
      <c r="S2603" t="s">
        <v>51</v>
      </c>
      <c r="T2603" t="s">
        <v>380</v>
      </c>
      <c r="U2603" t="s">
        <v>380</v>
      </c>
      <c r="W2603">
        <v>0</v>
      </c>
      <c r="X2603">
        <v>0</v>
      </c>
      <c r="AE2603">
        <v>0</v>
      </c>
      <c r="AI2603" t="s">
        <v>108</v>
      </c>
      <c r="AJ2603" t="s">
        <v>52</v>
      </c>
      <c r="AK2603" t="s">
        <v>52</v>
      </c>
      <c r="AL2603" t="str">
        <f>HYPERLINK("https://pbs.twimg.com/media/D9wASdAXYAAV8vY.jpg")</f>
        <v>https://pbs.twimg.com/media/D9wASdAXYAAV8vY.jpg</v>
      </c>
      <c r="AM2603" t="s">
        <v>52</v>
      </c>
      <c r="AN2603" t="s">
        <v>53</v>
      </c>
    </row>
    <row r="2604" spans="1:40">
      <c r="A2604" t="s">
        <v>8081</v>
      </c>
      <c r="B2604" t="s">
        <v>2957</v>
      </c>
      <c r="C2604" t="s">
        <v>8664</v>
      </c>
      <c r="D2604" t="s">
        <v>52</v>
      </c>
      <c r="E2604" t="s">
        <v>8666</v>
      </c>
      <c r="F2604" t="s">
        <v>45</v>
      </c>
      <c r="G2604" t="str">
        <f>HYPERLINK("https://twitter.com/174531885/status/1142973696728010752")</f>
        <v>https://twitter.com/174531885/status/1142973696728010752</v>
      </c>
      <c r="H2604" t="s">
        <v>46</v>
      </c>
      <c r="I2604" t="s">
        <v>8667</v>
      </c>
      <c r="J2604" t="str">
        <f>HYPERLINK("http://twitter.com/juisjudy")</f>
        <v>http://twitter.com/juisjudy</v>
      </c>
      <c r="K2604">
        <v>692</v>
      </c>
      <c r="N2604" t="s">
        <v>65</v>
      </c>
      <c r="R2604" t="s">
        <v>60</v>
      </c>
      <c r="S2604" t="s">
        <v>51</v>
      </c>
      <c r="T2604" t="s">
        <v>84</v>
      </c>
      <c r="U2604" t="s">
        <v>8668</v>
      </c>
      <c r="W2604">
        <v>7</v>
      </c>
      <c r="X2604">
        <v>7</v>
      </c>
      <c r="AE2604">
        <v>1</v>
      </c>
      <c r="AF2604">
        <v>0</v>
      </c>
      <c r="AM2604" t="s">
        <v>52</v>
      </c>
      <c r="AN2604" t="s">
        <v>53</v>
      </c>
    </row>
    <row r="2605" spans="1:40">
      <c r="A2605" t="s">
        <v>8081</v>
      </c>
      <c r="B2605" t="s">
        <v>2957</v>
      </c>
      <c r="C2605" t="s">
        <v>8669</v>
      </c>
      <c r="D2605" t="s">
        <v>8670</v>
      </c>
      <c r="E2605" t="s">
        <v>8671</v>
      </c>
      <c r="F2605" t="s">
        <v>45</v>
      </c>
      <c r="G2605" t="str">
        <f>HYPERLINK("https://www.youtube.com/watch?v=Hi_vxQv8GsY")</f>
        <v>https://www.youtube.com/watch?v=Hi_vxQv8GsY</v>
      </c>
      <c r="H2605" t="s">
        <v>46</v>
      </c>
      <c r="I2605" t="s">
        <v>8672</v>
      </c>
      <c r="J2605" t="str">
        <f>HYPERLINK("https://www.youtube.com/channel/UCDRqiR260eUrARfTNCuyq8A")</f>
        <v>https://www.youtube.com/channel/UCDRqiR260eUrARfTNCuyq8A</v>
      </c>
      <c r="K2605">
        <v>9</v>
      </c>
      <c r="N2605" t="s">
        <v>116</v>
      </c>
      <c r="O2605" t="s">
        <v>8672</v>
      </c>
      <c r="P2605" t="str">
        <f>HYPERLINK("https://www.youtube.com/channel/UCDRqiR260eUrARfTNCuyq8A")</f>
        <v>https://www.youtube.com/channel/UCDRqiR260eUrARfTNCuyq8A</v>
      </c>
      <c r="Q2605">
        <v>9</v>
      </c>
      <c r="R2605" t="s">
        <v>60</v>
      </c>
      <c r="W2605">
        <v>20</v>
      </c>
      <c r="X2605">
        <v>20</v>
      </c>
      <c r="AD2605">
        <v>1</v>
      </c>
      <c r="AE2605">
        <v>6</v>
      </c>
      <c r="AG2605">
        <v>239</v>
      </c>
      <c r="AI2605" t="s">
        <v>52</v>
      </c>
      <c r="AJ2605" t="s">
        <v>52</v>
      </c>
      <c r="AK2605" t="s">
        <v>52</v>
      </c>
      <c r="AL2605" t="str">
        <f>HYPERLINK("https://i.ytimg.com/vi/Hi_vxQv8GsY/maxresdefault.jpg")</f>
        <v>https://i.ytimg.com/vi/Hi_vxQv8GsY/maxresdefault.jpg</v>
      </c>
      <c r="AM2605" t="s">
        <v>52</v>
      </c>
      <c r="AN2605" t="s">
        <v>53</v>
      </c>
    </row>
    <row r="2606" spans="1:40">
      <c r="A2606" t="s">
        <v>8081</v>
      </c>
      <c r="B2606" t="s">
        <v>8673</v>
      </c>
      <c r="C2606" t="s">
        <v>8674</v>
      </c>
      <c r="D2606" t="s">
        <v>52</v>
      </c>
      <c r="E2606" t="s">
        <v>8675</v>
      </c>
      <c r="F2606" t="s">
        <v>45</v>
      </c>
      <c r="G2606" t="str">
        <f>HYPERLINK("https://twitter.com/174531885/status/1142973562262827011")</f>
        <v>https://twitter.com/174531885/status/1142973562262827011</v>
      </c>
      <c r="H2606" t="s">
        <v>46</v>
      </c>
      <c r="I2606" t="s">
        <v>8667</v>
      </c>
      <c r="J2606" t="str">
        <f>HYPERLINK("http://twitter.com/juisjudy")</f>
        <v>http://twitter.com/juisjudy</v>
      </c>
      <c r="K2606">
        <v>692</v>
      </c>
      <c r="N2606" t="s">
        <v>65</v>
      </c>
      <c r="R2606" t="s">
        <v>60</v>
      </c>
      <c r="S2606" t="s">
        <v>51</v>
      </c>
      <c r="T2606" t="s">
        <v>84</v>
      </c>
      <c r="U2606" t="s">
        <v>8668</v>
      </c>
      <c r="W2606">
        <v>0</v>
      </c>
      <c r="X2606">
        <v>0</v>
      </c>
      <c r="AE2606">
        <v>0</v>
      </c>
      <c r="AF2606">
        <v>0</v>
      </c>
      <c r="AM2606" t="s">
        <v>52</v>
      </c>
      <c r="AN2606" t="s">
        <v>53</v>
      </c>
    </row>
    <row r="2607" spans="1:40">
      <c r="A2607" t="s">
        <v>8081</v>
      </c>
      <c r="B2607" t="s">
        <v>2960</v>
      </c>
      <c r="C2607" t="s">
        <v>8645</v>
      </c>
      <c r="D2607" t="s">
        <v>8450</v>
      </c>
      <c r="E2607" t="s">
        <v>8451</v>
      </c>
      <c r="F2607" t="s">
        <v>45</v>
      </c>
      <c r="G2607" t="str">
        <f>HYPERLINK("https://www.msn.com/en-au/lifestyle/lifestylegeneral/these-seven-mums-lost-a-combined-300kg/ar-AADj7qI")</f>
        <v>https://www.msn.com/en-au/lifestyle/lifestylegeneral/these-seven-mums-lost-a-combined-300kg/ar-AADj7qI</v>
      </c>
      <c r="H2607" t="s">
        <v>46</v>
      </c>
      <c r="I2607" t="s">
        <v>8676</v>
      </c>
      <c r="J2607" t="str">
        <f>HYPERLINK("https://www.msn.com/en-au")</f>
        <v>https://www.msn.com/en-au</v>
      </c>
      <c r="N2607" t="s">
        <v>8453</v>
      </c>
      <c r="R2607" t="s">
        <v>357</v>
      </c>
      <c r="S2607" t="s">
        <v>774</v>
      </c>
      <c r="AI2607" t="s">
        <v>52</v>
      </c>
      <c r="AJ2607" t="s">
        <v>3777</v>
      </c>
      <c r="AK2607" t="s">
        <v>52</v>
      </c>
      <c r="AL2607" t="str">
        <f>HYPERLINK("https://img-s-msn-com.akamaized.net/tenant/amp/entityid/AADj7qo.img?h=226&amp;w=270&amp;m=6&amp;q=60&amp;o=f&amp;l=f&amp;x=146&amp;y=120")</f>
        <v>https://img-s-msn-com.akamaized.net/tenant/amp/entityid/AADj7qo.img?h=226&amp;w=270&amp;m=6&amp;q=60&amp;o=f&amp;l=f&amp;x=146&amp;y=120</v>
      </c>
      <c r="AM2607" t="s">
        <v>52</v>
      </c>
      <c r="AN2607" t="s">
        <v>53</v>
      </c>
    </row>
    <row r="2608" spans="1:40">
      <c r="A2608" t="s">
        <v>8081</v>
      </c>
      <c r="B2608" t="s">
        <v>2960</v>
      </c>
      <c r="C2608" t="s">
        <v>6873</v>
      </c>
      <c r="D2608" t="s">
        <v>8677</v>
      </c>
      <c r="E2608" t="s">
        <v>8678</v>
      </c>
      <c r="F2608" t="s">
        <v>45</v>
      </c>
      <c r="G2608" t="str">
        <f>HYPERLINK("https://apkhook.com/michael-blue-bay.html")</f>
        <v>https://apkhook.com/michael-blue-bay.html</v>
      </c>
      <c r="H2608" t="s">
        <v>46</v>
      </c>
      <c r="N2608" t="s">
        <v>1633</v>
      </c>
      <c r="R2608" t="s">
        <v>50</v>
      </c>
      <c r="S2608" t="s">
        <v>51</v>
      </c>
      <c r="AM2608" t="s">
        <v>52</v>
      </c>
      <c r="AN2608" t="s">
        <v>53</v>
      </c>
    </row>
    <row r="2609" spans="1:40">
      <c r="A2609" t="s">
        <v>8081</v>
      </c>
      <c r="B2609" t="s">
        <v>2960</v>
      </c>
      <c r="C2609" t="s">
        <v>8679</v>
      </c>
      <c r="D2609" t="s">
        <v>8680</v>
      </c>
      <c r="E2609" t="s">
        <v>8681</v>
      </c>
      <c r="F2609" t="s">
        <v>45</v>
      </c>
      <c r="G2609" t="str">
        <f>HYPERLINK("https://apkhook.com/mlg-dorito.html")</f>
        <v>https://apkhook.com/mlg-dorito.html</v>
      </c>
      <c r="H2609" t="s">
        <v>46</v>
      </c>
      <c r="N2609" t="s">
        <v>1633</v>
      </c>
      <c r="R2609" t="s">
        <v>50</v>
      </c>
      <c r="S2609" t="s">
        <v>51</v>
      </c>
      <c r="AM2609" t="s">
        <v>52</v>
      </c>
      <c r="AN2609" t="s">
        <v>53</v>
      </c>
    </row>
    <row r="2610" spans="1:40">
      <c r="A2610" t="s">
        <v>8081</v>
      </c>
      <c r="B2610" t="s">
        <v>2966</v>
      </c>
      <c r="C2610" t="s">
        <v>8682</v>
      </c>
      <c r="D2610" t="s">
        <v>52</v>
      </c>
      <c r="E2610" t="s">
        <v>8683</v>
      </c>
      <c r="F2610" t="s">
        <v>45</v>
      </c>
      <c r="G2610" t="str">
        <f>HYPERLINK("https://twitter.com/1081258211519447047/status/1142973050792620032")</f>
        <v>https://twitter.com/1081258211519447047/status/1142973050792620032</v>
      </c>
      <c r="H2610" t="s">
        <v>46</v>
      </c>
      <c r="I2610" t="s">
        <v>8684</v>
      </c>
      <c r="J2610" t="str">
        <f>HYPERLINK("http://twitter.com/berylnarcissus")</f>
        <v>http://twitter.com/berylnarcissus</v>
      </c>
      <c r="K2610">
        <v>2368</v>
      </c>
      <c r="N2610" t="s">
        <v>65</v>
      </c>
      <c r="R2610" t="s">
        <v>60</v>
      </c>
      <c r="S2610" t="s">
        <v>1034</v>
      </c>
      <c r="U2610" t="s">
        <v>4177</v>
      </c>
      <c r="W2610">
        <v>6</v>
      </c>
      <c r="X2610">
        <v>6</v>
      </c>
      <c r="AE2610">
        <v>0</v>
      </c>
      <c r="AF2610">
        <v>0</v>
      </c>
      <c r="AM2610" t="s">
        <v>52</v>
      </c>
      <c r="AN2610" t="s">
        <v>53</v>
      </c>
    </row>
    <row r="2611" spans="1:40">
      <c r="A2611" t="s">
        <v>8081</v>
      </c>
      <c r="B2611" t="s">
        <v>2966</v>
      </c>
      <c r="C2611" t="s">
        <v>8685</v>
      </c>
      <c r="D2611" t="s">
        <v>52</v>
      </c>
      <c r="E2611" t="s">
        <v>7606</v>
      </c>
      <c r="F2611" t="s">
        <v>131</v>
      </c>
      <c r="G2611" t="str">
        <f>HYPERLINK("https://twitter.com/2341346779/status/1142972975756587009")</f>
        <v>https://twitter.com/2341346779/status/1142972975756587009</v>
      </c>
      <c r="H2611" t="s">
        <v>46</v>
      </c>
      <c r="I2611" t="s">
        <v>8686</v>
      </c>
      <c r="J2611" t="str">
        <f>HYPERLINK("http://twitter.com/TonioShotIt")</f>
        <v>http://twitter.com/TonioShotIt</v>
      </c>
      <c r="K2611">
        <v>206</v>
      </c>
      <c r="N2611" t="s">
        <v>65</v>
      </c>
      <c r="R2611" t="s">
        <v>60</v>
      </c>
      <c r="S2611" t="s">
        <v>4594</v>
      </c>
      <c r="U2611" t="s">
        <v>8687</v>
      </c>
      <c r="W2611">
        <v>0</v>
      </c>
      <c r="X2611">
        <v>0</v>
      </c>
      <c r="AE2611">
        <v>0</v>
      </c>
      <c r="AM2611" t="s">
        <v>52</v>
      </c>
      <c r="AN2611" t="s">
        <v>53</v>
      </c>
    </row>
    <row r="2612" spans="1:40">
      <c r="A2612" t="s">
        <v>8081</v>
      </c>
      <c r="B2612" t="s">
        <v>2977</v>
      </c>
      <c r="C2612" t="s">
        <v>7217</v>
      </c>
      <c r="D2612" t="s">
        <v>8688</v>
      </c>
      <c r="E2612" t="s">
        <v>8689</v>
      </c>
      <c r="F2612" t="s">
        <v>45</v>
      </c>
      <c r="G2612" t="str">
        <f>HYPERLINK("http://www.scandinavianhomestaging.com/taco-images-free.html")</f>
        <v>http://www.scandinavianhomestaging.com/taco-images-free.html</v>
      </c>
      <c r="H2612" t="s">
        <v>46</v>
      </c>
      <c r="N2612" t="s">
        <v>7165</v>
      </c>
      <c r="R2612" t="s">
        <v>50</v>
      </c>
      <c r="S2612" t="s">
        <v>51</v>
      </c>
      <c r="AM2612" t="s">
        <v>52</v>
      </c>
      <c r="AN2612" t="s">
        <v>53</v>
      </c>
    </row>
    <row r="2613" spans="1:40">
      <c r="A2613" t="s">
        <v>8081</v>
      </c>
      <c r="B2613" t="s">
        <v>2992</v>
      </c>
      <c r="C2613" t="s">
        <v>8658</v>
      </c>
      <c r="D2613" t="s">
        <v>52</v>
      </c>
      <c r="E2613" t="s">
        <v>8690</v>
      </c>
      <c r="F2613" t="s">
        <v>95</v>
      </c>
      <c r="G2613" t="str">
        <f>HYPERLINK("https://twitter.com/611064095/status/1142972292890353665")</f>
        <v>https://twitter.com/611064095/status/1142972292890353665</v>
      </c>
      <c r="H2613" t="s">
        <v>46</v>
      </c>
      <c r="I2613" t="s">
        <v>8691</v>
      </c>
      <c r="J2613" t="str">
        <f>HYPERLINK("http://twitter.com/SeymaShabbir")</f>
        <v>http://twitter.com/SeymaShabbir</v>
      </c>
      <c r="K2613">
        <v>6224</v>
      </c>
      <c r="N2613" t="s">
        <v>65</v>
      </c>
      <c r="R2613" t="s">
        <v>60</v>
      </c>
      <c r="S2613" t="s">
        <v>51</v>
      </c>
      <c r="T2613" t="s">
        <v>851</v>
      </c>
      <c r="U2613" t="s">
        <v>852</v>
      </c>
      <c r="W2613">
        <v>0</v>
      </c>
      <c r="X2613">
        <v>0</v>
      </c>
      <c r="AE2613">
        <v>0</v>
      </c>
      <c r="AF2613">
        <v>0</v>
      </c>
      <c r="AM2613" t="s">
        <v>52</v>
      </c>
      <c r="AN2613" t="s">
        <v>53</v>
      </c>
    </row>
    <row r="2614" spans="1:40">
      <c r="A2614" t="s">
        <v>8081</v>
      </c>
      <c r="B2614" t="s">
        <v>2992</v>
      </c>
      <c r="C2614" t="s">
        <v>8661</v>
      </c>
      <c r="D2614" t="s">
        <v>52</v>
      </c>
      <c r="E2614" t="s">
        <v>7606</v>
      </c>
      <c r="F2614" t="s">
        <v>131</v>
      </c>
      <c r="G2614" t="str">
        <f>HYPERLINK("https://twitter.com/998645203/status/1142972278084444160")</f>
        <v>https://twitter.com/998645203/status/1142972278084444160</v>
      </c>
      <c r="H2614" t="s">
        <v>46</v>
      </c>
      <c r="I2614" t="s">
        <v>8692</v>
      </c>
      <c r="J2614" t="str">
        <f>HYPERLINK("http://twitter.com/ceciliaacasass")</f>
        <v>http://twitter.com/ceciliaacasass</v>
      </c>
      <c r="K2614">
        <v>870</v>
      </c>
      <c r="N2614" t="s">
        <v>65</v>
      </c>
      <c r="R2614" t="s">
        <v>60</v>
      </c>
      <c r="S2614" t="s">
        <v>51</v>
      </c>
      <c r="T2614" t="s">
        <v>199</v>
      </c>
      <c r="U2614" t="s">
        <v>8693</v>
      </c>
      <c r="W2614">
        <v>0</v>
      </c>
      <c r="X2614">
        <v>0</v>
      </c>
      <c r="AE2614">
        <v>0</v>
      </c>
      <c r="AM2614" t="s">
        <v>52</v>
      </c>
      <c r="AN2614" t="s">
        <v>53</v>
      </c>
    </row>
    <row r="2615" spans="1:40">
      <c r="A2615" t="s">
        <v>8081</v>
      </c>
      <c r="B2615" t="s">
        <v>2992</v>
      </c>
      <c r="C2615" t="s">
        <v>8694</v>
      </c>
      <c r="D2615" t="s">
        <v>52</v>
      </c>
      <c r="E2615" t="s">
        <v>8695</v>
      </c>
      <c r="F2615" t="s">
        <v>71</v>
      </c>
      <c r="G2615" t="str">
        <f>HYPERLINK("https://twitter.com/4073118921/status/1142972108693213187")</f>
        <v>https://twitter.com/4073118921/status/1142972108693213187</v>
      </c>
      <c r="H2615" t="s">
        <v>215</v>
      </c>
      <c r="I2615" t="s">
        <v>8696</v>
      </c>
      <c r="J2615" t="str">
        <f>HYPERLINK("http://twitter.com/roohafsapapi")</f>
        <v>http://twitter.com/roohafsapapi</v>
      </c>
      <c r="K2615">
        <v>70</v>
      </c>
      <c r="N2615" t="s">
        <v>65</v>
      </c>
      <c r="R2615" t="s">
        <v>60</v>
      </c>
      <c r="S2615" t="s">
        <v>51</v>
      </c>
      <c r="T2615" t="s">
        <v>84</v>
      </c>
      <c r="U2615" t="s">
        <v>85</v>
      </c>
      <c r="W2615">
        <v>2</v>
      </c>
      <c r="X2615">
        <v>2</v>
      </c>
      <c r="AE2615">
        <v>1</v>
      </c>
      <c r="AF2615">
        <v>0</v>
      </c>
      <c r="AI2615" t="s">
        <v>52</v>
      </c>
      <c r="AJ2615" t="s">
        <v>8697</v>
      </c>
      <c r="AK2615" t="s">
        <v>8698</v>
      </c>
      <c r="AL2615" t="str">
        <f>HYPERLINK("https://pbs.twimg.com/media/D9md7HYUwAADOPJ.jpg")</f>
        <v>https://pbs.twimg.com/media/D9md7HYUwAADOPJ.jpg</v>
      </c>
      <c r="AM2615" t="s">
        <v>52</v>
      </c>
      <c r="AN2615" t="s">
        <v>53</v>
      </c>
    </row>
    <row r="2616" spans="1:40">
      <c r="A2616" t="s">
        <v>8081</v>
      </c>
      <c r="B2616" t="s">
        <v>8699</v>
      </c>
      <c r="C2616" t="s">
        <v>8685</v>
      </c>
      <c r="D2616" t="s">
        <v>52</v>
      </c>
      <c r="E2616" t="s">
        <v>8700</v>
      </c>
      <c r="F2616" t="s">
        <v>45</v>
      </c>
      <c r="G2616" t="str">
        <f>HYPERLINK("https://twitter.com/1110956675756933120/status/1142971864052043777")</f>
        <v>https://twitter.com/1110956675756933120/status/1142971864052043777</v>
      </c>
      <c r="H2616" t="s">
        <v>46</v>
      </c>
      <c r="I2616" t="s">
        <v>8701</v>
      </c>
      <c r="J2616" t="str">
        <f>HYPERLINK("http://twitter.com/diegyro")</f>
        <v>http://twitter.com/diegyro</v>
      </c>
      <c r="K2616">
        <v>144</v>
      </c>
      <c r="N2616" t="s">
        <v>65</v>
      </c>
      <c r="R2616" t="s">
        <v>60</v>
      </c>
      <c r="W2616">
        <v>5</v>
      </c>
      <c r="X2616">
        <v>5</v>
      </c>
      <c r="AE2616">
        <v>0</v>
      </c>
      <c r="AF2616">
        <v>0</v>
      </c>
      <c r="AM2616" t="s">
        <v>52</v>
      </c>
      <c r="AN2616" t="s">
        <v>53</v>
      </c>
    </row>
    <row r="2617" spans="1:40">
      <c r="A2617" t="s">
        <v>8081</v>
      </c>
      <c r="B2617" t="s">
        <v>2997</v>
      </c>
      <c r="C2617" t="s">
        <v>8702</v>
      </c>
      <c r="D2617" t="s">
        <v>52</v>
      </c>
      <c r="E2617" t="s">
        <v>1194</v>
      </c>
      <c r="F2617" t="s">
        <v>131</v>
      </c>
      <c r="G2617" t="str">
        <f>HYPERLINK("https://twitter.com/3688950556/status/1142971633294028801")</f>
        <v>https://twitter.com/3688950556/status/1142971633294028801</v>
      </c>
      <c r="H2617" t="s">
        <v>46</v>
      </c>
      <c r="I2617" t="s">
        <v>8703</v>
      </c>
      <c r="J2617" t="str">
        <f>HYPERLINK("http://twitter.com/DoghouseCorgian")</f>
        <v>http://twitter.com/DoghouseCorgian</v>
      </c>
      <c r="K2617">
        <v>1925</v>
      </c>
      <c r="N2617" t="s">
        <v>65</v>
      </c>
      <c r="R2617" t="s">
        <v>60</v>
      </c>
      <c r="S2617" t="s">
        <v>51</v>
      </c>
      <c r="T2617" t="s">
        <v>73</v>
      </c>
      <c r="U2617" t="s">
        <v>8704</v>
      </c>
      <c r="W2617">
        <v>0</v>
      </c>
      <c r="X2617">
        <v>0</v>
      </c>
      <c r="AE2617">
        <v>0</v>
      </c>
      <c r="AI2617" t="s">
        <v>52</v>
      </c>
      <c r="AJ2617" t="s">
        <v>1196</v>
      </c>
      <c r="AK2617" t="s">
        <v>52</v>
      </c>
      <c r="AL2617" t="str">
        <f>HYPERLINK("https://pbs.twimg.com/media/D9xgk2YXkAAd2ql.jpg")</f>
        <v>https://pbs.twimg.com/media/D9xgk2YXkAAd2ql.jpg</v>
      </c>
      <c r="AM2617" t="s">
        <v>52</v>
      </c>
      <c r="AN2617" t="s">
        <v>53</v>
      </c>
    </row>
    <row r="2618" spans="1:40">
      <c r="A2618" t="s">
        <v>8081</v>
      </c>
      <c r="B2618" t="s">
        <v>3001</v>
      </c>
      <c r="C2618" t="s">
        <v>8645</v>
      </c>
      <c r="D2618" t="s">
        <v>8705</v>
      </c>
      <c r="E2618" t="s">
        <v>8706</v>
      </c>
      <c r="F2618" t="s">
        <v>95</v>
      </c>
      <c r="G2618" t="str">
        <f>HYPERLINK("https://411mania.com/wrestling/411s-live-wwe-stomping-grounds-coverage/#comment-4513652954")</f>
        <v>https://411mania.com/wrestling/411s-live-wwe-stomping-grounds-coverage/#comment-4513652954</v>
      </c>
      <c r="H2618" t="s">
        <v>46</v>
      </c>
      <c r="I2618" t="s">
        <v>8707</v>
      </c>
      <c r="J2618" t="str">
        <f>HYPERLINK("https://disqus.com/by/dave_twigg/")</f>
        <v>https://disqus.com/by/dave_twigg/</v>
      </c>
      <c r="K2618">
        <v>0</v>
      </c>
      <c r="N2618" t="s">
        <v>8708</v>
      </c>
      <c r="O2618" t="s">
        <v>8708</v>
      </c>
      <c r="P2618" t="str">
        <f>HYPERLINK("https://disqus.com/home/forum/411mania/")</f>
        <v>https://disqus.com/home/forum/411mania/</v>
      </c>
      <c r="R2618" t="s">
        <v>50</v>
      </c>
      <c r="W2618">
        <v>0</v>
      </c>
      <c r="X2618">
        <v>0</v>
      </c>
      <c r="AM2618" t="s">
        <v>52</v>
      </c>
      <c r="AN2618" t="s">
        <v>53</v>
      </c>
    </row>
    <row r="2619" spans="1:40">
      <c r="A2619" t="s">
        <v>8081</v>
      </c>
      <c r="B2619" t="s">
        <v>3019</v>
      </c>
      <c r="C2619" t="s">
        <v>7105</v>
      </c>
      <c r="D2619" t="s">
        <v>52</v>
      </c>
      <c r="E2619" t="s">
        <v>8709</v>
      </c>
      <c r="F2619" t="s">
        <v>45</v>
      </c>
      <c r="G2619" t="str">
        <f>HYPERLINK("https://www.facebook.com/1216836331697426/posts/2233673440013705")</f>
        <v>https://www.facebook.com/1216836331697426/posts/2233673440013705</v>
      </c>
      <c r="H2619" t="s">
        <v>46</v>
      </c>
      <c r="I2619" t="s">
        <v>8710</v>
      </c>
      <c r="J2619" t="str">
        <f>HYPERLINK("https://www.facebook.com/1216836331697426")</f>
        <v>https://www.facebook.com/1216836331697426</v>
      </c>
      <c r="K2619">
        <v>4039</v>
      </c>
      <c r="L2619" t="s">
        <v>651</v>
      </c>
      <c r="N2619" t="s">
        <v>1792</v>
      </c>
      <c r="O2619" t="s">
        <v>8710</v>
      </c>
      <c r="P2619" t="str">
        <f>HYPERLINK("https://www.facebook.com/1216836331697426")</f>
        <v>https://www.facebook.com/1216836331697426</v>
      </c>
      <c r="Q2619">
        <v>4039</v>
      </c>
      <c r="R2619" t="s">
        <v>60</v>
      </c>
      <c r="W2619">
        <v>11</v>
      </c>
      <c r="X2619">
        <v>3</v>
      </c>
      <c r="Y2619">
        <v>0</v>
      </c>
      <c r="Z2619">
        <v>8</v>
      </c>
      <c r="AA2619">
        <v>0</v>
      </c>
      <c r="AB2619">
        <v>0</v>
      </c>
      <c r="AC2619">
        <v>0</v>
      </c>
      <c r="AE2619">
        <v>0</v>
      </c>
      <c r="AF2619">
        <v>4</v>
      </c>
      <c r="AI2619" t="s">
        <v>52</v>
      </c>
      <c r="AJ2619" t="s">
        <v>52</v>
      </c>
      <c r="AK2619" t="s">
        <v>8711</v>
      </c>
      <c r="AL2619" t="str">
        <f>HYPERLINK("https://scontent.xx.fbcdn.net/v/t15.5256-10/62441567_421889298399877_3547254970560544768_n.jpg?_nc_cat=1&amp;_nc_oc=AQnU0ChmUa3xyYC7YmaZvmiYM0nECy6IZMj1WZZlLo5m7Mt3MWvi8vORZs4pYvfdRkE&amp;_nc_ht=scontent.xx&amp;oh=fe7f33c01bfa08629516a71502375513&amp;oe=5D804314")</f>
        <v>https://scontent.xx.fbcdn.net/v/t15.5256-10/62441567_421889298399877_3547254970560544768_n.jpg?_nc_cat=1&amp;_nc_oc=AQnU0ChmUa3xyYC7YmaZvmiYM0nECy6IZMj1WZZlLo5m7Mt3MWvi8vORZs4pYvfdRkE&amp;_nc_ht=scontent.xx&amp;oh=fe7f33c01bfa08629516a71502375513&amp;oe=5D804314</v>
      </c>
      <c r="AM2619" t="s">
        <v>52</v>
      </c>
      <c r="AN2619" t="s">
        <v>53</v>
      </c>
    </row>
    <row r="2620" spans="1:40">
      <c r="A2620" t="s">
        <v>8081</v>
      </c>
      <c r="B2620" t="s">
        <v>3019</v>
      </c>
      <c r="C2620" t="s">
        <v>8712</v>
      </c>
      <c r="D2620" t="s">
        <v>8219</v>
      </c>
      <c r="E2620" t="s">
        <v>8713</v>
      </c>
      <c r="F2620" t="s">
        <v>45</v>
      </c>
      <c r="G2620" t="str">
        <f>HYPERLINK("https://www.reddit.com/r/CasualUK/comments/c499kc/right_oiks_sick_of_small_crumbly_supermarket/?sort=new#thing_t1_ervqfy2")</f>
        <v>https://www.reddit.com/r/CasualUK/comments/c499kc/right_oiks_sick_of_small_crumbly_supermarket/?sort=new#thing_t1_ervqfy2</v>
      </c>
      <c r="H2620" t="s">
        <v>215</v>
      </c>
      <c r="I2620" t="s">
        <v>8714</v>
      </c>
      <c r="J2620" t="str">
        <f>HYPERLINK("https://www.reddit.com/r/CasualUK/comments/c499kc/right_oiks_sick_of_small_crumbly_supermarket/?sort=new#thing_t1_ervqfy2")</f>
        <v>https://www.reddit.com/r/CasualUK/comments/c499kc/right_oiks_sick_of_small_crumbly_supermarket/?sort=new#thing_t1_ervqfy2</v>
      </c>
      <c r="N2620" t="s">
        <v>545</v>
      </c>
      <c r="O2620" t="s">
        <v>8222</v>
      </c>
      <c r="P2620" t="str">
        <f>HYPERLINK("https://www.reddit.com/r/CasualUK/")</f>
        <v>https://www.reddit.com/r/CasualUK/</v>
      </c>
      <c r="R2620" t="s">
        <v>516</v>
      </c>
      <c r="S2620" t="s">
        <v>51</v>
      </c>
      <c r="AM2620" t="s">
        <v>52</v>
      </c>
      <c r="AN2620" t="s">
        <v>53</v>
      </c>
    </row>
    <row r="2621" spans="1:40">
      <c r="A2621" t="s">
        <v>8081</v>
      </c>
      <c r="B2621" t="s">
        <v>8715</v>
      </c>
      <c r="C2621" t="s">
        <v>8716</v>
      </c>
      <c r="D2621" t="s">
        <v>52</v>
      </c>
      <c r="E2621" t="s">
        <v>8717</v>
      </c>
      <c r="F2621" t="s">
        <v>71</v>
      </c>
      <c r="G2621" t="str">
        <f>HYPERLINK("https://twitter.com/3556842973/status/1142970525238456320")</f>
        <v>https://twitter.com/3556842973/status/1142970525238456320</v>
      </c>
      <c r="H2621" t="s">
        <v>46</v>
      </c>
      <c r="I2621" t="s">
        <v>8718</v>
      </c>
      <c r="J2621" t="str">
        <f>HYPERLINK("http://twitter.com/heaphanie")</f>
        <v>http://twitter.com/heaphanie</v>
      </c>
      <c r="K2621">
        <v>511</v>
      </c>
      <c r="N2621" t="s">
        <v>65</v>
      </c>
      <c r="R2621" t="s">
        <v>60</v>
      </c>
      <c r="S2621" t="s">
        <v>51</v>
      </c>
      <c r="T2621" t="s">
        <v>173</v>
      </c>
      <c r="U2621" t="s">
        <v>8719</v>
      </c>
      <c r="W2621">
        <v>0</v>
      </c>
      <c r="X2621">
        <v>0</v>
      </c>
      <c r="AE2621">
        <v>0</v>
      </c>
      <c r="AF2621">
        <v>0</v>
      </c>
      <c r="AI2621" t="s">
        <v>108</v>
      </c>
      <c r="AJ2621" t="s">
        <v>52</v>
      </c>
      <c r="AK2621" t="s">
        <v>52</v>
      </c>
      <c r="AL2621" t="str">
        <f>HYPERLINK("https://pbs.twimg.com/tweet_video_thumb/D9hvNNzXUAATAS3.jpg")</f>
        <v>https://pbs.twimg.com/tweet_video_thumb/D9hvNNzXUAATAS3.jpg</v>
      </c>
      <c r="AM2621" t="s">
        <v>52</v>
      </c>
      <c r="AN2621" t="s">
        <v>53</v>
      </c>
    </row>
    <row r="2622" spans="1:40">
      <c r="A2622" t="s">
        <v>8081</v>
      </c>
      <c r="B2622" t="s">
        <v>8715</v>
      </c>
      <c r="C2622" t="s">
        <v>8645</v>
      </c>
      <c r="D2622" t="s">
        <v>8705</v>
      </c>
      <c r="E2622" t="s">
        <v>8720</v>
      </c>
      <c r="F2622" t="s">
        <v>95</v>
      </c>
      <c r="G2622" t="str">
        <f>HYPERLINK("https://411mania.com/wrestling/411s-live-wwe-stomping-grounds-coverage/#comment-4513650039")</f>
        <v>https://411mania.com/wrestling/411s-live-wwe-stomping-grounds-coverage/#comment-4513650039</v>
      </c>
      <c r="H2622" t="s">
        <v>46</v>
      </c>
      <c r="I2622" t="s">
        <v>8721</v>
      </c>
      <c r="J2622" t="str">
        <f>HYPERLINK("https://disqus.com/by/willc1225/")</f>
        <v>https://disqus.com/by/willc1225/</v>
      </c>
      <c r="K2622">
        <v>35</v>
      </c>
      <c r="N2622" t="s">
        <v>8708</v>
      </c>
      <c r="O2622" t="s">
        <v>8708</v>
      </c>
      <c r="P2622" t="str">
        <f>HYPERLINK("https://disqus.com/home/forum/411mania/")</f>
        <v>https://disqus.com/home/forum/411mania/</v>
      </c>
      <c r="R2622" t="s">
        <v>50</v>
      </c>
      <c r="W2622">
        <v>0</v>
      </c>
      <c r="X2622">
        <v>0</v>
      </c>
      <c r="AM2622" t="s">
        <v>52</v>
      </c>
      <c r="AN2622" t="s">
        <v>53</v>
      </c>
    </row>
    <row r="2623" spans="1:40">
      <c r="A2623" t="s">
        <v>8081</v>
      </c>
      <c r="B2623" t="s">
        <v>3026</v>
      </c>
      <c r="C2623" t="s">
        <v>6918</v>
      </c>
      <c r="D2623" t="s">
        <v>8722</v>
      </c>
      <c r="E2623" t="s">
        <v>8723</v>
      </c>
      <c r="F2623" t="s">
        <v>45</v>
      </c>
      <c r="G2623" t="str">
        <f>HYPERLINK("https://forums.battlefield.com/en-us/discussion/188825/which-one-is-it-i-cant-see-anyone-in-bf-v-or-spotting-was-easy-mode-glad-it-is-gone/p10#Comment_1562308")</f>
        <v>https://forums.battlefield.com/en-us/discussion/188825/which-one-is-it-i-cant-see-anyone-in-bf-v-or-spotting-was-easy-mode-glad-it-is-gone/p10#Comment_1562308</v>
      </c>
      <c r="H2623" t="s">
        <v>46</v>
      </c>
      <c r="I2623" t="s">
        <v>8724</v>
      </c>
      <c r="J2623" t="str">
        <f>HYPERLINK("https://forums.battlefield.com/en-us/discussion/188825/which-one-is-it-i-cant-see-anyone-in-bf-v-or-spotting-was-easy-mode-glad-it-is-gone/p10#Comment_1562308")</f>
        <v>https://forums.battlefield.com/en-us/discussion/188825/which-one-is-it-i-cant-see-anyone-in-bf-v-or-spotting-was-easy-mode-glad-it-is-gone/p10#Comment_1562308</v>
      </c>
      <c r="N2623" t="s">
        <v>3237</v>
      </c>
      <c r="O2623" t="s">
        <v>3238</v>
      </c>
      <c r="P2623" t="str">
        <f>HYPERLINK("https://forums.battlefield.com/en-us/categories/battlefield-v-general-discussion")</f>
        <v>https://forums.battlefield.com/en-us/categories/battlefield-v-general-discussion</v>
      </c>
      <c r="R2623" t="s">
        <v>516</v>
      </c>
      <c r="S2623" t="s">
        <v>51</v>
      </c>
      <c r="AM2623" t="s">
        <v>52</v>
      </c>
      <c r="AN2623" t="s">
        <v>53</v>
      </c>
    </row>
    <row r="2624" spans="1:40">
      <c r="A2624" t="s">
        <v>8081</v>
      </c>
      <c r="B2624" t="s">
        <v>8725</v>
      </c>
      <c r="C2624" t="s">
        <v>8694</v>
      </c>
      <c r="D2624" t="s">
        <v>52</v>
      </c>
      <c r="E2624" t="s">
        <v>8726</v>
      </c>
      <c r="F2624" t="s">
        <v>45</v>
      </c>
      <c r="G2624" t="str">
        <f>HYPERLINK("https://twitter.com/953956681280520192/status/1142969977781313536")</f>
        <v>https://twitter.com/953956681280520192/status/1142969977781313536</v>
      </c>
      <c r="H2624" t="s">
        <v>46</v>
      </c>
      <c r="I2624" t="s">
        <v>8727</v>
      </c>
      <c r="J2624" t="str">
        <f>HYPERLINK("http://twitter.com/iwakeyu")</f>
        <v>http://twitter.com/iwakeyu</v>
      </c>
      <c r="K2624">
        <v>53</v>
      </c>
      <c r="N2624" t="s">
        <v>65</v>
      </c>
      <c r="R2624" t="s">
        <v>60</v>
      </c>
      <c r="S2624" t="s">
        <v>432</v>
      </c>
      <c r="T2624" t="s">
        <v>433</v>
      </c>
      <c r="W2624">
        <v>2</v>
      </c>
      <c r="X2624">
        <v>2</v>
      </c>
      <c r="AE2624">
        <v>0</v>
      </c>
      <c r="AF2624">
        <v>0</v>
      </c>
      <c r="AI2624" t="s">
        <v>108</v>
      </c>
      <c r="AJ2624" t="s">
        <v>321</v>
      </c>
      <c r="AK2624" t="s">
        <v>52</v>
      </c>
      <c r="AL2624" t="str">
        <f>HYPERLINK("https://pbs.twimg.com/media/D9ylIiAWwAAVwj6.jpg")</f>
        <v>https://pbs.twimg.com/media/D9ylIiAWwAAVwj6.jpg</v>
      </c>
      <c r="AM2624" t="s">
        <v>52</v>
      </c>
      <c r="AN2624" t="s">
        <v>53</v>
      </c>
    </row>
    <row r="2625" spans="1:40">
      <c r="A2625" t="s">
        <v>8081</v>
      </c>
      <c r="B2625" t="s">
        <v>8728</v>
      </c>
      <c r="C2625" t="s">
        <v>8729</v>
      </c>
      <c r="D2625" t="s">
        <v>52</v>
      </c>
      <c r="E2625" t="s">
        <v>8730</v>
      </c>
      <c r="F2625" t="s">
        <v>45</v>
      </c>
      <c r="G2625" t="str">
        <f>HYPERLINK("https://www.instagram.com/p/BzEwWydH6qP")</f>
        <v>https://www.instagram.com/p/BzEwWydH6qP</v>
      </c>
      <c r="H2625" t="s">
        <v>46</v>
      </c>
      <c r="I2625" t="s">
        <v>8731</v>
      </c>
      <c r="J2625" t="str">
        <f>HYPERLINK("http://instagram.com/doughfitchick")</f>
        <v>http://instagram.com/doughfitchick</v>
      </c>
      <c r="K2625">
        <v>165</v>
      </c>
      <c r="N2625" t="s">
        <v>59</v>
      </c>
      <c r="O2625" t="s">
        <v>8731</v>
      </c>
      <c r="P2625" t="str">
        <f>HYPERLINK("http://instagram.com/doughfitchick")</f>
        <v>http://instagram.com/doughfitchick</v>
      </c>
      <c r="Q2625">
        <v>165</v>
      </c>
      <c r="R2625" t="s">
        <v>60</v>
      </c>
      <c r="W2625">
        <v>37</v>
      </c>
      <c r="X2625">
        <v>37</v>
      </c>
      <c r="AE2625">
        <v>5</v>
      </c>
      <c r="AI2625" t="s">
        <v>52</v>
      </c>
      <c r="AJ2625" t="s">
        <v>1182</v>
      </c>
      <c r="AK2625" t="s">
        <v>52</v>
      </c>
      <c r="AL2625" t="str">
        <f>HYPERLINK("https://www.instagram.com/p/BzEwWydH6qP/media/?size=l")</f>
        <v>https://www.instagram.com/p/BzEwWydH6qP/media/?size=l</v>
      </c>
      <c r="AM2625" t="s">
        <v>52</v>
      </c>
      <c r="AN2625" t="s">
        <v>53</v>
      </c>
    </row>
    <row r="2626" spans="1:40">
      <c r="A2626" t="s">
        <v>8081</v>
      </c>
      <c r="B2626" t="s">
        <v>3029</v>
      </c>
      <c r="C2626" t="s">
        <v>8732</v>
      </c>
      <c r="D2626" t="s">
        <v>52</v>
      </c>
      <c r="E2626" t="s">
        <v>130</v>
      </c>
      <c r="F2626" t="s">
        <v>131</v>
      </c>
      <c r="G2626" t="str">
        <f>HYPERLINK("https://twitter.com/882546483609964544/status/1142969532933431296")</f>
        <v>https://twitter.com/882546483609964544/status/1142969532933431296</v>
      </c>
      <c r="H2626" t="s">
        <v>46</v>
      </c>
      <c r="I2626" t="s">
        <v>8733</v>
      </c>
      <c r="J2626" t="str">
        <f>HYPERLINK("http://twitter.com/ClaireHamil123")</f>
        <v>http://twitter.com/ClaireHamil123</v>
      </c>
      <c r="K2626">
        <v>293</v>
      </c>
      <c r="L2626" t="s">
        <v>58</v>
      </c>
      <c r="N2626" t="s">
        <v>65</v>
      </c>
      <c r="R2626" t="s">
        <v>60</v>
      </c>
      <c r="W2626">
        <v>0</v>
      </c>
      <c r="X2626">
        <v>0</v>
      </c>
      <c r="AE2626">
        <v>0</v>
      </c>
      <c r="AI2626" t="s">
        <v>108</v>
      </c>
      <c r="AJ2626" t="s">
        <v>52</v>
      </c>
      <c r="AK2626" t="s">
        <v>52</v>
      </c>
      <c r="AL2626" t="str">
        <f>HYPERLINK("https://pbs.twimg.com/media/D9XTkLWW4AAOYnJ.jpg")</f>
        <v>https://pbs.twimg.com/media/D9XTkLWW4AAOYnJ.jpg</v>
      </c>
      <c r="AM2626" t="s">
        <v>52</v>
      </c>
      <c r="AN2626" t="s">
        <v>53</v>
      </c>
    </row>
    <row r="2627" spans="1:40">
      <c r="A2627" t="s">
        <v>8081</v>
      </c>
      <c r="B2627" t="s">
        <v>3032</v>
      </c>
      <c r="C2627" t="s">
        <v>8734</v>
      </c>
      <c r="D2627" t="s">
        <v>52</v>
      </c>
      <c r="E2627" t="s">
        <v>8735</v>
      </c>
      <c r="F2627" t="s">
        <v>45</v>
      </c>
      <c r="G2627" t="str">
        <f>HYPERLINK("https://twitter.com/722759529604100096/status/1142969327605420032")</f>
        <v>https://twitter.com/722759529604100096/status/1142969327605420032</v>
      </c>
      <c r="H2627" t="s">
        <v>46</v>
      </c>
      <c r="I2627" t="s">
        <v>8736</v>
      </c>
      <c r="J2627" t="str">
        <f>HYPERLINK("http://twitter.com/ttainamaia")</f>
        <v>http://twitter.com/ttainamaia</v>
      </c>
      <c r="K2627">
        <v>4221</v>
      </c>
      <c r="N2627" t="s">
        <v>65</v>
      </c>
      <c r="R2627" t="s">
        <v>60</v>
      </c>
      <c r="S2627" t="s">
        <v>315</v>
      </c>
      <c r="T2627" t="s">
        <v>8737</v>
      </c>
      <c r="W2627">
        <v>1</v>
      </c>
      <c r="X2627">
        <v>1</v>
      </c>
      <c r="AE2627">
        <v>0</v>
      </c>
      <c r="AF2627">
        <v>1</v>
      </c>
      <c r="AM2627" t="s">
        <v>52</v>
      </c>
      <c r="AN2627" t="s">
        <v>53</v>
      </c>
    </row>
    <row r="2628" spans="1:40">
      <c r="A2628" t="s">
        <v>8081</v>
      </c>
      <c r="B2628" t="s">
        <v>3032</v>
      </c>
      <c r="C2628" t="s">
        <v>8734</v>
      </c>
      <c r="D2628" t="s">
        <v>52</v>
      </c>
      <c r="E2628" t="s">
        <v>1194</v>
      </c>
      <c r="F2628" t="s">
        <v>131</v>
      </c>
      <c r="G2628" t="str">
        <f>HYPERLINK("https://twitter.com/1020464501790068739/status/1142969281015111682")</f>
        <v>https://twitter.com/1020464501790068739/status/1142969281015111682</v>
      </c>
      <c r="H2628" t="s">
        <v>46</v>
      </c>
      <c r="I2628" t="s">
        <v>8738</v>
      </c>
      <c r="J2628" t="str">
        <f>HYPERLINK("http://twitter.com/joeeleonardd")</f>
        <v>http://twitter.com/joeeleonardd</v>
      </c>
      <c r="K2628">
        <v>207</v>
      </c>
      <c r="N2628" t="s">
        <v>65</v>
      </c>
      <c r="R2628" t="s">
        <v>60</v>
      </c>
      <c r="W2628">
        <v>0</v>
      </c>
      <c r="X2628">
        <v>0</v>
      </c>
      <c r="AE2628">
        <v>0</v>
      </c>
      <c r="AI2628" t="s">
        <v>52</v>
      </c>
      <c r="AJ2628" t="s">
        <v>1196</v>
      </c>
      <c r="AK2628" t="s">
        <v>52</v>
      </c>
      <c r="AL2628" t="str">
        <f>HYPERLINK("https://pbs.twimg.com/media/D9xgk2YXkAAd2ql.jpg")</f>
        <v>https://pbs.twimg.com/media/D9xgk2YXkAAd2ql.jpg</v>
      </c>
      <c r="AM2628" t="s">
        <v>52</v>
      </c>
      <c r="AN2628" t="s">
        <v>53</v>
      </c>
    </row>
    <row r="2629" spans="1:40">
      <c r="A2629" t="s">
        <v>8081</v>
      </c>
      <c r="B2629" t="s">
        <v>3032</v>
      </c>
      <c r="C2629" t="s">
        <v>8739</v>
      </c>
      <c r="D2629" t="s">
        <v>52</v>
      </c>
      <c r="E2629" t="s">
        <v>8740</v>
      </c>
      <c r="F2629" t="s">
        <v>71</v>
      </c>
      <c r="G2629" t="str">
        <f>HYPERLINK("https://twitter.com/1009245850537791488/status/1142969271494029312")</f>
        <v>https://twitter.com/1009245850537791488/status/1142969271494029312</v>
      </c>
      <c r="H2629" t="s">
        <v>46</v>
      </c>
      <c r="I2629" t="s">
        <v>8741</v>
      </c>
      <c r="J2629" t="str">
        <f>HYPERLINK("http://twitter.com/LuVedovatto")</f>
        <v>http://twitter.com/LuVedovatto</v>
      </c>
      <c r="K2629">
        <v>53</v>
      </c>
      <c r="N2629" t="s">
        <v>65</v>
      </c>
      <c r="R2629" t="s">
        <v>60</v>
      </c>
      <c r="W2629">
        <v>0</v>
      </c>
      <c r="X2629">
        <v>0</v>
      </c>
      <c r="AE2629">
        <v>0</v>
      </c>
      <c r="AF2629">
        <v>0</v>
      </c>
      <c r="AI2629" t="s">
        <v>52</v>
      </c>
      <c r="AJ2629" t="s">
        <v>1196</v>
      </c>
      <c r="AK2629" t="s">
        <v>52</v>
      </c>
      <c r="AL2629" t="str">
        <f>HYPERLINK("https://pbs.twimg.com/media/D9xgk2YXkAAd2ql.jpg")</f>
        <v>https://pbs.twimg.com/media/D9xgk2YXkAAd2ql.jpg</v>
      </c>
      <c r="AM2629" t="s">
        <v>52</v>
      </c>
      <c r="AN2629" t="s">
        <v>53</v>
      </c>
    </row>
    <row r="2630" spans="1:40">
      <c r="A2630" t="s">
        <v>8081</v>
      </c>
      <c r="B2630" t="s">
        <v>3032</v>
      </c>
      <c r="C2630" t="s">
        <v>8739</v>
      </c>
      <c r="D2630" t="s">
        <v>52</v>
      </c>
      <c r="E2630" t="s">
        <v>8742</v>
      </c>
      <c r="F2630" t="s">
        <v>95</v>
      </c>
      <c r="G2630" t="str">
        <f>HYPERLINK("https://twitter.com/259587634/status/1142969263579435008")</f>
        <v>https://twitter.com/259587634/status/1142969263579435008</v>
      </c>
      <c r="H2630" t="s">
        <v>46</v>
      </c>
      <c r="I2630" t="s">
        <v>8743</v>
      </c>
      <c r="J2630" t="str">
        <f>HYPERLINK("http://twitter.com/SebRules1")</f>
        <v>http://twitter.com/SebRules1</v>
      </c>
      <c r="K2630">
        <v>5893</v>
      </c>
      <c r="L2630" t="s">
        <v>48</v>
      </c>
      <c r="N2630" t="s">
        <v>65</v>
      </c>
      <c r="R2630" t="s">
        <v>60</v>
      </c>
      <c r="S2630" t="s">
        <v>51</v>
      </c>
      <c r="T2630" t="s">
        <v>678</v>
      </c>
      <c r="U2630" t="s">
        <v>2798</v>
      </c>
      <c r="W2630">
        <v>0</v>
      </c>
      <c r="X2630">
        <v>0</v>
      </c>
      <c r="AE2630">
        <v>0</v>
      </c>
      <c r="AF2630">
        <v>0</v>
      </c>
      <c r="AM2630" t="s">
        <v>52</v>
      </c>
      <c r="AN2630" t="s">
        <v>53</v>
      </c>
    </row>
    <row r="2631" spans="1:40">
      <c r="A2631" t="s">
        <v>8081</v>
      </c>
      <c r="B2631" t="s">
        <v>3032</v>
      </c>
      <c r="C2631" t="s">
        <v>8739</v>
      </c>
      <c r="D2631" t="s">
        <v>52</v>
      </c>
      <c r="E2631" t="s">
        <v>1194</v>
      </c>
      <c r="F2631" t="s">
        <v>131</v>
      </c>
      <c r="G2631" t="str">
        <f>HYPERLINK("https://twitter.com/880534996305432577/status/1142969243996057600")</f>
        <v>https://twitter.com/880534996305432577/status/1142969243996057600</v>
      </c>
      <c r="H2631" t="s">
        <v>46</v>
      </c>
      <c r="I2631" t="s">
        <v>8744</v>
      </c>
      <c r="J2631" t="str">
        <f>HYPERLINK("http://twitter.com/overallpanda7")</f>
        <v>http://twitter.com/overallpanda7</v>
      </c>
      <c r="K2631">
        <v>24</v>
      </c>
      <c r="N2631" t="s">
        <v>65</v>
      </c>
      <c r="R2631" t="s">
        <v>60</v>
      </c>
      <c r="S2631" t="s">
        <v>189</v>
      </c>
      <c r="U2631" t="s">
        <v>190</v>
      </c>
      <c r="W2631">
        <v>0</v>
      </c>
      <c r="X2631">
        <v>0</v>
      </c>
      <c r="AE2631">
        <v>0</v>
      </c>
      <c r="AI2631" t="s">
        <v>52</v>
      </c>
      <c r="AJ2631" t="s">
        <v>1196</v>
      </c>
      <c r="AK2631" t="s">
        <v>52</v>
      </c>
      <c r="AL2631" t="str">
        <f>HYPERLINK("https://pbs.twimg.com/media/D9xgk2YXkAAd2ql.jpg")</f>
        <v>https://pbs.twimg.com/media/D9xgk2YXkAAd2ql.jpg</v>
      </c>
      <c r="AM2631" t="s">
        <v>52</v>
      </c>
      <c r="AN2631" t="s">
        <v>53</v>
      </c>
    </row>
    <row r="2632" spans="1:40">
      <c r="A2632" t="s">
        <v>8081</v>
      </c>
      <c r="B2632" t="s">
        <v>3032</v>
      </c>
      <c r="C2632" t="s">
        <v>8739</v>
      </c>
      <c r="D2632" t="s">
        <v>52</v>
      </c>
      <c r="E2632" t="s">
        <v>8745</v>
      </c>
      <c r="F2632" t="s">
        <v>95</v>
      </c>
      <c r="G2632" t="str">
        <f>HYPERLINK("https://twitter.com/2651423768/status/1142969240452063232")</f>
        <v>https://twitter.com/2651423768/status/1142969240452063232</v>
      </c>
      <c r="H2632" t="s">
        <v>215</v>
      </c>
      <c r="I2632" t="s">
        <v>8746</v>
      </c>
      <c r="J2632" t="str">
        <f>HYPERLINK("http://twitter.com/Oblevee")</f>
        <v>http://twitter.com/Oblevee</v>
      </c>
      <c r="K2632">
        <v>468</v>
      </c>
      <c r="N2632" t="s">
        <v>65</v>
      </c>
      <c r="R2632" t="s">
        <v>60</v>
      </c>
      <c r="S2632" t="s">
        <v>51</v>
      </c>
      <c r="T2632" t="s">
        <v>84</v>
      </c>
      <c r="U2632" t="s">
        <v>85</v>
      </c>
      <c r="W2632">
        <v>0</v>
      </c>
      <c r="X2632">
        <v>0</v>
      </c>
      <c r="AE2632">
        <v>1</v>
      </c>
      <c r="AF2632">
        <v>0</v>
      </c>
      <c r="AM2632" t="s">
        <v>52</v>
      </c>
      <c r="AN2632" t="s">
        <v>53</v>
      </c>
    </row>
    <row r="2633" spans="1:40">
      <c r="A2633" t="s">
        <v>8081</v>
      </c>
      <c r="B2633" t="s">
        <v>3032</v>
      </c>
      <c r="C2633" t="s">
        <v>8747</v>
      </c>
      <c r="D2633" t="s">
        <v>52</v>
      </c>
      <c r="E2633" t="s">
        <v>8748</v>
      </c>
      <c r="F2633" t="s">
        <v>45</v>
      </c>
      <c r="G2633" t="str">
        <f>HYPERLINK("https://twitter.com/1954722084/status/1142969219182682115")</f>
        <v>https://twitter.com/1954722084/status/1142969219182682115</v>
      </c>
      <c r="H2633" t="s">
        <v>46</v>
      </c>
      <c r="I2633" t="s">
        <v>8594</v>
      </c>
      <c r="J2633" t="str">
        <f>HYPERLINK("http://twitter.com/LuchiiRamirezJB")</f>
        <v>http://twitter.com/LuchiiRamirezJB</v>
      </c>
      <c r="K2633">
        <v>1394</v>
      </c>
      <c r="N2633" t="s">
        <v>65</v>
      </c>
      <c r="R2633" t="s">
        <v>60</v>
      </c>
      <c r="S2633" t="s">
        <v>701</v>
      </c>
      <c r="T2633" t="s">
        <v>2321</v>
      </c>
      <c r="U2633" t="s">
        <v>2321</v>
      </c>
      <c r="W2633">
        <v>0</v>
      </c>
      <c r="X2633">
        <v>0</v>
      </c>
      <c r="AE2633">
        <v>0</v>
      </c>
      <c r="AF2633">
        <v>1</v>
      </c>
      <c r="AM2633" t="s">
        <v>52</v>
      </c>
      <c r="AN2633" t="s">
        <v>53</v>
      </c>
    </row>
    <row r="2634" spans="1:40">
      <c r="A2634" t="s">
        <v>8081</v>
      </c>
      <c r="B2634" t="s">
        <v>3032</v>
      </c>
      <c r="C2634" t="s">
        <v>8716</v>
      </c>
      <c r="D2634" t="s">
        <v>52</v>
      </c>
      <c r="E2634" t="s">
        <v>8749</v>
      </c>
      <c r="F2634" t="s">
        <v>45</v>
      </c>
      <c r="G2634" t="str">
        <f>HYPERLINK("https://www.instagram.com/p/BzEwEXMAwKf")</f>
        <v>https://www.instagram.com/p/BzEwEXMAwKf</v>
      </c>
      <c r="H2634" t="s">
        <v>215</v>
      </c>
      <c r="I2634" t="s">
        <v>8750</v>
      </c>
      <c r="J2634" t="str">
        <f>HYPERLINK("http://instagram.com/hasani5150fortoyz")</f>
        <v>http://instagram.com/hasani5150fortoyz</v>
      </c>
      <c r="K2634">
        <v>548</v>
      </c>
      <c r="N2634" t="s">
        <v>59</v>
      </c>
      <c r="O2634" t="s">
        <v>8750</v>
      </c>
      <c r="P2634" t="str">
        <f>HYPERLINK("http://instagram.com/hasani5150fortoyz")</f>
        <v>http://instagram.com/hasani5150fortoyz</v>
      </c>
      <c r="Q2634">
        <v>548</v>
      </c>
      <c r="R2634" t="s">
        <v>60</v>
      </c>
      <c r="W2634">
        <v>8</v>
      </c>
      <c r="X2634">
        <v>8</v>
      </c>
      <c r="AE2634">
        <v>0</v>
      </c>
      <c r="AI2634" t="s">
        <v>52</v>
      </c>
      <c r="AJ2634" t="s">
        <v>5889</v>
      </c>
      <c r="AK2634" t="s">
        <v>52</v>
      </c>
      <c r="AL2634" t="str">
        <f>HYPERLINK("https://www.instagram.com/p/BzEwEXMAwKf/media/?size=l")</f>
        <v>https://www.instagram.com/p/BzEwEXMAwKf/media/?size=l</v>
      </c>
      <c r="AM2634" t="s">
        <v>52</v>
      </c>
      <c r="AN2634" t="s">
        <v>53</v>
      </c>
    </row>
    <row r="2635" spans="1:40">
      <c r="A2635" t="s">
        <v>8081</v>
      </c>
      <c r="B2635" t="s">
        <v>3032</v>
      </c>
      <c r="C2635" t="s">
        <v>8732</v>
      </c>
      <c r="D2635" t="s">
        <v>52</v>
      </c>
      <c r="E2635" t="s">
        <v>8751</v>
      </c>
      <c r="F2635" t="s">
        <v>45</v>
      </c>
      <c r="G2635" t="str">
        <f>HYPERLINK("https://twitter.com/1014435080/status/1142969152036098048")</f>
        <v>https://twitter.com/1014435080/status/1142969152036098048</v>
      </c>
      <c r="H2635" t="s">
        <v>46</v>
      </c>
      <c r="I2635" t="s">
        <v>8752</v>
      </c>
      <c r="J2635" t="str">
        <f>HYPERLINK("http://twitter.com/gonzapogliani")</f>
        <v>http://twitter.com/gonzapogliani</v>
      </c>
      <c r="K2635">
        <v>1062</v>
      </c>
      <c r="N2635" t="s">
        <v>65</v>
      </c>
      <c r="R2635" t="s">
        <v>60</v>
      </c>
      <c r="S2635" t="s">
        <v>701</v>
      </c>
      <c r="T2635" t="s">
        <v>8753</v>
      </c>
      <c r="U2635" t="s">
        <v>8754</v>
      </c>
      <c r="W2635">
        <v>1</v>
      </c>
      <c r="X2635">
        <v>1</v>
      </c>
      <c r="AE2635">
        <v>0</v>
      </c>
      <c r="AF2635">
        <v>2</v>
      </c>
      <c r="AM2635" t="s">
        <v>52</v>
      </c>
      <c r="AN2635" t="s">
        <v>53</v>
      </c>
    </row>
    <row r="2636" spans="1:40">
      <c r="A2636" t="s">
        <v>8081</v>
      </c>
      <c r="B2636" t="s">
        <v>3032</v>
      </c>
      <c r="C2636" t="s">
        <v>8732</v>
      </c>
      <c r="D2636" t="s">
        <v>52</v>
      </c>
      <c r="E2636" t="s">
        <v>1194</v>
      </c>
      <c r="F2636" t="s">
        <v>131</v>
      </c>
      <c r="G2636" t="str">
        <f>HYPERLINK("https://twitter.com/1137097330648391682/status/1142969115478568961")</f>
        <v>https://twitter.com/1137097330648391682/status/1142969115478568961</v>
      </c>
      <c r="H2636" t="s">
        <v>46</v>
      </c>
      <c r="I2636" t="s">
        <v>8755</v>
      </c>
      <c r="J2636" t="str">
        <f>HYPERLINK("http://twitter.com/D3vilSlimy")</f>
        <v>http://twitter.com/D3vilSlimy</v>
      </c>
      <c r="K2636">
        <v>36</v>
      </c>
      <c r="N2636" t="s">
        <v>65</v>
      </c>
      <c r="R2636" t="s">
        <v>60</v>
      </c>
      <c r="W2636">
        <v>0</v>
      </c>
      <c r="X2636">
        <v>0</v>
      </c>
      <c r="AE2636">
        <v>0</v>
      </c>
      <c r="AI2636" t="s">
        <v>52</v>
      </c>
      <c r="AJ2636" t="s">
        <v>1196</v>
      </c>
      <c r="AK2636" t="s">
        <v>52</v>
      </c>
      <c r="AL2636" t="str">
        <f>HYPERLINK("https://pbs.twimg.com/media/D9xgk2YXkAAd2ql.jpg")</f>
        <v>https://pbs.twimg.com/media/D9xgk2YXkAAd2ql.jpg</v>
      </c>
      <c r="AM2636" t="s">
        <v>52</v>
      </c>
      <c r="AN2636" t="s">
        <v>53</v>
      </c>
    </row>
    <row r="2637" spans="1:40">
      <c r="A2637" t="s">
        <v>8081</v>
      </c>
      <c r="B2637" t="s">
        <v>3043</v>
      </c>
      <c r="C2637" t="s">
        <v>8756</v>
      </c>
      <c r="D2637" t="s">
        <v>52</v>
      </c>
      <c r="E2637" t="s">
        <v>1194</v>
      </c>
      <c r="F2637" t="s">
        <v>131</v>
      </c>
      <c r="G2637" t="str">
        <f>HYPERLINK("https://twitter.com/3122715324/status/1142968994372161537")</f>
        <v>https://twitter.com/3122715324/status/1142968994372161537</v>
      </c>
      <c r="H2637" t="s">
        <v>46</v>
      </c>
      <c r="I2637" t="s">
        <v>8757</v>
      </c>
      <c r="J2637" t="str">
        <f>HYPERLINK("http://twitter.com/_paendeox")</f>
        <v>http://twitter.com/_paendeox</v>
      </c>
      <c r="K2637">
        <v>131</v>
      </c>
      <c r="N2637" t="s">
        <v>65</v>
      </c>
      <c r="R2637" t="s">
        <v>60</v>
      </c>
      <c r="W2637">
        <v>0</v>
      </c>
      <c r="X2637">
        <v>0</v>
      </c>
      <c r="AE2637">
        <v>0</v>
      </c>
      <c r="AI2637" t="s">
        <v>52</v>
      </c>
      <c r="AJ2637" t="s">
        <v>1196</v>
      </c>
      <c r="AK2637" t="s">
        <v>52</v>
      </c>
      <c r="AL2637" t="str">
        <f>HYPERLINK("https://pbs.twimg.com/media/D9xgk2YXkAAd2ql.jpg")</f>
        <v>https://pbs.twimg.com/media/D9xgk2YXkAAd2ql.jpg</v>
      </c>
      <c r="AM2637" t="s">
        <v>52</v>
      </c>
      <c r="AN2637" t="s">
        <v>53</v>
      </c>
    </row>
    <row r="2638" spans="1:40">
      <c r="A2638" t="s">
        <v>8081</v>
      </c>
      <c r="B2638" t="s">
        <v>3043</v>
      </c>
      <c r="C2638" t="s">
        <v>8756</v>
      </c>
      <c r="D2638" t="s">
        <v>52</v>
      </c>
      <c r="E2638" t="s">
        <v>8570</v>
      </c>
      <c r="F2638" t="s">
        <v>45</v>
      </c>
      <c r="G2638" t="str">
        <f>HYPERLINK("https://twitter.com/330755075/status/1142968947274342400")</f>
        <v>https://twitter.com/330755075/status/1142968947274342400</v>
      </c>
      <c r="H2638" t="s">
        <v>46</v>
      </c>
      <c r="I2638" t="s">
        <v>8758</v>
      </c>
      <c r="J2638" t="str">
        <f>HYPERLINK("http://twitter.com/tequilaandsnax")</f>
        <v>http://twitter.com/tequilaandsnax</v>
      </c>
      <c r="K2638">
        <v>294</v>
      </c>
      <c r="N2638" t="s">
        <v>65</v>
      </c>
      <c r="R2638" t="s">
        <v>60</v>
      </c>
      <c r="S2638" t="s">
        <v>387</v>
      </c>
      <c r="T2638" t="s">
        <v>2981</v>
      </c>
      <c r="U2638" t="s">
        <v>7015</v>
      </c>
      <c r="W2638">
        <v>4</v>
      </c>
      <c r="X2638">
        <v>4</v>
      </c>
      <c r="AE2638">
        <v>0</v>
      </c>
      <c r="AF2638">
        <v>1</v>
      </c>
      <c r="AI2638" t="s">
        <v>52</v>
      </c>
      <c r="AJ2638" t="s">
        <v>8572</v>
      </c>
      <c r="AK2638" t="s">
        <v>52</v>
      </c>
      <c r="AL2638" t="str">
        <f>HYPERLINK("https://pbs.twimg.com/media/D9ykLZlXYAAXpWD.jpg")</f>
        <v>https://pbs.twimg.com/media/D9ykLZlXYAAXpWD.jpg</v>
      </c>
      <c r="AM2638" t="s">
        <v>52</v>
      </c>
      <c r="AN2638" t="s">
        <v>53</v>
      </c>
    </row>
    <row r="2639" spans="1:40">
      <c r="A2639" t="s">
        <v>8081</v>
      </c>
      <c r="B2639" t="s">
        <v>3043</v>
      </c>
      <c r="C2639" t="s">
        <v>8759</v>
      </c>
      <c r="D2639" t="s">
        <v>52</v>
      </c>
      <c r="E2639" t="s">
        <v>1194</v>
      </c>
      <c r="F2639" t="s">
        <v>131</v>
      </c>
      <c r="G2639" t="str">
        <f>HYPERLINK("https://twitter.com/4851767380/status/1142968871395254275")</f>
        <v>https://twitter.com/4851767380/status/1142968871395254275</v>
      </c>
      <c r="H2639" t="s">
        <v>46</v>
      </c>
      <c r="I2639" t="s">
        <v>8760</v>
      </c>
      <c r="J2639" t="str">
        <f>HYPERLINK("http://twitter.com/sinfulshell")</f>
        <v>http://twitter.com/sinfulshell</v>
      </c>
      <c r="K2639">
        <v>192</v>
      </c>
      <c r="N2639" t="s">
        <v>65</v>
      </c>
      <c r="R2639" t="s">
        <v>60</v>
      </c>
      <c r="W2639">
        <v>0</v>
      </c>
      <c r="X2639">
        <v>0</v>
      </c>
      <c r="AE2639">
        <v>0</v>
      </c>
      <c r="AI2639" t="s">
        <v>52</v>
      </c>
      <c r="AJ2639" t="s">
        <v>1196</v>
      </c>
      <c r="AK2639" t="s">
        <v>52</v>
      </c>
      <c r="AL2639" t="str">
        <f>HYPERLINK("https://pbs.twimg.com/media/D9xgk2YXkAAd2ql.jpg")</f>
        <v>https://pbs.twimg.com/media/D9xgk2YXkAAd2ql.jpg</v>
      </c>
      <c r="AM2639" t="s">
        <v>52</v>
      </c>
      <c r="AN2639" t="s">
        <v>53</v>
      </c>
    </row>
    <row r="2640" spans="1:40">
      <c r="A2640" t="s">
        <v>8081</v>
      </c>
      <c r="B2640" t="s">
        <v>3047</v>
      </c>
      <c r="C2640" t="s">
        <v>8761</v>
      </c>
      <c r="D2640" t="s">
        <v>52</v>
      </c>
      <c r="E2640" t="s">
        <v>8762</v>
      </c>
      <c r="F2640" t="s">
        <v>45</v>
      </c>
      <c r="G2640" t="str">
        <f>HYPERLINK("https://www.instagram.com/p/BzEvzpvHyeq")</f>
        <v>https://www.instagram.com/p/BzEvzpvHyeq</v>
      </c>
      <c r="H2640" t="s">
        <v>46</v>
      </c>
      <c r="I2640" t="s">
        <v>833</v>
      </c>
      <c r="J2640" t="str">
        <f>HYPERLINK("http://instagram.com/dori7os_fd3s")</f>
        <v>http://instagram.com/dori7os_fd3s</v>
      </c>
      <c r="K2640">
        <v>6145</v>
      </c>
      <c r="N2640" t="s">
        <v>59</v>
      </c>
      <c r="O2640" t="s">
        <v>833</v>
      </c>
      <c r="P2640" t="str">
        <f>HYPERLINK("http://instagram.com/dori7os_fd3s")</f>
        <v>http://instagram.com/dori7os_fd3s</v>
      </c>
      <c r="Q2640">
        <v>6145</v>
      </c>
      <c r="R2640" t="s">
        <v>60</v>
      </c>
      <c r="S2640" t="s">
        <v>51</v>
      </c>
      <c r="T2640" t="s">
        <v>2522</v>
      </c>
      <c r="U2640" t="s">
        <v>2523</v>
      </c>
      <c r="W2640">
        <v>349</v>
      </c>
      <c r="X2640">
        <v>349</v>
      </c>
      <c r="AE2640">
        <v>8</v>
      </c>
      <c r="AI2640" t="s">
        <v>52</v>
      </c>
      <c r="AJ2640" t="s">
        <v>121</v>
      </c>
      <c r="AK2640" t="s">
        <v>52</v>
      </c>
      <c r="AL2640" t="str">
        <f>HYPERLINK("https://www.instagram.com/p/BzEvzpvHyeq/media/?size=l")</f>
        <v>https://www.instagram.com/p/BzEvzpvHyeq/media/?size=l</v>
      </c>
      <c r="AM2640" t="s">
        <v>52</v>
      </c>
      <c r="AN2640" t="s">
        <v>53</v>
      </c>
    </row>
    <row r="2641" spans="1:40">
      <c r="A2641" t="s">
        <v>8081</v>
      </c>
      <c r="B2641" t="s">
        <v>8763</v>
      </c>
      <c r="C2641" t="s">
        <v>7448</v>
      </c>
      <c r="D2641" t="s">
        <v>52</v>
      </c>
      <c r="E2641" t="s">
        <v>8764</v>
      </c>
      <c r="F2641" t="s">
        <v>45</v>
      </c>
      <c r="G2641" t="str">
        <f>HYPERLINK("https://www.instagram.com/p/BzEvimaHVDM")</f>
        <v>https://www.instagram.com/p/BzEvimaHVDM</v>
      </c>
      <c r="H2641" t="s">
        <v>46</v>
      </c>
      <c r="I2641" t="s">
        <v>8765</v>
      </c>
      <c r="J2641" t="str">
        <f>HYPERLINK("http://instagram.com/aka.detroit")</f>
        <v>http://instagram.com/aka.detroit</v>
      </c>
      <c r="K2641">
        <v>16386</v>
      </c>
      <c r="N2641" t="s">
        <v>59</v>
      </c>
      <c r="O2641" t="s">
        <v>8765</v>
      </c>
      <c r="P2641" t="str">
        <f>HYPERLINK("http://instagram.com/aka.detroit")</f>
        <v>http://instagram.com/aka.detroit</v>
      </c>
      <c r="Q2641">
        <v>16386</v>
      </c>
      <c r="R2641" t="s">
        <v>60</v>
      </c>
      <c r="S2641" t="s">
        <v>51</v>
      </c>
      <c r="T2641" t="s">
        <v>160</v>
      </c>
      <c r="U2641" t="s">
        <v>8766</v>
      </c>
      <c r="W2641">
        <v>266</v>
      </c>
      <c r="X2641">
        <v>266</v>
      </c>
      <c r="AE2641">
        <v>13</v>
      </c>
      <c r="AI2641" t="s">
        <v>108</v>
      </c>
      <c r="AJ2641" t="s">
        <v>8767</v>
      </c>
      <c r="AK2641" t="s">
        <v>4550</v>
      </c>
      <c r="AL2641" t="str">
        <f>HYPERLINK("https://www.instagram.com/p/BzEvimaHVDM/media/?size=l")</f>
        <v>https://www.instagram.com/p/BzEvimaHVDM/media/?size=l</v>
      </c>
      <c r="AM2641" t="s">
        <v>52</v>
      </c>
      <c r="AN2641" t="s">
        <v>53</v>
      </c>
    </row>
    <row r="2642" spans="1:40">
      <c r="A2642" t="s">
        <v>8081</v>
      </c>
      <c r="B2642" t="s">
        <v>8763</v>
      </c>
      <c r="C2642" t="s">
        <v>8768</v>
      </c>
      <c r="D2642" t="s">
        <v>52</v>
      </c>
      <c r="E2642" t="s">
        <v>8769</v>
      </c>
      <c r="F2642" t="s">
        <v>71</v>
      </c>
      <c r="G2642" t="str">
        <f>HYPERLINK("https://twitter.com/3532085113/status/1142967983741927425")</f>
        <v>https://twitter.com/3532085113/status/1142967983741927425</v>
      </c>
      <c r="H2642" t="s">
        <v>46</v>
      </c>
      <c r="I2642" t="s">
        <v>8770</v>
      </c>
      <c r="J2642" t="str">
        <f>HYPERLINK("http://twitter.com/PhilfromDelTaco")</f>
        <v>http://twitter.com/PhilfromDelTaco</v>
      </c>
      <c r="K2642">
        <v>1672</v>
      </c>
      <c r="N2642" t="s">
        <v>65</v>
      </c>
      <c r="R2642" t="s">
        <v>60</v>
      </c>
      <c r="S2642" t="s">
        <v>51</v>
      </c>
      <c r="T2642" t="s">
        <v>380</v>
      </c>
      <c r="U2642" t="s">
        <v>4051</v>
      </c>
      <c r="W2642">
        <v>0</v>
      </c>
      <c r="X2642">
        <v>0</v>
      </c>
      <c r="AE2642">
        <v>0</v>
      </c>
      <c r="AF2642">
        <v>0</v>
      </c>
      <c r="AM2642" t="s">
        <v>52</v>
      </c>
      <c r="AN2642" t="s">
        <v>53</v>
      </c>
    </row>
    <row r="2643" spans="1:40">
      <c r="A2643" t="s">
        <v>8081</v>
      </c>
      <c r="B2643" t="s">
        <v>8763</v>
      </c>
      <c r="C2643" t="s">
        <v>8771</v>
      </c>
      <c r="D2643" t="s">
        <v>52</v>
      </c>
      <c r="E2643" t="s">
        <v>8772</v>
      </c>
      <c r="F2643" t="s">
        <v>45</v>
      </c>
      <c r="G2643" t="str">
        <f>HYPERLINK("https://twitter.com/778198636731785216/status/1142967905413488645")</f>
        <v>https://twitter.com/778198636731785216/status/1142967905413488645</v>
      </c>
      <c r="H2643" t="s">
        <v>46</v>
      </c>
      <c r="I2643" t="s">
        <v>8773</v>
      </c>
      <c r="J2643" t="str">
        <f>HYPERLINK("http://twitter.com/ParadoxPandy")</f>
        <v>http://twitter.com/ParadoxPandy</v>
      </c>
      <c r="K2643">
        <v>2101</v>
      </c>
      <c r="N2643" t="s">
        <v>65</v>
      </c>
      <c r="R2643" t="s">
        <v>60</v>
      </c>
      <c r="S2643" t="s">
        <v>8774</v>
      </c>
      <c r="T2643" t="s">
        <v>8775</v>
      </c>
      <c r="U2643" t="s">
        <v>8776</v>
      </c>
      <c r="W2643">
        <v>3</v>
      </c>
      <c r="X2643">
        <v>3</v>
      </c>
      <c r="AE2643">
        <v>0</v>
      </c>
      <c r="AF2643">
        <v>0</v>
      </c>
      <c r="AI2643" t="s">
        <v>52</v>
      </c>
      <c r="AJ2643" t="s">
        <v>52</v>
      </c>
      <c r="AK2643" t="s">
        <v>680</v>
      </c>
      <c r="AL2643" t="str">
        <f>HYPERLINK("https://pbs.twimg.com/media/D9yjPVSWsAASu7H.jpg")</f>
        <v>https://pbs.twimg.com/media/D9yjPVSWsAASu7H.jpg</v>
      </c>
      <c r="AM2643" t="s">
        <v>52</v>
      </c>
      <c r="AN2643" t="s">
        <v>53</v>
      </c>
    </row>
    <row r="2644" spans="1:40">
      <c r="A2644" t="s">
        <v>8081</v>
      </c>
      <c r="B2644" t="s">
        <v>8763</v>
      </c>
      <c r="C2644" t="s">
        <v>8777</v>
      </c>
      <c r="D2644" t="s">
        <v>52</v>
      </c>
      <c r="E2644" t="s">
        <v>8778</v>
      </c>
      <c r="F2644" t="s">
        <v>45</v>
      </c>
      <c r="G2644" t="str">
        <f>HYPERLINK("https://www.instagram.com/p/BzEvfJABBsx")</f>
        <v>https://www.instagram.com/p/BzEvfJABBsx</v>
      </c>
      <c r="H2644" t="s">
        <v>46</v>
      </c>
      <c r="I2644" t="s">
        <v>8779</v>
      </c>
      <c r="J2644" t="str">
        <f>HYPERLINK("http://instagram.com/biggies.barber")</f>
        <v>http://instagram.com/biggies.barber</v>
      </c>
      <c r="K2644">
        <v>2101</v>
      </c>
      <c r="N2644" t="s">
        <v>59</v>
      </c>
      <c r="O2644" t="s">
        <v>8779</v>
      </c>
      <c r="P2644" t="str">
        <f>HYPERLINK("http://instagram.com/biggies.barber")</f>
        <v>http://instagram.com/biggies.barber</v>
      </c>
      <c r="Q2644">
        <v>2101</v>
      </c>
      <c r="R2644" t="s">
        <v>60</v>
      </c>
      <c r="W2644">
        <v>23</v>
      </c>
      <c r="X2644">
        <v>23</v>
      </c>
      <c r="AE2644">
        <v>0</v>
      </c>
      <c r="AI2644" t="s">
        <v>52</v>
      </c>
      <c r="AJ2644" t="s">
        <v>52</v>
      </c>
      <c r="AK2644" t="s">
        <v>52</v>
      </c>
      <c r="AL2644" t="str">
        <f>HYPERLINK("https://www.instagram.com/p/BzEvfJABBsx/media/?size=l")</f>
        <v>https://www.instagram.com/p/BzEvfJABBsx/media/?size=l</v>
      </c>
      <c r="AM2644" t="s">
        <v>52</v>
      </c>
      <c r="AN2644" t="s">
        <v>53</v>
      </c>
    </row>
    <row r="2645" spans="1:40">
      <c r="A2645" t="s">
        <v>8081</v>
      </c>
      <c r="B2645" t="s">
        <v>8780</v>
      </c>
      <c r="C2645" t="s">
        <v>8771</v>
      </c>
      <c r="D2645" t="s">
        <v>52</v>
      </c>
      <c r="E2645" t="s">
        <v>8781</v>
      </c>
      <c r="F2645" t="s">
        <v>131</v>
      </c>
      <c r="G2645" t="str">
        <f>HYPERLINK("https://twitter.com/999799521810010112/status/1142967809204527104")</f>
        <v>https://twitter.com/999799521810010112/status/1142967809204527104</v>
      </c>
      <c r="H2645" t="s">
        <v>46</v>
      </c>
      <c r="I2645" t="s">
        <v>8782</v>
      </c>
      <c r="J2645" t="str">
        <f>HYPERLINK("http://twitter.com/Ryan45464770")</f>
        <v>http://twitter.com/Ryan45464770</v>
      </c>
      <c r="K2645">
        <v>127</v>
      </c>
      <c r="N2645" t="s">
        <v>65</v>
      </c>
      <c r="R2645" t="s">
        <v>60</v>
      </c>
      <c r="S2645" t="s">
        <v>444</v>
      </c>
      <c r="W2645">
        <v>0</v>
      </c>
      <c r="X2645">
        <v>0</v>
      </c>
      <c r="AE2645">
        <v>0</v>
      </c>
      <c r="AM2645" t="s">
        <v>52</v>
      </c>
      <c r="AN2645" t="s">
        <v>53</v>
      </c>
    </row>
    <row r="2646" spans="1:40">
      <c r="A2646" t="s">
        <v>8081</v>
      </c>
      <c r="B2646" t="s">
        <v>8780</v>
      </c>
      <c r="C2646" t="s">
        <v>8783</v>
      </c>
      <c r="D2646" t="s">
        <v>52</v>
      </c>
      <c r="E2646" t="s">
        <v>8784</v>
      </c>
      <c r="F2646" t="s">
        <v>71</v>
      </c>
      <c r="G2646" t="str">
        <f>HYPERLINK("https://twitter.com/208230079/status/1142967701859721217")</f>
        <v>https://twitter.com/208230079/status/1142967701859721217</v>
      </c>
      <c r="H2646" t="s">
        <v>46</v>
      </c>
      <c r="I2646" t="s">
        <v>8785</v>
      </c>
      <c r="J2646" t="str">
        <f>HYPERLINK("http://twitter.com/EuniceEatsChips")</f>
        <v>http://twitter.com/EuniceEatsChips</v>
      </c>
      <c r="K2646">
        <v>402</v>
      </c>
      <c r="N2646" t="s">
        <v>65</v>
      </c>
      <c r="R2646" t="s">
        <v>60</v>
      </c>
      <c r="W2646">
        <v>0</v>
      </c>
      <c r="X2646">
        <v>0</v>
      </c>
      <c r="AE2646">
        <v>0</v>
      </c>
      <c r="AF2646">
        <v>0</v>
      </c>
      <c r="AI2646" t="s">
        <v>52</v>
      </c>
      <c r="AJ2646" t="s">
        <v>1196</v>
      </c>
      <c r="AK2646" t="s">
        <v>52</v>
      </c>
      <c r="AL2646" t="str">
        <f>HYPERLINK("https://pbs.twimg.com/media/D9xgk2YXkAAd2ql.jpg")</f>
        <v>https://pbs.twimg.com/media/D9xgk2YXkAAd2ql.jpg</v>
      </c>
      <c r="AM2646" t="s">
        <v>52</v>
      </c>
      <c r="AN2646" t="s">
        <v>53</v>
      </c>
    </row>
    <row r="2647" spans="1:40">
      <c r="A2647" t="s">
        <v>8081</v>
      </c>
      <c r="B2647" t="s">
        <v>8780</v>
      </c>
      <c r="C2647" t="s">
        <v>8777</v>
      </c>
      <c r="D2647" t="s">
        <v>52</v>
      </c>
      <c r="E2647" t="s">
        <v>8786</v>
      </c>
      <c r="F2647" t="s">
        <v>95</v>
      </c>
      <c r="G2647" t="str">
        <f>HYPERLINK("https://twitter.com/702176693851533312/status/1142967636810035200")</f>
        <v>https://twitter.com/702176693851533312/status/1142967636810035200</v>
      </c>
      <c r="H2647" t="s">
        <v>46</v>
      </c>
      <c r="I2647" t="s">
        <v>8787</v>
      </c>
      <c r="J2647" t="str">
        <f>HYPERLINK("http://twitter.com/ViktorGodDoom")</f>
        <v>http://twitter.com/ViktorGodDoom</v>
      </c>
      <c r="K2647">
        <v>36</v>
      </c>
      <c r="N2647" t="s">
        <v>65</v>
      </c>
      <c r="R2647" t="s">
        <v>60</v>
      </c>
      <c r="W2647">
        <v>1</v>
      </c>
      <c r="X2647">
        <v>1</v>
      </c>
      <c r="AE2647">
        <v>0</v>
      </c>
      <c r="AF2647">
        <v>0</v>
      </c>
      <c r="AM2647" t="s">
        <v>52</v>
      </c>
      <c r="AN2647" t="s">
        <v>53</v>
      </c>
    </row>
    <row r="2648" spans="1:40">
      <c r="A2648" t="s">
        <v>8081</v>
      </c>
      <c r="B2648" t="s">
        <v>3062</v>
      </c>
      <c r="C2648" t="s">
        <v>8771</v>
      </c>
      <c r="D2648" t="s">
        <v>52</v>
      </c>
      <c r="E2648" t="s">
        <v>7606</v>
      </c>
      <c r="F2648" t="s">
        <v>131</v>
      </c>
      <c r="G2648" t="str">
        <f>HYPERLINK("https://twitter.com/22464430/status/1142967551531479041")</f>
        <v>https://twitter.com/22464430/status/1142967551531479041</v>
      </c>
      <c r="H2648" t="s">
        <v>46</v>
      </c>
      <c r="I2648" t="s">
        <v>8788</v>
      </c>
      <c r="J2648" t="str">
        <f>HYPERLINK("http://twitter.com/Osanna25")</f>
        <v>http://twitter.com/Osanna25</v>
      </c>
      <c r="K2648">
        <v>52</v>
      </c>
      <c r="N2648" t="s">
        <v>65</v>
      </c>
      <c r="R2648" t="s">
        <v>60</v>
      </c>
      <c r="S2648" t="s">
        <v>51</v>
      </c>
      <c r="T2648" t="s">
        <v>173</v>
      </c>
      <c r="U2648" t="s">
        <v>1214</v>
      </c>
      <c r="W2648">
        <v>0</v>
      </c>
      <c r="X2648">
        <v>0</v>
      </c>
      <c r="AE2648">
        <v>0</v>
      </c>
      <c r="AM2648" t="s">
        <v>52</v>
      </c>
      <c r="AN2648" t="s">
        <v>53</v>
      </c>
    </row>
    <row r="2649" spans="1:40">
      <c r="A2649" t="s">
        <v>8081</v>
      </c>
      <c r="B2649" t="s">
        <v>3062</v>
      </c>
      <c r="C2649" t="s">
        <v>8789</v>
      </c>
      <c r="D2649" t="s">
        <v>52</v>
      </c>
      <c r="E2649" t="s">
        <v>8790</v>
      </c>
      <c r="F2649" t="s">
        <v>71</v>
      </c>
      <c r="G2649" t="str">
        <f>HYPERLINK("https://twitter.com/48899468/status/1142967522255241216")</f>
        <v>https://twitter.com/48899468/status/1142967522255241216</v>
      </c>
      <c r="H2649" t="s">
        <v>91</v>
      </c>
      <c r="I2649" t="s">
        <v>8791</v>
      </c>
      <c r="J2649" t="str">
        <f>HYPERLINK("http://twitter.com/foxflores")</f>
        <v>http://twitter.com/foxflores</v>
      </c>
      <c r="K2649">
        <v>857</v>
      </c>
      <c r="N2649" t="s">
        <v>65</v>
      </c>
      <c r="R2649" t="s">
        <v>60</v>
      </c>
      <c r="S2649" t="s">
        <v>51</v>
      </c>
      <c r="T2649" t="s">
        <v>173</v>
      </c>
      <c r="U2649" t="s">
        <v>8792</v>
      </c>
      <c r="W2649">
        <v>0</v>
      </c>
      <c r="X2649">
        <v>0</v>
      </c>
      <c r="AE2649">
        <v>0</v>
      </c>
      <c r="AF2649">
        <v>0</v>
      </c>
      <c r="AM2649" t="s">
        <v>52</v>
      </c>
      <c r="AN2649" t="s">
        <v>53</v>
      </c>
    </row>
    <row r="2650" spans="1:40">
      <c r="A2650" t="s">
        <v>8081</v>
      </c>
      <c r="B2650" t="s">
        <v>3062</v>
      </c>
      <c r="C2650" t="s">
        <v>8777</v>
      </c>
      <c r="D2650" t="s">
        <v>52</v>
      </c>
      <c r="E2650" t="s">
        <v>8793</v>
      </c>
      <c r="F2650" t="s">
        <v>45</v>
      </c>
      <c r="G2650" t="str">
        <f>HYPERLINK("https://www.instagram.com/p/BzEvO49jOTI")</f>
        <v>https://www.instagram.com/p/BzEvO49jOTI</v>
      </c>
      <c r="H2650" t="s">
        <v>46</v>
      </c>
      <c r="I2650" t="s">
        <v>8794</v>
      </c>
      <c r="J2650" t="str">
        <f>HYPERLINK("http://instagram.com/1976andcounting")</f>
        <v>http://instagram.com/1976andcounting</v>
      </c>
      <c r="K2650">
        <v>15</v>
      </c>
      <c r="N2650" t="s">
        <v>59</v>
      </c>
      <c r="O2650" t="s">
        <v>8794</v>
      </c>
      <c r="P2650" t="str">
        <f>HYPERLINK("http://instagram.com/1976andcounting")</f>
        <v>http://instagram.com/1976andcounting</v>
      </c>
      <c r="Q2650">
        <v>15</v>
      </c>
      <c r="R2650" t="s">
        <v>60</v>
      </c>
      <c r="W2650">
        <v>2</v>
      </c>
      <c r="X2650">
        <v>2</v>
      </c>
      <c r="AE2650">
        <v>0</v>
      </c>
      <c r="AI2650" t="s">
        <v>108</v>
      </c>
      <c r="AJ2650" t="s">
        <v>52</v>
      </c>
      <c r="AK2650" t="s">
        <v>52</v>
      </c>
      <c r="AL2650" t="str">
        <f>HYPERLINK("https://www.instagram.com/p/BzEvO49jOTI/media/?size=l")</f>
        <v>https://www.instagram.com/p/BzEvO49jOTI/media/?size=l</v>
      </c>
      <c r="AM2650" t="s">
        <v>52</v>
      </c>
      <c r="AN2650" t="s">
        <v>53</v>
      </c>
    </row>
    <row r="2651" spans="1:40">
      <c r="A2651" t="s">
        <v>8081</v>
      </c>
      <c r="B2651" t="s">
        <v>8795</v>
      </c>
      <c r="C2651" t="s">
        <v>8761</v>
      </c>
      <c r="D2651" t="s">
        <v>52</v>
      </c>
      <c r="E2651" t="s">
        <v>8796</v>
      </c>
      <c r="F2651" t="s">
        <v>45</v>
      </c>
      <c r="G2651" t="str">
        <f>HYPERLINK("https://www.instagram.com/p/BzEvNB0A_MI")</f>
        <v>https://www.instagram.com/p/BzEvNB0A_MI</v>
      </c>
      <c r="H2651" t="s">
        <v>46</v>
      </c>
      <c r="I2651" t="s">
        <v>8797</v>
      </c>
      <c r="J2651" t="str">
        <f>HYPERLINK("http://instagram.com/oxboy30")</f>
        <v>http://instagram.com/oxboy30</v>
      </c>
      <c r="K2651">
        <v>555</v>
      </c>
      <c r="L2651" t="s">
        <v>48</v>
      </c>
      <c r="N2651" t="s">
        <v>59</v>
      </c>
      <c r="O2651" t="s">
        <v>8797</v>
      </c>
      <c r="P2651" t="str">
        <f>HYPERLINK("http://instagram.com/oxboy30")</f>
        <v>http://instagram.com/oxboy30</v>
      </c>
      <c r="Q2651">
        <v>555</v>
      </c>
      <c r="R2651" t="s">
        <v>60</v>
      </c>
      <c r="W2651">
        <v>21</v>
      </c>
      <c r="X2651">
        <v>21</v>
      </c>
      <c r="AE2651">
        <v>0</v>
      </c>
      <c r="AI2651" t="s">
        <v>52</v>
      </c>
      <c r="AJ2651" t="s">
        <v>458</v>
      </c>
      <c r="AK2651" t="s">
        <v>110</v>
      </c>
      <c r="AL2651" t="str">
        <f>HYPERLINK("https://www.instagram.com/p/BzEvNB0A_MI/media/?size=l")</f>
        <v>https://www.instagram.com/p/BzEvNB0A_MI/media/?size=l</v>
      </c>
      <c r="AM2651" t="s">
        <v>52</v>
      </c>
      <c r="AN2651" t="s">
        <v>53</v>
      </c>
    </row>
    <row r="2652" spans="1:40">
      <c r="A2652" t="s">
        <v>8081</v>
      </c>
      <c r="B2652" t="s">
        <v>8795</v>
      </c>
      <c r="C2652" t="s">
        <v>8771</v>
      </c>
      <c r="D2652" t="s">
        <v>52</v>
      </c>
      <c r="E2652" t="s">
        <v>8798</v>
      </c>
      <c r="F2652" t="s">
        <v>45</v>
      </c>
      <c r="G2652" t="str">
        <f>HYPERLINK("https://twitter.com/164669492/status/1142967243040526336")</f>
        <v>https://twitter.com/164669492/status/1142967243040526336</v>
      </c>
      <c r="H2652" t="s">
        <v>46</v>
      </c>
      <c r="I2652" t="s">
        <v>8799</v>
      </c>
      <c r="J2652" t="str">
        <f>HYPERLINK("http://twitter.com/Quie__Quie")</f>
        <v>http://twitter.com/Quie__Quie</v>
      </c>
      <c r="K2652">
        <v>762</v>
      </c>
      <c r="N2652" t="s">
        <v>65</v>
      </c>
      <c r="R2652" t="s">
        <v>60</v>
      </c>
      <c r="W2652">
        <v>0</v>
      </c>
      <c r="X2652">
        <v>0</v>
      </c>
      <c r="AE2652">
        <v>0</v>
      </c>
      <c r="AF2652">
        <v>0</v>
      </c>
      <c r="AM2652" t="s">
        <v>52</v>
      </c>
      <c r="AN2652" t="s">
        <v>53</v>
      </c>
    </row>
    <row r="2653" spans="1:40">
      <c r="A2653" t="s">
        <v>8081</v>
      </c>
      <c r="B2653" t="s">
        <v>8800</v>
      </c>
      <c r="C2653" t="s">
        <v>8801</v>
      </c>
      <c r="D2653" t="s">
        <v>52</v>
      </c>
      <c r="E2653" t="s">
        <v>8802</v>
      </c>
      <c r="F2653" t="s">
        <v>45</v>
      </c>
      <c r="G2653" t="str">
        <f>HYPERLINK("https://twitter.com/1134848727804461057/status/1142966851212906496")</f>
        <v>https://twitter.com/1134848727804461057/status/1142966851212906496</v>
      </c>
      <c r="H2653" t="s">
        <v>91</v>
      </c>
      <c r="I2653" t="s">
        <v>8803</v>
      </c>
      <c r="J2653" t="str">
        <f>HYPERLINK("http://twitter.com/HunterJoy10")</f>
        <v>http://twitter.com/HunterJoy10</v>
      </c>
      <c r="K2653">
        <v>0</v>
      </c>
      <c r="N2653" t="s">
        <v>65</v>
      </c>
      <c r="R2653" t="s">
        <v>60</v>
      </c>
      <c r="W2653">
        <v>0</v>
      </c>
      <c r="X2653">
        <v>0</v>
      </c>
      <c r="AE2653">
        <v>0</v>
      </c>
      <c r="AF2653">
        <v>0</v>
      </c>
      <c r="AM2653" t="s">
        <v>52</v>
      </c>
      <c r="AN2653" t="s">
        <v>53</v>
      </c>
    </row>
    <row r="2654" spans="1:40">
      <c r="A2654" t="s">
        <v>8081</v>
      </c>
      <c r="B2654" t="s">
        <v>8804</v>
      </c>
      <c r="C2654" t="s">
        <v>8805</v>
      </c>
      <c r="D2654" t="s">
        <v>52</v>
      </c>
      <c r="E2654" t="s">
        <v>8806</v>
      </c>
      <c r="F2654" t="s">
        <v>71</v>
      </c>
      <c r="G2654" t="str">
        <f>HYPERLINK("https://twitter.com/2670693578/status/1142966643586424837")</f>
        <v>https://twitter.com/2670693578/status/1142966643586424837</v>
      </c>
      <c r="H2654" t="s">
        <v>46</v>
      </c>
      <c r="I2654" t="s">
        <v>8807</v>
      </c>
      <c r="J2654" t="str">
        <f>HYPERLINK("http://twitter.com/NLCVideo")</f>
        <v>http://twitter.com/NLCVideo</v>
      </c>
      <c r="K2654">
        <v>78</v>
      </c>
      <c r="N2654" t="s">
        <v>65</v>
      </c>
      <c r="R2654" t="s">
        <v>60</v>
      </c>
      <c r="S2654" t="s">
        <v>51</v>
      </c>
      <c r="T2654" t="s">
        <v>3290</v>
      </c>
      <c r="W2654">
        <v>0</v>
      </c>
      <c r="X2654">
        <v>0</v>
      </c>
      <c r="AE2654">
        <v>0</v>
      </c>
      <c r="AF2654">
        <v>0</v>
      </c>
      <c r="AI2654" t="s">
        <v>52</v>
      </c>
      <c r="AJ2654" t="s">
        <v>52</v>
      </c>
      <c r="AK2654" t="s">
        <v>52</v>
      </c>
      <c r="AL2654" t="str">
        <f>HYPERLINK("https://pbs.twimg.com/ext_tw_video_thumb/1139973969874960392/pu/img/XYp95ccPs7s056dn.jpg")</f>
        <v>https://pbs.twimg.com/ext_tw_video_thumb/1139973969874960392/pu/img/XYp95ccPs7s056dn.jpg</v>
      </c>
      <c r="AM2654" t="s">
        <v>52</v>
      </c>
      <c r="AN2654" t="s">
        <v>53</v>
      </c>
    </row>
    <row r="2655" spans="1:40">
      <c r="A2655" t="s">
        <v>8081</v>
      </c>
      <c r="B2655" t="s">
        <v>3073</v>
      </c>
      <c r="C2655" t="s">
        <v>8801</v>
      </c>
      <c r="D2655" t="s">
        <v>52</v>
      </c>
      <c r="E2655" t="s">
        <v>8808</v>
      </c>
      <c r="F2655" t="s">
        <v>95</v>
      </c>
      <c r="G2655" t="str">
        <f>HYPERLINK("https://twitter.com/1125520437625204739/status/1142966268728958976")</f>
        <v>https://twitter.com/1125520437625204739/status/1142966268728958976</v>
      </c>
      <c r="H2655" t="s">
        <v>46</v>
      </c>
      <c r="I2655" t="s">
        <v>8809</v>
      </c>
      <c r="J2655" t="str">
        <f>HYPERLINK("http://twitter.com/ProfessorDrake")</f>
        <v>http://twitter.com/ProfessorDrake</v>
      </c>
      <c r="K2655">
        <v>95</v>
      </c>
      <c r="N2655" t="s">
        <v>65</v>
      </c>
      <c r="R2655" t="s">
        <v>60</v>
      </c>
      <c r="W2655">
        <v>2</v>
      </c>
      <c r="X2655">
        <v>2</v>
      </c>
      <c r="AE2655">
        <v>1</v>
      </c>
      <c r="AF2655">
        <v>0</v>
      </c>
      <c r="AM2655" t="s">
        <v>52</v>
      </c>
      <c r="AN2655" t="s">
        <v>53</v>
      </c>
    </row>
    <row r="2656" spans="1:40">
      <c r="A2656" t="s">
        <v>8081</v>
      </c>
      <c r="B2656" t="s">
        <v>3073</v>
      </c>
      <c r="C2656" t="s">
        <v>8801</v>
      </c>
      <c r="D2656" t="s">
        <v>52</v>
      </c>
      <c r="E2656" t="s">
        <v>8810</v>
      </c>
      <c r="F2656" t="s">
        <v>95</v>
      </c>
      <c r="G2656" t="str">
        <f>HYPERLINK("https://twitter.com/2276731382/status/1142966236285997057")</f>
        <v>https://twitter.com/2276731382/status/1142966236285997057</v>
      </c>
      <c r="H2656" t="s">
        <v>46</v>
      </c>
      <c r="I2656" t="s">
        <v>8811</v>
      </c>
      <c r="J2656" t="str">
        <f>HYPERLINK("http://twitter.com/RickyBob_e")</f>
        <v>http://twitter.com/RickyBob_e</v>
      </c>
      <c r="K2656">
        <v>432</v>
      </c>
      <c r="N2656" t="s">
        <v>65</v>
      </c>
      <c r="R2656" t="s">
        <v>60</v>
      </c>
      <c r="S2656" t="s">
        <v>51</v>
      </c>
      <c r="T2656" t="s">
        <v>152</v>
      </c>
      <c r="U2656" t="s">
        <v>8812</v>
      </c>
      <c r="W2656">
        <v>7</v>
      </c>
      <c r="X2656">
        <v>7</v>
      </c>
      <c r="AE2656">
        <v>2</v>
      </c>
      <c r="AF2656">
        <v>0</v>
      </c>
      <c r="AM2656" t="s">
        <v>52</v>
      </c>
      <c r="AN2656" t="s">
        <v>53</v>
      </c>
    </row>
    <row r="2657" spans="1:40">
      <c r="A2657" t="s">
        <v>8081</v>
      </c>
      <c r="B2657" t="s">
        <v>3073</v>
      </c>
      <c r="C2657" t="s">
        <v>8801</v>
      </c>
      <c r="D2657" t="s">
        <v>52</v>
      </c>
      <c r="E2657" t="s">
        <v>1194</v>
      </c>
      <c r="F2657" t="s">
        <v>131</v>
      </c>
      <c r="G2657" t="str">
        <f>HYPERLINK("https://twitter.com/788410745037873152/status/1142966204426063872")</f>
        <v>https://twitter.com/788410745037873152/status/1142966204426063872</v>
      </c>
      <c r="H2657" t="s">
        <v>46</v>
      </c>
      <c r="I2657" t="s">
        <v>2024</v>
      </c>
      <c r="J2657" t="str">
        <f>HYPERLINK("http://twitter.com/_Mason_10")</f>
        <v>http://twitter.com/_Mason_10</v>
      </c>
      <c r="K2657">
        <v>283</v>
      </c>
      <c r="N2657" t="s">
        <v>65</v>
      </c>
      <c r="R2657" t="s">
        <v>60</v>
      </c>
      <c r="W2657">
        <v>0</v>
      </c>
      <c r="X2657">
        <v>0</v>
      </c>
      <c r="AE2657">
        <v>0</v>
      </c>
      <c r="AI2657" t="s">
        <v>52</v>
      </c>
      <c r="AJ2657" t="s">
        <v>1196</v>
      </c>
      <c r="AK2657" t="s">
        <v>52</v>
      </c>
      <c r="AL2657" t="str">
        <f>HYPERLINK("https://pbs.twimg.com/media/D9xgk2YXkAAd2ql.jpg")</f>
        <v>https://pbs.twimg.com/media/D9xgk2YXkAAd2ql.jpg</v>
      </c>
      <c r="AM2657" t="s">
        <v>52</v>
      </c>
      <c r="AN2657" t="s">
        <v>53</v>
      </c>
    </row>
    <row r="2658" spans="1:40">
      <c r="A2658" t="s">
        <v>8081</v>
      </c>
      <c r="B2658" t="s">
        <v>3073</v>
      </c>
      <c r="C2658" t="s">
        <v>8813</v>
      </c>
      <c r="D2658" t="s">
        <v>52</v>
      </c>
      <c r="E2658" t="s">
        <v>1194</v>
      </c>
      <c r="F2658" t="s">
        <v>131</v>
      </c>
      <c r="G2658" t="str">
        <f>HYPERLINK("https://twitter.com/1035676525/status/1142966127733149696")</f>
        <v>https://twitter.com/1035676525/status/1142966127733149696</v>
      </c>
      <c r="H2658" t="s">
        <v>46</v>
      </c>
      <c r="I2658" t="s">
        <v>8814</v>
      </c>
      <c r="J2658" t="str">
        <f>HYPERLINK("http://twitter.com/Get_Dunked_on22")</f>
        <v>http://twitter.com/Get_Dunked_on22</v>
      </c>
      <c r="K2658">
        <v>662</v>
      </c>
      <c r="N2658" t="s">
        <v>65</v>
      </c>
      <c r="R2658" t="s">
        <v>60</v>
      </c>
      <c r="S2658" t="s">
        <v>51</v>
      </c>
      <c r="T2658" t="s">
        <v>497</v>
      </c>
      <c r="W2658">
        <v>0</v>
      </c>
      <c r="X2658">
        <v>0</v>
      </c>
      <c r="AE2658">
        <v>0</v>
      </c>
      <c r="AI2658" t="s">
        <v>52</v>
      </c>
      <c r="AJ2658" t="s">
        <v>1196</v>
      </c>
      <c r="AK2658" t="s">
        <v>52</v>
      </c>
      <c r="AL2658" t="str">
        <f>HYPERLINK("https://pbs.twimg.com/media/D9xgk2YXkAAd2ql.jpg")</f>
        <v>https://pbs.twimg.com/media/D9xgk2YXkAAd2ql.jpg</v>
      </c>
      <c r="AM2658" t="s">
        <v>52</v>
      </c>
      <c r="AN2658" t="s">
        <v>53</v>
      </c>
    </row>
    <row r="2659" spans="1:40">
      <c r="A2659" t="s">
        <v>8081</v>
      </c>
      <c r="B2659" t="s">
        <v>3077</v>
      </c>
      <c r="C2659" t="s">
        <v>8801</v>
      </c>
      <c r="D2659" t="s">
        <v>52</v>
      </c>
      <c r="E2659" t="s">
        <v>8815</v>
      </c>
      <c r="F2659" t="s">
        <v>95</v>
      </c>
      <c r="G2659" t="str">
        <f>HYPERLINK("https://twitter.com/786956529236705280/status/1142966044375445504")</f>
        <v>https://twitter.com/786956529236705280/status/1142966044375445504</v>
      </c>
      <c r="H2659" t="s">
        <v>46</v>
      </c>
      <c r="I2659" t="s">
        <v>52</v>
      </c>
      <c r="J2659" t="str">
        <f>HYPERLINK("http://twitter.com/nadiaamoree")</f>
        <v>http://twitter.com/nadiaamoree</v>
      </c>
      <c r="K2659">
        <v>122</v>
      </c>
      <c r="N2659" t="s">
        <v>65</v>
      </c>
      <c r="R2659" t="s">
        <v>60</v>
      </c>
      <c r="S2659" t="s">
        <v>51</v>
      </c>
      <c r="W2659">
        <v>0</v>
      </c>
      <c r="X2659">
        <v>0</v>
      </c>
      <c r="AE2659">
        <v>0</v>
      </c>
      <c r="AF2659">
        <v>0</v>
      </c>
      <c r="AM2659" t="s">
        <v>52</v>
      </c>
      <c r="AN2659" t="s">
        <v>53</v>
      </c>
    </row>
    <row r="2660" spans="1:40">
      <c r="A2660" t="s">
        <v>8081</v>
      </c>
      <c r="B2660" t="s">
        <v>3077</v>
      </c>
      <c r="C2660" t="s">
        <v>8816</v>
      </c>
      <c r="D2660" t="s">
        <v>52</v>
      </c>
      <c r="E2660" t="s">
        <v>8566</v>
      </c>
      <c r="F2660" t="s">
        <v>131</v>
      </c>
      <c r="G2660" t="str">
        <f>HYPERLINK("https://twitter.com/801781926/status/1142965894139846659")</f>
        <v>https://twitter.com/801781926/status/1142965894139846659</v>
      </c>
      <c r="H2660" t="s">
        <v>46</v>
      </c>
      <c r="I2660" t="s">
        <v>8817</v>
      </c>
      <c r="J2660" t="str">
        <f>HYPERLINK("http://twitter.com/calandradawn")</f>
        <v>http://twitter.com/calandradawn</v>
      </c>
      <c r="K2660">
        <v>268</v>
      </c>
      <c r="N2660" t="s">
        <v>65</v>
      </c>
      <c r="R2660" t="s">
        <v>60</v>
      </c>
      <c r="S2660" t="s">
        <v>51</v>
      </c>
      <c r="T2660" t="s">
        <v>380</v>
      </c>
      <c r="U2660" t="s">
        <v>380</v>
      </c>
      <c r="W2660">
        <v>0</v>
      </c>
      <c r="X2660">
        <v>0</v>
      </c>
      <c r="AE2660">
        <v>0</v>
      </c>
      <c r="AM2660" t="s">
        <v>52</v>
      </c>
      <c r="AN2660" t="s">
        <v>53</v>
      </c>
    </row>
    <row r="2661" spans="1:40">
      <c r="A2661" t="s">
        <v>8081</v>
      </c>
      <c r="B2661" t="s">
        <v>3083</v>
      </c>
      <c r="C2661" t="s">
        <v>8818</v>
      </c>
      <c r="D2661" t="s">
        <v>52</v>
      </c>
      <c r="E2661" t="s">
        <v>8566</v>
      </c>
      <c r="F2661" t="s">
        <v>131</v>
      </c>
      <c r="G2661" t="str">
        <f>HYPERLINK("https://twitter.com/738237843550679041/status/1142965670667280389")</f>
        <v>https://twitter.com/738237843550679041/status/1142965670667280389</v>
      </c>
      <c r="H2661" t="s">
        <v>46</v>
      </c>
      <c r="I2661" t="s">
        <v>8819</v>
      </c>
      <c r="J2661" t="str">
        <f>HYPERLINK("http://twitter.com/kathleenannemcc")</f>
        <v>http://twitter.com/kathleenannemcc</v>
      </c>
      <c r="K2661">
        <v>110</v>
      </c>
      <c r="L2661" t="s">
        <v>58</v>
      </c>
      <c r="N2661" t="s">
        <v>65</v>
      </c>
      <c r="R2661" t="s">
        <v>60</v>
      </c>
      <c r="W2661">
        <v>0</v>
      </c>
      <c r="X2661">
        <v>0</v>
      </c>
      <c r="AE2661">
        <v>0</v>
      </c>
      <c r="AM2661" t="s">
        <v>52</v>
      </c>
      <c r="AN2661" t="s">
        <v>53</v>
      </c>
    </row>
    <row r="2662" spans="1:40">
      <c r="A2662" t="s">
        <v>8081</v>
      </c>
      <c r="B2662" t="s">
        <v>3083</v>
      </c>
      <c r="C2662" t="s">
        <v>8813</v>
      </c>
      <c r="D2662" t="s">
        <v>52</v>
      </c>
      <c r="E2662" t="s">
        <v>8820</v>
      </c>
      <c r="F2662" t="s">
        <v>45</v>
      </c>
      <c r="G2662" t="str">
        <f>HYPERLINK("https://twitter.com/1048827834226135042/status/1142965648718520322")</f>
        <v>https://twitter.com/1048827834226135042/status/1142965648718520322</v>
      </c>
      <c r="H2662" t="s">
        <v>46</v>
      </c>
      <c r="I2662" t="s">
        <v>8821</v>
      </c>
      <c r="J2662" t="str">
        <f>HYPERLINK("http://twitter.com/saeromis_9")</f>
        <v>http://twitter.com/saeromis_9</v>
      </c>
      <c r="K2662">
        <v>523</v>
      </c>
      <c r="N2662" t="s">
        <v>65</v>
      </c>
      <c r="R2662" t="s">
        <v>60</v>
      </c>
      <c r="S2662" t="s">
        <v>639</v>
      </c>
      <c r="T2662" t="s">
        <v>640</v>
      </c>
      <c r="U2662" t="s">
        <v>641</v>
      </c>
      <c r="W2662">
        <v>4</v>
      </c>
      <c r="X2662">
        <v>4</v>
      </c>
      <c r="AE2662">
        <v>0</v>
      </c>
      <c r="AF2662">
        <v>0</v>
      </c>
      <c r="AM2662" t="s">
        <v>52</v>
      </c>
      <c r="AN2662" t="s">
        <v>53</v>
      </c>
    </row>
    <row r="2663" spans="1:40">
      <c r="A2663" t="s">
        <v>8081</v>
      </c>
      <c r="B2663" t="s">
        <v>3093</v>
      </c>
      <c r="C2663" t="s">
        <v>8818</v>
      </c>
      <c r="D2663" t="s">
        <v>52</v>
      </c>
      <c r="E2663" t="s">
        <v>8822</v>
      </c>
      <c r="F2663" t="s">
        <v>45</v>
      </c>
      <c r="G2663" t="str">
        <f>HYPERLINK("https://www.instagram.com/p/BzEuaCan2sa")</f>
        <v>https://www.instagram.com/p/BzEuaCan2sa</v>
      </c>
      <c r="H2663" t="s">
        <v>46</v>
      </c>
      <c r="I2663" t="s">
        <v>8823</v>
      </c>
      <c r="J2663" t="str">
        <f>HYPERLINK("http://instagram.com/reowner7")</f>
        <v>http://instagram.com/reowner7</v>
      </c>
      <c r="K2663">
        <v>5992</v>
      </c>
      <c r="N2663" t="s">
        <v>59</v>
      </c>
      <c r="O2663" t="s">
        <v>8823</v>
      </c>
      <c r="P2663" t="str">
        <f>HYPERLINK("http://instagram.com/reowner7")</f>
        <v>http://instagram.com/reowner7</v>
      </c>
      <c r="Q2663">
        <v>5992</v>
      </c>
      <c r="R2663" t="s">
        <v>60</v>
      </c>
      <c r="W2663">
        <v>453</v>
      </c>
      <c r="X2663">
        <v>453</v>
      </c>
      <c r="AE2663">
        <v>0</v>
      </c>
      <c r="AI2663" t="s">
        <v>52</v>
      </c>
      <c r="AJ2663" t="s">
        <v>8824</v>
      </c>
      <c r="AK2663" t="s">
        <v>8825</v>
      </c>
      <c r="AL2663" t="str">
        <f>HYPERLINK("https://www.instagram.com/p/BzEuaCan2sa/media/?size=l")</f>
        <v>https://www.instagram.com/p/BzEuaCan2sa/media/?size=l</v>
      </c>
      <c r="AM2663" t="s">
        <v>52</v>
      </c>
      <c r="AN2663" t="s">
        <v>53</v>
      </c>
    </row>
    <row r="2664" spans="1:40">
      <c r="A2664" t="s">
        <v>8081</v>
      </c>
      <c r="B2664" t="s">
        <v>3110</v>
      </c>
      <c r="C2664" t="s">
        <v>6563</v>
      </c>
      <c r="D2664" t="s">
        <v>8826</v>
      </c>
      <c r="E2664" t="s">
        <v>8827</v>
      </c>
      <c r="F2664" t="s">
        <v>45</v>
      </c>
      <c r="G2664" t="str">
        <f>HYPERLINK("https://www.youtube.com/watch?v=AJAkRcs1W9U")</f>
        <v>https://www.youtube.com/watch?v=AJAkRcs1W9U</v>
      </c>
      <c r="H2664" t="s">
        <v>91</v>
      </c>
      <c r="I2664" t="s">
        <v>8828</v>
      </c>
      <c r="J2664" t="str">
        <f>HYPERLINK("https://www.youtube.com/channel/UCgNWAXFL23PgnfWhHO3VKYw")</f>
        <v>https://www.youtube.com/channel/UCgNWAXFL23PgnfWhHO3VKYw</v>
      </c>
      <c r="K2664">
        <v>52</v>
      </c>
      <c r="N2664" t="s">
        <v>116</v>
      </c>
      <c r="O2664" t="s">
        <v>8828</v>
      </c>
      <c r="P2664" t="str">
        <f>HYPERLINK("https://www.youtube.com/channel/UCgNWAXFL23PgnfWhHO3VKYw")</f>
        <v>https://www.youtube.com/channel/UCgNWAXFL23PgnfWhHO3VKYw</v>
      </c>
      <c r="Q2664">
        <v>52</v>
      </c>
      <c r="R2664" t="s">
        <v>60</v>
      </c>
      <c r="W2664">
        <v>4</v>
      </c>
      <c r="X2664">
        <v>4</v>
      </c>
      <c r="AD2664">
        <v>0</v>
      </c>
      <c r="AE2664">
        <v>0</v>
      </c>
      <c r="AG2664">
        <v>5</v>
      </c>
      <c r="AI2664" t="s">
        <v>108</v>
      </c>
      <c r="AJ2664" t="s">
        <v>52</v>
      </c>
      <c r="AK2664" t="s">
        <v>52</v>
      </c>
      <c r="AL2664" t="str">
        <f>HYPERLINK("https://i.ytimg.com/vi/AJAkRcs1W9U/hqdefault.jpg")</f>
        <v>https://i.ytimg.com/vi/AJAkRcs1W9U/hqdefault.jpg</v>
      </c>
      <c r="AM2664" t="s">
        <v>52</v>
      </c>
      <c r="AN2664" t="s">
        <v>53</v>
      </c>
    </row>
    <row r="2665" spans="1:40">
      <c r="A2665" t="s">
        <v>8081</v>
      </c>
      <c r="B2665" t="s">
        <v>8829</v>
      </c>
      <c r="C2665" t="s">
        <v>8830</v>
      </c>
      <c r="D2665" t="s">
        <v>52</v>
      </c>
      <c r="E2665" t="s">
        <v>1194</v>
      </c>
      <c r="F2665" t="s">
        <v>131</v>
      </c>
      <c r="G2665" t="str">
        <f>HYPERLINK("https://twitter.com/1012129478225551361/status/1142964482869616640")</f>
        <v>https://twitter.com/1012129478225551361/status/1142964482869616640</v>
      </c>
      <c r="H2665" t="s">
        <v>46</v>
      </c>
      <c r="I2665" t="s">
        <v>8831</v>
      </c>
      <c r="J2665" t="str">
        <f>HYPERLINK("http://twitter.com/pin_cesh")</f>
        <v>http://twitter.com/pin_cesh</v>
      </c>
      <c r="K2665">
        <v>73</v>
      </c>
      <c r="N2665" t="s">
        <v>65</v>
      </c>
      <c r="R2665" t="s">
        <v>60</v>
      </c>
      <c r="W2665">
        <v>0</v>
      </c>
      <c r="X2665">
        <v>0</v>
      </c>
      <c r="AE2665">
        <v>0</v>
      </c>
      <c r="AI2665" t="s">
        <v>52</v>
      </c>
      <c r="AJ2665" t="s">
        <v>1196</v>
      </c>
      <c r="AK2665" t="s">
        <v>52</v>
      </c>
      <c r="AL2665" t="str">
        <f>HYPERLINK("https://pbs.twimg.com/media/D9xgk2YXkAAd2ql.jpg")</f>
        <v>https://pbs.twimg.com/media/D9xgk2YXkAAd2ql.jpg</v>
      </c>
      <c r="AM2665" t="s">
        <v>52</v>
      </c>
      <c r="AN2665" t="s">
        <v>53</v>
      </c>
    </row>
    <row r="2666" spans="1:40">
      <c r="A2666" t="s">
        <v>8081</v>
      </c>
      <c r="B2666" t="s">
        <v>8829</v>
      </c>
      <c r="C2666" t="s">
        <v>8830</v>
      </c>
      <c r="D2666" t="s">
        <v>52</v>
      </c>
      <c r="E2666" t="s">
        <v>8832</v>
      </c>
      <c r="F2666" t="s">
        <v>131</v>
      </c>
      <c r="G2666" t="str">
        <f>HYPERLINK("https://twitter.com/160618037/status/1142964473885388800")</f>
        <v>https://twitter.com/160618037/status/1142964473885388800</v>
      </c>
      <c r="H2666" t="s">
        <v>46</v>
      </c>
      <c r="I2666" t="s">
        <v>2685</v>
      </c>
      <c r="J2666" t="str">
        <f>HYPERLINK("http://twitter.com/sophiaa23_")</f>
        <v>http://twitter.com/sophiaa23_</v>
      </c>
      <c r="K2666">
        <v>359</v>
      </c>
      <c r="L2666" t="s">
        <v>58</v>
      </c>
      <c r="N2666" t="s">
        <v>65</v>
      </c>
      <c r="R2666" t="s">
        <v>60</v>
      </c>
      <c r="S2666" t="s">
        <v>51</v>
      </c>
      <c r="T2666" t="s">
        <v>173</v>
      </c>
      <c r="U2666" t="s">
        <v>8833</v>
      </c>
      <c r="W2666">
        <v>0</v>
      </c>
      <c r="X2666">
        <v>0</v>
      </c>
      <c r="AE2666">
        <v>0</v>
      </c>
      <c r="AI2666" t="s">
        <v>52</v>
      </c>
      <c r="AJ2666" t="s">
        <v>52</v>
      </c>
      <c r="AK2666" t="s">
        <v>52</v>
      </c>
      <c r="AL2666" t="str">
        <f>HYPERLINK("https://pbs.twimg.com/ext_tw_video_thumb/1136352657986035713/pu/img/9ms8M1ydvlhoNCD9.jpg")</f>
        <v>https://pbs.twimg.com/ext_tw_video_thumb/1136352657986035713/pu/img/9ms8M1ydvlhoNCD9.jpg</v>
      </c>
      <c r="AM2666" t="s">
        <v>52</v>
      </c>
      <c r="AN2666" t="s">
        <v>53</v>
      </c>
    </row>
    <row r="2667" spans="1:40">
      <c r="A2667" t="s">
        <v>8081</v>
      </c>
      <c r="B2667" t="s">
        <v>8829</v>
      </c>
      <c r="C2667" t="s">
        <v>8834</v>
      </c>
      <c r="D2667" t="s">
        <v>52</v>
      </c>
      <c r="E2667" t="s">
        <v>130</v>
      </c>
      <c r="F2667" t="s">
        <v>131</v>
      </c>
      <c r="G2667" t="str">
        <f>HYPERLINK("https://twitter.com/117846751/status/1142964414141915137")</f>
        <v>https://twitter.com/117846751/status/1142964414141915137</v>
      </c>
      <c r="H2667" t="s">
        <v>46</v>
      </c>
      <c r="I2667" t="s">
        <v>8835</v>
      </c>
      <c r="J2667" t="str">
        <f>HYPERLINK("http://twitter.com/rejcomp")</f>
        <v>http://twitter.com/rejcomp</v>
      </c>
      <c r="K2667">
        <v>210</v>
      </c>
      <c r="N2667" t="s">
        <v>65</v>
      </c>
      <c r="R2667" t="s">
        <v>60</v>
      </c>
      <c r="W2667">
        <v>0</v>
      </c>
      <c r="X2667">
        <v>0</v>
      </c>
      <c r="AE2667">
        <v>0</v>
      </c>
      <c r="AI2667" t="s">
        <v>108</v>
      </c>
      <c r="AJ2667" t="s">
        <v>52</v>
      </c>
      <c r="AK2667" t="s">
        <v>52</v>
      </c>
      <c r="AL2667" t="str">
        <f>HYPERLINK("https://pbs.twimg.com/media/D9XTkLWW4AAOYnJ.jpg")</f>
        <v>https://pbs.twimg.com/media/D9XTkLWW4AAOYnJ.jpg</v>
      </c>
      <c r="AM2667" t="s">
        <v>52</v>
      </c>
      <c r="AN2667" t="s">
        <v>53</v>
      </c>
    </row>
    <row r="2668" spans="1:40">
      <c r="A2668" t="s">
        <v>8081</v>
      </c>
      <c r="B2668" t="s">
        <v>3115</v>
      </c>
      <c r="C2668" t="s">
        <v>7221</v>
      </c>
      <c r="D2668" t="s">
        <v>52</v>
      </c>
      <c r="E2668" t="s">
        <v>8836</v>
      </c>
      <c r="F2668" t="s">
        <v>45</v>
      </c>
      <c r="G2668" t="str">
        <f>HYPERLINK("https://www.instagram.com/p/BzEtzHQgDE3")</f>
        <v>https://www.instagram.com/p/BzEtzHQgDE3</v>
      </c>
      <c r="H2668" t="s">
        <v>46</v>
      </c>
      <c r="I2668" t="s">
        <v>8837</v>
      </c>
      <c r="J2668" t="str">
        <f>HYPERLINK("http://instagram.com/marquesjv")</f>
        <v>http://instagram.com/marquesjv</v>
      </c>
      <c r="K2668">
        <v>3849</v>
      </c>
      <c r="L2668" t="s">
        <v>48</v>
      </c>
      <c r="N2668" t="s">
        <v>59</v>
      </c>
      <c r="O2668" t="s">
        <v>8837</v>
      </c>
      <c r="P2668" t="str">
        <f>HYPERLINK("http://instagram.com/marquesjv")</f>
        <v>http://instagram.com/marquesjv</v>
      </c>
      <c r="Q2668">
        <v>3849</v>
      </c>
      <c r="R2668" t="s">
        <v>60</v>
      </c>
      <c r="S2668" t="s">
        <v>432</v>
      </c>
      <c r="T2668" t="s">
        <v>433</v>
      </c>
      <c r="W2668">
        <v>99</v>
      </c>
      <c r="X2668">
        <v>99</v>
      </c>
      <c r="AE2668">
        <v>2</v>
      </c>
      <c r="AI2668" t="s">
        <v>108</v>
      </c>
      <c r="AJ2668" t="s">
        <v>52</v>
      </c>
      <c r="AK2668" t="s">
        <v>3299</v>
      </c>
      <c r="AL2668" t="str">
        <f>HYPERLINK("https://www.instagram.com/p/BzEtzHQgDE3/media/?size=l")</f>
        <v>https://www.instagram.com/p/BzEtzHQgDE3/media/?size=l</v>
      </c>
      <c r="AM2668" t="s">
        <v>52</v>
      </c>
      <c r="AN2668" t="s">
        <v>53</v>
      </c>
    </row>
    <row r="2669" spans="1:40">
      <c r="A2669" t="s">
        <v>8081</v>
      </c>
      <c r="B2669" t="s">
        <v>8838</v>
      </c>
      <c r="C2669" t="s">
        <v>8839</v>
      </c>
      <c r="D2669" t="s">
        <v>52</v>
      </c>
      <c r="E2669" t="s">
        <v>8840</v>
      </c>
      <c r="F2669" t="s">
        <v>45</v>
      </c>
      <c r="G2669" t="str">
        <f>HYPERLINK("https://twitter.com/1020377713/status/1142964044007202816")</f>
        <v>https://twitter.com/1020377713/status/1142964044007202816</v>
      </c>
      <c r="H2669" t="s">
        <v>215</v>
      </c>
      <c r="I2669" t="s">
        <v>8841</v>
      </c>
      <c r="J2669" t="str">
        <f>HYPERLINK("http://twitter.com/nagy_nagyclan")</f>
        <v>http://twitter.com/nagy_nagyclan</v>
      </c>
      <c r="K2669">
        <v>343</v>
      </c>
      <c r="L2669" t="s">
        <v>58</v>
      </c>
      <c r="N2669" t="s">
        <v>65</v>
      </c>
      <c r="R2669" t="s">
        <v>60</v>
      </c>
      <c r="W2669">
        <v>0</v>
      </c>
      <c r="X2669">
        <v>0</v>
      </c>
      <c r="AE2669">
        <v>0</v>
      </c>
      <c r="AF2669">
        <v>0</v>
      </c>
      <c r="AM2669" t="s">
        <v>52</v>
      </c>
      <c r="AN2669" t="s">
        <v>53</v>
      </c>
    </row>
    <row r="2670" spans="1:40">
      <c r="A2670" t="s">
        <v>8081</v>
      </c>
      <c r="B2670" t="s">
        <v>8838</v>
      </c>
      <c r="C2670" t="s">
        <v>8465</v>
      </c>
      <c r="D2670" t="s">
        <v>8842</v>
      </c>
      <c r="E2670" t="s">
        <v>8843</v>
      </c>
      <c r="F2670" t="s">
        <v>45</v>
      </c>
      <c r="G2670" t="str">
        <f>HYPERLINK("https://www.youtube.com/watch?v=oXWydMJZO2o")</f>
        <v>https://www.youtube.com/watch?v=oXWydMJZO2o</v>
      </c>
      <c r="H2670" t="s">
        <v>46</v>
      </c>
      <c r="I2670" t="s">
        <v>8844</v>
      </c>
      <c r="J2670" t="str">
        <f>HYPERLINK("https://www.youtube.com/channel/UCA3Fw_NRiG9CIMS1i8ki-oQ")</f>
        <v>https://www.youtube.com/channel/UCA3Fw_NRiG9CIMS1i8ki-oQ</v>
      </c>
      <c r="K2670">
        <v>83</v>
      </c>
      <c r="N2670" t="s">
        <v>116</v>
      </c>
      <c r="O2670" t="s">
        <v>8844</v>
      </c>
      <c r="P2670" t="str">
        <f>HYPERLINK("https://www.youtube.com/channel/UCA3Fw_NRiG9CIMS1i8ki-oQ")</f>
        <v>https://www.youtube.com/channel/UCA3Fw_NRiG9CIMS1i8ki-oQ</v>
      </c>
      <c r="Q2670">
        <v>83</v>
      </c>
      <c r="R2670" t="s">
        <v>60</v>
      </c>
      <c r="W2670">
        <v>1</v>
      </c>
      <c r="X2670">
        <v>1</v>
      </c>
      <c r="AD2670">
        <v>0</v>
      </c>
      <c r="AE2670">
        <v>0</v>
      </c>
      <c r="AG2670">
        <v>13</v>
      </c>
      <c r="AI2670" t="s">
        <v>52</v>
      </c>
      <c r="AJ2670" t="s">
        <v>8845</v>
      </c>
      <c r="AK2670" t="s">
        <v>110</v>
      </c>
      <c r="AL2670" t="str">
        <f>HYPERLINK("https://i.ytimg.com/vi/oXWydMJZO2o/maxresdefault.jpg")</f>
        <v>https://i.ytimg.com/vi/oXWydMJZO2o/maxresdefault.jpg</v>
      </c>
      <c r="AM2670" t="s">
        <v>52</v>
      </c>
      <c r="AN2670" t="s">
        <v>53</v>
      </c>
    </row>
    <row r="2671" spans="1:40">
      <c r="A2671" t="s">
        <v>8081</v>
      </c>
      <c r="B2671" t="s">
        <v>8838</v>
      </c>
      <c r="C2671" t="s">
        <v>8816</v>
      </c>
      <c r="D2671" t="s">
        <v>52</v>
      </c>
      <c r="E2671" t="s">
        <v>8846</v>
      </c>
      <c r="F2671" t="s">
        <v>45</v>
      </c>
      <c r="G2671" t="str">
        <f>HYPERLINK("https://www.instagram.com/p/BzEtqs7AvUe")</f>
        <v>https://www.instagram.com/p/BzEtqs7AvUe</v>
      </c>
      <c r="H2671" t="s">
        <v>46</v>
      </c>
      <c r="I2671" t="s">
        <v>8847</v>
      </c>
      <c r="J2671" t="str">
        <f>HYPERLINK("http://instagram.com/growing_with_grace")</f>
        <v>http://instagram.com/growing_with_grace</v>
      </c>
      <c r="K2671">
        <v>154</v>
      </c>
      <c r="N2671" t="s">
        <v>59</v>
      </c>
      <c r="O2671" t="s">
        <v>8847</v>
      </c>
      <c r="P2671" t="str">
        <f>HYPERLINK("http://instagram.com/growing_with_grace")</f>
        <v>http://instagram.com/growing_with_grace</v>
      </c>
      <c r="Q2671">
        <v>154</v>
      </c>
      <c r="R2671" t="s">
        <v>60</v>
      </c>
      <c r="W2671">
        <v>2</v>
      </c>
      <c r="X2671">
        <v>2</v>
      </c>
      <c r="AE2671">
        <v>0</v>
      </c>
      <c r="AI2671" t="s">
        <v>52</v>
      </c>
      <c r="AJ2671" t="s">
        <v>765</v>
      </c>
      <c r="AK2671" t="s">
        <v>52</v>
      </c>
      <c r="AL2671" t="str">
        <f>HYPERLINK("https://www.instagram.com/p/BzEtqs7AvUe/media/?size=l")</f>
        <v>https://www.instagram.com/p/BzEtqs7AvUe/media/?size=l</v>
      </c>
      <c r="AM2671" t="s">
        <v>52</v>
      </c>
      <c r="AN2671" t="s">
        <v>53</v>
      </c>
    </row>
    <row r="2672" spans="1:40">
      <c r="A2672" t="s">
        <v>8081</v>
      </c>
      <c r="B2672" t="s">
        <v>8848</v>
      </c>
      <c r="C2672" t="s">
        <v>8849</v>
      </c>
      <c r="D2672" t="s">
        <v>52</v>
      </c>
      <c r="E2672" t="s">
        <v>8566</v>
      </c>
      <c r="F2672" t="s">
        <v>131</v>
      </c>
      <c r="G2672" t="str">
        <f>HYPERLINK("https://twitter.com/109983193/status/1142963113416908800")</f>
        <v>https://twitter.com/109983193/status/1142963113416908800</v>
      </c>
      <c r="H2672" t="s">
        <v>46</v>
      </c>
      <c r="I2672" t="s">
        <v>8850</v>
      </c>
      <c r="J2672" t="str">
        <f>HYPERLINK("http://twitter.com/ShannanDIOR")</f>
        <v>http://twitter.com/ShannanDIOR</v>
      </c>
      <c r="K2672">
        <v>435</v>
      </c>
      <c r="N2672" t="s">
        <v>65</v>
      </c>
      <c r="R2672" t="s">
        <v>60</v>
      </c>
      <c r="S2672" t="s">
        <v>51</v>
      </c>
      <c r="T2672" t="s">
        <v>497</v>
      </c>
      <c r="U2672" t="s">
        <v>1968</v>
      </c>
      <c r="W2672">
        <v>0</v>
      </c>
      <c r="X2672">
        <v>0</v>
      </c>
      <c r="AE2672">
        <v>0</v>
      </c>
      <c r="AM2672" t="s">
        <v>52</v>
      </c>
      <c r="AN2672" t="s">
        <v>53</v>
      </c>
    </row>
    <row r="2673" spans="1:40">
      <c r="A2673" t="s">
        <v>8081</v>
      </c>
      <c r="B2673" t="s">
        <v>8848</v>
      </c>
      <c r="C2673" t="s">
        <v>8851</v>
      </c>
      <c r="D2673" t="s">
        <v>52</v>
      </c>
      <c r="E2673" t="s">
        <v>8852</v>
      </c>
      <c r="F2673" t="s">
        <v>45</v>
      </c>
      <c r="G2673" t="str">
        <f>HYPERLINK("https://www.instagram.com/p/BzEtSs_BhXv")</f>
        <v>https://www.instagram.com/p/BzEtSs_BhXv</v>
      </c>
      <c r="H2673" t="s">
        <v>46</v>
      </c>
      <c r="I2673" t="s">
        <v>8853</v>
      </c>
      <c r="J2673" t="str">
        <f>HYPERLINK("http://instagram.com/takclark3ayoyo")</f>
        <v>http://instagram.com/takclark3ayoyo</v>
      </c>
      <c r="K2673">
        <v>736</v>
      </c>
      <c r="N2673" t="s">
        <v>59</v>
      </c>
      <c r="O2673" t="s">
        <v>8853</v>
      </c>
      <c r="P2673" t="str">
        <f>HYPERLINK("http://instagram.com/takclark3ayoyo")</f>
        <v>http://instagram.com/takclark3ayoyo</v>
      </c>
      <c r="Q2673">
        <v>736</v>
      </c>
      <c r="R2673" t="s">
        <v>60</v>
      </c>
      <c r="W2673">
        <v>26</v>
      </c>
      <c r="X2673">
        <v>26</v>
      </c>
      <c r="AE2673">
        <v>0</v>
      </c>
      <c r="AI2673" t="s">
        <v>108</v>
      </c>
      <c r="AJ2673" t="s">
        <v>52</v>
      </c>
      <c r="AK2673" t="s">
        <v>273</v>
      </c>
      <c r="AL2673" t="str">
        <f>HYPERLINK("https://www.instagram.com/p/BzEtSs_BhXv/media/?size=l")</f>
        <v>https://www.instagram.com/p/BzEtSs_BhXv/media/?size=l</v>
      </c>
      <c r="AM2673" t="s">
        <v>52</v>
      </c>
      <c r="AN2673" t="s">
        <v>53</v>
      </c>
    </row>
    <row r="2674" spans="1:40">
      <c r="A2674" t="s">
        <v>8081</v>
      </c>
      <c r="B2674" t="s">
        <v>8854</v>
      </c>
      <c r="C2674" t="s">
        <v>8855</v>
      </c>
      <c r="D2674" t="s">
        <v>52</v>
      </c>
      <c r="E2674" t="s">
        <v>8856</v>
      </c>
      <c r="F2674" t="s">
        <v>45</v>
      </c>
      <c r="G2674" t="str">
        <f>HYPERLINK("https://www.instagram.com/p/BzEtMpqnP-t")</f>
        <v>https://www.instagram.com/p/BzEtMpqnP-t</v>
      </c>
      <c r="H2674" t="s">
        <v>46</v>
      </c>
      <c r="I2674" t="s">
        <v>8857</v>
      </c>
      <c r="J2674" t="str">
        <f>HYPERLINK("http://instagram.com/f4gtr0n")</f>
        <v>http://instagram.com/f4gtr0n</v>
      </c>
      <c r="K2674">
        <v>522</v>
      </c>
      <c r="N2674" t="s">
        <v>59</v>
      </c>
      <c r="O2674" t="s">
        <v>8857</v>
      </c>
      <c r="P2674" t="str">
        <f>HYPERLINK("http://instagram.com/f4gtr0n")</f>
        <v>http://instagram.com/f4gtr0n</v>
      </c>
      <c r="Q2674">
        <v>522</v>
      </c>
      <c r="R2674" t="s">
        <v>60</v>
      </c>
      <c r="S2674" t="s">
        <v>51</v>
      </c>
      <c r="T2674" t="s">
        <v>173</v>
      </c>
      <c r="U2674" t="s">
        <v>8858</v>
      </c>
      <c r="W2674">
        <v>12</v>
      </c>
      <c r="X2674">
        <v>12</v>
      </c>
      <c r="AE2674">
        <v>1</v>
      </c>
      <c r="AI2674" t="s">
        <v>52</v>
      </c>
      <c r="AJ2674" t="s">
        <v>8859</v>
      </c>
      <c r="AK2674" t="s">
        <v>52</v>
      </c>
      <c r="AL2674" t="str">
        <f>HYPERLINK("https://www.instagram.com/p/BzEtMpqnP-t/media/?size=l")</f>
        <v>https://www.instagram.com/p/BzEtMpqnP-t/media/?size=l</v>
      </c>
      <c r="AM2674" t="s">
        <v>52</v>
      </c>
      <c r="AN2674" t="s">
        <v>53</v>
      </c>
    </row>
    <row r="2675" spans="1:40">
      <c r="A2675" t="s">
        <v>8081</v>
      </c>
      <c r="B2675" t="s">
        <v>3126</v>
      </c>
      <c r="C2675" t="s">
        <v>8747</v>
      </c>
      <c r="D2675" t="s">
        <v>52</v>
      </c>
      <c r="E2675" t="s">
        <v>8860</v>
      </c>
      <c r="F2675" t="s">
        <v>45</v>
      </c>
      <c r="G2675" t="str">
        <f>HYPERLINK("https://www.instagram.com/p/BzEtKTag9to")</f>
        <v>https://www.instagram.com/p/BzEtKTag9to</v>
      </c>
      <c r="H2675" t="s">
        <v>46</v>
      </c>
      <c r="I2675" t="s">
        <v>8861</v>
      </c>
      <c r="J2675" t="str">
        <f>HYPERLINK("http://instagram.com/r3_srt")</f>
        <v>http://instagram.com/r3_srt</v>
      </c>
      <c r="K2675">
        <v>360</v>
      </c>
      <c r="L2675" t="s">
        <v>48</v>
      </c>
      <c r="N2675" t="s">
        <v>59</v>
      </c>
      <c r="O2675" t="s">
        <v>8861</v>
      </c>
      <c r="P2675" t="str">
        <f>HYPERLINK("http://instagram.com/r3_srt")</f>
        <v>http://instagram.com/r3_srt</v>
      </c>
      <c r="Q2675">
        <v>360</v>
      </c>
      <c r="R2675" t="s">
        <v>60</v>
      </c>
      <c r="S2675" t="s">
        <v>51</v>
      </c>
      <c r="T2675" t="s">
        <v>152</v>
      </c>
      <c r="U2675" t="s">
        <v>8862</v>
      </c>
      <c r="W2675">
        <v>26</v>
      </c>
      <c r="X2675">
        <v>26</v>
      </c>
      <c r="AE2675">
        <v>2</v>
      </c>
      <c r="AI2675" t="s">
        <v>52</v>
      </c>
      <c r="AJ2675" t="s">
        <v>985</v>
      </c>
      <c r="AK2675" t="s">
        <v>52</v>
      </c>
      <c r="AL2675" t="str">
        <f>HYPERLINK("https://www.instagram.com/p/BzEtKTag9to/media/?size=l")</f>
        <v>https://www.instagram.com/p/BzEtKTag9to/media/?size=l</v>
      </c>
      <c r="AM2675" t="s">
        <v>52</v>
      </c>
      <c r="AN2675" t="s">
        <v>53</v>
      </c>
    </row>
    <row r="2676" spans="1:40">
      <c r="A2676" t="s">
        <v>8081</v>
      </c>
      <c r="B2676" t="s">
        <v>3126</v>
      </c>
      <c r="C2676" t="s">
        <v>8863</v>
      </c>
      <c r="D2676" t="s">
        <v>52</v>
      </c>
      <c r="E2676" t="s">
        <v>7168</v>
      </c>
      <c r="F2676" t="s">
        <v>45</v>
      </c>
      <c r="G2676" t="str">
        <f>HYPERLINK("https://twitter.com/1864830000/status/1142962662680043520")</f>
        <v>https://twitter.com/1864830000/status/1142962662680043520</v>
      </c>
      <c r="H2676" t="s">
        <v>91</v>
      </c>
      <c r="I2676" t="s">
        <v>8864</v>
      </c>
      <c r="J2676" t="str">
        <f>HYPERLINK("http://twitter.com/atyant_clueless")</f>
        <v>http://twitter.com/atyant_clueless</v>
      </c>
      <c r="K2676">
        <v>2425</v>
      </c>
      <c r="L2676" t="s">
        <v>48</v>
      </c>
      <c r="N2676" t="s">
        <v>65</v>
      </c>
      <c r="R2676" t="s">
        <v>60</v>
      </c>
      <c r="S2676" t="s">
        <v>315</v>
      </c>
      <c r="T2676" t="s">
        <v>7335</v>
      </c>
      <c r="U2676" t="s">
        <v>7336</v>
      </c>
      <c r="W2676">
        <v>11</v>
      </c>
      <c r="X2676">
        <v>11</v>
      </c>
      <c r="AE2676">
        <v>2</v>
      </c>
      <c r="AF2676">
        <v>4</v>
      </c>
      <c r="AM2676" t="s">
        <v>52</v>
      </c>
      <c r="AN2676" t="s">
        <v>53</v>
      </c>
    </row>
    <row r="2677" spans="1:40">
      <c r="A2677" t="s">
        <v>8081</v>
      </c>
      <c r="B2677" t="s">
        <v>3126</v>
      </c>
      <c r="C2677" t="s">
        <v>8863</v>
      </c>
      <c r="D2677" t="s">
        <v>52</v>
      </c>
      <c r="E2677" t="s">
        <v>1194</v>
      </c>
      <c r="F2677" t="s">
        <v>131</v>
      </c>
      <c r="G2677" t="str">
        <f>HYPERLINK("https://twitter.com/712672367965827072/status/1142962647534641155")</f>
        <v>https://twitter.com/712672367965827072/status/1142962647534641155</v>
      </c>
      <c r="H2677" t="s">
        <v>46</v>
      </c>
      <c r="I2677" t="s">
        <v>8865</v>
      </c>
      <c r="J2677" t="str">
        <f>HYPERLINK("http://twitter.com/ImANaturalRed")</f>
        <v>http://twitter.com/ImANaturalRed</v>
      </c>
      <c r="K2677">
        <v>502</v>
      </c>
      <c r="N2677" t="s">
        <v>65</v>
      </c>
      <c r="R2677" t="s">
        <v>60</v>
      </c>
      <c r="S2677" t="s">
        <v>51</v>
      </c>
      <c r="T2677" t="s">
        <v>137</v>
      </c>
      <c r="W2677">
        <v>0</v>
      </c>
      <c r="X2677">
        <v>0</v>
      </c>
      <c r="AE2677">
        <v>0</v>
      </c>
      <c r="AI2677" t="s">
        <v>52</v>
      </c>
      <c r="AJ2677" t="s">
        <v>1196</v>
      </c>
      <c r="AK2677" t="s">
        <v>52</v>
      </c>
      <c r="AL2677" t="str">
        <f>HYPERLINK("https://pbs.twimg.com/media/D9xgk2YXkAAd2ql.jpg")</f>
        <v>https://pbs.twimg.com/media/D9xgk2YXkAAd2ql.jpg</v>
      </c>
      <c r="AM2677" t="s">
        <v>52</v>
      </c>
      <c r="AN2677" t="s">
        <v>53</v>
      </c>
    </row>
    <row r="2678" spans="1:40">
      <c r="A2678" t="s">
        <v>8081</v>
      </c>
      <c r="B2678" t="s">
        <v>3126</v>
      </c>
      <c r="C2678" t="s">
        <v>8805</v>
      </c>
      <c r="D2678" t="s">
        <v>52</v>
      </c>
      <c r="E2678" t="s">
        <v>8866</v>
      </c>
      <c r="F2678" t="s">
        <v>45</v>
      </c>
      <c r="G2678" t="str">
        <f>HYPERLINK("https://www.instagram.com/p/BzEtFZQnX3l")</f>
        <v>https://www.instagram.com/p/BzEtFZQnX3l</v>
      </c>
      <c r="H2678" t="s">
        <v>46</v>
      </c>
      <c r="I2678" t="s">
        <v>8867</v>
      </c>
      <c r="J2678" t="str">
        <f>HYPERLINK("http://instagram.com/perplexing_line")</f>
        <v>http://instagram.com/perplexing_line</v>
      </c>
      <c r="K2678">
        <v>75</v>
      </c>
      <c r="L2678" t="s">
        <v>48</v>
      </c>
      <c r="N2678" t="s">
        <v>59</v>
      </c>
      <c r="O2678" t="s">
        <v>8867</v>
      </c>
      <c r="P2678" t="str">
        <f>HYPERLINK("http://instagram.com/perplexing_line")</f>
        <v>http://instagram.com/perplexing_line</v>
      </c>
      <c r="Q2678">
        <v>75</v>
      </c>
      <c r="R2678" t="s">
        <v>60</v>
      </c>
      <c r="W2678">
        <v>19</v>
      </c>
      <c r="X2678">
        <v>19</v>
      </c>
      <c r="AE2678">
        <v>0</v>
      </c>
      <c r="AI2678" t="s">
        <v>52</v>
      </c>
      <c r="AJ2678" t="s">
        <v>2175</v>
      </c>
      <c r="AK2678" t="s">
        <v>8868</v>
      </c>
      <c r="AL2678" t="str">
        <f>HYPERLINK("https://www.instagram.com/p/BzEtFZQnX3l/media/?size=l")</f>
        <v>https://www.instagram.com/p/BzEtFZQnX3l/media/?size=l</v>
      </c>
      <c r="AM2678" t="s">
        <v>52</v>
      </c>
      <c r="AN2678" t="s">
        <v>53</v>
      </c>
    </row>
    <row r="2679" spans="1:40">
      <c r="A2679" t="s">
        <v>8081</v>
      </c>
      <c r="B2679" t="s">
        <v>3126</v>
      </c>
      <c r="C2679" t="s">
        <v>8489</v>
      </c>
      <c r="D2679" t="s">
        <v>3698</v>
      </c>
      <c r="E2679" t="s">
        <v>3699</v>
      </c>
      <c r="F2679" t="s">
        <v>45</v>
      </c>
      <c r="G2679" t="str">
        <f>HYPERLINK("https://www.youtube.com/watch?v=ZACK9pvWreg")</f>
        <v>https://www.youtube.com/watch?v=ZACK9pvWreg</v>
      </c>
      <c r="H2679" t="s">
        <v>46</v>
      </c>
      <c r="I2679" t="s">
        <v>3700</v>
      </c>
      <c r="J2679" t="str">
        <f>HYPERLINK("https://www.youtube.com/channel/UCYFQ-dUX6qWqoJY1uHYZJmg")</f>
        <v>https://www.youtube.com/channel/UCYFQ-dUX6qWqoJY1uHYZJmg</v>
      </c>
      <c r="K2679">
        <v>297</v>
      </c>
      <c r="N2679" t="s">
        <v>116</v>
      </c>
      <c r="O2679" t="s">
        <v>3700</v>
      </c>
      <c r="P2679" t="str">
        <f>HYPERLINK("https://www.youtube.com/channel/UCYFQ-dUX6qWqoJY1uHYZJmg")</f>
        <v>https://www.youtube.com/channel/UCYFQ-dUX6qWqoJY1uHYZJmg</v>
      </c>
      <c r="Q2679">
        <v>297</v>
      </c>
      <c r="R2679" t="s">
        <v>60</v>
      </c>
      <c r="S2679" t="s">
        <v>51</v>
      </c>
      <c r="W2679">
        <v>1</v>
      </c>
      <c r="X2679">
        <v>1</v>
      </c>
      <c r="AD2679">
        <v>1</v>
      </c>
      <c r="AE2679">
        <v>0</v>
      </c>
      <c r="AG2679">
        <v>11</v>
      </c>
      <c r="AI2679" t="s">
        <v>52</v>
      </c>
      <c r="AJ2679" t="s">
        <v>52</v>
      </c>
      <c r="AK2679" t="s">
        <v>8869</v>
      </c>
      <c r="AL2679" t="str">
        <f>HYPERLINK("https://i.ytimg.com/vi/ZACK9pvWreg/hqdefault.jpg")</f>
        <v>https://i.ytimg.com/vi/ZACK9pvWreg/hqdefault.jpg</v>
      </c>
      <c r="AM2679" t="s">
        <v>52</v>
      </c>
      <c r="AN2679" t="s">
        <v>53</v>
      </c>
    </row>
    <row r="2680" spans="1:40">
      <c r="A2680" t="s">
        <v>8081</v>
      </c>
      <c r="B2680" t="s">
        <v>3126</v>
      </c>
      <c r="C2680" t="s">
        <v>8870</v>
      </c>
      <c r="D2680" t="s">
        <v>52</v>
      </c>
      <c r="E2680" t="s">
        <v>8871</v>
      </c>
      <c r="F2680" t="s">
        <v>95</v>
      </c>
      <c r="G2680" t="str">
        <f>HYPERLINK("https://twitter.com/1140976270802587652/status/1142962604559806464")</f>
        <v>https://twitter.com/1140976270802587652/status/1142962604559806464</v>
      </c>
      <c r="H2680" t="s">
        <v>46</v>
      </c>
      <c r="I2680" t="s">
        <v>8872</v>
      </c>
      <c r="J2680" t="str">
        <f>HYPERLINK("http://twitter.com/mammysliltigs")</f>
        <v>http://twitter.com/mammysliltigs</v>
      </c>
      <c r="K2680">
        <v>3</v>
      </c>
      <c r="N2680" t="s">
        <v>65</v>
      </c>
      <c r="R2680" t="s">
        <v>60</v>
      </c>
      <c r="S2680" t="s">
        <v>97</v>
      </c>
      <c r="T2680" t="s">
        <v>177</v>
      </c>
      <c r="W2680">
        <v>1</v>
      </c>
      <c r="X2680">
        <v>1</v>
      </c>
      <c r="AE2680">
        <v>1</v>
      </c>
      <c r="AF2680">
        <v>0</v>
      </c>
      <c r="AM2680" t="s">
        <v>52</v>
      </c>
      <c r="AN2680" t="s">
        <v>53</v>
      </c>
    </row>
    <row r="2681" spans="1:40">
      <c r="A2681" t="s">
        <v>8081</v>
      </c>
      <c r="B2681" t="s">
        <v>3126</v>
      </c>
      <c r="C2681" t="s">
        <v>8870</v>
      </c>
      <c r="D2681" t="s">
        <v>52</v>
      </c>
      <c r="E2681" t="s">
        <v>8873</v>
      </c>
      <c r="F2681" t="s">
        <v>45</v>
      </c>
      <c r="G2681" t="str">
        <f>HYPERLINK("https://twitter.com/902363770764320769/status/1142962595277758464")</f>
        <v>https://twitter.com/902363770764320769/status/1142962595277758464</v>
      </c>
      <c r="H2681" t="s">
        <v>46</v>
      </c>
      <c r="I2681" t="s">
        <v>8874</v>
      </c>
      <c r="J2681" t="str">
        <f>HYPERLINK("http://twitter.com/Umcaralhao")</f>
        <v>http://twitter.com/Umcaralhao</v>
      </c>
      <c r="K2681">
        <v>48</v>
      </c>
      <c r="N2681" t="s">
        <v>65</v>
      </c>
      <c r="R2681" t="s">
        <v>60</v>
      </c>
      <c r="S2681" t="s">
        <v>432</v>
      </c>
      <c r="T2681" t="s">
        <v>433</v>
      </c>
      <c r="W2681">
        <v>0</v>
      </c>
      <c r="X2681">
        <v>0</v>
      </c>
      <c r="AE2681">
        <v>1</v>
      </c>
      <c r="AF2681">
        <v>0</v>
      </c>
      <c r="AM2681" t="s">
        <v>52</v>
      </c>
      <c r="AN2681" t="s">
        <v>53</v>
      </c>
    </row>
    <row r="2682" spans="1:40">
      <c r="A2682" t="s">
        <v>8081</v>
      </c>
      <c r="B2682" t="s">
        <v>3130</v>
      </c>
      <c r="C2682" t="s">
        <v>8849</v>
      </c>
      <c r="D2682" t="s">
        <v>52</v>
      </c>
      <c r="E2682" t="s">
        <v>8875</v>
      </c>
      <c r="F2682" t="s">
        <v>45</v>
      </c>
      <c r="G2682" t="str">
        <f>HYPERLINK("https://twitter.com/1635428484/status/1142962508589748224")</f>
        <v>https://twitter.com/1635428484/status/1142962508589748224</v>
      </c>
      <c r="H2682" t="s">
        <v>91</v>
      </c>
      <c r="I2682" t="s">
        <v>8876</v>
      </c>
      <c r="J2682" t="str">
        <f>HYPERLINK("http://twitter.com/teatimeroses")</f>
        <v>http://twitter.com/teatimeroses</v>
      </c>
      <c r="K2682">
        <v>97</v>
      </c>
      <c r="N2682" t="s">
        <v>65</v>
      </c>
      <c r="R2682" t="s">
        <v>60</v>
      </c>
      <c r="S2682" t="s">
        <v>51</v>
      </c>
      <c r="T2682" t="s">
        <v>678</v>
      </c>
      <c r="U2682" t="s">
        <v>8877</v>
      </c>
      <c r="W2682">
        <v>3</v>
      </c>
      <c r="X2682">
        <v>3</v>
      </c>
      <c r="AE2682">
        <v>0</v>
      </c>
      <c r="AF2682">
        <v>0</v>
      </c>
      <c r="AM2682" t="s">
        <v>52</v>
      </c>
      <c r="AN2682" t="s">
        <v>53</v>
      </c>
    </row>
    <row r="2683" spans="1:40">
      <c r="A2683" t="s">
        <v>8081</v>
      </c>
      <c r="B2683" t="s">
        <v>3130</v>
      </c>
      <c r="C2683" t="s">
        <v>8878</v>
      </c>
      <c r="D2683" t="s">
        <v>52</v>
      </c>
      <c r="E2683" t="s">
        <v>8879</v>
      </c>
      <c r="F2683" t="s">
        <v>45</v>
      </c>
      <c r="G2683" t="str">
        <f>HYPERLINK("https://twitter.com/324729194/status/1142962364796538885")</f>
        <v>https://twitter.com/324729194/status/1142962364796538885</v>
      </c>
      <c r="H2683" t="s">
        <v>46</v>
      </c>
      <c r="I2683" t="s">
        <v>8880</v>
      </c>
      <c r="J2683" t="str">
        <f>HYPERLINK("http://twitter.com/twok107")</f>
        <v>http://twitter.com/twok107</v>
      </c>
      <c r="K2683">
        <v>221</v>
      </c>
      <c r="N2683" t="s">
        <v>65</v>
      </c>
      <c r="R2683" t="s">
        <v>60</v>
      </c>
      <c r="S2683" t="s">
        <v>444</v>
      </c>
      <c r="T2683" t="s">
        <v>8442</v>
      </c>
      <c r="U2683" t="s">
        <v>8881</v>
      </c>
      <c r="W2683">
        <v>0</v>
      </c>
      <c r="X2683">
        <v>0</v>
      </c>
      <c r="AE2683">
        <v>0</v>
      </c>
      <c r="AF2683">
        <v>0</v>
      </c>
      <c r="AI2683" t="s">
        <v>52</v>
      </c>
      <c r="AJ2683" t="s">
        <v>452</v>
      </c>
      <c r="AK2683" t="s">
        <v>8882</v>
      </c>
      <c r="AL2683" t="str">
        <f>HYPERLINK("https://pbs.twimg.com/tweet_video_thumb/D9yeNXLX4AIr-Fk.jpg")</f>
        <v>https://pbs.twimg.com/tweet_video_thumb/D9yeNXLX4AIr-Fk.jpg</v>
      </c>
      <c r="AM2683" t="s">
        <v>52</v>
      </c>
      <c r="AN2683" t="s">
        <v>53</v>
      </c>
    </row>
    <row r="2684" spans="1:40">
      <c r="A2684" t="s">
        <v>8081</v>
      </c>
      <c r="B2684" t="s">
        <v>8883</v>
      </c>
      <c r="C2684" t="s">
        <v>8884</v>
      </c>
      <c r="D2684" t="s">
        <v>8398</v>
      </c>
      <c r="E2684" t="s">
        <v>8483</v>
      </c>
      <c r="F2684" t="s">
        <v>45</v>
      </c>
      <c r="G2684" t="str">
        <f>HYPERLINK("https://www.youtube.com/watch?v=cJNhiyIr2WE")</f>
        <v>https://www.youtube.com/watch?v=cJNhiyIr2WE</v>
      </c>
      <c r="H2684" t="s">
        <v>46</v>
      </c>
      <c r="I2684" t="s">
        <v>8484</v>
      </c>
      <c r="J2684" t="str">
        <f>HYPERLINK("https://www.youtube.com/channel/UCofjChv5kFhQMuFpbwM6tqA")</f>
        <v>https://www.youtube.com/channel/UCofjChv5kFhQMuFpbwM6tqA</v>
      </c>
      <c r="K2684">
        <v>38</v>
      </c>
      <c r="N2684" t="s">
        <v>116</v>
      </c>
      <c r="O2684" t="s">
        <v>8484</v>
      </c>
      <c r="P2684" t="str">
        <f>HYPERLINK("https://www.youtube.com/channel/UCofjChv5kFhQMuFpbwM6tqA")</f>
        <v>https://www.youtube.com/channel/UCofjChv5kFhQMuFpbwM6tqA</v>
      </c>
      <c r="Q2684">
        <v>38</v>
      </c>
      <c r="R2684" t="s">
        <v>60</v>
      </c>
      <c r="W2684">
        <v>1</v>
      </c>
      <c r="X2684">
        <v>1</v>
      </c>
      <c r="AD2684">
        <v>2</v>
      </c>
      <c r="AE2684">
        <v>0</v>
      </c>
      <c r="AG2684">
        <v>166</v>
      </c>
      <c r="AI2684" t="s">
        <v>52</v>
      </c>
      <c r="AJ2684" t="s">
        <v>899</v>
      </c>
      <c r="AK2684" t="s">
        <v>341</v>
      </c>
      <c r="AL2684" t="str">
        <f>HYPERLINK("https://i.ytimg.com/vi/cJNhiyIr2WE/maxresdefault_live.jpg")</f>
        <v>https://i.ytimg.com/vi/cJNhiyIr2WE/maxresdefault_live.jpg</v>
      </c>
      <c r="AM2684" t="s">
        <v>52</v>
      </c>
      <c r="AN2684" t="s">
        <v>53</v>
      </c>
    </row>
    <row r="2685" spans="1:40">
      <c r="A2685" t="s">
        <v>8081</v>
      </c>
      <c r="B2685" t="s">
        <v>8885</v>
      </c>
      <c r="C2685" t="s">
        <v>8801</v>
      </c>
      <c r="D2685" t="s">
        <v>52</v>
      </c>
      <c r="E2685" t="s">
        <v>7606</v>
      </c>
      <c r="F2685" t="s">
        <v>131</v>
      </c>
      <c r="G2685" t="str">
        <f>HYPERLINK("https://twitter.com/814957992185450496/status/1142961920607055873")</f>
        <v>https://twitter.com/814957992185450496/status/1142961920607055873</v>
      </c>
      <c r="H2685" t="s">
        <v>46</v>
      </c>
      <c r="I2685" t="s">
        <v>8886</v>
      </c>
      <c r="J2685" t="str">
        <f>HYPERLINK("http://twitter.com/weirdlivesblog")</f>
        <v>http://twitter.com/weirdlivesblog</v>
      </c>
      <c r="K2685">
        <v>711</v>
      </c>
      <c r="N2685" t="s">
        <v>65</v>
      </c>
      <c r="R2685" t="s">
        <v>60</v>
      </c>
      <c r="W2685">
        <v>0</v>
      </c>
      <c r="X2685">
        <v>0</v>
      </c>
      <c r="AE2685">
        <v>0</v>
      </c>
      <c r="AM2685" t="s">
        <v>52</v>
      </c>
      <c r="AN2685" t="s">
        <v>53</v>
      </c>
    </row>
    <row r="2686" spans="1:40">
      <c r="A2686" t="s">
        <v>8081</v>
      </c>
      <c r="B2686" t="s">
        <v>8887</v>
      </c>
      <c r="C2686" t="s">
        <v>8888</v>
      </c>
      <c r="D2686" t="s">
        <v>52</v>
      </c>
      <c r="E2686" t="s">
        <v>7606</v>
      </c>
      <c r="F2686" t="s">
        <v>131</v>
      </c>
      <c r="G2686" t="str">
        <f>HYPERLINK("https://twitter.com/88540195/status/1142961776516063232")</f>
        <v>https://twitter.com/88540195/status/1142961776516063232</v>
      </c>
      <c r="H2686" t="s">
        <v>46</v>
      </c>
      <c r="I2686" t="s">
        <v>8889</v>
      </c>
      <c r="J2686" t="str">
        <f>HYPERLINK("http://twitter.com/Gigglebear_Kai")</f>
        <v>http://twitter.com/Gigglebear_Kai</v>
      </c>
      <c r="K2686">
        <v>510</v>
      </c>
      <c r="N2686" t="s">
        <v>65</v>
      </c>
      <c r="R2686" t="s">
        <v>60</v>
      </c>
      <c r="W2686">
        <v>0</v>
      </c>
      <c r="X2686">
        <v>0</v>
      </c>
      <c r="AE2686">
        <v>0</v>
      </c>
      <c r="AM2686" t="s">
        <v>52</v>
      </c>
      <c r="AN2686" t="s">
        <v>53</v>
      </c>
    </row>
    <row r="2687" spans="1:40">
      <c r="A2687" t="s">
        <v>8081</v>
      </c>
      <c r="B2687" t="s">
        <v>8887</v>
      </c>
      <c r="C2687" t="s">
        <v>8890</v>
      </c>
      <c r="D2687" t="s">
        <v>52</v>
      </c>
      <c r="E2687" t="s">
        <v>8891</v>
      </c>
      <c r="F2687" t="s">
        <v>45</v>
      </c>
      <c r="G2687" t="str">
        <f>HYPERLINK("https://www.instagram.com/p/BzEssvRHV_8")</f>
        <v>https://www.instagram.com/p/BzEssvRHV_8</v>
      </c>
      <c r="H2687" t="s">
        <v>46</v>
      </c>
      <c r="I2687" t="s">
        <v>8892</v>
      </c>
      <c r="J2687" t="str">
        <f>HYPERLINK("http://instagram.com/aquanichey")</f>
        <v>http://instagram.com/aquanichey</v>
      </c>
      <c r="K2687">
        <v>2</v>
      </c>
      <c r="N2687" t="s">
        <v>59</v>
      </c>
      <c r="O2687" t="s">
        <v>8892</v>
      </c>
      <c r="P2687" t="str">
        <f>HYPERLINK("http://instagram.com/aquanichey")</f>
        <v>http://instagram.com/aquanichey</v>
      </c>
      <c r="Q2687">
        <v>2</v>
      </c>
      <c r="R2687" t="s">
        <v>60</v>
      </c>
      <c r="W2687">
        <v>6</v>
      </c>
      <c r="X2687">
        <v>6</v>
      </c>
      <c r="AE2687">
        <v>1</v>
      </c>
      <c r="AI2687" t="s">
        <v>5469</v>
      </c>
      <c r="AJ2687" t="s">
        <v>52</v>
      </c>
      <c r="AK2687" t="s">
        <v>52</v>
      </c>
      <c r="AL2687" t="str">
        <f>HYPERLINK("https://www.instagram.com/p/BzEssvRHV_8/media/?size=l")</f>
        <v>https://www.instagram.com/p/BzEssvRHV_8/media/?size=l</v>
      </c>
      <c r="AM2687" t="s">
        <v>52</v>
      </c>
      <c r="AN2687" t="s">
        <v>53</v>
      </c>
    </row>
    <row r="2688" spans="1:40">
      <c r="A2688" t="s">
        <v>8081</v>
      </c>
      <c r="B2688" t="s">
        <v>8887</v>
      </c>
      <c r="C2688" t="s">
        <v>8849</v>
      </c>
      <c r="D2688" t="s">
        <v>52</v>
      </c>
      <c r="E2688" t="s">
        <v>8893</v>
      </c>
      <c r="F2688" t="s">
        <v>45</v>
      </c>
      <c r="G2688" t="str">
        <f>HYPERLINK("https://twitter.com/4324379116/status/1142961696094543874")</f>
        <v>https://twitter.com/4324379116/status/1142961696094543874</v>
      </c>
      <c r="H2688" t="s">
        <v>46</v>
      </c>
      <c r="I2688" t="s">
        <v>8894</v>
      </c>
      <c r="J2688" t="str">
        <f>HYPERLINK("http://twitter.com/Ribbit_Jack")</f>
        <v>http://twitter.com/Ribbit_Jack</v>
      </c>
      <c r="K2688">
        <v>52</v>
      </c>
      <c r="N2688" t="s">
        <v>65</v>
      </c>
      <c r="R2688" t="s">
        <v>60</v>
      </c>
      <c r="S2688" t="s">
        <v>51</v>
      </c>
      <c r="W2688">
        <v>1</v>
      </c>
      <c r="X2688">
        <v>1</v>
      </c>
      <c r="AE2688">
        <v>0</v>
      </c>
      <c r="AF2688">
        <v>0</v>
      </c>
      <c r="AI2688" t="s">
        <v>52</v>
      </c>
      <c r="AJ2688" t="s">
        <v>8895</v>
      </c>
      <c r="AK2688" t="s">
        <v>8896</v>
      </c>
      <c r="AL2688" t="str">
        <f>HYPERLINK("https://pbs.twimg.com/media/D9ydlsgXsAAOLMj.jpg")</f>
        <v>https://pbs.twimg.com/media/D9ydlsgXsAAOLMj.jpg</v>
      </c>
      <c r="AM2688" t="s">
        <v>52</v>
      </c>
      <c r="AN2688" t="s">
        <v>53</v>
      </c>
    </row>
    <row r="2689" spans="1:40">
      <c r="A2689" t="s">
        <v>8081</v>
      </c>
      <c r="B2689" t="s">
        <v>3137</v>
      </c>
      <c r="C2689" t="s">
        <v>7625</v>
      </c>
      <c r="D2689" t="s">
        <v>8897</v>
      </c>
      <c r="E2689" t="s">
        <v>8898</v>
      </c>
      <c r="F2689" t="s">
        <v>45</v>
      </c>
      <c r="G2689" t="str">
        <f>HYPERLINK("https://www.youtube.com/watch?v=2mxdUF4D9GA")</f>
        <v>https://www.youtube.com/watch?v=2mxdUF4D9GA</v>
      </c>
      <c r="H2689" t="s">
        <v>46</v>
      </c>
      <c r="I2689" t="s">
        <v>8899</v>
      </c>
      <c r="J2689" t="str">
        <f>HYPERLINK("https://www.youtube.com/channel/UCAlOIZG7893qd9Mlb0iVckQ")</f>
        <v>https://www.youtube.com/channel/UCAlOIZG7893qd9Mlb0iVckQ</v>
      </c>
      <c r="K2689">
        <v>5</v>
      </c>
      <c r="L2689" t="s">
        <v>48</v>
      </c>
      <c r="N2689" t="s">
        <v>116</v>
      </c>
      <c r="O2689" t="s">
        <v>8899</v>
      </c>
      <c r="P2689" t="str">
        <f>HYPERLINK("https://www.youtube.com/channel/UCAlOIZG7893qd9Mlb0iVckQ")</f>
        <v>https://www.youtube.com/channel/UCAlOIZG7893qd9Mlb0iVckQ</v>
      </c>
      <c r="Q2689">
        <v>5</v>
      </c>
      <c r="R2689" t="s">
        <v>60</v>
      </c>
      <c r="W2689">
        <v>0</v>
      </c>
      <c r="X2689">
        <v>0</v>
      </c>
      <c r="AD2689">
        <v>0</v>
      </c>
      <c r="AE2689">
        <v>0</v>
      </c>
      <c r="AG2689">
        <v>3</v>
      </c>
      <c r="AI2689" t="s">
        <v>52</v>
      </c>
      <c r="AJ2689" t="s">
        <v>52</v>
      </c>
      <c r="AK2689" t="s">
        <v>52</v>
      </c>
      <c r="AL2689" t="str">
        <f>HYPERLINK("https://i.ytimg.com/vi/2mxdUF4D9GA/hqdefault.jpg")</f>
        <v>https://i.ytimg.com/vi/2mxdUF4D9GA/hqdefault.jpg</v>
      </c>
      <c r="AM2689" t="s">
        <v>52</v>
      </c>
      <c r="AN2689" t="s">
        <v>53</v>
      </c>
    </row>
    <row r="2690" spans="1:40">
      <c r="A2690" t="s">
        <v>8081</v>
      </c>
      <c r="B2690" t="s">
        <v>8900</v>
      </c>
      <c r="C2690" t="s">
        <v>8901</v>
      </c>
      <c r="D2690" t="s">
        <v>52</v>
      </c>
      <c r="E2690" t="s">
        <v>8902</v>
      </c>
      <c r="F2690" t="s">
        <v>45</v>
      </c>
      <c r="G2690" t="str">
        <f>HYPERLINK("https://twitter.com/1076381382572572674/status/1142961223941517312")</f>
        <v>https://twitter.com/1076381382572572674/status/1142961223941517312</v>
      </c>
      <c r="H2690" t="s">
        <v>46</v>
      </c>
      <c r="I2690" t="s">
        <v>8903</v>
      </c>
      <c r="J2690" t="str">
        <f>HYPERLINK("http://twitter.com/insideJennsMind")</f>
        <v>http://twitter.com/insideJennsMind</v>
      </c>
      <c r="K2690">
        <v>103</v>
      </c>
      <c r="L2690" t="s">
        <v>58</v>
      </c>
      <c r="N2690" t="s">
        <v>65</v>
      </c>
      <c r="R2690" t="s">
        <v>60</v>
      </c>
      <c r="S2690" t="s">
        <v>51</v>
      </c>
      <c r="T2690" t="s">
        <v>2522</v>
      </c>
      <c r="U2690" t="s">
        <v>8904</v>
      </c>
      <c r="W2690">
        <v>0</v>
      </c>
      <c r="X2690">
        <v>0</v>
      </c>
      <c r="AE2690">
        <v>0</v>
      </c>
      <c r="AF2690">
        <v>0</v>
      </c>
      <c r="AM2690" t="s">
        <v>52</v>
      </c>
      <c r="AN2690" t="s">
        <v>53</v>
      </c>
    </row>
    <row r="2691" spans="1:40">
      <c r="A2691" t="s">
        <v>8081</v>
      </c>
      <c r="B2691" t="s">
        <v>8900</v>
      </c>
      <c r="C2691" t="s">
        <v>8905</v>
      </c>
      <c r="D2691" t="s">
        <v>52</v>
      </c>
      <c r="E2691" t="s">
        <v>8906</v>
      </c>
      <c r="F2691" t="s">
        <v>95</v>
      </c>
      <c r="G2691" t="str">
        <f>HYPERLINK("https://twitter.com/1019053610003517440/status/1142961207722332160")</f>
        <v>https://twitter.com/1019053610003517440/status/1142961207722332160</v>
      </c>
      <c r="H2691" t="s">
        <v>46</v>
      </c>
      <c r="I2691" t="s">
        <v>8907</v>
      </c>
      <c r="J2691" t="str">
        <f>HYPERLINK("http://twitter.com/JOAOSOMMER_")</f>
        <v>http://twitter.com/JOAOSOMMER_</v>
      </c>
      <c r="K2691">
        <v>362</v>
      </c>
      <c r="N2691" t="s">
        <v>65</v>
      </c>
      <c r="R2691" t="s">
        <v>60</v>
      </c>
      <c r="S2691" t="s">
        <v>432</v>
      </c>
      <c r="T2691" t="s">
        <v>1985</v>
      </c>
      <c r="U2691" t="s">
        <v>8908</v>
      </c>
      <c r="W2691">
        <v>0</v>
      </c>
      <c r="X2691">
        <v>0</v>
      </c>
      <c r="AE2691">
        <v>1</v>
      </c>
      <c r="AF2691">
        <v>0</v>
      </c>
      <c r="AM2691" t="s">
        <v>52</v>
      </c>
      <c r="AN2691" t="s">
        <v>53</v>
      </c>
    </row>
    <row r="2692" spans="1:40">
      <c r="A2692" t="s">
        <v>8081</v>
      </c>
      <c r="B2692" t="s">
        <v>8900</v>
      </c>
      <c r="C2692" t="s">
        <v>8901</v>
      </c>
      <c r="D2692" t="s">
        <v>52</v>
      </c>
      <c r="E2692" t="s">
        <v>4370</v>
      </c>
      <c r="F2692" t="s">
        <v>45</v>
      </c>
      <c r="G2692" t="str">
        <f>HYPERLINK("https://twitter.com/4242665105/status/1142961204069052418")</f>
        <v>https://twitter.com/4242665105/status/1142961204069052418</v>
      </c>
      <c r="H2692" t="s">
        <v>46</v>
      </c>
      <c r="I2692" t="s">
        <v>4371</v>
      </c>
      <c r="J2692" t="str">
        <f>HYPERLINK("http://twitter.com/LuizaPeeh")</f>
        <v>http://twitter.com/LuizaPeeh</v>
      </c>
      <c r="K2692">
        <v>452</v>
      </c>
      <c r="L2692" t="s">
        <v>58</v>
      </c>
      <c r="N2692" t="s">
        <v>65</v>
      </c>
      <c r="R2692" t="s">
        <v>60</v>
      </c>
      <c r="W2692">
        <v>5</v>
      </c>
      <c r="X2692">
        <v>5</v>
      </c>
      <c r="AE2692">
        <v>0</v>
      </c>
      <c r="AF2692">
        <v>0</v>
      </c>
      <c r="AM2692" t="s">
        <v>52</v>
      </c>
      <c r="AN2692" t="s">
        <v>53</v>
      </c>
    </row>
    <row r="2693" spans="1:40">
      <c r="A2693" t="s">
        <v>8081</v>
      </c>
      <c r="B2693" t="s">
        <v>8900</v>
      </c>
      <c r="C2693" t="s">
        <v>8909</v>
      </c>
      <c r="D2693" t="s">
        <v>52</v>
      </c>
      <c r="E2693" t="s">
        <v>8910</v>
      </c>
      <c r="F2693" t="s">
        <v>95</v>
      </c>
      <c r="G2693" t="str">
        <f>HYPERLINK("https://twitter.com/109032675/status/1142961129095913472")</f>
        <v>https://twitter.com/109032675/status/1142961129095913472</v>
      </c>
      <c r="H2693" t="s">
        <v>46</v>
      </c>
      <c r="I2693" t="s">
        <v>8911</v>
      </c>
      <c r="J2693" t="str">
        <f>HYPERLINK("http://twitter.com/fredschmaltzz")</f>
        <v>http://twitter.com/fredschmaltzz</v>
      </c>
      <c r="K2693">
        <v>807</v>
      </c>
      <c r="N2693" t="s">
        <v>65</v>
      </c>
      <c r="R2693" t="s">
        <v>60</v>
      </c>
      <c r="S2693" t="s">
        <v>432</v>
      </c>
      <c r="T2693" t="s">
        <v>8912</v>
      </c>
      <c r="U2693" t="s">
        <v>8913</v>
      </c>
      <c r="W2693">
        <v>3</v>
      </c>
      <c r="X2693">
        <v>3</v>
      </c>
      <c r="AE2693">
        <v>1</v>
      </c>
      <c r="AF2693">
        <v>0</v>
      </c>
      <c r="AM2693" t="s">
        <v>52</v>
      </c>
      <c r="AN2693" t="s">
        <v>53</v>
      </c>
    </row>
    <row r="2694" spans="1:40">
      <c r="A2694" t="s">
        <v>8081</v>
      </c>
      <c r="B2694" t="s">
        <v>8900</v>
      </c>
      <c r="C2694" t="s">
        <v>8909</v>
      </c>
      <c r="D2694" t="s">
        <v>52</v>
      </c>
      <c r="E2694" t="s">
        <v>8914</v>
      </c>
      <c r="F2694" t="s">
        <v>45</v>
      </c>
      <c r="G2694" t="str">
        <f>HYPERLINK("https://twitter.com/1141804383375638531/status/1142961123592998912")</f>
        <v>https://twitter.com/1141804383375638531/status/1142961123592998912</v>
      </c>
      <c r="H2694" t="s">
        <v>46</v>
      </c>
      <c r="I2694" t="s">
        <v>8915</v>
      </c>
      <c r="J2694" t="str">
        <f>HYPERLINK("http://twitter.com/kissmologin")</f>
        <v>http://twitter.com/kissmologin</v>
      </c>
      <c r="K2694">
        <v>1</v>
      </c>
      <c r="N2694" t="s">
        <v>65</v>
      </c>
      <c r="R2694" t="s">
        <v>60</v>
      </c>
      <c r="W2694">
        <v>0</v>
      </c>
      <c r="X2694">
        <v>0</v>
      </c>
      <c r="AE2694">
        <v>0</v>
      </c>
      <c r="AF2694">
        <v>0</v>
      </c>
      <c r="AM2694" t="s">
        <v>52</v>
      </c>
      <c r="AN2694" t="s">
        <v>53</v>
      </c>
    </row>
    <row r="2695" spans="1:40">
      <c r="A2695" t="s">
        <v>8081</v>
      </c>
      <c r="B2695" t="s">
        <v>8900</v>
      </c>
      <c r="C2695" t="s">
        <v>8909</v>
      </c>
      <c r="D2695" t="s">
        <v>52</v>
      </c>
      <c r="E2695" t="s">
        <v>8916</v>
      </c>
      <c r="F2695" t="s">
        <v>71</v>
      </c>
      <c r="G2695" t="str">
        <f>HYPERLINK("https://twitter.com/294779789/status/1142961112893349888")</f>
        <v>https://twitter.com/294779789/status/1142961112893349888</v>
      </c>
      <c r="H2695" t="s">
        <v>46</v>
      </c>
      <c r="I2695" t="s">
        <v>8917</v>
      </c>
      <c r="J2695" t="str">
        <f>HYPERLINK("http://twitter.com/LetMyInkSpeak")</f>
        <v>http://twitter.com/LetMyInkSpeak</v>
      </c>
      <c r="K2695">
        <v>1932</v>
      </c>
      <c r="N2695" t="s">
        <v>65</v>
      </c>
      <c r="R2695" t="s">
        <v>60</v>
      </c>
      <c r="S2695" t="s">
        <v>8918</v>
      </c>
      <c r="T2695" t="s">
        <v>8919</v>
      </c>
      <c r="U2695" t="s">
        <v>8920</v>
      </c>
      <c r="W2695">
        <v>1</v>
      </c>
      <c r="X2695">
        <v>1</v>
      </c>
      <c r="AE2695">
        <v>0</v>
      </c>
      <c r="AF2695">
        <v>0</v>
      </c>
      <c r="AI2695" t="s">
        <v>52</v>
      </c>
      <c r="AJ2695" t="s">
        <v>121</v>
      </c>
      <c r="AK2695" t="s">
        <v>680</v>
      </c>
      <c r="AL2695" t="str">
        <f>HYPERLINK("https://pbs.twimg.com/media/D9sEyb2XYAULTt2.jpg")</f>
        <v>https://pbs.twimg.com/media/D9sEyb2XYAULTt2.jpg</v>
      </c>
      <c r="AM2695" t="s">
        <v>52</v>
      </c>
      <c r="AN2695" t="s">
        <v>53</v>
      </c>
    </row>
    <row r="2696" spans="1:40">
      <c r="A2696" t="s">
        <v>8081</v>
      </c>
      <c r="B2696" t="s">
        <v>3147</v>
      </c>
      <c r="C2696" t="s">
        <v>8921</v>
      </c>
      <c r="D2696" t="s">
        <v>52</v>
      </c>
      <c r="E2696" t="s">
        <v>1194</v>
      </c>
      <c r="F2696" t="s">
        <v>131</v>
      </c>
      <c r="G2696" t="str">
        <f>HYPERLINK("https://twitter.com/1546960338/status/1142961031641219072")</f>
        <v>https://twitter.com/1546960338/status/1142961031641219072</v>
      </c>
      <c r="H2696" t="s">
        <v>46</v>
      </c>
      <c r="I2696" t="s">
        <v>8922</v>
      </c>
      <c r="J2696" t="str">
        <f>HYPERLINK("http://twitter.com/dnikhole")</f>
        <v>http://twitter.com/dnikhole</v>
      </c>
      <c r="K2696">
        <v>532</v>
      </c>
      <c r="N2696" t="s">
        <v>65</v>
      </c>
      <c r="R2696" t="s">
        <v>60</v>
      </c>
      <c r="W2696">
        <v>0</v>
      </c>
      <c r="X2696">
        <v>0</v>
      </c>
      <c r="AE2696">
        <v>0</v>
      </c>
      <c r="AI2696" t="s">
        <v>52</v>
      </c>
      <c r="AJ2696" t="s">
        <v>1196</v>
      </c>
      <c r="AK2696" t="s">
        <v>52</v>
      </c>
      <c r="AL2696" t="str">
        <f>HYPERLINK("https://pbs.twimg.com/media/D9xgk2YXkAAd2ql.jpg")</f>
        <v>https://pbs.twimg.com/media/D9xgk2YXkAAd2ql.jpg</v>
      </c>
      <c r="AM2696" t="s">
        <v>52</v>
      </c>
      <c r="AN2696" t="s">
        <v>53</v>
      </c>
    </row>
    <row r="2697" spans="1:40">
      <c r="A2697" t="s">
        <v>8081</v>
      </c>
      <c r="B2697" t="s">
        <v>3147</v>
      </c>
      <c r="C2697" t="s">
        <v>8921</v>
      </c>
      <c r="D2697" t="s">
        <v>52</v>
      </c>
      <c r="E2697" t="s">
        <v>1194</v>
      </c>
      <c r="F2697" t="s">
        <v>131</v>
      </c>
      <c r="G2697" t="str">
        <f>HYPERLINK("https://twitter.com/1261338307/status/1142961025437687809")</f>
        <v>https://twitter.com/1261338307/status/1142961025437687809</v>
      </c>
      <c r="H2697" t="s">
        <v>46</v>
      </c>
      <c r="I2697" t="s">
        <v>8923</v>
      </c>
      <c r="J2697" t="str">
        <f>HYPERLINK("http://twitter.com/kapecups")</f>
        <v>http://twitter.com/kapecups</v>
      </c>
      <c r="K2697">
        <v>301</v>
      </c>
      <c r="L2697" t="s">
        <v>58</v>
      </c>
      <c r="N2697" t="s">
        <v>65</v>
      </c>
      <c r="R2697" t="s">
        <v>60</v>
      </c>
      <c r="W2697">
        <v>0</v>
      </c>
      <c r="X2697">
        <v>0</v>
      </c>
      <c r="AE2697">
        <v>0</v>
      </c>
      <c r="AI2697" t="s">
        <v>52</v>
      </c>
      <c r="AJ2697" t="s">
        <v>1196</v>
      </c>
      <c r="AK2697" t="s">
        <v>52</v>
      </c>
      <c r="AL2697" t="str">
        <f>HYPERLINK("https://pbs.twimg.com/media/D9xgk2YXkAAd2ql.jpg")</f>
        <v>https://pbs.twimg.com/media/D9xgk2YXkAAd2ql.jpg</v>
      </c>
      <c r="AM2697" t="s">
        <v>52</v>
      </c>
      <c r="AN2697" t="s">
        <v>53</v>
      </c>
    </row>
    <row r="2698" spans="1:40">
      <c r="A2698" t="s">
        <v>8081</v>
      </c>
      <c r="B2698" t="s">
        <v>3147</v>
      </c>
      <c r="C2698" t="s">
        <v>8921</v>
      </c>
      <c r="D2698" t="s">
        <v>52</v>
      </c>
      <c r="E2698" t="s">
        <v>8924</v>
      </c>
      <c r="F2698" t="s">
        <v>95</v>
      </c>
      <c r="G2698" t="str">
        <f>HYPERLINK("https://twitter.com/367982156/status/1142961019398082560")</f>
        <v>https://twitter.com/367982156/status/1142961019398082560</v>
      </c>
      <c r="H2698" t="s">
        <v>46</v>
      </c>
      <c r="I2698" t="s">
        <v>8925</v>
      </c>
      <c r="J2698" t="str">
        <f>HYPERLINK("http://twitter.com/mpusineri1")</f>
        <v>http://twitter.com/mpusineri1</v>
      </c>
      <c r="K2698">
        <v>3234</v>
      </c>
      <c r="N2698" t="s">
        <v>65</v>
      </c>
      <c r="R2698" t="s">
        <v>60</v>
      </c>
      <c r="W2698">
        <v>1</v>
      </c>
      <c r="X2698">
        <v>1</v>
      </c>
      <c r="AE2698">
        <v>0</v>
      </c>
      <c r="AF2698">
        <v>0</v>
      </c>
      <c r="AM2698" t="s">
        <v>52</v>
      </c>
      <c r="AN2698" t="s">
        <v>53</v>
      </c>
    </row>
    <row r="2699" spans="1:40">
      <c r="A2699" t="s">
        <v>8081</v>
      </c>
      <c r="B2699" t="s">
        <v>3147</v>
      </c>
      <c r="C2699" t="s">
        <v>8905</v>
      </c>
      <c r="D2699" t="s">
        <v>52</v>
      </c>
      <c r="E2699" t="s">
        <v>8926</v>
      </c>
      <c r="F2699" t="s">
        <v>45</v>
      </c>
      <c r="G2699" t="str">
        <f>HYPERLINK("https://twitter.com/4318196293/status/1142960986837721088")</f>
        <v>https://twitter.com/4318196293/status/1142960986837721088</v>
      </c>
      <c r="H2699" t="s">
        <v>46</v>
      </c>
      <c r="I2699" t="s">
        <v>8927</v>
      </c>
      <c r="J2699" t="str">
        <f>HYPERLINK("http://twitter.com/MyTravelC")</f>
        <v>http://twitter.com/MyTravelC</v>
      </c>
      <c r="K2699">
        <v>846</v>
      </c>
      <c r="N2699" t="s">
        <v>65</v>
      </c>
      <c r="R2699" t="s">
        <v>60</v>
      </c>
      <c r="S2699" t="s">
        <v>226</v>
      </c>
      <c r="U2699" t="s">
        <v>3620</v>
      </c>
      <c r="W2699">
        <v>0</v>
      </c>
      <c r="X2699">
        <v>0</v>
      </c>
      <c r="AE2699">
        <v>0</v>
      </c>
      <c r="AF2699">
        <v>0</v>
      </c>
      <c r="AM2699" t="s">
        <v>52</v>
      </c>
      <c r="AN2699" t="s">
        <v>53</v>
      </c>
    </row>
    <row r="2700" spans="1:40">
      <c r="A2700" t="s">
        <v>8081</v>
      </c>
      <c r="B2700" t="s">
        <v>3151</v>
      </c>
      <c r="C2700" t="s">
        <v>8878</v>
      </c>
      <c r="D2700" t="s">
        <v>52</v>
      </c>
      <c r="E2700" t="s">
        <v>8928</v>
      </c>
      <c r="F2700" t="s">
        <v>95</v>
      </c>
      <c r="G2700" t="str">
        <f>HYPERLINK("https://twitter.com/2480729672/status/1142960734915223552")</f>
        <v>https://twitter.com/2480729672/status/1142960734915223552</v>
      </c>
      <c r="H2700" t="s">
        <v>46</v>
      </c>
      <c r="I2700" t="s">
        <v>8929</v>
      </c>
      <c r="J2700" t="str">
        <f>HYPERLINK("http://twitter.com/swbhfx")</f>
        <v>http://twitter.com/swbhfx</v>
      </c>
      <c r="K2700">
        <v>2446</v>
      </c>
      <c r="N2700" t="s">
        <v>65</v>
      </c>
      <c r="R2700" t="s">
        <v>60</v>
      </c>
      <c r="W2700">
        <v>1</v>
      </c>
      <c r="X2700">
        <v>1</v>
      </c>
      <c r="AE2700">
        <v>0</v>
      </c>
      <c r="AF2700">
        <v>0</v>
      </c>
      <c r="AM2700" t="s">
        <v>52</v>
      </c>
      <c r="AN2700" t="s">
        <v>53</v>
      </c>
    </row>
    <row r="2701" spans="1:40">
      <c r="A2701" t="s">
        <v>8081</v>
      </c>
      <c r="B2701" t="s">
        <v>3151</v>
      </c>
      <c r="C2701" t="s">
        <v>8930</v>
      </c>
      <c r="D2701" t="s">
        <v>52</v>
      </c>
      <c r="E2701" t="s">
        <v>8931</v>
      </c>
      <c r="F2701" t="s">
        <v>45</v>
      </c>
      <c r="G2701" t="str">
        <f>HYPERLINK("https://www.facebook.com/106927472735922/posts/2257321101029871")</f>
        <v>https://www.facebook.com/106927472735922/posts/2257321101029871</v>
      </c>
      <c r="H2701" t="s">
        <v>46</v>
      </c>
      <c r="I2701" t="s">
        <v>8932</v>
      </c>
      <c r="J2701" t="str">
        <f>HYPERLINK("https://www.facebook.com/106927472735922")</f>
        <v>https://www.facebook.com/106927472735922</v>
      </c>
      <c r="K2701">
        <v>37765</v>
      </c>
      <c r="L2701" t="s">
        <v>651</v>
      </c>
      <c r="N2701" t="s">
        <v>1792</v>
      </c>
      <c r="O2701" t="s">
        <v>8932</v>
      </c>
      <c r="P2701" t="str">
        <f>HYPERLINK("https://www.facebook.com/106927472735922")</f>
        <v>https://www.facebook.com/106927472735922</v>
      </c>
      <c r="Q2701">
        <v>37765</v>
      </c>
      <c r="R2701" t="s">
        <v>60</v>
      </c>
      <c r="S2701" t="s">
        <v>51</v>
      </c>
      <c r="W2701">
        <v>86</v>
      </c>
      <c r="X2701">
        <v>72</v>
      </c>
      <c r="Y2701">
        <v>14</v>
      </c>
      <c r="Z2701">
        <v>0</v>
      </c>
      <c r="AA2701">
        <v>0</v>
      </c>
      <c r="AB2701">
        <v>0</v>
      </c>
      <c r="AC2701">
        <v>0</v>
      </c>
      <c r="AE2701">
        <v>15</v>
      </c>
      <c r="AF2701">
        <v>21</v>
      </c>
      <c r="AI2701" t="s">
        <v>52</v>
      </c>
      <c r="AJ2701" t="s">
        <v>8933</v>
      </c>
      <c r="AK2701" t="s">
        <v>52</v>
      </c>
      <c r="AL2701" t="str">
        <f>HYPERLINK("https://scontent.xx.fbcdn.net/v/t1.0-9/p720x720/65462434_2257315231030458_2529780731421392896_n.jpg?_nc_cat=108&amp;_nc_oc=AQkALIGZ041hhLpAZqrw-oFCwxQM6-vjgCtB_VFgbmSkEbJHoYYj3PcRuCeg1NN1jH0&amp;_nc_ht=scontent.xx&amp;oh=b78e625bdc8849e18b6dda9bb4ff9141&amp;oe=5DBCBC8A")</f>
        <v>https://scontent.xx.fbcdn.net/v/t1.0-9/p720x720/65462434_2257315231030458_2529780731421392896_n.jpg?_nc_cat=108&amp;_nc_oc=AQkALIGZ041hhLpAZqrw-oFCwxQM6-vjgCtB_VFgbmSkEbJHoYYj3PcRuCeg1NN1jH0&amp;_nc_ht=scontent.xx&amp;oh=b78e625bdc8849e18b6dda9bb4ff9141&amp;oe=5DBCBC8A</v>
      </c>
      <c r="AM2701" t="s">
        <v>52</v>
      </c>
      <c r="AN2701" t="s">
        <v>53</v>
      </c>
    </row>
    <row r="2702" spans="1:40">
      <c r="A2702" t="s">
        <v>8081</v>
      </c>
      <c r="B2702" t="s">
        <v>3151</v>
      </c>
      <c r="C2702" t="s">
        <v>8818</v>
      </c>
      <c r="D2702" t="s">
        <v>52</v>
      </c>
      <c r="E2702" t="s">
        <v>8934</v>
      </c>
      <c r="F2702" t="s">
        <v>45</v>
      </c>
      <c r="G2702" t="str">
        <f>HYPERLINK("https://www.instagram.com/p/BzEsNImlhwi")</f>
        <v>https://www.instagram.com/p/BzEsNImlhwi</v>
      </c>
      <c r="H2702" t="s">
        <v>46</v>
      </c>
      <c r="I2702" t="s">
        <v>8935</v>
      </c>
      <c r="J2702" t="str">
        <f>HYPERLINK("http://instagram.com/decadentdisaster")</f>
        <v>http://instagram.com/decadentdisaster</v>
      </c>
      <c r="K2702">
        <v>181</v>
      </c>
      <c r="N2702" t="s">
        <v>59</v>
      </c>
      <c r="O2702" t="s">
        <v>8935</v>
      </c>
      <c r="P2702" t="str">
        <f>HYPERLINK("http://instagram.com/decadentdisaster")</f>
        <v>http://instagram.com/decadentdisaster</v>
      </c>
      <c r="Q2702">
        <v>181</v>
      </c>
      <c r="R2702" t="s">
        <v>60</v>
      </c>
      <c r="W2702">
        <v>5</v>
      </c>
      <c r="X2702">
        <v>5</v>
      </c>
      <c r="AE2702">
        <v>0</v>
      </c>
      <c r="AI2702" t="s">
        <v>52</v>
      </c>
      <c r="AJ2702" t="s">
        <v>1106</v>
      </c>
      <c r="AK2702" t="s">
        <v>52</v>
      </c>
      <c r="AL2702" t="str">
        <f>HYPERLINK("https://www.instagram.com/p/BzEsNImlhwi/media/?size=l")</f>
        <v>https://www.instagram.com/p/BzEsNImlhwi/media/?size=l</v>
      </c>
      <c r="AM2702" t="s">
        <v>52</v>
      </c>
      <c r="AN2702" t="s">
        <v>53</v>
      </c>
    </row>
    <row r="2703" spans="1:40">
      <c r="A2703" t="s">
        <v>8081</v>
      </c>
      <c r="B2703" t="s">
        <v>8936</v>
      </c>
      <c r="C2703" t="s">
        <v>8937</v>
      </c>
      <c r="D2703" t="s">
        <v>52</v>
      </c>
      <c r="E2703" t="s">
        <v>8938</v>
      </c>
      <c r="F2703" t="s">
        <v>45</v>
      </c>
      <c r="G2703" t="str">
        <f>HYPERLINK("https://twitter.com/56723500/status/1142960085435654144")</f>
        <v>https://twitter.com/56723500/status/1142960085435654144</v>
      </c>
      <c r="H2703" t="s">
        <v>46</v>
      </c>
      <c r="I2703" t="s">
        <v>8939</v>
      </c>
      <c r="J2703" t="str">
        <f>HYPERLINK("http://twitter.com/_Morfy_")</f>
        <v>http://twitter.com/_Morfy_</v>
      </c>
      <c r="K2703">
        <v>413</v>
      </c>
      <c r="L2703" t="s">
        <v>48</v>
      </c>
      <c r="N2703" t="s">
        <v>65</v>
      </c>
      <c r="R2703" t="s">
        <v>60</v>
      </c>
      <c r="S2703" t="s">
        <v>1530</v>
      </c>
      <c r="T2703" t="s">
        <v>5184</v>
      </c>
      <c r="U2703" t="s">
        <v>5185</v>
      </c>
      <c r="W2703">
        <v>0</v>
      </c>
      <c r="X2703">
        <v>0</v>
      </c>
      <c r="AE2703">
        <v>0</v>
      </c>
      <c r="AF2703">
        <v>0</v>
      </c>
      <c r="AM2703" t="s">
        <v>52</v>
      </c>
      <c r="AN2703" t="s">
        <v>53</v>
      </c>
    </row>
    <row r="2704" spans="1:40">
      <c r="A2704" t="s">
        <v>8081</v>
      </c>
      <c r="B2704" t="s">
        <v>8936</v>
      </c>
      <c r="C2704" t="s">
        <v>8937</v>
      </c>
      <c r="D2704" t="s">
        <v>52</v>
      </c>
      <c r="E2704" t="s">
        <v>1194</v>
      </c>
      <c r="F2704" t="s">
        <v>131</v>
      </c>
      <c r="G2704" t="str">
        <f>HYPERLINK("https://twitter.com/893633415802736645/status/1142960077730529280")</f>
        <v>https://twitter.com/893633415802736645/status/1142960077730529280</v>
      </c>
      <c r="H2704" t="s">
        <v>46</v>
      </c>
      <c r="I2704" t="s">
        <v>8940</v>
      </c>
      <c r="J2704" t="str">
        <f>HYPERLINK("http://twitter.com/nicole_louise__")</f>
        <v>http://twitter.com/nicole_louise__</v>
      </c>
      <c r="K2704">
        <v>201</v>
      </c>
      <c r="N2704" t="s">
        <v>65</v>
      </c>
      <c r="R2704" t="s">
        <v>60</v>
      </c>
      <c r="W2704">
        <v>0</v>
      </c>
      <c r="X2704">
        <v>0</v>
      </c>
      <c r="AE2704">
        <v>0</v>
      </c>
      <c r="AI2704" t="s">
        <v>52</v>
      </c>
      <c r="AJ2704" t="s">
        <v>1196</v>
      </c>
      <c r="AK2704" t="s">
        <v>52</v>
      </c>
      <c r="AL2704" t="str">
        <f>HYPERLINK("https://pbs.twimg.com/media/D9xgk2YXkAAd2ql.jpg")</f>
        <v>https://pbs.twimg.com/media/D9xgk2YXkAAd2ql.jpg</v>
      </c>
      <c r="AM2704" t="s">
        <v>52</v>
      </c>
      <c r="AN2704" t="s">
        <v>53</v>
      </c>
    </row>
    <row r="2705" spans="1:40">
      <c r="A2705" t="s">
        <v>8081</v>
      </c>
      <c r="B2705" t="s">
        <v>3166</v>
      </c>
      <c r="C2705" t="s">
        <v>8941</v>
      </c>
      <c r="D2705" t="s">
        <v>52</v>
      </c>
      <c r="E2705" t="s">
        <v>8942</v>
      </c>
      <c r="F2705" t="s">
        <v>95</v>
      </c>
      <c r="G2705" t="str">
        <f>HYPERLINK("https://twitter.com/1123340054/status/1142959980687101952")</f>
        <v>https://twitter.com/1123340054/status/1142959980687101952</v>
      </c>
      <c r="H2705" t="s">
        <v>46</v>
      </c>
      <c r="I2705" t="s">
        <v>8943</v>
      </c>
      <c r="J2705" t="str">
        <f>HYPERLINK("http://twitter.com/EsterrBunnyy")</f>
        <v>http://twitter.com/EsterrBunnyy</v>
      </c>
      <c r="K2705">
        <v>628</v>
      </c>
      <c r="L2705" t="s">
        <v>58</v>
      </c>
      <c r="N2705" t="s">
        <v>65</v>
      </c>
      <c r="R2705" t="s">
        <v>60</v>
      </c>
      <c r="W2705">
        <v>6</v>
      </c>
      <c r="X2705">
        <v>6</v>
      </c>
      <c r="AE2705">
        <v>0</v>
      </c>
      <c r="AF2705">
        <v>0</v>
      </c>
      <c r="AM2705" t="s">
        <v>52</v>
      </c>
      <c r="AN2705" t="s">
        <v>53</v>
      </c>
    </row>
    <row r="2706" spans="1:40">
      <c r="A2706" t="s">
        <v>8081</v>
      </c>
      <c r="B2706" t="s">
        <v>3166</v>
      </c>
      <c r="C2706" t="s">
        <v>8941</v>
      </c>
      <c r="D2706" t="s">
        <v>52</v>
      </c>
      <c r="E2706" t="s">
        <v>1194</v>
      </c>
      <c r="F2706" t="s">
        <v>131</v>
      </c>
      <c r="G2706" t="str">
        <f>HYPERLINK("https://twitter.com/2302385606/status/1142959961074360320")</f>
        <v>https://twitter.com/2302385606/status/1142959961074360320</v>
      </c>
      <c r="H2706" t="s">
        <v>46</v>
      </c>
      <c r="I2706" t="s">
        <v>5004</v>
      </c>
      <c r="J2706" t="str">
        <f>HYPERLINK("http://twitter.com/JPGodfreyNZ")</f>
        <v>http://twitter.com/JPGodfreyNZ</v>
      </c>
      <c r="K2706">
        <v>813</v>
      </c>
      <c r="N2706" t="s">
        <v>65</v>
      </c>
      <c r="R2706" t="s">
        <v>60</v>
      </c>
      <c r="S2706" t="s">
        <v>2226</v>
      </c>
      <c r="W2706">
        <v>0</v>
      </c>
      <c r="X2706">
        <v>0</v>
      </c>
      <c r="AE2706">
        <v>0</v>
      </c>
      <c r="AI2706" t="s">
        <v>52</v>
      </c>
      <c r="AJ2706" t="s">
        <v>1196</v>
      </c>
      <c r="AK2706" t="s">
        <v>52</v>
      </c>
      <c r="AL2706" t="str">
        <f>HYPERLINK("https://pbs.twimg.com/media/D9xgk2YXkAAd2ql.jpg")</f>
        <v>https://pbs.twimg.com/media/D9xgk2YXkAAd2ql.jpg</v>
      </c>
      <c r="AM2706" t="s">
        <v>52</v>
      </c>
      <c r="AN2706" t="s">
        <v>53</v>
      </c>
    </row>
    <row r="2707" spans="1:40">
      <c r="A2707" t="s">
        <v>8081</v>
      </c>
      <c r="B2707" t="s">
        <v>3166</v>
      </c>
      <c r="C2707" t="s">
        <v>8941</v>
      </c>
      <c r="D2707" t="s">
        <v>52</v>
      </c>
      <c r="E2707" t="s">
        <v>3749</v>
      </c>
      <c r="F2707" t="s">
        <v>71</v>
      </c>
      <c r="G2707" t="str">
        <f>HYPERLINK("https://twitter.com/469565033/status/1142959944586547200")</f>
        <v>https://twitter.com/469565033/status/1142959944586547200</v>
      </c>
      <c r="H2707" t="s">
        <v>46</v>
      </c>
      <c r="I2707" t="s">
        <v>8944</v>
      </c>
      <c r="J2707" t="str">
        <f>HYPERLINK("http://twitter.com/wobe1")</f>
        <v>http://twitter.com/wobe1</v>
      </c>
      <c r="K2707">
        <v>343</v>
      </c>
      <c r="N2707" t="s">
        <v>65</v>
      </c>
      <c r="R2707" t="s">
        <v>60</v>
      </c>
      <c r="S2707" t="s">
        <v>8494</v>
      </c>
      <c r="T2707" t="s">
        <v>8495</v>
      </c>
      <c r="U2707" t="s">
        <v>8945</v>
      </c>
      <c r="W2707">
        <v>0</v>
      </c>
      <c r="X2707">
        <v>0</v>
      </c>
      <c r="AE2707">
        <v>0</v>
      </c>
      <c r="AF2707">
        <v>0</v>
      </c>
      <c r="AI2707" t="s">
        <v>108</v>
      </c>
      <c r="AJ2707" t="s">
        <v>52</v>
      </c>
      <c r="AK2707" t="s">
        <v>52</v>
      </c>
      <c r="AL2707" t="str">
        <f>HYPERLINK("https://pbs.twimg.com/media/D9sAXHUX4AA6vJs.jpg")</f>
        <v>https://pbs.twimg.com/media/D9sAXHUX4AA6vJs.jpg</v>
      </c>
      <c r="AM2707" t="s">
        <v>52</v>
      </c>
      <c r="AN2707" t="s">
        <v>53</v>
      </c>
    </row>
    <row r="2708" spans="1:40">
      <c r="A2708" t="s">
        <v>8081</v>
      </c>
      <c r="B2708" t="s">
        <v>3166</v>
      </c>
      <c r="C2708" t="s">
        <v>8946</v>
      </c>
      <c r="D2708" t="s">
        <v>52</v>
      </c>
      <c r="E2708" t="s">
        <v>8790</v>
      </c>
      <c r="F2708" t="s">
        <v>71</v>
      </c>
      <c r="G2708" t="str">
        <f>HYPERLINK("https://twitter.com/15518170/status/1142959830866391040")</f>
        <v>https://twitter.com/15518170/status/1142959830866391040</v>
      </c>
      <c r="H2708" t="s">
        <v>91</v>
      </c>
      <c r="I2708" t="s">
        <v>8947</v>
      </c>
      <c r="J2708" t="str">
        <f>HYPERLINK("http://twitter.com/GustavoArellano")</f>
        <v>http://twitter.com/GustavoArellano</v>
      </c>
      <c r="K2708">
        <v>21666</v>
      </c>
      <c r="N2708" t="s">
        <v>65</v>
      </c>
      <c r="R2708" t="s">
        <v>60</v>
      </c>
      <c r="S2708" t="s">
        <v>437</v>
      </c>
      <c r="T2708" t="s">
        <v>8948</v>
      </c>
      <c r="U2708" t="s">
        <v>8948</v>
      </c>
      <c r="W2708">
        <v>13</v>
      </c>
      <c r="X2708">
        <v>13</v>
      </c>
      <c r="AE2708">
        <v>3</v>
      </c>
      <c r="AF2708">
        <v>1</v>
      </c>
      <c r="AM2708" t="s">
        <v>52</v>
      </c>
      <c r="AN2708" t="s">
        <v>53</v>
      </c>
    </row>
    <row r="2709" spans="1:40">
      <c r="A2709" t="s">
        <v>8081</v>
      </c>
      <c r="B2709" t="s">
        <v>3173</v>
      </c>
      <c r="C2709" t="s">
        <v>8949</v>
      </c>
      <c r="D2709" t="s">
        <v>52</v>
      </c>
      <c r="E2709" t="s">
        <v>8950</v>
      </c>
      <c r="F2709" t="s">
        <v>45</v>
      </c>
      <c r="G2709" t="str">
        <f>HYPERLINK("https://www.instagram.com/p/BzErrYkFimh")</f>
        <v>https://www.instagram.com/p/BzErrYkFimh</v>
      </c>
      <c r="H2709" t="s">
        <v>46</v>
      </c>
      <c r="I2709" t="s">
        <v>2929</v>
      </c>
      <c r="J2709" t="str">
        <f>HYPERLINK("http://instagram.com/jager_da_toxic_master")</f>
        <v>http://instagram.com/jager_da_toxic_master</v>
      </c>
      <c r="K2709">
        <v>1018</v>
      </c>
      <c r="N2709" t="s">
        <v>59</v>
      </c>
      <c r="O2709" t="s">
        <v>2929</v>
      </c>
      <c r="P2709" t="str">
        <f>HYPERLINK("http://instagram.com/jager_da_toxic_master")</f>
        <v>http://instagram.com/jager_da_toxic_master</v>
      </c>
      <c r="Q2709">
        <v>1018</v>
      </c>
      <c r="R2709" t="s">
        <v>60</v>
      </c>
      <c r="W2709">
        <v>69</v>
      </c>
      <c r="X2709">
        <v>69</v>
      </c>
      <c r="AE2709">
        <v>0</v>
      </c>
      <c r="AI2709" t="s">
        <v>52</v>
      </c>
      <c r="AJ2709" t="s">
        <v>8951</v>
      </c>
      <c r="AK2709" t="s">
        <v>52</v>
      </c>
      <c r="AL2709" t="str">
        <f>HYPERLINK("https://www.instagram.com/p/BzErrYkFimh/media/?size=l")</f>
        <v>https://www.instagram.com/p/BzErrYkFimh/media/?size=l</v>
      </c>
      <c r="AM2709" t="s">
        <v>52</v>
      </c>
      <c r="AN2709" t="s">
        <v>53</v>
      </c>
    </row>
    <row r="2710" spans="1:40">
      <c r="A2710" t="s">
        <v>8081</v>
      </c>
      <c r="B2710" t="s">
        <v>3180</v>
      </c>
      <c r="C2710" t="s">
        <v>8952</v>
      </c>
      <c r="D2710" t="s">
        <v>52</v>
      </c>
      <c r="E2710" t="s">
        <v>8566</v>
      </c>
      <c r="F2710" t="s">
        <v>131</v>
      </c>
      <c r="G2710" t="str">
        <f>HYPERLINK("https://twitter.com/26875304/status/1142958974347685889")</f>
        <v>https://twitter.com/26875304/status/1142958974347685889</v>
      </c>
      <c r="H2710" t="s">
        <v>46</v>
      </c>
      <c r="I2710" t="s">
        <v>8953</v>
      </c>
      <c r="J2710" t="str">
        <f>HYPERLINK("http://twitter.com/katieemazz")</f>
        <v>http://twitter.com/katieemazz</v>
      </c>
      <c r="K2710">
        <v>384</v>
      </c>
      <c r="L2710" t="s">
        <v>58</v>
      </c>
      <c r="N2710" t="s">
        <v>65</v>
      </c>
      <c r="R2710" t="s">
        <v>60</v>
      </c>
      <c r="S2710" t="s">
        <v>51</v>
      </c>
      <c r="T2710" t="s">
        <v>263</v>
      </c>
      <c r="U2710" t="s">
        <v>352</v>
      </c>
      <c r="W2710">
        <v>0</v>
      </c>
      <c r="X2710">
        <v>0</v>
      </c>
      <c r="AE2710">
        <v>0</v>
      </c>
      <c r="AM2710" t="s">
        <v>52</v>
      </c>
      <c r="AN2710" t="s">
        <v>53</v>
      </c>
    </row>
    <row r="2711" spans="1:40">
      <c r="A2711" t="s">
        <v>8081</v>
      </c>
      <c r="B2711" t="s">
        <v>3189</v>
      </c>
      <c r="C2711" t="s">
        <v>8954</v>
      </c>
      <c r="D2711" t="s">
        <v>52</v>
      </c>
      <c r="E2711" t="s">
        <v>8955</v>
      </c>
      <c r="F2711" t="s">
        <v>45</v>
      </c>
      <c r="G2711" t="str">
        <f>HYPERLINK("https://www.instagram.com/p/BzErP42Aqko")</f>
        <v>https://www.instagram.com/p/BzErP42Aqko</v>
      </c>
      <c r="H2711" t="s">
        <v>46</v>
      </c>
      <c r="I2711" t="s">
        <v>8956</v>
      </c>
      <c r="J2711" t="str">
        <f>HYPERLINK("http://instagram.com/lord_gill")</f>
        <v>http://instagram.com/lord_gill</v>
      </c>
      <c r="K2711">
        <v>13</v>
      </c>
      <c r="N2711" t="s">
        <v>59</v>
      </c>
      <c r="O2711" t="s">
        <v>8956</v>
      </c>
      <c r="P2711" t="str">
        <f>HYPERLINK("http://instagram.com/lord_gill")</f>
        <v>http://instagram.com/lord_gill</v>
      </c>
      <c r="Q2711">
        <v>13</v>
      </c>
      <c r="R2711" t="s">
        <v>60</v>
      </c>
      <c r="W2711">
        <v>22</v>
      </c>
      <c r="X2711">
        <v>22</v>
      </c>
      <c r="AE2711">
        <v>1</v>
      </c>
      <c r="AI2711" t="s">
        <v>52</v>
      </c>
      <c r="AJ2711" t="s">
        <v>52</v>
      </c>
      <c r="AK2711" t="s">
        <v>8957</v>
      </c>
      <c r="AL2711" t="str">
        <f>HYPERLINK("https://www.instagram.com/p/BzErP42Aqko/media/?size=l")</f>
        <v>https://www.instagram.com/p/BzErP42Aqko/media/?size=l</v>
      </c>
      <c r="AM2711" t="s">
        <v>52</v>
      </c>
      <c r="AN2711" t="s">
        <v>53</v>
      </c>
    </row>
    <row r="2712" spans="1:40">
      <c r="A2712" t="s">
        <v>8081</v>
      </c>
      <c r="B2712" t="s">
        <v>3200</v>
      </c>
      <c r="C2712" t="s">
        <v>8958</v>
      </c>
      <c r="D2712" t="s">
        <v>52</v>
      </c>
      <c r="E2712" t="s">
        <v>8959</v>
      </c>
      <c r="F2712" t="s">
        <v>45</v>
      </c>
      <c r="G2712" t="str">
        <f>HYPERLINK("https://twitter.com/831474640463810560/status/1142958259252400128")</f>
        <v>https://twitter.com/831474640463810560/status/1142958259252400128</v>
      </c>
      <c r="H2712" t="s">
        <v>46</v>
      </c>
      <c r="I2712" t="s">
        <v>8960</v>
      </c>
      <c r="J2712" t="str">
        <f>HYPERLINK("http://twitter.com/blsmarf")</f>
        <v>http://twitter.com/blsmarf</v>
      </c>
      <c r="K2712">
        <v>32</v>
      </c>
      <c r="N2712" t="s">
        <v>65</v>
      </c>
      <c r="R2712" t="s">
        <v>60</v>
      </c>
      <c r="S2712" t="s">
        <v>51</v>
      </c>
      <c r="T2712" t="s">
        <v>380</v>
      </c>
      <c r="U2712" t="s">
        <v>380</v>
      </c>
      <c r="W2712">
        <v>0</v>
      </c>
      <c r="X2712">
        <v>0</v>
      </c>
      <c r="AE2712">
        <v>0</v>
      </c>
      <c r="AF2712">
        <v>0</v>
      </c>
      <c r="AM2712" t="s">
        <v>52</v>
      </c>
      <c r="AN2712" t="s">
        <v>53</v>
      </c>
    </row>
    <row r="2713" spans="1:40">
      <c r="A2713" t="s">
        <v>8081</v>
      </c>
      <c r="B2713" t="s">
        <v>3200</v>
      </c>
      <c r="C2713" t="s">
        <v>8961</v>
      </c>
      <c r="D2713" t="s">
        <v>52</v>
      </c>
      <c r="E2713" t="s">
        <v>276</v>
      </c>
      <c r="F2713" t="s">
        <v>131</v>
      </c>
      <c r="G2713" t="str">
        <f>HYPERLINK("https://twitter.com/4395718334/status/1142958078444392448")</f>
        <v>https://twitter.com/4395718334/status/1142958078444392448</v>
      </c>
      <c r="H2713" t="s">
        <v>46</v>
      </c>
      <c r="I2713" t="s">
        <v>8962</v>
      </c>
      <c r="J2713" t="str">
        <f>HYPERLINK("http://twitter.com/jtylerl20001")</f>
        <v>http://twitter.com/jtylerl20001</v>
      </c>
      <c r="K2713">
        <v>181</v>
      </c>
      <c r="N2713" t="s">
        <v>65</v>
      </c>
      <c r="R2713" t="s">
        <v>60</v>
      </c>
      <c r="W2713">
        <v>0</v>
      </c>
      <c r="X2713">
        <v>0</v>
      </c>
      <c r="AE2713">
        <v>0</v>
      </c>
      <c r="AI2713" t="s">
        <v>108</v>
      </c>
      <c r="AJ2713" t="s">
        <v>52</v>
      </c>
      <c r="AK2713" t="s">
        <v>52</v>
      </c>
      <c r="AL2713" t="str">
        <f>HYPERLINK("https://pbs.twimg.com/tweet_video_thumb/D9hvNNzXUAATAS3.jpg")</f>
        <v>https://pbs.twimg.com/tweet_video_thumb/D9hvNNzXUAATAS3.jpg</v>
      </c>
      <c r="AM2713" t="s">
        <v>52</v>
      </c>
      <c r="AN2713" t="s">
        <v>53</v>
      </c>
    </row>
    <row r="2714" spans="1:40">
      <c r="A2714" t="s">
        <v>8081</v>
      </c>
      <c r="B2714" t="s">
        <v>3202</v>
      </c>
      <c r="C2714" t="s">
        <v>8679</v>
      </c>
      <c r="D2714" t="s">
        <v>8963</v>
      </c>
      <c r="E2714" t="s">
        <v>8964</v>
      </c>
      <c r="F2714" t="s">
        <v>45</v>
      </c>
      <c r="G2714" t="str">
        <f>HYPERLINK("https://picobafulary.blogspot.com/2019/06/m-5-xbox-360-60-gb-os-gep-tartozekok-54.html")</f>
        <v>https://picobafulary.blogspot.com/2019/06/m-5-xbox-360-60-gb-os-gep-tartozekok-54.html</v>
      </c>
      <c r="H2714" t="s">
        <v>46</v>
      </c>
      <c r="I2714" t="s">
        <v>8965</v>
      </c>
      <c r="J2714" t="str">
        <f>HYPERLINK("https://picobafulary.blogspot.com/2019/06/m-5-xbox-360-60-gb-os-gep-tartozekok-54.html")</f>
        <v>https://picobafulary.blogspot.com/2019/06/m-5-xbox-360-60-gb-os-gep-tartozekok-54.html</v>
      </c>
      <c r="L2714" t="s">
        <v>58</v>
      </c>
      <c r="N2714" t="s">
        <v>2497</v>
      </c>
      <c r="R2714" t="s">
        <v>50</v>
      </c>
      <c r="S2714" t="s">
        <v>8966</v>
      </c>
      <c r="AM2714" t="s">
        <v>52</v>
      </c>
      <c r="AN2714" t="s">
        <v>53</v>
      </c>
    </row>
    <row r="2715" spans="1:40">
      <c r="A2715" t="s">
        <v>8081</v>
      </c>
      <c r="B2715" t="s">
        <v>3205</v>
      </c>
      <c r="C2715" t="s">
        <v>8958</v>
      </c>
      <c r="D2715" t="s">
        <v>52</v>
      </c>
      <c r="E2715" t="s">
        <v>8967</v>
      </c>
      <c r="F2715" t="s">
        <v>71</v>
      </c>
      <c r="G2715" t="str">
        <f>HYPERLINK("https://twitter.com/889748079775170560/status/1142957422337830913")</f>
        <v>https://twitter.com/889748079775170560/status/1142957422337830913</v>
      </c>
      <c r="H2715" t="s">
        <v>46</v>
      </c>
      <c r="I2715" t="s">
        <v>8968</v>
      </c>
      <c r="J2715" t="str">
        <f>HYPERLINK("http://twitter.com/reenarxo")</f>
        <v>http://twitter.com/reenarxo</v>
      </c>
      <c r="K2715">
        <v>53</v>
      </c>
      <c r="N2715" t="s">
        <v>65</v>
      </c>
      <c r="R2715" t="s">
        <v>60</v>
      </c>
      <c r="S2715" t="s">
        <v>444</v>
      </c>
      <c r="T2715" t="s">
        <v>3539</v>
      </c>
      <c r="U2715" t="s">
        <v>4048</v>
      </c>
      <c r="W2715">
        <v>2</v>
      </c>
      <c r="X2715">
        <v>2</v>
      </c>
      <c r="AE2715">
        <v>1</v>
      </c>
      <c r="AF2715">
        <v>0</v>
      </c>
      <c r="AM2715" t="s">
        <v>52</v>
      </c>
      <c r="AN2715" t="s">
        <v>53</v>
      </c>
    </row>
    <row r="2716" spans="1:40">
      <c r="A2716" t="s">
        <v>8081</v>
      </c>
      <c r="B2716" t="s">
        <v>3205</v>
      </c>
      <c r="C2716" t="s">
        <v>8969</v>
      </c>
      <c r="D2716" t="s">
        <v>52</v>
      </c>
      <c r="E2716" t="s">
        <v>8970</v>
      </c>
      <c r="F2716" t="s">
        <v>45</v>
      </c>
      <c r="G2716" t="str">
        <f>HYPERLINK("https://www.instagram.com/p/BzEqsilg6sY")</f>
        <v>https://www.instagram.com/p/BzEqsilg6sY</v>
      </c>
      <c r="H2716" t="s">
        <v>46</v>
      </c>
      <c r="I2716" t="s">
        <v>8971</v>
      </c>
      <c r="J2716" t="str">
        <f>HYPERLINK("http://instagram.com/estella0404")</f>
        <v>http://instagram.com/estella0404</v>
      </c>
      <c r="K2716">
        <v>91</v>
      </c>
      <c r="L2716" t="s">
        <v>58</v>
      </c>
      <c r="N2716" t="s">
        <v>59</v>
      </c>
      <c r="O2716" t="s">
        <v>8971</v>
      </c>
      <c r="P2716" t="str">
        <f>HYPERLINK("http://instagram.com/estella0404")</f>
        <v>http://instagram.com/estella0404</v>
      </c>
      <c r="Q2716">
        <v>91</v>
      </c>
      <c r="R2716" t="s">
        <v>60</v>
      </c>
      <c r="W2716">
        <v>6</v>
      </c>
      <c r="X2716">
        <v>6</v>
      </c>
      <c r="AE2716">
        <v>1</v>
      </c>
      <c r="AI2716" t="s">
        <v>108</v>
      </c>
      <c r="AJ2716" t="s">
        <v>52</v>
      </c>
      <c r="AK2716" t="s">
        <v>52</v>
      </c>
      <c r="AL2716" t="str">
        <f>HYPERLINK("https://www.instagram.com/p/BzEqsilg6sY/media/?size=l")</f>
        <v>https://www.instagram.com/p/BzEqsilg6sY/media/?size=l</v>
      </c>
      <c r="AM2716" t="s">
        <v>52</v>
      </c>
      <c r="AN2716" t="s">
        <v>53</v>
      </c>
    </row>
    <row r="2717" spans="1:40">
      <c r="A2717" t="s">
        <v>8081</v>
      </c>
      <c r="B2717" t="s">
        <v>3205</v>
      </c>
      <c r="C2717" t="s">
        <v>8972</v>
      </c>
      <c r="D2717" t="s">
        <v>52</v>
      </c>
      <c r="E2717" t="s">
        <v>8973</v>
      </c>
      <c r="F2717" t="s">
        <v>131</v>
      </c>
      <c r="G2717" t="str">
        <f>HYPERLINK("https://twitter.com/2376576140/status/1142957338413936641")</f>
        <v>https://twitter.com/2376576140/status/1142957338413936641</v>
      </c>
      <c r="H2717" t="s">
        <v>46</v>
      </c>
      <c r="I2717" t="s">
        <v>8974</v>
      </c>
      <c r="J2717" t="str">
        <f>HYPERLINK("http://twitter.com/mvmnzn_")</f>
        <v>http://twitter.com/mvmnzn_</v>
      </c>
      <c r="K2717">
        <v>401</v>
      </c>
      <c r="N2717" t="s">
        <v>65</v>
      </c>
      <c r="R2717" t="s">
        <v>60</v>
      </c>
      <c r="S2717" t="s">
        <v>51</v>
      </c>
      <c r="T2717" t="s">
        <v>263</v>
      </c>
      <c r="U2717" t="s">
        <v>8975</v>
      </c>
      <c r="W2717">
        <v>0</v>
      </c>
      <c r="X2717">
        <v>0</v>
      </c>
      <c r="AE2717">
        <v>0</v>
      </c>
      <c r="AM2717" t="s">
        <v>52</v>
      </c>
      <c r="AN2717" t="s">
        <v>53</v>
      </c>
    </row>
    <row r="2718" spans="1:40">
      <c r="A2718" t="s">
        <v>8081</v>
      </c>
      <c r="B2718" t="s">
        <v>3205</v>
      </c>
      <c r="C2718" t="s">
        <v>8976</v>
      </c>
      <c r="D2718" t="s">
        <v>52</v>
      </c>
      <c r="E2718" t="s">
        <v>8977</v>
      </c>
      <c r="F2718" t="s">
        <v>45</v>
      </c>
      <c r="G2718" t="str">
        <f>HYPERLINK("https://twitter.com/2721210731/status/1142957287600009217")</f>
        <v>https://twitter.com/2721210731/status/1142957287600009217</v>
      </c>
      <c r="H2718" t="s">
        <v>46</v>
      </c>
      <c r="I2718" t="s">
        <v>8978</v>
      </c>
      <c r="J2718" t="str">
        <f>HYPERLINK("http://twitter.com/agreenriver07")</f>
        <v>http://twitter.com/agreenriver07</v>
      </c>
      <c r="K2718">
        <v>78</v>
      </c>
      <c r="N2718" t="s">
        <v>65</v>
      </c>
      <c r="R2718" t="s">
        <v>60</v>
      </c>
      <c r="S2718" t="s">
        <v>51</v>
      </c>
      <c r="T2718" t="s">
        <v>66</v>
      </c>
      <c r="U2718" t="s">
        <v>4744</v>
      </c>
      <c r="W2718">
        <v>1</v>
      </c>
      <c r="X2718">
        <v>1</v>
      </c>
      <c r="AE2718">
        <v>1</v>
      </c>
      <c r="AF2718">
        <v>0</v>
      </c>
      <c r="AI2718" t="s">
        <v>52</v>
      </c>
      <c r="AJ2718" t="s">
        <v>458</v>
      </c>
      <c r="AK2718" t="s">
        <v>110</v>
      </c>
      <c r="AL2718" t="str">
        <f>HYPERLINK("https://pbs.twimg.com/tweet_video_thumb/D9yZl6QWwAAO3ql.jpg")</f>
        <v>https://pbs.twimg.com/tweet_video_thumb/D9yZl6QWwAAO3ql.jpg</v>
      </c>
      <c r="AM2718" t="s">
        <v>52</v>
      </c>
      <c r="AN2718" t="s">
        <v>53</v>
      </c>
    </row>
    <row r="2719" spans="1:40">
      <c r="A2719" t="s">
        <v>8081</v>
      </c>
      <c r="B2719" t="s">
        <v>3209</v>
      </c>
      <c r="C2719" t="s">
        <v>8972</v>
      </c>
      <c r="D2719" t="s">
        <v>52</v>
      </c>
      <c r="E2719" t="s">
        <v>8979</v>
      </c>
      <c r="F2719" t="s">
        <v>95</v>
      </c>
      <c r="G2719" t="str">
        <f>HYPERLINK("https://twitter.com/240714718/status/1142957060172238849")</f>
        <v>https://twitter.com/240714718/status/1142957060172238849</v>
      </c>
      <c r="H2719" t="s">
        <v>46</v>
      </c>
      <c r="I2719" t="s">
        <v>8980</v>
      </c>
      <c r="J2719" t="str">
        <f>HYPERLINK("http://twitter.com/princesa_sarale")</f>
        <v>http://twitter.com/princesa_sarale</v>
      </c>
      <c r="K2719">
        <v>3223</v>
      </c>
      <c r="N2719" t="s">
        <v>65</v>
      </c>
      <c r="R2719" t="s">
        <v>60</v>
      </c>
      <c r="S2719" t="s">
        <v>210</v>
      </c>
      <c r="T2719" t="s">
        <v>8981</v>
      </c>
      <c r="U2719" t="s">
        <v>8982</v>
      </c>
      <c r="W2719">
        <v>2</v>
      </c>
      <c r="X2719">
        <v>2</v>
      </c>
      <c r="AE2719">
        <v>2</v>
      </c>
      <c r="AF2719">
        <v>0</v>
      </c>
      <c r="AM2719" t="s">
        <v>52</v>
      </c>
      <c r="AN2719" t="s">
        <v>53</v>
      </c>
    </row>
    <row r="2720" spans="1:40">
      <c r="A2720" t="s">
        <v>8081</v>
      </c>
      <c r="B2720" t="s">
        <v>3212</v>
      </c>
      <c r="C2720" t="s">
        <v>8983</v>
      </c>
      <c r="D2720" t="s">
        <v>52</v>
      </c>
      <c r="E2720" t="s">
        <v>8984</v>
      </c>
      <c r="F2720" t="s">
        <v>45</v>
      </c>
      <c r="G2720" t="str">
        <f>HYPERLINK("https://twitter.com/1132363861364027393/status/1142956955062996992")</f>
        <v>https://twitter.com/1132363861364027393/status/1142956955062996992</v>
      </c>
      <c r="H2720" t="s">
        <v>46</v>
      </c>
      <c r="I2720" t="s">
        <v>8985</v>
      </c>
      <c r="J2720" t="str">
        <f>HYPERLINK("http://twitter.com/Dieguinsky1")</f>
        <v>http://twitter.com/Dieguinsky1</v>
      </c>
      <c r="K2720">
        <v>1</v>
      </c>
      <c r="N2720" t="s">
        <v>65</v>
      </c>
      <c r="R2720" t="s">
        <v>60</v>
      </c>
      <c r="W2720">
        <v>2</v>
      </c>
      <c r="X2720">
        <v>2</v>
      </c>
      <c r="AE2720">
        <v>0</v>
      </c>
      <c r="AF2720">
        <v>0</v>
      </c>
      <c r="AI2720" t="s">
        <v>108</v>
      </c>
      <c r="AJ2720" t="s">
        <v>52</v>
      </c>
      <c r="AK2720" t="s">
        <v>52</v>
      </c>
      <c r="AL2720" t="str">
        <f>HYPERLINK("https://pbs.twimg.com/media/D9yZSPxWwAApggN.jpg")</f>
        <v>https://pbs.twimg.com/media/D9yZSPxWwAApggN.jpg</v>
      </c>
      <c r="AM2720" t="s">
        <v>52</v>
      </c>
      <c r="AN2720" t="s">
        <v>53</v>
      </c>
    </row>
    <row r="2721" spans="1:40">
      <c r="A2721" t="s">
        <v>8081</v>
      </c>
      <c r="B2721" t="s">
        <v>3212</v>
      </c>
      <c r="C2721" t="s">
        <v>8986</v>
      </c>
      <c r="D2721" t="s">
        <v>52</v>
      </c>
      <c r="E2721" t="s">
        <v>8987</v>
      </c>
      <c r="F2721" t="s">
        <v>95</v>
      </c>
      <c r="G2721" t="str">
        <f>HYPERLINK("https://twitter.com/1014403798624657408/status/1142956934112280576")</f>
        <v>https://twitter.com/1014403798624657408/status/1142956934112280576</v>
      </c>
      <c r="H2721" t="s">
        <v>46</v>
      </c>
      <c r="I2721" t="s">
        <v>8988</v>
      </c>
      <c r="J2721" t="str">
        <f>HYPERLINK("http://twitter.com/PrinceWestley")</f>
        <v>http://twitter.com/PrinceWestley</v>
      </c>
      <c r="K2721">
        <v>1409</v>
      </c>
      <c r="N2721" t="s">
        <v>65</v>
      </c>
      <c r="R2721" t="s">
        <v>60</v>
      </c>
      <c r="S2721" t="s">
        <v>6867</v>
      </c>
      <c r="T2721" t="s">
        <v>8989</v>
      </c>
      <c r="U2721" t="s">
        <v>8990</v>
      </c>
      <c r="W2721">
        <v>1</v>
      </c>
      <c r="X2721">
        <v>1</v>
      </c>
      <c r="AE2721">
        <v>1</v>
      </c>
      <c r="AF2721">
        <v>0</v>
      </c>
      <c r="AM2721" t="s">
        <v>52</v>
      </c>
      <c r="AN2721" t="s">
        <v>53</v>
      </c>
    </row>
    <row r="2722" spans="1:40">
      <c r="A2722" t="s">
        <v>8081</v>
      </c>
      <c r="B2722" t="s">
        <v>3212</v>
      </c>
      <c r="C2722" t="s">
        <v>6965</v>
      </c>
      <c r="D2722" t="s">
        <v>52</v>
      </c>
      <c r="E2722" t="s">
        <v>8991</v>
      </c>
      <c r="F2722" t="s">
        <v>45</v>
      </c>
      <c r="G2722" t="str">
        <f>HYPERLINK("https://www.facebook.com/119913991613/posts/10157632427631614")</f>
        <v>https://www.facebook.com/119913991613/posts/10157632427631614</v>
      </c>
      <c r="H2722" t="s">
        <v>46</v>
      </c>
      <c r="I2722" t="s">
        <v>3045</v>
      </c>
      <c r="J2722" t="str">
        <f>HYPERLINK("https://www.facebook.com/119913991613")</f>
        <v>https://www.facebook.com/119913991613</v>
      </c>
      <c r="K2722">
        <v>137458</v>
      </c>
      <c r="L2722" t="s">
        <v>651</v>
      </c>
      <c r="N2722" t="s">
        <v>1792</v>
      </c>
      <c r="O2722" t="s">
        <v>3045</v>
      </c>
      <c r="P2722" t="str">
        <f>HYPERLINK("https://www.facebook.com/119913991613")</f>
        <v>https://www.facebook.com/119913991613</v>
      </c>
      <c r="Q2722">
        <v>137458</v>
      </c>
      <c r="R2722" t="s">
        <v>60</v>
      </c>
      <c r="S2722" t="s">
        <v>51</v>
      </c>
      <c r="W2722">
        <v>3102</v>
      </c>
      <c r="X2722">
        <v>1029</v>
      </c>
      <c r="Y2722">
        <v>1954</v>
      </c>
      <c r="Z2722">
        <v>6</v>
      </c>
      <c r="AA2722">
        <v>112</v>
      </c>
      <c r="AB2722">
        <v>1</v>
      </c>
      <c r="AC2722">
        <v>0</v>
      </c>
      <c r="AE2722">
        <v>304</v>
      </c>
      <c r="AF2722">
        <v>83</v>
      </c>
      <c r="AI2722" t="s">
        <v>52</v>
      </c>
      <c r="AJ2722" t="s">
        <v>8992</v>
      </c>
      <c r="AK2722" t="s">
        <v>8993</v>
      </c>
      <c r="AL2722" t="str">
        <f>HYPERLINK("https://scontent.xx.fbcdn.net/v/t15.5256-10/65572802_510630802808673_3992571593720070144_n.jpg?_nc_cat=111&amp;_nc_oc=AQn_q5OuuRQoLv1GXt8Jm8Y_8pxlHcDKWVU_U5DxwVfLZpetv1rLhtNIFMsJjScC0GE&amp;_nc_ht=scontent.xx&amp;oh=2e88de5ce7c2ea4aa6b1ebdeae099a3a&amp;oe=5D84319C")</f>
        <v>https://scontent.xx.fbcdn.net/v/t15.5256-10/65572802_510630802808673_3992571593720070144_n.jpg?_nc_cat=111&amp;_nc_oc=AQn_q5OuuRQoLv1GXt8Jm8Y_8pxlHcDKWVU_U5DxwVfLZpetv1rLhtNIFMsJjScC0GE&amp;_nc_ht=scontent.xx&amp;oh=2e88de5ce7c2ea4aa6b1ebdeae099a3a&amp;oe=5D84319C</v>
      </c>
      <c r="AM2722" t="s">
        <v>52</v>
      </c>
      <c r="AN2722" t="s">
        <v>53</v>
      </c>
    </row>
    <row r="2723" spans="1:40">
      <c r="A2723" t="s">
        <v>8081</v>
      </c>
      <c r="B2723" t="s">
        <v>3222</v>
      </c>
      <c r="C2723" t="s">
        <v>8679</v>
      </c>
      <c r="D2723" t="s">
        <v>8994</v>
      </c>
      <c r="E2723" t="s">
        <v>8995</v>
      </c>
      <c r="F2723" t="s">
        <v>45</v>
      </c>
      <c r="G2723" t="str">
        <f>HYPERLINK("https://hywizemuhiny.blogspot.com/2019/06/m-68-xbox-one-500-gb-os-gep-tartozekok.html")</f>
        <v>https://hywizemuhiny.blogspot.com/2019/06/m-68-xbox-one-500-gb-os-gep-tartozekok.html</v>
      </c>
      <c r="H2723" t="s">
        <v>46</v>
      </c>
      <c r="I2723" t="s">
        <v>8996</v>
      </c>
      <c r="J2723" t="str">
        <f>HYPERLINK("https://hywizemuhiny.blogspot.com/2019/06/m-68-xbox-one-500-gb-os-gep-tartozekok.html")</f>
        <v>https://hywizemuhiny.blogspot.com/2019/06/m-68-xbox-one-500-gb-os-gep-tartozekok.html</v>
      </c>
      <c r="N2723" t="s">
        <v>2497</v>
      </c>
      <c r="R2723" t="s">
        <v>50</v>
      </c>
      <c r="S2723" t="s">
        <v>8966</v>
      </c>
      <c r="AM2723" t="s">
        <v>52</v>
      </c>
      <c r="AN2723" t="s">
        <v>53</v>
      </c>
    </row>
    <row r="2724" spans="1:40">
      <c r="A2724" t="s">
        <v>8081</v>
      </c>
      <c r="B2724" t="s">
        <v>8997</v>
      </c>
      <c r="C2724" t="s">
        <v>8998</v>
      </c>
      <c r="D2724" t="s">
        <v>52</v>
      </c>
      <c r="E2724" t="s">
        <v>8999</v>
      </c>
      <c r="F2724" t="s">
        <v>45</v>
      </c>
      <c r="G2724" t="str">
        <f>HYPERLINK("https://twitter.com/925382976510275584/status/1142956179804643334")</f>
        <v>https://twitter.com/925382976510275584/status/1142956179804643334</v>
      </c>
      <c r="H2724" t="s">
        <v>91</v>
      </c>
      <c r="I2724" t="s">
        <v>7546</v>
      </c>
      <c r="J2724" t="str">
        <f>HYPERLINK("http://twitter.com/tracery_bot")</f>
        <v>http://twitter.com/tracery_bot</v>
      </c>
      <c r="K2724">
        <v>3</v>
      </c>
      <c r="N2724" t="s">
        <v>65</v>
      </c>
      <c r="R2724" t="s">
        <v>60</v>
      </c>
      <c r="W2724">
        <v>0</v>
      </c>
      <c r="X2724">
        <v>0</v>
      </c>
      <c r="AE2724">
        <v>0</v>
      </c>
      <c r="AF2724">
        <v>0</v>
      </c>
      <c r="AM2724" t="s">
        <v>52</v>
      </c>
      <c r="AN2724" t="s">
        <v>53</v>
      </c>
    </row>
    <row r="2725" spans="1:40">
      <c r="A2725" t="s">
        <v>8081</v>
      </c>
      <c r="B2725" t="s">
        <v>8997</v>
      </c>
      <c r="C2725" t="s">
        <v>8983</v>
      </c>
      <c r="D2725" t="s">
        <v>52</v>
      </c>
      <c r="E2725" t="s">
        <v>9000</v>
      </c>
      <c r="F2725" t="s">
        <v>45</v>
      </c>
      <c r="G2725" t="str">
        <f>HYPERLINK("https://www.instagram.com/p/BzEqJkYnQX1")</f>
        <v>https://www.instagram.com/p/BzEqJkYnQX1</v>
      </c>
      <c r="H2725" t="s">
        <v>46</v>
      </c>
      <c r="I2725" t="s">
        <v>9001</v>
      </c>
      <c r="J2725" t="str">
        <f>HYPERLINK("http://instagram.com/mrshernandebt")</f>
        <v>http://instagram.com/mrshernandebt</v>
      </c>
      <c r="K2725">
        <v>319</v>
      </c>
      <c r="N2725" t="s">
        <v>59</v>
      </c>
      <c r="O2725" t="s">
        <v>9001</v>
      </c>
      <c r="P2725" t="str">
        <f>HYPERLINK("http://instagram.com/mrshernandebt")</f>
        <v>http://instagram.com/mrshernandebt</v>
      </c>
      <c r="Q2725">
        <v>319</v>
      </c>
      <c r="R2725" t="s">
        <v>60</v>
      </c>
      <c r="W2725">
        <v>38</v>
      </c>
      <c r="X2725">
        <v>38</v>
      </c>
      <c r="AE2725">
        <v>1</v>
      </c>
      <c r="AI2725" t="s">
        <v>52</v>
      </c>
      <c r="AJ2725" t="s">
        <v>3158</v>
      </c>
      <c r="AK2725" t="s">
        <v>52</v>
      </c>
      <c r="AL2725" t="str">
        <f>HYPERLINK("https://www.instagram.com/p/BzEqJkYnQX1/media/?size=l")</f>
        <v>https://www.instagram.com/p/BzEqJkYnQX1/media/?size=l</v>
      </c>
      <c r="AM2725" t="s">
        <v>52</v>
      </c>
      <c r="AN2725" t="s">
        <v>53</v>
      </c>
    </row>
    <row r="2726" spans="1:40">
      <c r="A2726" t="s">
        <v>8081</v>
      </c>
      <c r="B2726" t="s">
        <v>8997</v>
      </c>
      <c r="C2726" t="s">
        <v>9002</v>
      </c>
      <c r="D2726" t="s">
        <v>52</v>
      </c>
      <c r="E2726" t="s">
        <v>9003</v>
      </c>
      <c r="F2726" t="s">
        <v>45</v>
      </c>
      <c r="G2726" t="str">
        <f>HYPERLINK("https://twitter.com/6027322/status/1142956123672023040")</f>
        <v>https://twitter.com/6027322/status/1142956123672023040</v>
      </c>
      <c r="H2726" t="s">
        <v>46</v>
      </c>
      <c r="I2726" t="s">
        <v>9004</v>
      </c>
      <c r="J2726" t="str">
        <f>HYPERLINK("http://twitter.com/jessejanderson")</f>
        <v>http://twitter.com/jessejanderson</v>
      </c>
      <c r="K2726">
        <v>1268</v>
      </c>
      <c r="N2726" t="s">
        <v>65</v>
      </c>
      <c r="R2726" t="s">
        <v>60</v>
      </c>
      <c r="S2726" t="s">
        <v>2226</v>
      </c>
      <c r="T2726" t="s">
        <v>9005</v>
      </c>
      <c r="W2726">
        <v>2</v>
      </c>
      <c r="X2726">
        <v>2</v>
      </c>
      <c r="AE2726">
        <v>0</v>
      </c>
      <c r="AF2726">
        <v>0</v>
      </c>
      <c r="AI2726" t="s">
        <v>52</v>
      </c>
      <c r="AJ2726" t="s">
        <v>52</v>
      </c>
      <c r="AK2726" t="s">
        <v>341</v>
      </c>
      <c r="AL2726" t="str">
        <f>HYPERLINK("https://pbs.twimg.com/media/D9yYhQRUcAEe7zB.jpg")</f>
        <v>https://pbs.twimg.com/media/D9yYhQRUcAEe7zB.jpg</v>
      </c>
      <c r="AM2726" t="s">
        <v>52</v>
      </c>
      <c r="AN2726" t="s">
        <v>53</v>
      </c>
    </row>
    <row r="2727" spans="1:40">
      <c r="A2727" t="s">
        <v>8081</v>
      </c>
      <c r="B2727" t="s">
        <v>3233</v>
      </c>
      <c r="C2727" t="s">
        <v>8983</v>
      </c>
      <c r="D2727" t="s">
        <v>52</v>
      </c>
      <c r="E2727" t="s">
        <v>9006</v>
      </c>
      <c r="F2727" t="s">
        <v>71</v>
      </c>
      <c r="G2727" t="str">
        <f>HYPERLINK("https://twitter.com/1140679045006483466/status/1142955818817662976")</f>
        <v>https://twitter.com/1140679045006483466/status/1142955818817662976</v>
      </c>
      <c r="H2727" t="s">
        <v>46</v>
      </c>
      <c r="I2727" t="s">
        <v>9007</v>
      </c>
      <c r="J2727" t="str">
        <f>HYPERLINK("http://twitter.com/pastelphil8")</f>
        <v>http://twitter.com/pastelphil8</v>
      </c>
      <c r="K2727">
        <v>6</v>
      </c>
      <c r="N2727" t="s">
        <v>65</v>
      </c>
      <c r="R2727" t="s">
        <v>60</v>
      </c>
      <c r="W2727">
        <v>0</v>
      </c>
      <c r="X2727">
        <v>0</v>
      </c>
      <c r="AE2727">
        <v>0</v>
      </c>
      <c r="AF2727">
        <v>0</v>
      </c>
      <c r="AM2727" t="s">
        <v>52</v>
      </c>
      <c r="AN2727" t="s">
        <v>53</v>
      </c>
    </row>
    <row r="2728" spans="1:40">
      <c r="A2728" t="s">
        <v>8081</v>
      </c>
      <c r="B2728" t="s">
        <v>3233</v>
      </c>
      <c r="C2728" t="s">
        <v>9008</v>
      </c>
      <c r="D2728" t="s">
        <v>52</v>
      </c>
      <c r="E2728" t="s">
        <v>5927</v>
      </c>
      <c r="F2728" t="s">
        <v>131</v>
      </c>
      <c r="G2728" t="str">
        <f>HYPERLINK("https://twitter.com/963244376611803141/status/1142955754808381440")</f>
        <v>https://twitter.com/963244376611803141/status/1142955754808381440</v>
      </c>
      <c r="H2728" t="s">
        <v>46</v>
      </c>
      <c r="I2728" t="s">
        <v>9009</v>
      </c>
      <c r="J2728" t="str">
        <f>HYPERLINK("http://twitter.com/Ban0nym0us")</f>
        <v>http://twitter.com/Ban0nym0us</v>
      </c>
      <c r="K2728">
        <v>46</v>
      </c>
      <c r="N2728" t="s">
        <v>65</v>
      </c>
      <c r="R2728" t="s">
        <v>60</v>
      </c>
      <c r="W2728">
        <v>0</v>
      </c>
      <c r="X2728">
        <v>0</v>
      </c>
      <c r="AE2728">
        <v>0</v>
      </c>
      <c r="AM2728" t="s">
        <v>52</v>
      </c>
      <c r="AN2728" t="s">
        <v>53</v>
      </c>
    </row>
    <row r="2729" spans="1:40">
      <c r="A2729" t="s">
        <v>8081</v>
      </c>
      <c r="B2729" t="s">
        <v>9010</v>
      </c>
      <c r="C2729" t="s">
        <v>9011</v>
      </c>
      <c r="D2729" t="s">
        <v>52</v>
      </c>
      <c r="E2729" t="s">
        <v>9012</v>
      </c>
      <c r="F2729" t="s">
        <v>45</v>
      </c>
      <c r="G2729" t="str">
        <f>HYPERLINK("https://www.instagram.com/p/BzEp1islBwH")</f>
        <v>https://www.instagram.com/p/BzEp1islBwH</v>
      </c>
      <c r="H2729" t="s">
        <v>215</v>
      </c>
      <c r="I2729" t="s">
        <v>9013</v>
      </c>
      <c r="J2729" t="str">
        <f>HYPERLINK("http://instagram.com/ashy_lynn55")</f>
        <v>http://instagram.com/ashy_lynn55</v>
      </c>
      <c r="K2729">
        <v>167</v>
      </c>
      <c r="N2729" t="s">
        <v>59</v>
      </c>
      <c r="O2729" t="s">
        <v>9013</v>
      </c>
      <c r="P2729" t="str">
        <f>HYPERLINK("http://instagram.com/ashy_lynn55")</f>
        <v>http://instagram.com/ashy_lynn55</v>
      </c>
      <c r="Q2729">
        <v>167</v>
      </c>
      <c r="R2729" t="s">
        <v>60</v>
      </c>
      <c r="W2729">
        <v>4</v>
      </c>
      <c r="X2729">
        <v>4</v>
      </c>
      <c r="AE2729">
        <v>2</v>
      </c>
      <c r="AI2729" t="s">
        <v>108</v>
      </c>
      <c r="AJ2729" t="s">
        <v>9014</v>
      </c>
      <c r="AK2729" t="s">
        <v>52</v>
      </c>
      <c r="AL2729" t="str">
        <f>HYPERLINK("https://www.instagram.com/p/BzEp1islBwH/media/?size=l")</f>
        <v>https://www.instagram.com/p/BzEp1islBwH/media/?size=l</v>
      </c>
      <c r="AM2729" t="s">
        <v>52</v>
      </c>
      <c r="AN2729" t="s">
        <v>53</v>
      </c>
    </row>
    <row r="2730" spans="1:40">
      <c r="A2730" t="s">
        <v>8081</v>
      </c>
      <c r="B2730" t="s">
        <v>9015</v>
      </c>
      <c r="C2730" t="s">
        <v>9016</v>
      </c>
      <c r="D2730" t="s">
        <v>52</v>
      </c>
      <c r="E2730" t="s">
        <v>9017</v>
      </c>
      <c r="F2730" t="s">
        <v>45</v>
      </c>
      <c r="G2730" t="str">
        <f>HYPERLINK("https://www.instagram.com/p/BzEpsi5gjXd")</f>
        <v>https://www.instagram.com/p/BzEpsi5gjXd</v>
      </c>
      <c r="H2730" t="s">
        <v>46</v>
      </c>
      <c r="I2730" t="s">
        <v>9018</v>
      </c>
      <c r="J2730" t="str">
        <f>HYPERLINK("http://instagram.com/e_kitchen92")</f>
        <v>http://instagram.com/e_kitchen92</v>
      </c>
      <c r="K2730">
        <v>1409</v>
      </c>
      <c r="N2730" t="s">
        <v>59</v>
      </c>
      <c r="O2730" t="s">
        <v>9018</v>
      </c>
      <c r="P2730" t="str">
        <f>HYPERLINK("http://instagram.com/e_kitchen92")</f>
        <v>http://instagram.com/e_kitchen92</v>
      </c>
      <c r="Q2730">
        <v>1409</v>
      </c>
      <c r="R2730" t="s">
        <v>60</v>
      </c>
      <c r="W2730">
        <v>24</v>
      </c>
      <c r="X2730">
        <v>24</v>
      </c>
      <c r="AE2730">
        <v>0</v>
      </c>
      <c r="AG2730">
        <v>282</v>
      </c>
      <c r="AI2730" t="s">
        <v>52</v>
      </c>
      <c r="AJ2730" t="s">
        <v>52</v>
      </c>
      <c r="AK2730" t="s">
        <v>52</v>
      </c>
      <c r="AL2730" t="str">
        <f>HYPERLINK("https://www.instagram.com/p/BzEpsi5gjXd/media/?size=l")</f>
        <v>https://www.instagram.com/p/BzEpsi5gjXd/media/?size=l</v>
      </c>
      <c r="AM2730" t="s">
        <v>52</v>
      </c>
      <c r="AN2730" t="s">
        <v>53</v>
      </c>
    </row>
    <row r="2731" spans="1:40">
      <c r="A2731" t="s">
        <v>8081</v>
      </c>
      <c r="B2731" t="s">
        <v>9015</v>
      </c>
      <c r="C2731" t="s">
        <v>9002</v>
      </c>
      <c r="D2731" t="s">
        <v>52</v>
      </c>
      <c r="E2731" t="s">
        <v>3749</v>
      </c>
      <c r="F2731" t="s">
        <v>71</v>
      </c>
      <c r="G2731" t="str">
        <f>HYPERLINK("https://twitter.com/1119053880451588096/status/1142955204490534914")</f>
        <v>https://twitter.com/1119053880451588096/status/1142955204490534914</v>
      </c>
      <c r="H2731" t="s">
        <v>46</v>
      </c>
      <c r="I2731" t="s">
        <v>9019</v>
      </c>
      <c r="J2731" t="str">
        <f>HYPERLINK("http://twitter.com/bucks477")</f>
        <v>http://twitter.com/bucks477</v>
      </c>
      <c r="K2731">
        <v>51</v>
      </c>
      <c r="N2731" t="s">
        <v>65</v>
      </c>
      <c r="R2731" t="s">
        <v>60</v>
      </c>
      <c r="S2731" t="s">
        <v>9020</v>
      </c>
      <c r="W2731">
        <v>0</v>
      </c>
      <c r="X2731">
        <v>0</v>
      </c>
      <c r="AE2731">
        <v>0</v>
      </c>
      <c r="AF2731">
        <v>0</v>
      </c>
      <c r="AI2731" t="s">
        <v>108</v>
      </c>
      <c r="AJ2731" t="s">
        <v>52</v>
      </c>
      <c r="AK2731" t="s">
        <v>52</v>
      </c>
      <c r="AL2731" t="str">
        <f>HYPERLINK("https://pbs.twimg.com/media/D9sAXHUX4AA6vJs.jpg")</f>
        <v>https://pbs.twimg.com/media/D9sAXHUX4AA6vJs.jpg</v>
      </c>
      <c r="AM2731" t="s">
        <v>52</v>
      </c>
      <c r="AN2731" t="s">
        <v>53</v>
      </c>
    </row>
    <row r="2732" spans="1:40">
      <c r="A2732" t="s">
        <v>8081</v>
      </c>
      <c r="B2732" t="s">
        <v>9015</v>
      </c>
      <c r="C2732" t="s">
        <v>9016</v>
      </c>
      <c r="D2732" t="s">
        <v>52</v>
      </c>
      <c r="E2732" t="s">
        <v>9021</v>
      </c>
      <c r="F2732" t="s">
        <v>71</v>
      </c>
      <c r="G2732" t="str">
        <f>HYPERLINK("https://twitter.com/725081220699295748/status/1142955066984415232")</f>
        <v>https://twitter.com/725081220699295748/status/1142955066984415232</v>
      </c>
      <c r="H2732" t="s">
        <v>46</v>
      </c>
      <c r="I2732" t="s">
        <v>9022</v>
      </c>
      <c r="J2732" t="str">
        <f>HYPERLINK("http://twitter.com/LifeOfAFart")</f>
        <v>http://twitter.com/LifeOfAFart</v>
      </c>
      <c r="K2732">
        <v>110</v>
      </c>
      <c r="N2732" t="s">
        <v>65</v>
      </c>
      <c r="R2732" t="s">
        <v>60</v>
      </c>
      <c r="W2732">
        <v>0</v>
      </c>
      <c r="X2732">
        <v>0</v>
      </c>
      <c r="AE2732">
        <v>0</v>
      </c>
      <c r="AF2732">
        <v>0</v>
      </c>
      <c r="AM2732" t="s">
        <v>52</v>
      </c>
      <c r="AN2732" t="s">
        <v>53</v>
      </c>
    </row>
    <row r="2733" spans="1:40">
      <c r="A2733" t="s">
        <v>8081</v>
      </c>
      <c r="B2733" t="s">
        <v>9015</v>
      </c>
      <c r="C2733" t="s">
        <v>9016</v>
      </c>
      <c r="D2733" t="s">
        <v>52</v>
      </c>
      <c r="E2733" t="s">
        <v>9023</v>
      </c>
      <c r="F2733" t="s">
        <v>131</v>
      </c>
      <c r="G2733" t="str">
        <f>HYPERLINK("https://twitter.com/915247451770155008/status/1142955044641353728")</f>
        <v>https://twitter.com/915247451770155008/status/1142955044641353728</v>
      </c>
      <c r="H2733" t="s">
        <v>46</v>
      </c>
      <c r="I2733" t="s">
        <v>9024</v>
      </c>
      <c r="J2733" t="str">
        <f>HYPERLINK("http://twitter.com/Amorespresente1")</f>
        <v>http://twitter.com/Amorespresente1</v>
      </c>
      <c r="K2733">
        <v>12</v>
      </c>
      <c r="N2733" t="s">
        <v>65</v>
      </c>
      <c r="R2733" t="s">
        <v>60</v>
      </c>
      <c r="W2733">
        <v>0</v>
      </c>
      <c r="X2733">
        <v>0</v>
      </c>
      <c r="AE2733">
        <v>0</v>
      </c>
      <c r="AI2733" t="s">
        <v>108</v>
      </c>
      <c r="AJ2733" t="s">
        <v>1182</v>
      </c>
      <c r="AK2733" t="s">
        <v>52</v>
      </c>
      <c r="AL2733" t="str">
        <f>HYPERLINK("https://pbs.twimg.com/media/D9tPJcrXoAAuJyr.jpg")</f>
        <v>https://pbs.twimg.com/media/D9tPJcrXoAAuJyr.jpg</v>
      </c>
      <c r="AM2733" t="s">
        <v>52</v>
      </c>
      <c r="AN2733" t="s">
        <v>53</v>
      </c>
    </row>
    <row r="2734" spans="1:40">
      <c r="A2734" t="s">
        <v>8081</v>
      </c>
      <c r="B2734" t="s">
        <v>9015</v>
      </c>
      <c r="C2734" t="s">
        <v>9025</v>
      </c>
      <c r="D2734" t="s">
        <v>52</v>
      </c>
      <c r="E2734" t="s">
        <v>9026</v>
      </c>
      <c r="F2734" t="s">
        <v>71</v>
      </c>
      <c r="G2734" t="str">
        <f>HYPERLINK("https://twitter.com/4644404661/status/1142955037905305600")</f>
        <v>https://twitter.com/4644404661/status/1142955037905305600</v>
      </c>
      <c r="H2734" t="s">
        <v>46</v>
      </c>
      <c r="I2734" t="s">
        <v>9027</v>
      </c>
      <c r="J2734" t="str">
        <f>HYPERLINK("http://twitter.com/camipedregosa")</f>
        <v>http://twitter.com/camipedregosa</v>
      </c>
      <c r="K2734">
        <v>399</v>
      </c>
      <c r="L2734" t="s">
        <v>58</v>
      </c>
      <c r="N2734" t="s">
        <v>65</v>
      </c>
      <c r="R2734" t="s">
        <v>60</v>
      </c>
      <c r="W2734">
        <v>0</v>
      </c>
      <c r="X2734">
        <v>0</v>
      </c>
      <c r="AE2734">
        <v>0</v>
      </c>
      <c r="AF2734">
        <v>0</v>
      </c>
      <c r="AM2734" t="s">
        <v>52</v>
      </c>
      <c r="AN2734" t="s">
        <v>53</v>
      </c>
    </row>
    <row r="2735" spans="1:40">
      <c r="A2735" t="s">
        <v>8081</v>
      </c>
      <c r="B2735" t="s">
        <v>3239</v>
      </c>
      <c r="C2735" t="s">
        <v>9025</v>
      </c>
      <c r="D2735" t="s">
        <v>52</v>
      </c>
      <c r="E2735" t="s">
        <v>9028</v>
      </c>
      <c r="F2735" t="s">
        <v>45</v>
      </c>
      <c r="G2735" t="str">
        <f>HYPERLINK("https://twitter.com/30975320/status/1142954989679194113")</f>
        <v>https://twitter.com/30975320/status/1142954989679194113</v>
      </c>
      <c r="H2735" t="s">
        <v>46</v>
      </c>
      <c r="I2735" t="s">
        <v>9029</v>
      </c>
      <c r="J2735" t="str">
        <f>HYPERLINK("http://twitter.com/EatWithNick")</f>
        <v>http://twitter.com/EatWithNick</v>
      </c>
      <c r="K2735">
        <v>284</v>
      </c>
      <c r="N2735" t="s">
        <v>65</v>
      </c>
      <c r="R2735" t="s">
        <v>60</v>
      </c>
      <c r="S2735" t="s">
        <v>51</v>
      </c>
      <c r="T2735" t="s">
        <v>383</v>
      </c>
      <c r="U2735" t="s">
        <v>9030</v>
      </c>
      <c r="W2735">
        <v>0</v>
      </c>
      <c r="X2735">
        <v>0</v>
      </c>
      <c r="AE2735">
        <v>0</v>
      </c>
      <c r="AF2735">
        <v>0</v>
      </c>
      <c r="AM2735" t="s">
        <v>52</v>
      </c>
      <c r="AN2735" t="s">
        <v>53</v>
      </c>
    </row>
    <row r="2736" spans="1:40">
      <c r="A2736" t="s">
        <v>8081</v>
      </c>
      <c r="B2736" t="s">
        <v>3239</v>
      </c>
      <c r="C2736" t="s">
        <v>9031</v>
      </c>
      <c r="D2736" t="s">
        <v>52</v>
      </c>
      <c r="E2736" t="s">
        <v>9032</v>
      </c>
      <c r="F2736" t="s">
        <v>131</v>
      </c>
      <c r="G2736" t="str">
        <f>HYPERLINK("https://twitter.com/1055127985886519297/status/1142954911652634628")</f>
        <v>https://twitter.com/1055127985886519297/status/1142954911652634628</v>
      </c>
      <c r="H2736" t="s">
        <v>46</v>
      </c>
      <c r="I2736" t="s">
        <v>9033</v>
      </c>
      <c r="J2736" t="str">
        <f>HYPERLINK("http://twitter.com/YamiHuerta2")</f>
        <v>http://twitter.com/YamiHuerta2</v>
      </c>
      <c r="K2736">
        <v>393</v>
      </c>
      <c r="N2736" t="s">
        <v>65</v>
      </c>
      <c r="R2736" t="s">
        <v>60</v>
      </c>
      <c r="W2736">
        <v>0</v>
      </c>
      <c r="X2736">
        <v>0</v>
      </c>
      <c r="AE2736">
        <v>0</v>
      </c>
      <c r="AM2736" t="s">
        <v>52</v>
      </c>
      <c r="AN2736" t="s">
        <v>53</v>
      </c>
    </row>
    <row r="2737" spans="1:40">
      <c r="A2737" t="s">
        <v>8081</v>
      </c>
      <c r="B2737" t="s">
        <v>3239</v>
      </c>
      <c r="C2737" t="s">
        <v>9034</v>
      </c>
      <c r="D2737" t="s">
        <v>52</v>
      </c>
      <c r="E2737" t="s">
        <v>9035</v>
      </c>
      <c r="F2737" t="s">
        <v>95</v>
      </c>
      <c r="G2737" t="str">
        <f>HYPERLINK("https://twitter.com/860159645234679809/status/1142954906325831682")</f>
        <v>https://twitter.com/860159645234679809/status/1142954906325831682</v>
      </c>
      <c r="H2737" t="s">
        <v>46</v>
      </c>
      <c r="I2737" t="s">
        <v>9036</v>
      </c>
      <c r="J2737" t="str">
        <f>HYPERLINK("http://twitter.com/Mooshyfluff84")</f>
        <v>http://twitter.com/Mooshyfluff84</v>
      </c>
      <c r="K2737">
        <v>462</v>
      </c>
      <c r="N2737" t="s">
        <v>65</v>
      </c>
      <c r="R2737" t="s">
        <v>60</v>
      </c>
      <c r="W2737">
        <v>3</v>
      </c>
      <c r="X2737">
        <v>3</v>
      </c>
      <c r="AE2737">
        <v>1</v>
      </c>
      <c r="AF2737">
        <v>0</v>
      </c>
      <c r="AI2737" t="s">
        <v>52</v>
      </c>
      <c r="AJ2737" t="s">
        <v>52</v>
      </c>
      <c r="AK2737" t="s">
        <v>52</v>
      </c>
      <c r="AL2737" t="str">
        <f>HYPERLINK("https://pbs.twimg.com/tweet_video_thumb/D9yXa0qX4AAqDcS.jpg")</f>
        <v>https://pbs.twimg.com/tweet_video_thumb/D9yXa0qX4AAqDcS.jpg</v>
      </c>
      <c r="AM2737" t="s">
        <v>52</v>
      </c>
      <c r="AN2737" t="s">
        <v>53</v>
      </c>
    </row>
    <row r="2738" spans="1:40">
      <c r="A2738" t="s">
        <v>8081</v>
      </c>
      <c r="B2738" t="s">
        <v>3239</v>
      </c>
      <c r="C2738" t="s">
        <v>9031</v>
      </c>
      <c r="D2738" t="s">
        <v>52</v>
      </c>
      <c r="E2738" t="s">
        <v>9037</v>
      </c>
      <c r="F2738" t="s">
        <v>71</v>
      </c>
      <c r="G2738" t="str">
        <f>HYPERLINK("https://twitter.com/772968946999984132/status/1142954872490381312")</f>
        <v>https://twitter.com/772968946999984132/status/1142954872490381312</v>
      </c>
      <c r="H2738" t="s">
        <v>46</v>
      </c>
      <c r="I2738" t="s">
        <v>9038</v>
      </c>
      <c r="J2738" t="str">
        <f>HYPERLINK("http://twitter.com/jerseywhisperer")</f>
        <v>http://twitter.com/jerseywhisperer</v>
      </c>
      <c r="K2738">
        <v>167</v>
      </c>
      <c r="L2738" t="s">
        <v>48</v>
      </c>
      <c r="N2738" t="s">
        <v>65</v>
      </c>
      <c r="R2738" t="s">
        <v>60</v>
      </c>
      <c r="S2738" t="s">
        <v>51</v>
      </c>
      <c r="T2738" t="s">
        <v>137</v>
      </c>
      <c r="W2738">
        <v>1</v>
      </c>
      <c r="X2738">
        <v>1</v>
      </c>
      <c r="AE2738">
        <v>0</v>
      </c>
      <c r="AF2738">
        <v>0</v>
      </c>
      <c r="AM2738" t="s">
        <v>52</v>
      </c>
      <c r="AN2738" t="s">
        <v>53</v>
      </c>
    </row>
    <row r="2739" spans="1:40">
      <c r="A2739" t="s">
        <v>8081</v>
      </c>
      <c r="B2739" t="s">
        <v>3264</v>
      </c>
      <c r="C2739" t="s">
        <v>9039</v>
      </c>
      <c r="D2739" t="s">
        <v>52</v>
      </c>
      <c r="E2739" t="s">
        <v>9040</v>
      </c>
      <c r="F2739" t="s">
        <v>45</v>
      </c>
      <c r="G2739" t="str">
        <f>HYPERLINK("https://www.instagram.com/p/BzEpM6fDTB2")</f>
        <v>https://www.instagram.com/p/BzEpM6fDTB2</v>
      </c>
      <c r="H2739" t="s">
        <v>46</v>
      </c>
      <c r="I2739" t="s">
        <v>8692</v>
      </c>
      <c r="J2739" t="str">
        <f>HYPERLINK("http://instagram.com/cecipom")</f>
        <v>http://instagram.com/cecipom</v>
      </c>
      <c r="K2739">
        <v>370</v>
      </c>
      <c r="N2739" t="s">
        <v>59</v>
      </c>
      <c r="O2739" t="s">
        <v>8692</v>
      </c>
      <c r="P2739" t="str">
        <f>HYPERLINK("http://instagram.com/cecipom")</f>
        <v>http://instagram.com/cecipom</v>
      </c>
      <c r="Q2739">
        <v>370</v>
      </c>
      <c r="R2739" t="s">
        <v>60</v>
      </c>
      <c r="S2739" t="s">
        <v>432</v>
      </c>
      <c r="T2739" t="s">
        <v>6192</v>
      </c>
      <c r="U2739" t="s">
        <v>9041</v>
      </c>
      <c r="W2739">
        <v>40</v>
      </c>
      <c r="X2739">
        <v>40</v>
      </c>
      <c r="AE2739">
        <v>1</v>
      </c>
      <c r="AI2739" t="s">
        <v>108</v>
      </c>
      <c r="AJ2739" t="s">
        <v>52</v>
      </c>
      <c r="AK2739" t="s">
        <v>2089</v>
      </c>
      <c r="AL2739" t="str">
        <f>HYPERLINK("https://www.instagram.com/p/BzEpM6fDTB2/media/?size=l")</f>
        <v>https://www.instagram.com/p/BzEpM6fDTB2/media/?size=l</v>
      </c>
      <c r="AM2739" t="s">
        <v>52</v>
      </c>
      <c r="AN2739" t="s">
        <v>53</v>
      </c>
    </row>
    <row r="2740" spans="1:40">
      <c r="A2740" t="s">
        <v>8081</v>
      </c>
      <c r="B2740" t="s">
        <v>9042</v>
      </c>
      <c r="C2740" t="s">
        <v>9043</v>
      </c>
      <c r="D2740" t="s">
        <v>52</v>
      </c>
      <c r="E2740" t="s">
        <v>9044</v>
      </c>
      <c r="F2740" t="s">
        <v>45</v>
      </c>
      <c r="G2740" t="str">
        <f>HYPERLINK("https://www.instagram.com/p/BzEpFWEh-oR")</f>
        <v>https://www.instagram.com/p/BzEpFWEh-oR</v>
      </c>
      <c r="H2740" t="s">
        <v>46</v>
      </c>
      <c r="I2740" t="s">
        <v>9045</v>
      </c>
      <c r="J2740" t="str">
        <f>HYPERLINK("http://instagram.com/ww_mindfuleating")</f>
        <v>http://instagram.com/ww_mindfuleating</v>
      </c>
      <c r="K2740">
        <v>5478</v>
      </c>
      <c r="N2740" t="s">
        <v>59</v>
      </c>
      <c r="O2740" t="s">
        <v>9045</v>
      </c>
      <c r="P2740" t="str">
        <f>HYPERLINK("http://instagram.com/ww_mindfuleating")</f>
        <v>http://instagram.com/ww_mindfuleating</v>
      </c>
      <c r="Q2740">
        <v>5478</v>
      </c>
      <c r="R2740" t="s">
        <v>60</v>
      </c>
      <c r="W2740">
        <v>85</v>
      </c>
      <c r="X2740">
        <v>85</v>
      </c>
      <c r="AE2740">
        <v>2</v>
      </c>
      <c r="AI2740" t="s">
        <v>52</v>
      </c>
      <c r="AJ2740" t="s">
        <v>9046</v>
      </c>
      <c r="AK2740" t="s">
        <v>52</v>
      </c>
      <c r="AL2740" t="str">
        <f>HYPERLINK("https://www.instagram.com/p/BzEpFWEh-oR/media/?size=l")</f>
        <v>https://www.instagram.com/p/BzEpFWEh-oR/media/?size=l</v>
      </c>
      <c r="AM2740" t="s">
        <v>52</v>
      </c>
      <c r="AN2740" t="s">
        <v>53</v>
      </c>
    </row>
    <row r="2741" spans="1:40">
      <c r="A2741" t="s">
        <v>8081</v>
      </c>
      <c r="B2741" t="s">
        <v>3268</v>
      </c>
      <c r="C2741" t="s">
        <v>9047</v>
      </c>
      <c r="D2741" t="s">
        <v>52</v>
      </c>
      <c r="E2741" t="s">
        <v>9048</v>
      </c>
      <c r="F2741" t="s">
        <v>45</v>
      </c>
      <c r="G2741" t="str">
        <f>HYPERLINK("https://twitter.com/1132363861364027393/status/1142953494887968769")</f>
        <v>https://twitter.com/1132363861364027393/status/1142953494887968769</v>
      </c>
      <c r="H2741" t="s">
        <v>46</v>
      </c>
      <c r="I2741" t="s">
        <v>8985</v>
      </c>
      <c r="J2741" t="str">
        <f>HYPERLINK("http://twitter.com/Dieguinsky1")</f>
        <v>http://twitter.com/Dieguinsky1</v>
      </c>
      <c r="K2741">
        <v>1</v>
      </c>
      <c r="N2741" t="s">
        <v>65</v>
      </c>
      <c r="R2741" t="s">
        <v>60</v>
      </c>
      <c r="W2741">
        <v>2</v>
      </c>
      <c r="X2741">
        <v>2</v>
      </c>
      <c r="AE2741">
        <v>0</v>
      </c>
      <c r="AF2741">
        <v>0</v>
      </c>
      <c r="AM2741" t="s">
        <v>52</v>
      </c>
      <c r="AN2741" t="s">
        <v>53</v>
      </c>
    </row>
    <row r="2742" spans="1:40">
      <c r="A2742" t="s">
        <v>8081</v>
      </c>
      <c r="B2742" t="s">
        <v>3268</v>
      </c>
      <c r="C2742" t="s">
        <v>9016</v>
      </c>
      <c r="D2742" t="s">
        <v>52</v>
      </c>
      <c r="E2742" t="s">
        <v>9049</v>
      </c>
      <c r="F2742" t="s">
        <v>45</v>
      </c>
      <c r="G2742" t="str">
        <f>HYPERLINK("https://www.instagram.com/p/BzEo7zmhMCy")</f>
        <v>https://www.instagram.com/p/BzEo7zmhMCy</v>
      </c>
      <c r="H2742" t="s">
        <v>46</v>
      </c>
      <c r="I2742" t="s">
        <v>8985</v>
      </c>
      <c r="J2742" t="str">
        <f>HYPERLINK("http://instagram.com/diegokinomoto13")</f>
        <v>http://instagram.com/diegokinomoto13</v>
      </c>
      <c r="K2742">
        <v>2525</v>
      </c>
      <c r="N2742" t="s">
        <v>59</v>
      </c>
      <c r="O2742" t="s">
        <v>8985</v>
      </c>
      <c r="P2742" t="str">
        <f>HYPERLINK("http://instagram.com/diegokinomoto13")</f>
        <v>http://instagram.com/diegokinomoto13</v>
      </c>
      <c r="Q2742">
        <v>2525</v>
      </c>
      <c r="R2742" t="s">
        <v>60</v>
      </c>
      <c r="W2742">
        <v>14</v>
      </c>
      <c r="X2742">
        <v>14</v>
      </c>
      <c r="AE2742">
        <v>0</v>
      </c>
      <c r="AI2742" t="s">
        <v>108</v>
      </c>
      <c r="AJ2742" t="s">
        <v>52</v>
      </c>
      <c r="AK2742" t="s">
        <v>52</v>
      </c>
      <c r="AL2742" t="str">
        <f>HYPERLINK("https://www.instagram.com/p/BzEo7zmhMCy/media/?size=l")</f>
        <v>https://www.instagram.com/p/BzEo7zmhMCy/media/?size=l</v>
      </c>
      <c r="AM2742" t="s">
        <v>52</v>
      </c>
      <c r="AN2742" t="s">
        <v>53</v>
      </c>
    </row>
    <row r="2743" spans="1:40">
      <c r="A2743" t="s">
        <v>8081</v>
      </c>
      <c r="B2743" t="s">
        <v>9050</v>
      </c>
      <c r="C2743" t="s">
        <v>9047</v>
      </c>
      <c r="D2743" t="s">
        <v>52</v>
      </c>
      <c r="E2743" t="s">
        <v>1194</v>
      </c>
      <c r="F2743" t="s">
        <v>131</v>
      </c>
      <c r="G2743" t="str">
        <f>HYPERLINK("https://twitter.com/113521307/status/1142953203199119360")</f>
        <v>https://twitter.com/113521307/status/1142953203199119360</v>
      </c>
      <c r="H2743" t="s">
        <v>46</v>
      </c>
      <c r="I2743" t="s">
        <v>9051</v>
      </c>
      <c r="J2743" t="str">
        <f>HYPERLINK("http://twitter.com/fatidgaf")</f>
        <v>http://twitter.com/fatidgaf</v>
      </c>
      <c r="K2743">
        <v>809</v>
      </c>
      <c r="N2743" t="s">
        <v>65</v>
      </c>
      <c r="R2743" t="s">
        <v>60</v>
      </c>
      <c r="S2743" t="s">
        <v>387</v>
      </c>
      <c r="T2743" t="s">
        <v>9052</v>
      </c>
      <c r="U2743" t="s">
        <v>9053</v>
      </c>
      <c r="W2743">
        <v>0</v>
      </c>
      <c r="X2743">
        <v>0</v>
      </c>
      <c r="AE2743">
        <v>0</v>
      </c>
      <c r="AI2743" t="s">
        <v>52</v>
      </c>
      <c r="AJ2743" t="s">
        <v>1196</v>
      </c>
      <c r="AK2743" t="s">
        <v>52</v>
      </c>
      <c r="AL2743" t="str">
        <f>HYPERLINK("https://pbs.twimg.com/media/D9xgk2YXkAAd2ql.jpg")</f>
        <v>https://pbs.twimg.com/media/D9xgk2YXkAAd2ql.jpg</v>
      </c>
      <c r="AM2743" t="s">
        <v>52</v>
      </c>
      <c r="AN2743" t="s">
        <v>53</v>
      </c>
    </row>
    <row r="2744" spans="1:40">
      <c r="A2744" t="s">
        <v>8081</v>
      </c>
      <c r="B2744" t="s">
        <v>9050</v>
      </c>
      <c r="C2744" t="s">
        <v>9047</v>
      </c>
      <c r="D2744" t="s">
        <v>52</v>
      </c>
      <c r="E2744" t="s">
        <v>1194</v>
      </c>
      <c r="F2744" t="s">
        <v>131</v>
      </c>
      <c r="G2744" t="str">
        <f>HYPERLINK("https://twitter.com/1915648938/status/1142953163240157189")</f>
        <v>https://twitter.com/1915648938/status/1142953163240157189</v>
      </c>
      <c r="H2744" t="s">
        <v>46</v>
      </c>
      <c r="I2744" t="s">
        <v>9054</v>
      </c>
      <c r="J2744" t="str">
        <f>HYPERLINK("http://twitter.com/trosie17")</f>
        <v>http://twitter.com/trosie17</v>
      </c>
      <c r="K2744">
        <v>764</v>
      </c>
      <c r="L2744" t="s">
        <v>58</v>
      </c>
      <c r="N2744" t="s">
        <v>65</v>
      </c>
      <c r="R2744" t="s">
        <v>60</v>
      </c>
      <c r="S2744" t="s">
        <v>51</v>
      </c>
      <c r="T2744" t="s">
        <v>152</v>
      </c>
      <c r="W2744">
        <v>0</v>
      </c>
      <c r="X2744">
        <v>0</v>
      </c>
      <c r="AE2744">
        <v>0</v>
      </c>
      <c r="AI2744" t="s">
        <v>52</v>
      </c>
      <c r="AJ2744" t="s">
        <v>1196</v>
      </c>
      <c r="AK2744" t="s">
        <v>52</v>
      </c>
      <c r="AL2744" t="str">
        <f>HYPERLINK("https://pbs.twimg.com/media/D9xgk2YXkAAd2ql.jpg")</f>
        <v>https://pbs.twimg.com/media/D9xgk2YXkAAd2ql.jpg</v>
      </c>
      <c r="AM2744" t="s">
        <v>52</v>
      </c>
      <c r="AN2744" t="s">
        <v>53</v>
      </c>
    </row>
    <row r="2745" spans="1:40">
      <c r="A2745" t="s">
        <v>8081</v>
      </c>
      <c r="B2745" t="s">
        <v>3277</v>
      </c>
      <c r="C2745" t="s">
        <v>9055</v>
      </c>
      <c r="D2745" t="s">
        <v>52</v>
      </c>
      <c r="E2745" t="s">
        <v>9056</v>
      </c>
      <c r="F2745" t="s">
        <v>71</v>
      </c>
      <c r="G2745" t="str">
        <f>HYPERLINK("https://twitter.com/993309157137829889/status/1142952950802857986")</f>
        <v>https://twitter.com/993309157137829889/status/1142952950802857986</v>
      </c>
      <c r="H2745" t="s">
        <v>46</v>
      </c>
      <c r="I2745" t="s">
        <v>9057</v>
      </c>
      <c r="J2745" t="str">
        <f>HYPERLINK("http://twitter.com/TheUltimateThey")</f>
        <v>http://twitter.com/TheUltimateThey</v>
      </c>
      <c r="K2745">
        <v>1544</v>
      </c>
      <c r="N2745" t="s">
        <v>65</v>
      </c>
      <c r="R2745" t="s">
        <v>60</v>
      </c>
      <c r="S2745" t="s">
        <v>51</v>
      </c>
      <c r="T2745" t="s">
        <v>84</v>
      </c>
      <c r="U2745" t="s">
        <v>85</v>
      </c>
      <c r="W2745">
        <v>5</v>
      </c>
      <c r="X2745">
        <v>5</v>
      </c>
      <c r="AE2745">
        <v>1</v>
      </c>
      <c r="AF2745">
        <v>2</v>
      </c>
      <c r="AI2745" t="s">
        <v>108</v>
      </c>
      <c r="AJ2745" t="s">
        <v>52</v>
      </c>
      <c r="AK2745" t="s">
        <v>52</v>
      </c>
      <c r="AL2745" t="str">
        <f>HYPERLINK("https://pbs.twimg.com/tweet_video_thumb/D9hvNNzXUAATAS3.jpg")</f>
        <v>https://pbs.twimg.com/tweet_video_thumb/D9hvNNzXUAATAS3.jpg</v>
      </c>
      <c r="AM2745" t="s">
        <v>52</v>
      </c>
      <c r="AN2745" t="s">
        <v>53</v>
      </c>
    </row>
    <row r="2746" spans="1:40">
      <c r="A2746" t="s">
        <v>8081</v>
      </c>
      <c r="B2746" t="s">
        <v>3277</v>
      </c>
      <c r="C2746" t="s">
        <v>9055</v>
      </c>
      <c r="D2746" t="s">
        <v>52</v>
      </c>
      <c r="E2746" t="s">
        <v>9058</v>
      </c>
      <c r="F2746" t="s">
        <v>95</v>
      </c>
      <c r="G2746" t="str">
        <f>HYPERLINK("https://twitter.com/447574379/status/1142952918028607489")</f>
        <v>https://twitter.com/447574379/status/1142952918028607489</v>
      </c>
      <c r="H2746" t="s">
        <v>46</v>
      </c>
      <c r="I2746" t="s">
        <v>9059</v>
      </c>
      <c r="J2746" t="str">
        <f>HYPERLINK("http://twitter.com/kayladwardlow")</f>
        <v>http://twitter.com/kayladwardlow</v>
      </c>
      <c r="K2746">
        <v>0</v>
      </c>
      <c r="L2746" t="s">
        <v>58</v>
      </c>
      <c r="N2746" t="s">
        <v>65</v>
      </c>
      <c r="R2746" t="s">
        <v>60</v>
      </c>
      <c r="S2746" t="s">
        <v>51</v>
      </c>
      <c r="T2746" t="s">
        <v>738</v>
      </c>
      <c r="W2746">
        <v>0</v>
      </c>
      <c r="X2746">
        <v>0</v>
      </c>
      <c r="AE2746">
        <v>0</v>
      </c>
      <c r="AF2746">
        <v>0</v>
      </c>
      <c r="AM2746" t="s">
        <v>52</v>
      </c>
      <c r="AN2746" t="s">
        <v>53</v>
      </c>
    </row>
    <row r="2747" spans="1:40">
      <c r="A2747" t="s">
        <v>8081</v>
      </c>
      <c r="B2747" t="s">
        <v>3277</v>
      </c>
      <c r="C2747" t="s">
        <v>9016</v>
      </c>
      <c r="D2747" t="s">
        <v>52</v>
      </c>
      <c r="E2747" t="s">
        <v>7606</v>
      </c>
      <c r="F2747" t="s">
        <v>131</v>
      </c>
      <c r="G2747" t="str">
        <f>HYPERLINK("https://twitter.com/995002584636289024/status/1142952741431586816")</f>
        <v>https://twitter.com/995002584636289024/status/1142952741431586816</v>
      </c>
      <c r="H2747" t="s">
        <v>46</v>
      </c>
      <c r="I2747" t="s">
        <v>9060</v>
      </c>
      <c r="J2747" t="str">
        <f>HYPERLINK("http://twitter.com/kwosishsbsb")</f>
        <v>http://twitter.com/kwosishsbsb</v>
      </c>
      <c r="K2747">
        <v>21</v>
      </c>
      <c r="N2747" t="s">
        <v>65</v>
      </c>
      <c r="R2747" t="s">
        <v>60</v>
      </c>
      <c r="S2747" t="s">
        <v>51</v>
      </c>
      <c r="T2747" t="s">
        <v>152</v>
      </c>
      <c r="U2747" t="s">
        <v>1192</v>
      </c>
      <c r="W2747">
        <v>0</v>
      </c>
      <c r="X2747">
        <v>0</v>
      </c>
      <c r="AE2747">
        <v>0</v>
      </c>
      <c r="AM2747" t="s">
        <v>52</v>
      </c>
      <c r="AN2747" t="s">
        <v>53</v>
      </c>
    </row>
    <row r="2748" spans="1:40">
      <c r="A2748" t="s">
        <v>8081</v>
      </c>
      <c r="B2748" t="s">
        <v>3294</v>
      </c>
      <c r="C2748" t="s">
        <v>8952</v>
      </c>
      <c r="D2748" t="s">
        <v>52</v>
      </c>
      <c r="E2748" t="s">
        <v>9061</v>
      </c>
      <c r="F2748" t="s">
        <v>45</v>
      </c>
      <c r="G2748" t="str">
        <f>HYPERLINK("https://www.instagram.com/p/BzEoV_Sgf-F")</f>
        <v>https://www.instagram.com/p/BzEoV_Sgf-F</v>
      </c>
      <c r="H2748" t="s">
        <v>46</v>
      </c>
      <c r="I2748" t="s">
        <v>9062</v>
      </c>
      <c r="J2748" t="str">
        <f>HYPERLINK("http://instagram.com/toy_shack_underground")</f>
        <v>http://instagram.com/toy_shack_underground</v>
      </c>
      <c r="K2748">
        <v>21</v>
      </c>
      <c r="N2748" t="s">
        <v>59</v>
      </c>
      <c r="O2748" t="s">
        <v>9062</v>
      </c>
      <c r="P2748" t="str">
        <f>HYPERLINK("http://instagram.com/toy_shack_underground")</f>
        <v>http://instagram.com/toy_shack_underground</v>
      </c>
      <c r="Q2748">
        <v>21</v>
      </c>
      <c r="R2748" t="s">
        <v>60</v>
      </c>
      <c r="W2748">
        <v>5</v>
      </c>
      <c r="X2748">
        <v>5</v>
      </c>
      <c r="AE2748">
        <v>0</v>
      </c>
      <c r="AI2748" t="s">
        <v>108</v>
      </c>
      <c r="AJ2748" t="s">
        <v>703</v>
      </c>
      <c r="AK2748" t="s">
        <v>52</v>
      </c>
      <c r="AL2748" t="str">
        <f>HYPERLINK("https://www.instagram.com/p/BzEoV_Sgf-F/media/?size=l")</f>
        <v>https://www.instagram.com/p/BzEoV_Sgf-F/media/?size=l</v>
      </c>
      <c r="AM2748" t="s">
        <v>52</v>
      </c>
      <c r="AN2748" t="s">
        <v>53</v>
      </c>
    </row>
    <row r="2749" spans="1:40">
      <c r="A2749" t="s">
        <v>8081</v>
      </c>
      <c r="B2749" t="s">
        <v>3300</v>
      </c>
      <c r="C2749" t="s">
        <v>9063</v>
      </c>
      <c r="D2749" t="s">
        <v>52</v>
      </c>
      <c r="E2749" t="s">
        <v>9064</v>
      </c>
      <c r="F2749" t="s">
        <v>95</v>
      </c>
      <c r="G2749" t="str">
        <f>HYPERLINK("https://twitter.com/941212188596871168/status/1142951842709561344")</f>
        <v>https://twitter.com/941212188596871168/status/1142951842709561344</v>
      </c>
      <c r="H2749" t="s">
        <v>215</v>
      </c>
      <c r="I2749" t="s">
        <v>9065</v>
      </c>
      <c r="J2749" t="str">
        <f>HYPERLINK("http://twitter.com/illexotic")</f>
        <v>http://twitter.com/illexotic</v>
      </c>
      <c r="K2749">
        <v>129</v>
      </c>
      <c r="N2749" t="s">
        <v>65</v>
      </c>
      <c r="R2749" t="s">
        <v>60</v>
      </c>
      <c r="S2749" t="s">
        <v>51</v>
      </c>
      <c r="T2749" t="s">
        <v>173</v>
      </c>
      <c r="U2749" t="s">
        <v>1625</v>
      </c>
      <c r="W2749">
        <v>0</v>
      </c>
      <c r="X2749">
        <v>0</v>
      </c>
      <c r="AE2749">
        <v>0</v>
      </c>
      <c r="AF2749">
        <v>0</v>
      </c>
      <c r="AM2749" t="s">
        <v>52</v>
      </c>
      <c r="AN2749" t="s">
        <v>53</v>
      </c>
    </row>
    <row r="2750" spans="1:40">
      <c r="A2750" t="s">
        <v>8081</v>
      </c>
      <c r="B2750" t="s">
        <v>3300</v>
      </c>
      <c r="C2750" t="s">
        <v>9066</v>
      </c>
      <c r="D2750" t="s">
        <v>52</v>
      </c>
      <c r="E2750" t="s">
        <v>1194</v>
      </c>
      <c r="F2750" t="s">
        <v>131</v>
      </c>
      <c r="G2750" t="str">
        <f>HYPERLINK("https://twitter.com/1004583667534999552/status/1142951814779809793")</f>
        <v>https://twitter.com/1004583667534999552/status/1142951814779809793</v>
      </c>
      <c r="H2750" t="s">
        <v>46</v>
      </c>
      <c r="I2750" t="s">
        <v>9067</v>
      </c>
      <c r="J2750" t="str">
        <f>HYPERLINK("http://twitter.com/zulemaponguta")</f>
        <v>http://twitter.com/zulemaponguta</v>
      </c>
      <c r="K2750">
        <v>95</v>
      </c>
      <c r="N2750" t="s">
        <v>65</v>
      </c>
      <c r="R2750" t="s">
        <v>60</v>
      </c>
      <c r="S2750" t="s">
        <v>437</v>
      </c>
      <c r="T2750" t="s">
        <v>4994</v>
      </c>
      <c r="U2750" t="s">
        <v>1532</v>
      </c>
      <c r="W2750">
        <v>0</v>
      </c>
      <c r="X2750">
        <v>0</v>
      </c>
      <c r="AE2750">
        <v>0</v>
      </c>
      <c r="AI2750" t="s">
        <v>52</v>
      </c>
      <c r="AJ2750" t="s">
        <v>1196</v>
      </c>
      <c r="AK2750" t="s">
        <v>52</v>
      </c>
      <c r="AL2750" t="str">
        <f>HYPERLINK("https://pbs.twimg.com/media/D9xgk2YXkAAd2ql.jpg")</f>
        <v>https://pbs.twimg.com/media/D9xgk2YXkAAd2ql.jpg</v>
      </c>
      <c r="AM2750" t="s">
        <v>52</v>
      </c>
      <c r="AN2750" t="s">
        <v>53</v>
      </c>
    </row>
    <row r="2751" spans="1:40">
      <c r="A2751" t="s">
        <v>8081</v>
      </c>
      <c r="B2751" t="s">
        <v>3300</v>
      </c>
      <c r="C2751" t="s">
        <v>9068</v>
      </c>
      <c r="D2751" t="s">
        <v>52</v>
      </c>
      <c r="E2751" t="s">
        <v>1194</v>
      </c>
      <c r="F2751" t="s">
        <v>131</v>
      </c>
      <c r="G2751" t="str">
        <f>HYPERLINK("https://twitter.com/2682899402/status/1142951753425362944")</f>
        <v>https://twitter.com/2682899402/status/1142951753425362944</v>
      </c>
      <c r="H2751" t="s">
        <v>46</v>
      </c>
      <c r="I2751" t="s">
        <v>9069</v>
      </c>
      <c r="J2751" t="str">
        <f>HYPERLINK("http://twitter.com/Azaherr")</f>
        <v>http://twitter.com/Azaherr</v>
      </c>
      <c r="K2751">
        <v>104</v>
      </c>
      <c r="N2751" t="s">
        <v>65</v>
      </c>
      <c r="R2751" t="s">
        <v>60</v>
      </c>
      <c r="W2751">
        <v>0</v>
      </c>
      <c r="X2751">
        <v>0</v>
      </c>
      <c r="AE2751">
        <v>0</v>
      </c>
      <c r="AI2751" t="s">
        <v>52</v>
      </c>
      <c r="AJ2751" t="s">
        <v>1196</v>
      </c>
      <c r="AK2751" t="s">
        <v>52</v>
      </c>
      <c r="AL2751" t="str">
        <f>HYPERLINK("https://pbs.twimg.com/media/D9xgk2YXkAAd2ql.jpg")</f>
        <v>https://pbs.twimg.com/media/D9xgk2YXkAAd2ql.jpg</v>
      </c>
      <c r="AM2751" t="s">
        <v>52</v>
      </c>
      <c r="AN2751" t="s">
        <v>53</v>
      </c>
    </row>
    <row r="2752" spans="1:40">
      <c r="A2752" t="s">
        <v>8081</v>
      </c>
      <c r="B2752" t="s">
        <v>9070</v>
      </c>
      <c r="C2752" t="s">
        <v>9068</v>
      </c>
      <c r="D2752" t="s">
        <v>52</v>
      </c>
      <c r="E2752" t="s">
        <v>1194</v>
      </c>
      <c r="F2752" t="s">
        <v>131</v>
      </c>
      <c r="G2752" t="str">
        <f>HYPERLINK("https://twitter.com/1137691989330268161/status/1142951718411522053")</f>
        <v>https://twitter.com/1137691989330268161/status/1142951718411522053</v>
      </c>
      <c r="H2752" t="s">
        <v>46</v>
      </c>
      <c r="I2752" t="s">
        <v>9071</v>
      </c>
      <c r="J2752" t="str">
        <f>HYPERLINK("http://twitter.com/ifallitisis8let")</f>
        <v>http://twitter.com/ifallitisis8let</v>
      </c>
      <c r="K2752">
        <v>5</v>
      </c>
      <c r="N2752" t="s">
        <v>65</v>
      </c>
      <c r="R2752" t="s">
        <v>60</v>
      </c>
      <c r="S2752" t="s">
        <v>521</v>
      </c>
      <c r="T2752" t="s">
        <v>522</v>
      </c>
      <c r="U2752" t="s">
        <v>523</v>
      </c>
      <c r="W2752">
        <v>0</v>
      </c>
      <c r="X2752">
        <v>0</v>
      </c>
      <c r="AE2752">
        <v>0</v>
      </c>
      <c r="AI2752" t="s">
        <v>52</v>
      </c>
      <c r="AJ2752" t="s">
        <v>1196</v>
      </c>
      <c r="AK2752" t="s">
        <v>52</v>
      </c>
      <c r="AL2752" t="str">
        <f>HYPERLINK("https://pbs.twimg.com/media/D9xgk2YXkAAd2ql.jpg")</f>
        <v>https://pbs.twimg.com/media/D9xgk2YXkAAd2ql.jpg</v>
      </c>
      <c r="AM2752" t="s">
        <v>52</v>
      </c>
      <c r="AN2752" t="s">
        <v>53</v>
      </c>
    </row>
    <row r="2753" spans="1:40">
      <c r="A2753" t="s">
        <v>8081</v>
      </c>
      <c r="B2753" t="s">
        <v>3304</v>
      </c>
      <c r="C2753" t="s">
        <v>9066</v>
      </c>
      <c r="D2753" t="s">
        <v>52</v>
      </c>
      <c r="E2753" t="s">
        <v>9072</v>
      </c>
      <c r="F2753" t="s">
        <v>45</v>
      </c>
      <c r="G2753" t="str">
        <f>HYPERLINK("https://www.instagram.com/p/BzEn-o7lMEi")</f>
        <v>https://www.instagram.com/p/BzEn-o7lMEi</v>
      </c>
      <c r="H2753" t="s">
        <v>46</v>
      </c>
      <c r="I2753" t="s">
        <v>9073</v>
      </c>
      <c r="J2753" t="str">
        <f>HYPERLINK("http://instagram.com/r.o.s.e.6")</f>
        <v>http://instagram.com/r.o.s.e.6</v>
      </c>
      <c r="K2753">
        <v>631</v>
      </c>
      <c r="N2753" t="s">
        <v>59</v>
      </c>
      <c r="O2753" t="s">
        <v>9073</v>
      </c>
      <c r="P2753" t="str">
        <f>HYPERLINK("http://instagram.com/r.o.s.e.6")</f>
        <v>http://instagram.com/r.o.s.e.6</v>
      </c>
      <c r="Q2753">
        <v>631</v>
      </c>
      <c r="R2753" t="s">
        <v>60</v>
      </c>
      <c r="W2753">
        <v>23</v>
      </c>
      <c r="X2753">
        <v>23</v>
      </c>
      <c r="AE2753">
        <v>0</v>
      </c>
      <c r="AG2753">
        <v>136</v>
      </c>
      <c r="AI2753" t="s">
        <v>52</v>
      </c>
      <c r="AJ2753" t="s">
        <v>9074</v>
      </c>
      <c r="AK2753" t="s">
        <v>52</v>
      </c>
      <c r="AL2753" t="str">
        <f>HYPERLINK("https://www.instagram.com/p/BzEn-o7lMEi/media/?size=l")</f>
        <v>https://www.instagram.com/p/BzEn-o7lMEi/media/?size=l</v>
      </c>
      <c r="AM2753" t="s">
        <v>52</v>
      </c>
      <c r="AN2753" t="s">
        <v>53</v>
      </c>
    </row>
    <row r="2754" spans="1:40">
      <c r="A2754" t="s">
        <v>8081</v>
      </c>
      <c r="B2754" t="s">
        <v>3308</v>
      </c>
      <c r="C2754" t="s">
        <v>9075</v>
      </c>
      <c r="D2754" t="s">
        <v>52</v>
      </c>
      <c r="E2754" t="s">
        <v>9076</v>
      </c>
      <c r="F2754" t="s">
        <v>131</v>
      </c>
      <c r="G2754" t="str">
        <f>HYPERLINK("https://twitter.com/202665828/status/1142951087944753152")</f>
        <v>https://twitter.com/202665828/status/1142951087944753152</v>
      </c>
      <c r="H2754" t="s">
        <v>46</v>
      </c>
      <c r="I2754" t="s">
        <v>9077</v>
      </c>
      <c r="J2754" t="str">
        <f>HYPERLINK("http://twitter.com/CharlesExSavior")</f>
        <v>http://twitter.com/CharlesExSavior</v>
      </c>
      <c r="K2754">
        <v>1399</v>
      </c>
      <c r="N2754" t="s">
        <v>65</v>
      </c>
      <c r="R2754" t="s">
        <v>60</v>
      </c>
      <c r="S2754" t="s">
        <v>6448</v>
      </c>
      <c r="T2754" t="s">
        <v>6449</v>
      </c>
      <c r="U2754" t="s">
        <v>6450</v>
      </c>
      <c r="W2754">
        <v>0</v>
      </c>
      <c r="X2754">
        <v>0</v>
      </c>
      <c r="AE2754">
        <v>0</v>
      </c>
      <c r="AI2754" t="s">
        <v>52</v>
      </c>
      <c r="AJ2754" t="s">
        <v>648</v>
      </c>
      <c r="AK2754" t="s">
        <v>9078</v>
      </c>
      <c r="AL2754" t="str">
        <f>HYPERLINK("https://pbs.twimg.com/tweet_video_thumb/D9xjbZpXkAY3BDf.jpg")</f>
        <v>https://pbs.twimg.com/tweet_video_thumb/D9xjbZpXkAY3BDf.jpg</v>
      </c>
      <c r="AM2754" t="s">
        <v>52</v>
      </c>
      <c r="AN2754" t="s">
        <v>53</v>
      </c>
    </row>
    <row r="2755" spans="1:40">
      <c r="A2755" t="s">
        <v>8081</v>
      </c>
      <c r="B2755" t="s">
        <v>3314</v>
      </c>
      <c r="C2755" t="s">
        <v>9079</v>
      </c>
      <c r="D2755" t="s">
        <v>52</v>
      </c>
      <c r="E2755" t="s">
        <v>9080</v>
      </c>
      <c r="F2755" t="s">
        <v>45</v>
      </c>
      <c r="G2755" t="str">
        <f>HYPERLINK("https://www.instagram.com/p/BzEnwvvJ0i-")</f>
        <v>https://www.instagram.com/p/BzEnwvvJ0i-</v>
      </c>
      <c r="H2755" t="s">
        <v>46</v>
      </c>
      <c r="I2755" t="s">
        <v>9081</v>
      </c>
      <c r="J2755" t="str">
        <f>HYPERLINK("http://instagram.com/martinaspringr")</f>
        <v>http://instagram.com/martinaspringr</v>
      </c>
      <c r="K2755">
        <v>202</v>
      </c>
      <c r="N2755" t="s">
        <v>59</v>
      </c>
      <c r="O2755" t="s">
        <v>9081</v>
      </c>
      <c r="P2755" t="str">
        <f>HYPERLINK("http://instagram.com/martinaspringr")</f>
        <v>http://instagram.com/martinaspringr</v>
      </c>
      <c r="Q2755">
        <v>202</v>
      </c>
      <c r="R2755" t="s">
        <v>60</v>
      </c>
      <c r="W2755">
        <v>14</v>
      </c>
      <c r="X2755">
        <v>14</v>
      </c>
      <c r="AE2755">
        <v>0</v>
      </c>
      <c r="AI2755" t="s">
        <v>52</v>
      </c>
      <c r="AJ2755" t="s">
        <v>9082</v>
      </c>
      <c r="AK2755" t="s">
        <v>9083</v>
      </c>
      <c r="AL2755" t="str">
        <f>HYPERLINK("https://www.instagram.com/p/BzEnwvvJ0i-/media/?size=l")</f>
        <v>https://www.instagram.com/p/BzEnwvvJ0i-/media/?size=l</v>
      </c>
      <c r="AM2755" t="s">
        <v>52</v>
      </c>
      <c r="AN2755" t="s">
        <v>53</v>
      </c>
    </row>
    <row r="2756" spans="1:40">
      <c r="A2756" t="s">
        <v>8081</v>
      </c>
      <c r="B2756" t="s">
        <v>3314</v>
      </c>
      <c r="C2756" t="s">
        <v>9084</v>
      </c>
      <c r="D2756" t="s">
        <v>52</v>
      </c>
      <c r="E2756" t="s">
        <v>9085</v>
      </c>
      <c r="F2756" t="s">
        <v>45</v>
      </c>
      <c r="G2756" t="str">
        <f>HYPERLINK("https://www.instagram.com/p/BzEnvycniMi")</f>
        <v>https://www.instagram.com/p/BzEnvycniMi</v>
      </c>
      <c r="H2756" t="s">
        <v>46</v>
      </c>
      <c r="I2756" t="s">
        <v>52</v>
      </c>
      <c r="J2756" t="str">
        <f>HYPERLINK("http://instagram.com/x.dalexis")</f>
        <v>http://instagram.com/x.dalexis</v>
      </c>
      <c r="K2756">
        <v>3406</v>
      </c>
      <c r="N2756" t="s">
        <v>59</v>
      </c>
      <c r="O2756" t="s">
        <v>52</v>
      </c>
      <c r="P2756" t="str">
        <f>HYPERLINK("http://instagram.com/x.dalexis")</f>
        <v>http://instagram.com/x.dalexis</v>
      </c>
      <c r="Q2756">
        <v>3406</v>
      </c>
      <c r="R2756" t="s">
        <v>60</v>
      </c>
      <c r="S2756" t="s">
        <v>432</v>
      </c>
      <c r="T2756" t="s">
        <v>433</v>
      </c>
      <c r="W2756">
        <v>67</v>
      </c>
      <c r="X2756">
        <v>67</v>
      </c>
      <c r="AE2756">
        <v>5</v>
      </c>
      <c r="AI2756" t="s">
        <v>108</v>
      </c>
      <c r="AJ2756" t="s">
        <v>648</v>
      </c>
      <c r="AK2756" t="s">
        <v>52</v>
      </c>
      <c r="AL2756" t="str">
        <f>HYPERLINK("https://www.instagram.com/p/BzEnvycniMi/media/?size=l")</f>
        <v>https://www.instagram.com/p/BzEnvycniMi/media/?size=l</v>
      </c>
      <c r="AM2756" t="s">
        <v>52</v>
      </c>
      <c r="AN2756" t="s">
        <v>53</v>
      </c>
    </row>
    <row r="2757" spans="1:40">
      <c r="A2757" t="s">
        <v>8081</v>
      </c>
      <c r="B2757" t="s">
        <v>3314</v>
      </c>
      <c r="C2757" t="s">
        <v>9086</v>
      </c>
      <c r="D2757" t="s">
        <v>52</v>
      </c>
      <c r="E2757" t="s">
        <v>9087</v>
      </c>
      <c r="F2757" t="s">
        <v>71</v>
      </c>
      <c r="G2757" t="str">
        <f>HYPERLINK("https://twitter.com/1117013384929652737/status/1142950738068463617")</f>
        <v>https://twitter.com/1117013384929652737/status/1142950738068463617</v>
      </c>
      <c r="H2757" t="s">
        <v>91</v>
      </c>
      <c r="I2757" t="s">
        <v>9088</v>
      </c>
      <c r="J2757" t="str">
        <f>HYPERLINK("http://twitter.com/littlelostARMY")</f>
        <v>http://twitter.com/littlelostARMY</v>
      </c>
      <c r="K2757">
        <v>97</v>
      </c>
      <c r="N2757" t="s">
        <v>65</v>
      </c>
      <c r="R2757" t="s">
        <v>60</v>
      </c>
      <c r="W2757">
        <v>1</v>
      </c>
      <c r="X2757">
        <v>1</v>
      </c>
      <c r="AE2757">
        <v>0</v>
      </c>
      <c r="AF2757">
        <v>0</v>
      </c>
      <c r="AI2757" t="s">
        <v>52</v>
      </c>
      <c r="AJ2757" t="s">
        <v>659</v>
      </c>
      <c r="AK2757" t="s">
        <v>52</v>
      </c>
      <c r="AL2757" t="str">
        <f>HYPERLINK("https://pbs.twimg.com/ext_tw_video_thumb/1142743615661383680/pu/img/w8ZTtPZ7O4Fe_-G8.jpg")</f>
        <v>https://pbs.twimg.com/ext_tw_video_thumb/1142743615661383680/pu/img/w8ZTtPZ7O4Fe_-G8.jpg</v>
      </c>
      <c r="AM2757" t="s">
        <v>52</v>
      </c>
      <c r="AN2757" t="s">
        <v>53</v>
      </c>
    </row>
    <row r="2758" spans="1:40">
      <c r="A2758" t="s">
        <v>8081</v>
      </c>
      <c r="B2758" t="s">
        <v>9089</v>
      </c>
      <c r="C2758" t="s">
        <v>9090</v>
      </c>
      <c r="D2758" t="s">
        <v>52</v>
      </c>
      <c r="E2758" t="s">
        <v>7606</v>
      </c>
      <c r="F2758" t="s">
        <v>131</v>
      </c>
      <c r="G2758" t="str">
        <f>HYPERLINK("https://twitter.com/830273762482221056/status/1142950682024013824")</f>
        <v>https://twitter.com/830273762482221056/status/1142950682024013824</v>
      </c>
      <c r="H2758" t="s">
        <v>46</v>
      </c>
      <c r="I2758" t="s">
        <v>9091</v>
      </c>
      <c r="J2758" t="str">
        <f>HYPERLINK("http://twitter.com/spaceholt")</f>
        <v>http://twitter.com/spaceholt</v>
      </c>
      <c r="K2758">
        <v>690</v>
      </c>
      <c r="L2758" t="s">
        <v>58</v>
      </c>
      <c r="N2758" t="s">
        <v>65</v>
      </c>
      <c r="R2758" t="s">
        <v>60</v>
      </c>
      <c r="W2758">
        <v>0</v>
      </c>
      <c r="X2758">
        <v>0</v>
      </c>
      <c r="AE2758">
        <v>0</v>
      </c>
      <c r="AM2758" t="s">
        <v>52</v>
      </c>
      <c r="AN2758" t="s">
        <v>53</v>
      </c>
    </row>
    <row r="2759" spans="1:40">
      <c r="A2759" t="s">
        <v>8081</v>
      </c>
      <c r="B2759" t="s">
        <v>9089</v>
      </c>
      <c r="C2759" t="s">
        <v>9079</v>
      </c>
      <c r="D2759" t="s">
        <v>52</v>
      </c>
      <c r="E2759" t="s">
        <v>9092</v>
      </c>
      <c r="F2759" t="s">
        <v>95</v>
      </c>
      <c r="G2759" t="str">
        <f>HYPERLINK("https://twitter.com/1059166003316310019/status/1142950527644372992")</f>
        <v>https://twitter.com/1059166003316310019/status/1142950527644372992</v>
      </c>
      <c r="H2759" t="s">
        <v>46</v>
      </c>
      <c r="I2759" t="s">
        <v>9093</v>
      </c>
      <c r="J2759" t="str">
        <f>HYPERLINK("http://twitter.com/imIittol")</f>
        <v>http://twitter.com/imIittol</v>
      </c>
      <c r="K2759">
        <v>5027</v>
      </c>
      <c r="N2759" t="s">
        <v>65</v>
      </c>
      <c r="R2759" t="s">
        <v>60</v>
      </c>
      <c r="S2759" t="s">
        <v>693</v>
      </c>
      <c r="T2759" t="s">
        <v>2877</v>
      </c>
      <c r="U2759" t="s">
        <v>2878</v>
      </c>
      <c r="W2759">
        <v>4</v>
      </c>
      <c r="X2759">
        <v>4</v>
      </c>
      <c r="AE2759">
        <v>0</v>
      </c>
      <c r="AF2759">
        <v>0</v>
      </c>
      <c r="AM2759" t="s">
        <v>52</v>
      </c>
      <c r="AN2759" t="s">
        <v>53</v>
      </c>
    </row>
    <row r="2760" spans="1:40">
      <c r="A2760" t="s">
        <v>8081</v>
      </c>
      <c r="B2760" t="s">
        <v>3318</v>
      </c>
      <c r="C2760" t="s">
        <v>9094</v>
      </c>
      <c r="D2760" t="s">
        <v>52</v>
      </c>
      <c r="E2760" t="s">
        <v>9095</v>
      </c>
      <c r="F2760" t="s">
        <v>45</v>
      </c>
      <c r="G2760" t="str">
        <f>HYPERLINK("https://twitter.com/344122544/status/1142950421591461889")</f>
        <v>https://twitter.com/344122544/status/1142950421591461889</v>
      </c>
      <c r="H2760" t="s">
        <v>46</v>
      </c>
      <c r="I2760" t="s">
        <v>9096</v>
      </c>
      <c r="J2760" t="str">
        <f>HYPERLINK("http://twitter.com/negroscoso")</f>
        <v>http://twitter.com/negroscoso</v>
      </c>
      <c r="K2760">
        <v>41</v>
      </c>
      <c r="N2760" t="s">
        <v>65</v>
      </c>
      <c r="R2760" t="s">
        <v>60</v>
      </c>
      <c r="W2760">
        <v>1</v>
      </c>
      <c r="X2760">
        <v>1</v>
      </c>
      <c r="AE2760">
        <v>1</v>
      </c>
      <c r="AF2760">
        <v>0</v>
      </c>
      <c r="AM2760" t="s">
        <v>52</v>
      </c>
      <c r="AN2760" t="s">
        <v>53</v>
      </c>
    </row>
    <row r="2761" spans="1:40">
      <c r="A2761" t="s">
        <v>8081</v>
      </c>
      <c r="B2761" t="s">
        <v>9097</v>
      </c>
      <c r="C2761" t="s">
        <v>8458</v>
      </c>
      <c r="D2761" t="s">
        <v>9098</v>
      </c>
      <c r="E2761" t="s">
        <v>9098</v>
      </c>
      <c r="F2761" t="s">
        <v>45</v>
      </c>
      <c r="G2761" t="str">
        <f>HYPERLINK("https://www.youtube.com/watch?v=lJKurLkcIjg")</f>
        <v>https://www.youtube.com/watch?v=lJKurLkcIjg</v>
      </c>
      <c r="H2761" t="s">
        <v>46</v>
      </c>
      <c r="I2761" t="s">
        <v>9099</v>
      </c>
      <c r="J2761" t="str">
        <f>HYPERLINK("https://www.youtube.com/channel/UC-upqRrjPVNBVgUkaqkGhjw")</f>
        <v>https://www.youtube.com/channel/UC-upqRrjPVNBVgUkaqkGhjw</v>
      </c>
      <c r="K2761">
        <v>11</v>
      </c>
      <c r="L2761" t="s">
        <v>48</v>
      </c>
      <c r="N2761" t="s">
        <v>116</v>
      </c>
      <c r="O2761" t="s">
        <v>9099</v>
      </c>
      <c r="P2761" t="str">
        <f>HYPERLINK("https://www.youtube.com/channel/UC-upqRrjPVNBVgUkaqkGhjw")</f>
        <v>https://www.youtube.com/channel/UC-upqRrjPVNBVgUkaqkGhjw</v>
      </c>
      <c r="Q2761">
        <v>11</v>
      </c>
      <c r="R2761" t="s">
        <v>60</v>
      </c>
      <c r="W2761">
        <v>2</v>
      </c>
      <c r="X2761">
        <v>2</v>
      </c>
      <c r="AD2761">
        <v>0</v>
      </c>
      <c r="AE2761">
        <v>2</v>
      </c>
      <c r="AG2761">
        <v>3</v>
      </c>
      <c r="AI2761" t="s">
        <v>108</v>
      </c>
      <c r="AJ2761" t="s">
        <v>52</v>
      </c>
      <c r="AK2761" t="s">
        <v>52</v>
      </c>
      <c r="AL2761" t="str">
        <f>HYPERLINK("https://i.ytimg.com/vi/lJKurLkcIjg/maxresdefault.jpg")</f>
        <v>https://i.ytimg.com/vi/lJKurLkcIjg/maxresdefault.jpg</v>
      </c>
      <c r="AM2761" t="s">
        <v>52</v>
      </c>
      <c r="AN2761" t="s">
        <v>53</v>
      </c>
    </row>
    <row r="2762" spans="1:40">
      <c r="A2762" t="s">
        <v>8081</v>
      </c>
      <c r="B2762" t="s">
        <v>3339</v>
      </c>
      <c r="C2762" t="s">
        <v>9068</v>
      </c>
      <c r="D2762" t="s">
        <v>52</v>
      </c>
      <c r="E2762" t="s">
        <v>9100</v>
      </c>
      <c r="F2762" t="s">
        <v>45</v>
      </c>
      <c r="G2762" t="str">
        <f>HYPERLINK("https://www.instagram.com/p/BzEnEZfp8hG")</f>
        <v>https://www.instagram.com/p/BzEnEZfp8hG</v>
      </c>
      <c r="H2762" t="s">
        <v>46</v>
      </c>
      <c r="I2762" t="s">
        <v>9101</v>
      </c>
      <c r="J2762" t="str">
        <f>HYPERLINK("http://instagram.com/sohappytogaylor")</f>
        <v>http://instagram.com/sohappytogaylor</v>
      </c>
      <c r="K2762">
        <v>77</v>
      </c>
      <c r="L2762" t="s">
        <v>48</v>
      </c>
      <c r="N2762" t="s">
        <v>59</v>
      </c>
      <c r="O2762" t="s">
        <v>9101</v>
      </c>
      <c r="P2762" t="str">
        <f>HYPERLINK("http://instagram.com/sohappytogaylor")</f>
        <v>http://instagram.com/sohappytogaylor</v>
      </c>
      <c r="Q2762">
        <v>77</v>
      </c>
      <c r="R2762" t="s">
        <v>60</v>
      </c>
      <c r="S2762" t="s">
        <v>51</v>
      </c>
      <c r="T2762" t="s">
        <v>497</v>
      </c>
      <c r="U2762" t="s">
        <v>9102</v>
      </c>
      <c r="W2762">
        <v>22</v>
      </c>
      <c r="X2762">
        <v>22</v>
      </c>
      <c r="AE2762">
        <v>1</v>
      </c>
      <c r="AI2762" t="s">
        <v>52</v>
      </c>
      <c r="AJ2762" t="s">
        <v>3510</v>
      </c>
      <c r="AK2762" t="s">
        <v>3511</v>
      </c>
      <c r="AL2762" t="str">
        <f>HYPERLINK("https://www.instagram.com/p/BzEnEZfp8hG/media/?size=l")</f>
        <v>https://www.instagram.com/p/BzEnEZfp8hG/media/?size=l</v>
      </c>
      <c r="AM2762" t="s">
        <v>52</v>
      </c>
      <c r="AN2762" t="s">
        <v>53</v>
      </c>
    </row>
    <row r="2763" spans="1:40">
      <c r="A2763" t="s">
        <v>8081</v>
      </c>
      <c r="B2763" t="s">
        <v>3353</v>
      </c>
      <c r="C2763" t="s">
        <v>9016</v>
      </c>
      <c r="D2763" t="s">
        <v>52</v>
      </c>
      <c r="E2763" t="s">
        <v>9103</v>
      </c>
      <c r="F2763" t="s">
        <v>45</v>
      </c>
      <c r="G2763" t="str">
        <f>HYPERLINK("https://www.instagram.com/p/BzEmx12l9Ql")</f>
        <v>https://www.instagram.com/p/BzEmx12l9Ql</v>
      </c>
      <c r="H2763" t="s">
        <v>46</v>
      </c>
      <c r="I2763" t="s">
        <v>9104</v>
      </c>
      <c r="J2763" t="str">
        <f>HYPERLINK("http://instagram.com/rohsig")</f>
        <v>http://instagram.com/rohsig</v>
      </c>
      <c r="K2763">
        <v>1329</v>
      </c>
      <c r="L2763" t="s">
        <v>48</v>
      </c>
      <c r="N2763" t="s">
        <v>59</v>
      </c>
      <c r="O2763" t="s">
        <v>9104</v>
      </c>
      <c r="P2763" t="str">
        <f>HYPERLINK("http://instagram.com/rohsig")</f>
        <v>http://instagram.com/rohsig</v>
      </c>
      <c r="Q2763">
        <v>1329</v>
      </c>
      <c r="R2763" t="s">
        <v>60</v>
      </c>
      <c r="S2763" t="s">
        <v>432</v>
      </c>
      <c r="T2763" t="s">
        <v>6192</v>
      </c>
      <c r="U2763" t="s">
        <v>9105</v>
      </c>
      <c r="W2763">
        <v>122</v>
      </c>
      <c r="X2763">
        <v>122</v>
      </c>
      <c r="AE2763">
        <v>2</v>
      </c>
      <c r="AI2763" t="s">
        <v>52</v>
      </c>
      <c r="AJ2763" t="s">
        <v>52</v>
      </c>
      <c r="AK2763" t="s">
        <v>341</v>
      </c>
      <c r="AL2763" t="str">
        <f>HYPERLINK("https://www.instagram.com/p/BzEmx12l9Ql/media/?size=l")</f>
        <v>https://www.instagram.com/p/BzEmx12l9Ql/media/?size=l</v>
      </c>
      <c r="AM2763" t="s">
        <v>52</v>
      </c>
      <c r="AN2763" t="s">
        <v>53</v>
      </c>
    </row>
    <row r="2764" spans="1:40">
      <c r="A2764" t="s">
        <v>8081</v>
      </c>
      <c r="B2764" t="s">
        <v>3363</v>
      </c>
      <c r="C2764" t="s">
        <v>9106</v>
      </c>
      <c r="D2764" t="s">
        <v>52</v>
      </c>
      <c r="E2764" t="s">
        <v>9107</v>
      </c>
      <c r="F2764" t="s">
        <v>95</v>
      </c>
      <c r="G2764" t="str">
        <f>HYPERLINK("https://twitter.com/4805800986/status/1142948550864789504")</f>
        <v>https://twitter.com/4805800986/status/1142948550864789504</v>
      </c>
      <c r="H2764" t="s">
        <v>46</v>
      </c>
      <c r="I2764" t="s">
        <v>9108</v>
      </c>
      <c r="J2764" t="str">
        <f>HYPERLINK("http://twitter.com/_itsriahhh")</f>
        <v>http://twitter.com/_itsriahhh</v>
      </c>
      <c r="K2764">
        <v>683</v>
      </c>
      <c r="N2764" t="s">
        <v>65</v>
      </c>
      <c r="R2764" t="s">
        <v>60</v>
      </c>
      <c r="S2764" t="s">
        <v>51</v>
      </c>
      <c r="T2764" t="s">
        <v>84</v>
      </c>
      <c r="U2764" t="s">
        <v>85</v>
      </c>
      <c r="W2764">
        <v>1</v>
      </c>
      <c r="X2764">
        <v>1</v>
      </c>
      <c r="AE2764">
        <v>1</v>
      </c>
      <c r="AF2764">
        <v>0</v>
      </c>
      <c r="AM2764" t="s">
        <v>52</v>
      </c>
      <c r="AN2764" t="s">
        <v>53</v>
      </c>
    </row>
    <row r="2765" spans="1:40">
      <c r="A2765" t="s">
        <v>8081</v>
      </c>
      <c r="B2765" t="s">
        <v>3373</v>
      </c>
      <c r="C2765" t="s">
        <v>9109</v>
      </c>
      <c r="D2765" t="s">
        <v>9110</v>
      </c>
      <c r="E2765" t="s">
        <v>9110</v>
      </c>
      <c r="F2765" t="s">
        <v>45</v>
      </c>
      <c r="G2765" t="str">
        <f>HYPERLINK("https://www.youtube.com/watch?v=vbUKLxSdTGM")</f>
        <v>https://www.youtube.com/watch?v=vbUKLxSdTGM</v>
      </c>
      <c r="H2765" t="s">
        <v>46</v>
      </c>
      <c r="I2765" t="s">
        <v>9111</v>
      </c>
      <c r="J2765" t="str">
        <f>HYPERLINK("https://www.youtube.com/channel/UCQ67lZE-alvCdVsWP8GwUrQ")</f>
        <v>https://www.youtube.com/channel/UCQ67lZE-alvCdVsWP8GwUrQ</v>
      </c>
      <c r="K2765">
        <v>579</v>
      </c>
      <c r="N2765" t="s">
        <v>116</v>
      </c>
      <c r="O2765" t="s">
        <v>9111</v>
      </c>
      <c r="P2765" t="str">
        <f>HYPERLINK("https://www.youtube.com/channel/UCQ67lZE-alvCdVsWP8GwUrQ")</f>
        <v>https://www.youtube.com/channel/UCQ67lZE-alvCdVsWP8GwUrQ</v>
      </c>
      <c r="Q2765">
        <v>579</v>
      </c>
      <c r="R2765" t="s">
        <v>60</v>
      </c>
      <c r="S2765" t="s">
        <v>51</v>
      </c>
      <c r="W2765">
        <v>14</v>
      </c>
      <c r="X2765">
        <v>14</v>
      </c>
      <c r="AD2765">
        <v>0</v>
      </c>
      <c r="AE2765">
        <v>15</v>
      </c>
      <c r="AG2765">
        <v>75</v>
      </c>
      <c r="AI2765" t="s">
        <v>108</v>
      </c>
      <c r="AJ2765" t="s">
        <v>52</v>
      </c>
      <c r="AK2765" t="s">
        <v>52</v>
      </c>
      <c r="AL2765" t="str">
        <f>HYPERLINK("https://i.ytimg.com/vi/vbUKLxSdTGM/sddefault.jpg")</f>
        <v>https://i.ytimg.com/vi/vbUKLxSdTGM/sddefault.jpg</v>
      </c>
      <c r="AM2765" t="s">
        <v>52</v>
      </c>
      <c r="AN2765" t="s">
        <v>53</v>
      </c>
    </row>
    <row r="2766" spans="1:40">
      <c r="A2766" t="s">
        <v>8081</v>
      </c>
      <c r="B2766" t="s">
        <v>3373</v>
      </c>
      <c r="C2766" t="s">
        <v>9079</v>
      </c>
      <c r="D2766" t="s">
        <v>52</v>
      </c>
      <c r="E2766" t="s">
        <v>7606</v>
      </c>
      <c r="F2766" t="s">
        <v>131</v>
      </c>
      <c r="G2766" t="str">
        <f>HYPERLINK("https://twitter.com/131082509/status/1142948081245327367")</f>
        <v>https://twitter.com/131082509/status/1142948081245327367</v>
      </c>
      <c r="H2766" t="s">
        <v>46</v>
      </c>
      <c r="I2766" t="s">
        <v>9112</v>
      </c>
      <c r="J2766" t="str">
        <f>HYPERLINK("http://twitter.com/Crypto_Jay18")</f>
        <v>http://twitter.com/Crypto_Jay18</v>
      </c>
      <c r="K2766">
        <v>6206</v>
      </c>
      <c r="N2766" t="s">
        <v>65</v>
      </c>
      <c r="R2766" t="s">
        <v>60</v>
      </c>
      <c r="S2766" t="s">
        <v>51</v>
      </c>
      <c r="T2766" t="s">
        <v>152</v>
      </c>
      <c r="U2766" t="s">
        <v>1958</v>
      </c>
      <c r="W2766">
        <v>0</v>
      </c>
      <c r="X2766">
        <v>0</v>
      </c>
      <c r="AE2766">
        <v>0</v>
      </c>
      <c r="AM2766" t="s">
        <v>52</v>
      </c>
      <c r="AN2766" t="s">
        <v>53</v>
      </c>
    </row>
    <row r="2767" spans="1:40">
      <c r="A2767" t="s">
        <v>8081</v>
      </c>
      <c r="B2767" t="s">
        <v>3383</v>
      </c>
      <c r="C2767" t="s">
        <v>9113</v>
      </c>
      <c r="D2767" t="s">
        <v>52</v>
      </c>
      <c r="E2767" t="s">
        <v>9114</v>
      </c>
      <c r="F2767" t="s">
        <v>45</v>
      </c>
      <c r="G2767" t="str">
        <f>HYPERLINK("https://www.instagram.com/p/BzEmQoeALlM")</f>
        <v>https://www.instagram.com/p/BzEmQoeALlM</v>
      </c>
      <c r="H2767" t="s">
        <v>46</v>
      </c>
      <c r="I2767" t="s">
        <v>9115</v>
      </c>
      <c r="J2767" t="str">
        <f>HYPERLINK("http://instagram.com/ketodiettracker")</f>
        <v>http://instagram.com/ketodiettracker</v>
      </c>
      <c r="K2767">
        <v>20892</v>
      </c>
      <c r="N2767" t="s">
        <v>59</v>
      </c>
      <c r="O2767" t="s">
        <v>9115</v>
      </c>
      <c r="P2767" t="str">
        <f>HYPERLINK("http://instagram.com/ketodiettracker")</f>
        <v>http://instagram.com/ketodiettracker</v>
      </c>
      <c r="Q2767">
        <v>20892</v>
      </c>
      <c r="R2767" t="s">
        <v>60</v>
      </c>
      <c r="W2767">
        <v>158</v>
      </c>
      <c r="X2767">
        <v>158</v>
      </c>
      <c r="AE2767">
        <v>4</v>
      </c>
      <c r="AI2767" t="s">
        <v>108</v>
      </c>
      <c r="AJ2767" t="s">
        <v>1894</v>
      </c>
      <c r="AK2767" t="s">
        <v>52</v>
      </c>
      <c r="AL2767" t="str">
        <f>HYPERLINK("https://www.instagram.com/p/BzEmQoeALlM/media/?size=l")</f>
        <v>https://www.instagram.com/p/BzEmQoeALlM/media/?size=l</v>
      </c>
      <c r="AM2767" t="s">
        <v>52</v>
      </c>
      <c r="AN2767" t="s">
        <v>53</v>
      </c>
    </row>
    <row r="2768" spans="1:40">
      <c r="A2768" t="s">
        <v>8081</v>
      </c>
      <c r="B2768" t="s">
        <v>3383</v>
      </c>
      <c r="C2768" t="s">
        <v>9116</v>
      </c>
      <c r="D2768" t="s">
        <v>52</v>
      </c>
      <c r="E2768" t="s">
        <v>9117</v>
      </c>
      <c r="F2768" t="s">
        <v>45</v>
      </c>
      <c r="G2768" t="str">
        <f>HYPERLINK("https://twitter.com/302201886/status/1142947604310974464")</f>
        <v>https://twitter.com/302201886/status/1142947604310974464</v>
      </c>
      <c r="H2768" t="s">
        <v>46</v>
      </c>
      <c r="I2768" t="s">
        <v>9118</v>
      </c>
      <c r="J2768" t="str">
        <f>HYPERLINK("http://twitter.com/anarcoku")</f>
        <v>http://twitter.com/anarcoku</v>
      </c>
      <c r="K2768">
        <v>301</v>
      </c>
      <c r="L2768" t="s">
        <v>48</v>
      </c>
      <c r="N2768" t="s">
        <v>65</v>
      </c>
      <c r="R2768" t="s">
        <v>60</v>
      </c>
      <c r="S2768" t="s">
        <v>432</v>
      </c>
      <c r="W2768">
        <v>0</v>
      </c>
      <c r="X2768">
        <v>0</v>
      </c>
      <c r="AE2768">
        <v>0</v>
      </c>
      <c r="AF2768">
        <v>0</v>
      </c>
      <c r="AM2768" t="s">
        <v>52</v>
      </c>
      <c r="AN2768" t="s">
        <v>53</v>
      </c>
    </row>
    <row r="2769" spans="1:40">
      <c r="A2769" t="s">
        <v>8081</v>
      </c>
      <c r="B2769" t="s">
        <v>3383</v>
      </c>
      <c r="C2769" t="s">
        <v>9119</v>
      </c>
      <c r="D2769" t="s">
        <v>52</v>
      </c>
      <c r="E2769" t="s">
        <v>9120</v>
      </c>
      <c r="F2769" t="s">
        <v>45</v>
      </c>
      <c r="G2769" t="str">
        <f>HYPERLINK("https://www.instagram.com/p/BzEmNpqlhFi")</f>
        <v>https://www.instagram.com/p/BzEmNpqlhFi</v>
      </c>
      <c r="H2769" t="s">
        <v>46</v>
      </c>
      <c r="I2769" t="s">
        <v>9121</v>
      </c>
      <c r="J2769" t="str">
        <f>HYPERLINK("http://instagram.com/vest_memes")</f>
        <v>http://instagram.com/vest_memes</v>
      </c>
      <c r="K2769">
        <v>8467</v>
      </c>
      <c r="N2769" t="s">
        <v>59</v>
      </c>
      <c r="O2769" t="s">
        <v>9121</v>
      </c>
      <c r="P2769" t="str">
        <f>HYPERLINK("http://instagram.com/vest_memes")</f>
        <v>http://instagram.com/vest_memes</v>
      </c>
      <c r="Q2769">
        <v>8467</v>
      </c>
      <c r="R2769" t="s">
        <v>60</v>
      </c>
      <c r="W2769">
        <v>1482</v>
      </c>
      <c r="X2769">
        <v>1482</v>
      </c>
      <c r="AE2769">
        <v>20</v>
      </c>
      <c r="AG2769">
        <v>5386</v>
      </c>
      <c r="AI2769" t="s">
        <v>52</v>
      </c>
      <c r="AJ2769" t="s">
        <v>52</v>
      </c>
      <c r="AK2769" t="s">
        <v>612</v>
      </c>
      <c r="AL2769" t="str">
        <f>HYPERLINK("https://www.instagram.com/p/BzEmNpqlhFi/media/?size=l")</f>
        <v>https://www.instagram.com/p/BzEmNpqlhFi/media/?size=l</v>
      </c>
      <c r="AM2769" t="s">
        <v>52</v>
      </c>
      <c r="AN2769" t="s">
        <v>53</v>
      </c>
    </row>
    <row r="2770" spans="1:40">
      <c r="A2770" t="s">
        <v>8081</v>
      </c>
      <c r="B2770" t="s">
        <v>3383</v>
      </c>
      <c r="C2770" t="s">
        <v>9122</v>
      </c>
      <c r="D2770" t="s">
        <v>52</v>
      </c>
      <c r="E2770" t="s">
        <v>1194</v>
      </c>
      <c r="F2770" t="s">
        <v>131</v>
      </c>
      <c r="G2770" t="str">
        <f>HYPERLINK("https://twitter.com/554690293/status/1142947495619768322")</f>
        <v>https://twitter.com/554690293/status/1142947495619768322</v>
      </c>
      <c r="H2770" t="s">
        <v>46</v>
      </c>
      <c r="I2770" t="s">
        <v>9123</v>
      </c>
      <c r="J2770" t="str">
        <f>HYPERLINK("http://twitter.com/kindofstressed")</f>
        <v>http://twitter.com/kindofstressed</v>
      </c>
      <c r="K2770">
        <v>731</v>
      </c>
      <c r="N2770" t="s">
        <v>65</v>
      </c>
      <c r="R2770" t="s">
        <v>60</v>
      </c>
      <c r="S2770" t="s">
        <v>51</v>
      </c>
      <c r="T2770" t="s">
        <v>2720</v>
      </c>
      <c r="U2770" t="s">
        <v>9124</v>
      </c>
      <c r="W2770">
        <v>0</v>
      </c>
      <c r="X2770">
        <v>0</v>
      </c>
      <c r="AE2770">
        <v>0</v>
      </c>
      <c r="AI2770" t="s">
        <v>52</v>
      </c>
      <c r="AJ2770" t="s">
        <v>1196</v>
      </c>
      <c r="AK2770" t="s">
        <v>52</v>
      </c>
      <c r="AL2770" t="str">
        <f>HYPERLINK("https://pbs.twimg.com/media/D9xgk2YXkAAd2ql.jpg")</f>
        <v>https://pbs.twimg.com/media/D9xgk2YXkAAd2ql.jpg</v>
      </c>
      <c r="AM2770" t="s">
        <v>52</v>
      </c>
      <c r="AN2770" t="s">
        <v>53</v>
      </c>
    </row>
    <row r="2771" spans="1:40">
      <c r="A2771" t="s">
        <v>8081</v>
      </c>
      <c r="B2771" t="s">
        <v>3383</v>
      </c>
      <c r="C2771" t="s">
        <v>9122</v>
      </c>
      <c r="D2771" t="s">
        <v>52</v>
      </c>
      <c r="E2771" t="s">
        <v>1194</v>
      </c>
      <c r="F2771" t="s">
        <v>131</v>
      </c>
      <c r="G2771" t="str">
        <f>HYPERLINK("https://twitter.com/2329557836/status/1142947489097637888")</f>
        <v>https://twitter.com/2329557836/status/1142947489097637888</v>
      </c>
      <c r="H2771" t="s">
        <v>46</v>
      </c>
      <c r="I2771" t="s">
        <v>9125</v>
      </c>
      <c r="J2771" t="str">
        <f>HYPERLINK("http://twitter.com/hannahpineapp1e")</f>
        <v>http://twitter.com/hannahpineapp1e</v>
      </c>
      <c r="K2771">
        <v>98</v>
      </c>
      <c r="N2771" t="s">
        <v>65</v>
      </c>
      <c r="R2771" t="s">
        <v>60</v>
      </c>
      <c r="S2771" t="s">
        <v>51</v>
      </c>
      <c r="T2771" t="s">
        <v>9126</v>
      </c>
      <c r="U2771" t="s">
        <v>9127</v>
      </c>
      <c r="W2771">
        <v>0</v>
      </c>
      <c r="X2771">
        <v>0</v>
      </c>
      <c r="AE2771">
        <v>0</v>
      </c>
      <c r="AI2771" t="s">
        <v>52</v>
      </c>
      <c r="AJ2771" t="s">
        <v>1196</v>
      </c>
      <c r="AK2771" t="s">
        <v>52</v>
      </c>
      <c r="AL2771" t="str">
        <f>HYPERLINK("https://pbs.twimg.com/media/D9xgk2YXkAAd2ql.jpg")</f>
        <v>https://pbs.twimg.com/media/D9xgk2YXkAAd2ql.jpg</v>
      </c>
      <c r="AM2771" t="s">
        <v>52</v>
      </c>
      <c r="AN2771" t="s">
        <v>53</v>
      </c>
    </row>
    <row r="2772" spans="1:40">
      <c r="A2772" t="s">
        <v>8081</v>
      </c>
      <c r="B2772" t="s">
        <v>3383</v>
      </c>
      <c r="C2772" t="s">
        <v>9128</v>
      </c>
      <c r="D2772" t="s">
        <v>52</v>
      </c>
      <c r="E2772" t="s">
        <v>1194</v>
      </c>
      <c r="F2772" t="s">
        <v>131</v>
      </c>
      <c r="G2772" t="str">
        <f>HYPERLINK("https://twitter.com/407806060/status/1142947446709981184")</f>
        <v>https://twitter.com/407806060/status/1142947446709981184</v>
      </c>
      <c r="H2772" t="s">
        <v>46</v>
      </c>
      <c r="I2772" t="s">
        <v>9129</v>
      </c>
      <c r="J2772" t="str">
        <f>HYPERLINK("http://twitter.com/JesusCasintra")</f>
        <v>http://twitter.com/JesusCasintra</v>
      </c>
      <c r="K2772">
        <v>370</v>
      </c>
      <c r="N2772" t="s">
        <v>65</v>
      </c>
      <c r="R2772" t="s">
        <v>60</v>
      </c>
      <c r="W2772">
        <v>0</v>
      </c>
      <c r="X2772">
        <v>0</v>
      </c>
      <c r="AE2772">
        <v>0</v>
      </c>
      <c r="AI2772" t="s">
        <v>52</v>
      </c>
      <c r="AJ2772" t="s">
        <v>1196</v>
      </c>
      <c r="AK2772" t="s">
        <v>52</v>
      </c>
      <c r="AL2772" t="str">
        <f>HYPERLINK("https://pbs.twimg.com/media/D9xgk2YXkAAd2ql.jpg")</f>
        <v>https://pbs.twimg.com/media/D9xgk2YXkAAd2ql.jpg</v>
      </c>
      <c r="AM2772" t="s">
        <v>52</v>
      </c>
      <c r="AN2772" t="s">
        <v>53</v>
      </c>
    </row>
    <row r="2773" spans="1:40">
      <c r="A2773" t="s">
        <v>8081</v>
      </c>
      <c r="B2773" t="s">
        <v>9130</v>
      </c>
      <c r="C2773" t="s">
        <v>9131</v>
      </c>
      <c r="D2773" t="s">
        <v>52</v>
      </c>
      <c r="E2773" t="s">
        <v>9132</v>
      </c>
      <c r="F2773" t="s">
        <v>95</v>
      </c>
      <c r="G2773" t="str">
        <f>HYPERLINK("https://twitter.com/941117870238502913/status/1142947419048632320")</f>
        <v>https://twitter.com/941117870238502913/status/1142947419048632320</v>
      </c>
      <c r="H2773" t="s">
        <v>46</v>
      </c>
      <c r="I2773" t="s">
        <v>9133</v>
      </c>
      <c r="J2773" t="str">
        <f>HYPERLINK("http://twitter.com/Agosssttina")</f>
        <v>http://twitter.com/Agosssttina</v>
      </c>
      <c r="K2773">
        <v>624</v>
      </c>
      <c r="N2773" t="s">
        <v>65</v>
      </c>
      <c r="R2773" t="s">
        <v>60</v>
      </c>
      <c r="S2773" t="s">
        <v>701</v>
      </c>
      <c r="T2773" t="s">
        <v>2321</v>
      </c>
      <c r="W2773">
        <v>0</v>
      </c>
      <c r="X2773">
        <v>0</v>
      </c>
      <c r="AE2773">
        <v>1</v>
      </c>
      <c r="AF2773">
        <v>0</v>
      </c>
      <c r="AM2773" t="s">
        <v>52</v>
      </c>
      <c r="AN2773" t="s">
        <v>53</v>
      </c>
    </row>
    <row r="2774" spans="1:40">
      <c r="A2774" t="s">
        <v>8081</v>
      </c>
      <c r="B2774" t="s">
        <v>9130</v>
      </c>
      <c r="C2774" t="s">
        <v>9075</v>
      </c>
      <c r="D2774" t="s">
        <v>52</v>
      </c>
      <c r="E2774" t="s">
        <v>9134</v>
      </c>
      <c r="F2774" t="s">
        <v>45</v>
      </c>
      <c r="G2774" t="str">
        <f>HYPERLINK("https://www.instagram.com/p/BzEmJTtA4XK")</f>
        <v>https://www.instagram.com/p/BzEmJTtA4XK</v>
      </c>
      <c r="H2774" t="s">
        <v>46</v>
      </c>
      <c r="I2774" t="s">
        <v>9135</v>
      </c>
      <c r="J2774" t="str">
        <f>HYPERLINK("http://instagram.com/kcapestud15")</f>
        <v>http://instagram.com/kcapestud15</v>
      </c>
      <c r="K2774">
        <v>666</v>
      </c>
      <c r="N2774" t="s">
        <v>59</v>
      </c>
      <c r="O2774" t="s">
        <v>9135</v>
      </c>
      <c r="P2774" t="str">
        <f>HYPERLINK("http://instagram.com/kcapestud15")</f>
        <v>http://instagram.com/kcapestud15</v>
      </c>
      <c r="Q2774">
        <v>666</v>
      </c>
      <c r="R2774" t="s">
        <v>60</v>
      </c>
      <c r="S2774" t="s">
        <v>51</v>
      </c>
      <c r="T2774" t="s">
        <v>3136</v>
      </c>
      <c r="U2774" t="s">
        <v>9136</v>
      </c>
      <c r="W2774">
        <v>57</v>
      </c>
      <c r="X2774">
        <v>57</v>
      </c>
      <c r="AE2774">
        <v>0</v>
      </c>
      <c r="AI2774" t="s">
        <v>52</v>
      </c>
      <c r="AJ2774" t="s">
        <v>9137</v>
      </c>
      <c r="AK2774" t="s">
        <v>52</v>
      </c>
      <c r="AL2774" t="str">
        <f>HYPERLINK("https://www.instagram.com/p/BzEmJTtA4XK/media/?size=l")</f>
        <v>https://www.instagram.com/p/BzEmJTtA4XK/media/?size=l</v>
      </c>
      <c r="AM2774" t="s">
        <v>52</v>
      </c>
      <c r="AN2774" t="s">
        <v>53</v>
      </c>
    </row>
    <row r="2775" spans="1:40">
      <c r="A2775" t="s">
        <v>8081</v>
      </c>
      <c r="B2775" t="s">
        <v>9130</v>
      </c>
      <c r="C2775" t="s">
        <v>9119</v>
      </c>
      <c r="D2775" t="s">
        <v>52</v>
      </c>
      <c r="E2775" t="s">
        <v>9138</v>
      </c>
      <c r="F2775" t="s">
        <v>45</v>
      </c>
      <c r="G2775" t="str">
        <f>HYPERLINK("https://twitter.com/765034457346617344/status/1142947262441521153")</f>
        <v>https://twitter.com/765034457346617344/status/1142947262441521153</v>
      </c>
      <c r="H2775" t="s">
        <v>91</v>
      </c>
      <c r="I2775" t="s">
        <v>9139</v>
      </c>
      <c r="J2775" t="str">
        <f>HYPERLINK("http://twitter.com/BotMBS")</f>
        <v>http://twitter.com/BotMBS</v>
      </c>
      <c r="K2775">
        <v>33</v>
      </c>
      <c r="N2775" t="s">
        <v>65</v>
      </c>
      <c r="R2775" t="s">
        <v>60</v>
      </c>
      <c r="W2775">
        <v>0</v>
      </c>
      <c r="X2775">
        <v>0</v>
      </c>
      <c r="AE2775">
        <v>0</v>
      </c>
      <c r="AF2775">
        <v>0</v>
      </c>
      <c r="AM2775" t="s">
        <v>52</v>
      </c>
      <c r="AN2775" t="s">
        <v>53</v>
      </c>
    </row>
    <row r="2776" spans="1:40">
      <c r="A2776" t="s">
        <v>8081</v>
      </c>
      <c r="B2776" t="s">
        <v>9130</v>
      </c>
      <c r="C2776" t="s">
        <v>9116</v>
      </c>
      <c r="D2776" t="s">
        <v>52</v>
      </c>
      <c r="E2776" t="s">
        <v>1194</v>
      </c>
      <c r="F2776" t="s">
        <v>131</v>
      </c>
      <c r="G2776" t="str">
        <f>HYPERLINK("https://twitter.com/1005174553725808642/status/1142947241772163072")</f>
        <v>https://twitter.com/1005174553725808642/status/1142947241772163072</v>
      </c>
      <c r="H2776" t="s">
        <v>46</v>
      </c>
      <c r="I2776" t="s">
        <v>9140</v>
      </c>
      <c r="J2776" t="str">
        <f>HYPERLINK("http://twitter.com/ayatheminimal")</f>
        <v>http://twitter.com/ayatheminimal</v>
      </c>
      <c r="K2776">
        <v>9</v>
      </c>
      <c r="N2776" t="s">
        <v>65</v>
      </c>
      <c r="R2776" t="s">
        <v>60</v>
      </c>
      <c r="W2776">
        <v>0</v>
      </c>
      <c r="X2776">
        <v>0</v>
      </c>
      <c r="AE2776">
        <v>0</v>
      </c>
      <c r="AI2776" t="s">
        <v>52</v>
      </c>
      <c r="AJ2776" t="s">
        <v>1196</v>
      </c>
      <c r="AK2776" t="s">
        <v>52</v>
      </c>
      <c r="AL2776" t="str">
        <f>HYPERLINK("https://pbs.twimg.com/media/D9xgk2YXkAAd2ql.jpg")</f>
        <v>https://pbs.twimg.com/media/D9xgk2YXkAAd2ql.jpg</v>
      </c>
      <c r="AM2776" t="s">
        <v>52</v>
      </c>
      <c r="AN2776" t="s">
        <v>53</v>
      </c>
    </row>
    <row r="2777" spans="1:40">
      <c r="A2777" t="s">
        <v>8081</v>
      </c>
      <c r="B2777" t="s">
        <v>3393</v>
      </c>
      <c r="C2777" t="s">
        <v>9141</v>
      </c>
      <c r="D2777" t="s">
        <v>52</v>
      </c>
      <c r="E2777" t="s">
        <v>9142</v>
      </c>
      <c r="F2777" t="s">
        <v>45</v>
      </c>
      <c r="G2777" t="str">
        <f>HYPERLINK("https://twitter.com/221939864/status/1142947123153068033")</f>
        <v>https://twitter.com/221939864/status/1142947123153068033</v>
      </c>
      <c r="H2777" t="s">
        <v>46</v>
      </c>
      <c r="I2777" t="s">
        <v>9143</v>
      </c>
      <c r="J2777" t="str">
        <f>HYPERLINK("http://twitter.com/3ricksson")</f>
        <v>http://twitter.com/3ricksson</v>
      </c>
      <c r="K2777">
        <v>144</v>
      </c>
      <c r="N2777" t="s">
        <v>65</v>
      </c>
      <c r="R2777" t="s">
        <v>60</v>
      </c>
      <c r="W2777">
        <v>2</v>
      </c>
      <c r="X2777">
        <v>2</v>
      </c>
      <c r="AE2777">
        <v>1</v>
      </c>
      <c r="AF2777">
        <v>0</v>
      </c>
      <c r="AM2777" t="s">
        <v>52</v>
      </c>
      <c r="AN2777" t="s">
        <v>53</v>
      </c>
    </row>
    <row r="2778" spans="1:40">
      <c r="A2778" t="s">
        <v>8081</v>
      </c>
      <c r="B2778" t="s">
        <v>3393</v>
      </c>
      <c r="C2778" t="s">
        <v>9141</v>
      </c>
      <c r="D2778" t="s">
        <v>52</v>
      </c>
      <c r="E2778" t="s">
        <v>9144</v>
      </c>
      <c r="F2778" t="s">
        <v>95</v>
      </c>
      <c r="G2778" t="str">
        <f>HYPERLINK("https://twitter.com/1117586978403274752/status/1142947109789814784")</f>
        <v>https://twitter.com/1117586978403274752/status/1142947109789814784</v>
      </c>
      <c r="H2778" t="s">
        <v>46</v>
      </c>
      <c r="I2778" t="s">
        <v>9145</v>
      </c>
      <c r="J2778" t="str">
        <f>HYPERLINK("http://twitter.com/j_pizzi")</f>
        <v>http://twitter.com/j_pizzi</v>
      </c>
      <c r="K2778">
        <v>5</v>
      </c>
      <c r="N2778" t="s">
        <v>65</v>
      </c>
      <c r="R2778" t="s">
        <v>60</v>
      </c>
      <c r="S2778" t="s">
        <v>51</v>
      </c>
      <c r="T2778" t="s">
        <v>263</v>
      </c>
      <c r="U2778" t="s">
        <v>352</v>
      </c>
      <c r="W2778">
        <v>0</v>
      </c>
      <c r="X2778">
        <v>0</v>
      </c>
      <c r="AE2778">
        <v>0</v>
      </c>
      <c r="AF2778">
        <v>0</v>
      </c>
      <c r="AM2778" t="s">
        <v>52</v>
      </c>
      <c r="AN2778" t="s">
        <v>53</v>
      </c>
    </row>
    <row r="2779" spans="1:40">
      <c r="A2779" t="s">
        <v>8081</v>
      </c>
      <c r="B2779" t="s">
        <v>3393</v>
      </c>
      <c r="C2779" t="s">
        <v>9141</v>
      </c>
      <c r="D2779" t="s">
        <v>52</v>
      </c>
      <c r="E2779" t="s">
        <v>3749</v>
      </c>
      <c r="F2779" t="s">
        <v>71</v>
      </c>
      <c r="G2779" t="str">
        <f>HYPERLINK("https://twitter.com/903658210900533249/status/1142947093444739082")</f>
        <v>https://twitter.com/903658210900533249/status/1142947093444739082</v>
      </c>
      <c r="H2779" t="s">
        <v>46</v>
      </c>
      <c r="I2779" t="s">
        <v>9146</v>
      </c>
      <c r="J2779" t="str">
        <f>HYPERLINK("http://twitter.com/mo_pistol")</f>
        <v>http://twitter.com/mo_pistol</v>
      </c>
      <c r="K2779">
        <v>832</v>
      </c>
      <c r="N2779" t="s">
        <v>65</v>
      </c>
      <c r="R2779" t="s">
        <v>60</v>
      </c>
      <c r="S2779" t="s">
        <v>51</v>
      </c>
      <c r="T2779" t="s">
        <v>380</v>
      </c>
      <c r="U2779" t="s">
        <v>380</v>
      </c>
      <c r="W2779">
        <v>0</v>
      </c>
      <c r="X2779">
        <v>0</v>
      </c>
      <c r="AE2779">
        <v>0</v>
      </c>
      <c r="AF2779">
        <v>0</v>
      </c>
      <c r="AI2779" t="s">
        <v>108</v>
      </c>
      <c r="AJ2779" t="s">
        <v>52</v>
      </c>
      <c r="AK2779" t="s">
        <v>52</v>
      </c>
      <c r="AL2779" t="str">
        <f>HYPERLINK("https://pbs.twimg.com/media/D9sAXHUX4AA6vJs.jpg")</f>
        <v>https://pbs.twimg.com/media/D9sAXHUX4AA6vJs.jpg</v>
      </c>
      <c r="AM2779" t="s">
        <v>52</v>
      </c>
      <c r="AN2779" t="s">
        <v>53</v>
      </c>
    </row>
    <row r="2780" spans="1:40">
      <c r="A2780" t="s">
        <v>8081</v>
      </c>
      <c r="B2780" t="s">
        <v>3393</v>
      </c>
      <c r="C2780" t="s">
        <v>9147</v>
      </c>
      <c r="D2780" t="s">
        <v>52</v>
      </c>
      <c r="E2780" t="s">
        <v>9148</v>
      </c>
      <c r="F2780" t="s">
        <v>71</v>
      </c>
      <c r="G2780" t="str">
        <f>HYPERLINK("https://twitter.com/908680591230554112/status/1142947053439508481")</f>
        <v>https://twitter.com/908680591230554112/status/1142947053439508481</v>
      </c>
      <c r="H2780" t="s">
        <v>46</v>
      </c>
      <c r="I2780" t="s">
        <v>9149</v>
      </c>
      <c r="J2780" t="str">
        <f>HYPERLINK("http://twitter.com/chellyyyyy03")</f>
        <v>http://twitter.com/chellyyyyy03</v>
      </c>
      <c r="K2780">
        <v>37</v>
      </c>
      <c r="N2780" t="s">
        <v>65</v>
      </c>
      <c r="R2780" t="s">
        <v>60</v>
      </c>
      <c r="S2780" t="s">
        <v>51</v>
      </c>
      <c r="T2780" t="s">
        <v>380</v>
      </c>
      <c r="U2780" t="s">
        <v>380</v>
      </c>
      <c r="W2780">
        <v>1</v>
      </c>
      <c r="X2780">
        <v>1</v>
      </c>
      <c r="AE2780">
        <v>1</v>
      </c>
      <c r="AF2780">
        <v>0</v>
      </c>
      <c r="AM2780" t="s">
        <v>52</v>
      </c>
      <c r="AN2780" t="s">
        <v>53</v>
      </c>
    </row>
    <row r="2781" spans="1:40">
      <c r="A2781" t="s">
        <v>8081</v>
      </c>
      <c r="B2781" t="s">
        <v>3393</v>
      </c>
      <c r="C2781" t="s">
        <v>9150</v>
      </c>
      <c r="D2781" t="s">
        <v>52</v>
      </c>
      <c r="E2781" t="s">
        <v>3749</v>
      </c>
      <c r="F2781" t="s">
        <v>71</v>
      </c>
      <c r="G2781" t="str">
        <f>HYPERLINK("https://twitter.com/306946278/status/1142947002520625153")</f>
        <v>https://twitter.com/306946278/status/1142947002520625153</v>
      </c>
      <c r="H2781" t="s">
        <v>46</v>
      </c>
      <c r="I2781" t="s">
        <v>9151</v>
      </c>
      <c r="J2781" t="str">
        <f>HYPERLINK("http://twitter.com/Eccentrik_Guy")</f>
        <v>http://twitter.com/Eccentrik_Guy</v>
      </c>
      <c r="K2781">
        <v>409</v>
      </c>
      <c r="N2781" t="s">
        <v>65</v>
      </c>
      <c r="R2781" t="s">
        <v>60</v>
      </c>
      <c r="S2781" t="s">
        <v>1071</v>
      </c>
      <c r="W2781">
        <v>0</v>
      </c>
      <c r="X2781">
        <v>0</v>
      </c>
      <c r="AE2781">
        <v>0</v>
      </c>
      <c r="AF2781">
        <v>0</v>
      </c>
      <c r="AI2781" t="s">
        <v>108</v>
      </c>
      <c r="AJ2781" t="s">
        <v>52</v>
      </c>
      <c r="AK2781" t="s">
        <v>52</v>
      </c>
      <c r="AL2781" t="str">
        <f>HYPERLINK("https://pbs.twimg.com/media/D9sAXHUX4AA6vJs.jpg")</f>
        <v>https://pbs.twimg.com/media/D9sAXHUX4AA6vJs.jpg</v>
      </c>
      <c r="AM2781" t="s">
        <v>52</v>
      </c>
      <c r="AN2781" t="s">
        <v>53</v>
      </c>
    </row>
    <row r="2782" spans="1:40">
      <c r="A2782" t="s">
        <v>8081</v>
      </c>
      <c r="B2782" t="s">
        <v>3393</v>
      </c>
      <c r="C2782" t="s">
        <v>9152</v>
      </c>
      <c r="D2782" t="s">
        <v>52</v>
      </c>
      <c r="E2782" t="s">
        <v>5043</v>
      </c>
      <c r="F2782" t="s">
        <v>131</v>
      </c>
      <c r="G2782" t="str">
        <f>HYPERLINK("https://twitter.com/2508808958/status/1142946985005240322")</f>
        <v>https://twitter.com/2508808958/status/1142946985005240322</v>
      </c>
      <c r="H2782" t="s">
        <v>46</v>
      </c>
      <c r="I2782" t="s">
        <v>9153</v>
      </c>
      <c r="J2782" t="str">
        <f>HYPERLINK("http://twitter.com/paulisomar")</f>
        <v>http://twitter.com/paulisomar</v>
      </c>
      <c r="K2782">
        <v>927</v>
      </c>
      <c r="N2782" t="s">
        <v>65</v>
      </c>
      <c r="R2782" t="s">
        <v>60</v>
      </c>
      <c r="W2782">
        <v>0</v>
      </c>
      <c r="X2782">
        <v>0</v>
      </c>
      <c r="AE2782">
        <v>0</v>
      </c>
      <c r="AM2782" t="s">
        <v>52</v>
      </c>
      <c r="AN2782" t="s">
        <v>53</v>
      </c>
    </row>
    <row r="2783" spans="1:40">
      <c r="A2783" t="s">
        <v>8081</v>
      </c>
      <c r="B2783" t="s">
        <v>9154</v>
      </c>
      <c r="C2783" t="s">
        <v>9155</v>
      </c>
      <c r="D2783" t="s">
        <v>52</v>
      </c>
      <c r="E2783" t="s">
        <v>9156</v>
      </c>
      <c r="F2783" t="s">
        <v>45</v>
      </c>
      <c r="G2783" t="str">
        <f>HYPERLINK("https://twitter.com/47092576/status/1142946677759909890")</f>
        <v>https://twitter.com/47092576/status/1142946677759909890</v>
      </c>
      <c r="H2783" t="s">
        <v>46</v>
      </c>
      <c r="I2783" t="s">
        <v>9157</v>
      </c>
      <c r="J2783" t="str">
        <f>HYPERLINK("http://twitter.com/LyaGobetti")</f>
        <v>http://twitter.com/LyaGobetti</v>
      </c>
      <c r="K2783">
        <v>153</v>
      </c>
      <c r="N2783" t="s">
        <v>65</v>
      </c>
      <c r="R2783" t="s">
        <v>60</v>
      </c>
      <c r="S2783" t="s">
        <v>432</v>
      </c>
      <c r="W2783">
        <v>8</v>
      </c>
      <c r="X2783">
        <v>8</v>
      </c>
      <c r="AE2783">
        <v>1</v>
      </c>
      <c r="AF2783">
        <v>0</v>
      </c>
      <c r="AI2783" t="s">
        <v>52</v>
      </c>
      <c r="AJ2783" t="s">
        <v>52</v>
      </c>
      <c r="AK2783" t="s">
        <v>9158</v>
      </c>
      <c r="AL2783" t="str">
        <f>HYPERLINK("https://pbs.twimg.com/media/D9yP4YDXsAAb1Ui.jpg")</f>
        <v>https://pbs.twimg.com/media/D9yP4YDXsAAb1Ui.jpg</v>
      </c>
      <c r="AM2783" t="s">
        <v>52</v>
      </c>
      <c r="AN2783" t="s">
        <v>53</v>
      </c>
    </row>
    <row r="2784" spans="1:40">
      <c r="A2784" t="s">
        <v>8081</v>
      </c>
      <c r="B2784" t="s">
        <v>9154</v>
      </c>
      <c r="C2784" t="s">
        <v>9150</v>
      </c>
      <c r="D2784" t="s">
        <v>9159</v>
      </c>
      <c r="E2784" t="s">
        <v>9160</v>
      </c>
      <c r="F2784" t="s">
        <v>45</v>
      </c>
      <c r="G2784" t="str">
        <f>HYPERLINK("https://www.wral.com/dollar-general-deals-6-23-speed-stick-softsoap-sparkle-towels-sun-laundry-twizzlers/18469552")</f>
        <v>https://www.wral.com/dollar-general-deals-6-23-speed-stick-softsoap-sparkle-towels-sun-laundry-twizzlers/18469552</v>
      </c>
      <c r="H2784" t="s">
        <v>46</v>
      </c>
      <c r="I2784" t="s">
        <v>9161</v>
      </c>
      <c r="J2784" t="str">
        <f>HYPERLINK("http://wral.com")</f>
        <v>http://wral.com</v>
      </c>
      <c r="N2784" t="s">
        <v>9162</v>
      </c>
      <c r="R2784" t="s">
        <v>357</v>
      </c>
      <c r="S2784" t="s">
        <v>51</v>
      </c>
      <c r="AM2784" t="s">
        <v>52</v>
      </c>
      <c r="AN2784" t="s">
        <v>53</v>
      </c>
    </row>
    <row r="2785" spans="1:40">
      <c r="A2785" t="s">
        <v>8081</v>
      </c>
      <c r="B2785" t="s">
        <v>9163</v>
      </c>
      <c r="C2785" t="s">
        <v>9164</v>
      </c>
      <c r="D2785" t="s">
        <v>52</v>
      </c>
      <c r="E2785" t="s">
        <v>8599</v>
      </c>
      <c r="F2785" t="s">
        <v>131</v>
      </c>
      <c r="G2785" t="str">
        <f>HYPERLINK("https://twitter.com/3259046120/status/1142945919840559104")</f>
        <v>https://twitter.com/3259046120/status/1142945919840559104</v>
      </c>
      <c r="H2785" t="s">
        <v>46</v>
      </c>
      <c r="I2785" t="s">
        <v>9165</v>
      </c>
      <c r="J2785" t="str">
        <f>HYPERLINK("http://twitter.com/WhosYrHoosier")</f>
        <v>http://twitter.com/WhosYrHoosier</v>
      </c>
      <c r="K2785">
        <v>227</v>
      </c>
      <c r="N2785" t="s">
        <v>65</v>
      </c>
      <c r="R2785" t="s">
        <v>60</v>
      </c>
      <c r="W2785">
        <v>0</v>
      </c>
      <c r="X2785">
        <v>0</v>
      </c>
      <c r="AE2785">
        <v>0</v>
      </c>
      <c r="AM2785" t="s">
        <v>52</v>
      </c>
      <c r="AN2785" t="s">
        <v>53</v>
      </c>
    </row>
    <row r="2786" spans="1:40">
      <c r="A2786" t="s">
        <v>8081</v>
      </c>
      <c r="B2786" t="s">
        <v>3419</v>
      </c>
      <c r="C2786" t="s">
        <v>9155</v>
      </c>
      <c r="D2786" t="s">
        <v>52</v>
      </c>
      <c r="E2786" t="s">
        <v>9166</v>
      </c>
      <c r="F2786" t="s">
        <v>45</v>
      </c>
      <c r="G2786" t="str">
        <f>HYPERLINK("https://twitter.com/4113682666/status/1142945499177201665")</f>
        <v>https://twitter.com/4113682666/status/1142945499177201665</v>
      </c>
      <c r="H2786" t="s">
        <v>46</v>
      </c>
      <c r="I2786" t="s">
        <v>52</v>
      </c>
      <c r="J2786" t="str">
        <f>HYPERLINK("http://twitter.com/june__irl")</f>
        <v>http://twitter.com/june__irl</v>
      </c>
      <c r="K2786">
        <v>1539</v>
      </c>
      <c r="N2786" t="s">
        <v>65</v>
      </c>
      <c r="R2786" t="s">
        <v>60</v>
      </c>
      <c r="S2786" t="s">
        <v>437</v>
      </c>
      <c r="T2786" t="s">
        <v>9167</v>
      </c>
      <c r="U2786" t="s">
        <v>9168</v>
      </c>
      <c r="W2786">
        <v>30</v>
      </c>
      <c r="X2786">
        <v>30</v>
      </c>
      <c r="AE2786">
        <v>2</v>
      </c>
      <c r="AF2786">
        <v>1</v>
      </c>
      <c r="AM2786" t="s">
        <v>52</v>
      </c>
      <c r="AN2786" t="s">
        <v>53</v>
      </c>
    </row>
    <row r="2787" spans="1:40">
      <c r="A2787" t="s">
        <v>8081</v>
      </c>
      <c r="B2787" t="s">
        <v>3419</v>
      </c>
      <c r="C2787" t="s">
        <v>9155</v>
      </c>
      <c r="D2787" t="s">
        <v>52</v>
      </c>
      <c r="E2787" t="s">
        <v>1194</v>
      </c>
      <c r="F2787" t="s">
        <v>131</v>
      </c>
      <c r="G2787" t="str">
        <f>HYPERLINK("https://twitter.com/1918509618/status/1142945476158902277")</f>
        <v>https://twitter.com/1918509618/status/1142945476158902277</v>
      </c>
      <c r="H2787" t="s">
        <v>46</v>
      </c>
      <c r="I2787" t="s">
        <v>9169</v>
      </c>
      <c r="J2787" t="str">
        <f>HYPERLINK("http://twitter.com/SamanthaMeyerss")</f>
        <v>http://twitter.com/SamanthaMeyerss</v>
      </c>
      <c r="K2787">
        <v>407</v>
      </c>
      <c r="L2787" t="s">
        <v>48</v>
      </c>
      <c r="N2787" t="s">
        <v>65</v>
      </c>
      <c r="R2787" t="s">
        <v>60</v>
      </c>
      <c r="W2787">
        <v>0</v>
      </c>
      <c r="X2787">
        <v>0</v>
      </c>
      <c r="AE2787">
        <v>0</v>
      </c>
      <c r="AI2787" t="s">
        <v>52</v>
      </c>
      <c r="AJ2787" t="s">
        <v>1196</v>
      </c>
      <c r="AK2787" t="s">
        <v>52</v>
      </c>
      <c r="AL2787" t="str">
        <f>HYPERLINK("https://pbs.twimg.com/media/D9xgk2YXkAAd2ql.jpg")</f>
        <v>https://pbs.twimg.com/media/D9xgk2YXkAAd2ql.jpg</v>
      </c>
      <c r="AM2787" t="s">
        <v>52</v>
      </c>
      <c r="AN2787" t="s">
        <v>53</v>
      </c>
    </row>
    <row r="2788" spans="1:40">
      <c r="A2788" t="s">
        <v>8081</v>
      </c>
      <c r="B2788" t="s">
        <v>3419</v>
      </c>
      <c r="C2788" t="s">
        <v>1406</v>
      </c>
      <c r="D2788" t="s">
        <v>9170</v>
      </c>
      <c r="E2788" t="s">
        <v>9171</v>
      </c>
      <c r="F2788" t="s">
        <v>45</v>
      </c>
      <c r="G2788" t="str">
        <f>HYPERLINK("https://forum.deviantart.com/community/politics/2512562/#post-33")</f>
        <v>https://forum.deviantart.com/community/politics/2512562/#post-33</v>
      </c>
      <c r="H2788" t="s">
        <v>46</v>
      </c>
      <c r="I2788" t="s">
        <v>9172</v>
      </c>
      <c r="J2788" t="str">
        <f>HYPERLINK("https://forum.deviantart.com/community/politics/2512562/#post-33")</f>
        <v>https://forum.deviantart.com/community/politics/2512562/#post-33</v>
      </c>
      <c r="N2788" t="s">
        <v>9173</v>
      </c>
      <c r="O2788" t="s">
        <v>9174</v>
      </c>
      <c r="P2788" t="str">
        <f>HYPERLINK("https://forum.deviantart.com/community/politics/")</f>
        <v>https://forum.deviantart.com/community/politics/</v>
      </c>
      <c r="R2788" t="s">
        <v>516</v>
      </c>
      <c r="S2788" t="s">
        <v>51</v>
      </c>
      <c r="AM2788" t="s">
        <v>52</v>
      </c>
      <c r="AN2788" t="s">
        <v>53</v>
      </c>
    </row>
    <row r="2789" spans="1:40">
      <c r="A2789" t="s">
        <v>8081</v>
      </c>
      <c r="B2789" t="s">
        <v>3419</v>
      </c>
      <c r="C2789" t="s">
        <v>3190</v>
      </c>
      <c r="D2789" t="s">
        <v>52</v>
      </c>
      <c r="E2789" t="s">
        <v>9175</v>
      </c>
      <c r="F2789" t="s">
        <v>45</v>
      </c>
      <c r="G2789" t="str">
        <f>HYPERLINK("https://pastebin.com/PUXh2KV5")</f>
        <v>https://pastebin.com/PUXh2KV5</v>
      </c>
      <c r="H2789" t="s">
        <v>46</v>
      </c>
      <c r="N2789" t="s">
        <v>3165</v>
      </c>
      <c r="R2789" t="s">
        <v>50</v>
      </c>
      <c r="S2789" t="s">
        <v>444</v>
      </c>
      <c r="AM2789" t="s">
        <v>52</v>
      </c>
      <c r="AN2789" t="s">
        <v>53</v>
      </c>
    </row>
    <row r="2790" spans="1:40">
      <c r="A2790" t="s">
        <v>8081</v>
      </c>
      <c r="B2790" t="s">
        <v>3419</v>
      </c>
      <c r="C2790" t="s">
        <v>3443</v>
      </c>
      <c r="D2790" t="s">
        <v>9170</v>
      </c>
      <c r="E2790" t="s">
        <v>9171</v>
      </c>
      <c r="F2790" t="s">
        <v>45</v>
      </c>
      <c r="G2790" t="str">
        <f>HYPERLINK("https://forum.deviantart.com/community/politics/2512562/#post-16")</f>
        <v>https://forum.deviantart.com/community/politics/2512562/#post-16</v>
      </c>
      <c r="H2790" t="s">
        <v>46</v>
      </c>
      <c r="I2790" t="s">
        <v>9172</v>
      </c>
      <c r="J2790" t="str">
        <f>HYPERLINK("https://forum.deviantart.com/community/politics/2512562/#post-16")</f>
        <v>https://forum.deviantart.com/community/politics/2512562/#post-16</v>
      </c>
      <c r="N2790" t="s">
        <v>9173</v>
      </c>
      <c r="O2790" t="s">
        <v>9174</v>
      </c>
      <c r="P2790" t="str">
        <f>HYPERLINK("https://forum.deviantart.com/community/politics/")</f>
        <v>https://forum.deviantart.com/community/politics/</v>
      </c>
      <c r="R2790" t="s">
        <v>516</v>
      </c>
      <c r="S2790" t="s">
        <v>51</v>
      </c>
      <c r="AM2790" t="s">
        <v>52</v>
      </c>
      <c r="AN2790" t="s">
        <v>53</v>
      </c>
    </row>
    <row r="2791" spans="1:40">
      <c r="A2791" t="s">
        <v>8081</v>
      </c>
      <c r="B2791" t="s">
        <v>3419</v>
      </c>
      <c r="C2791" t="s">
        <v>3583</v>
      </c>
      <c r="D2791" t="s">
        <v>9176</v>
      </c>
      <c r="E2791" t="s">
        <v>9177</v>
      </c>
      <c r="F2791" t="s">
        <v>45</v>
      </c>
      <c r="G2791" t="str">
        <f>HYPERLINK("https://pastebin.com/kuyudjJL")</f>
        <v>https://pastebin.com/kuyudjJL</v>
      </c>
      <c r="H2791" t="s">
        <v>46</v>
      </c>
      <c r="N2791" t="s">
        <v>3165</v>
      </c>
      <c r="R2791" t="s">
        <v>50</v>
      </c>
      <c r="S2791" t="s">
        <v>444</v>
      </c>
      <c r="AM2791" t="s">
        <v>52</v>
      </c>
      <c r="AN2791" t="s">
        <v>53</v>
      </c>
    </row>
    <row r="2792" spans="1:40">
      <c r="A2792" t="s">
        <v>8081</v>
      </c>
      <c r="B2792" t="s">
        <v>3419</v>
      </c>
      <c r="C2792" t="s">
        <v>3553</v>
      </c>
      <c r="D2792" t="s">
        <v>52</v>
      </c>
      <c r="E2792" t="s">
        <v>9178</v>
      </c>
      <c r="F2792" t="s">
        <v>45</v>
      </c>
      <c r="G2792" t="str">
        <f>HYPERLINK("https://pastebin.com/gufvUm5e")</f>
        <v>https://pastebin.com/gufvUm5e</v>
      </c>
      <c r="H2792" t="s">
        <v>46</v>
      </c>
      <c r="N2792" t="s">
        <v>3165</v>
      </c>
      <c r="R2792" t="s">
        <v>50</v>
      </c>
      <c r="S2792" t="s">
        <v>444</v>
      </c>
      <c r="AM2792" t="s">
        <v>52</v>
      </c>
      <c r="AN2792" t="s">
        <v>53</v>
      </c>
    </row>
    <row r="2793" spans="1:40">
      <c r="A2793" t="s">
        <v>8081</v>
      </c>
      <c r="B2793" t="s">
        <v>9179</v>
      </c>
      <c r="C2793" t="s">
        <v>9164</v>
      </c>
      <c r="D2793" t="s">
        <v>52</v>
      </c>
      <c r="E2793" t="s">
        <v>9180</v>
      </c>
      <c r="F2793" t="s">
        <v>45</v>
      </c>
      <c r="G2793" t="str">
        <f>HYPERLINK("https://www.instagram.com/p/BzElPsTg-JN")</f>
        <v>https://www.instagram.com/p/BzElPsTg-JN</v>
      </c>
      <c r="H2793" t="s">
        <v>46</v>
      </c>
      <c r="I2793" t="s">
        <v>9181</v>
      </c>
      <c r="J2793" t="str">
        <f>HYPERLINK("http://instagram.com/mikki_ww")</f>
        <v>http://instagram.com/mikki_ww</v>
      </c>
      <c r="K2793">
        <v>32</v>
      </c>
      <c r="N2793" t="s">
        <v>59</v>
      </c>
      <c r="O2793" t="s">
        <v>9181</v>
      </c>
      <c r="P2793" t="str">
        <f>HYPERLINK("http://instagram.com/mikki_ww")</f>
        <v>http://instagram.com/mikki_ww</v>
      </c>
      <c r="Q2793">
        <v>32</v>
      </c>
      <c r="R2793" t="s">
        <v>60</v>
      </c>
      <c r="W2793">
        <v>10</v>
      </c>
      <c r="X2793">
        <v>10</v>
      </c>
      <c r="AE2793">
        <v>0</v>
      </c>
      <c r="AI2793" t="s">
        <v>52</v>
      </c>
      <c r="AJ2793" t="s">
        <v>9182</v>
      </c>
      <c r="AK2793" t="s">
        <v>52</v>
      </c>
      <c r="AL2793" t="str">
        <f>HYPERLINK("https://www.instagram.com/p/BzElPsTg-JN/media/?size=l")</f>
        <v>https://www.instagram.com/p/BzElPsTg-JN/media/?size=l</v>
      </c>
      <c r="AM2793" t="s">
        <v>52</v>
      </c>
      <c r="AN2793" t="s">
        <v>53</v>
      </c>
    </row>
    <row r="2794" spans="1:40">
      <c r="A2794" t="s">
        <v>8081</v>
      </c>
      <c r="B2794" t="s">
        <v>9179</v>
      </c>
      <c r="C2794" t="s">
        <v>9183</v>
      </c>
      <c r="D2794" t="s">
        <v>52</v>
      </c>
      <c r="E2794" t="s">
        <v>1194</v>
      </c>
      <c r="F2794" t="s">
        <v>131</v>
      </c>
      <c r="G2794" t="str">
        <f>HYPERLINK("https://twitter.com/979857756592267264/status/1142945318100701185")</f>
        <v>https://twitter.com/979857756592267264/status/1142945318100701185</v>
      </c>
      <c r="H2794" t="s">
        <v>46</v>
      </c>
      <c r="I2794" t="s">
        <v>9184</v>
      </c>
      <c r="J2794" t="str">
        <f>HYPERLINK("http://twitter.com/churchofputin")</f>
        <v>http://twitter.com/churchofputin</v>
      </c>
      <c r="K2794">
        <v>649</v>
      </c>
      <c r="L2794" t="s">
        <v>58</v>
      </c>
      <c r="N2794" t="s">
        <v>65</v>
      </c>
      <c r="R2794" t="s">
        <v>60</v>
      </c>
      <c r="S2794" t="s">
        <v>387</v>
      </c>
      <c r="T2794" t="s">
        <v>2981</v>
      </c>
      <c r="U2794" t="s">
        <v>7015</v>
      </c>
      <c r="W2794">
        <v>0</v>
      </c>
      <c r="X2794">
        <v>0</v>
      </c>
      <c r="AE2794">
        <v>0</v>
      </c>
      <c r="AI2794" t="s">
        <v>52</v>
      </c>
      <c r="AJ2794" t="s">
        <v>1196</v>
      </c>
      <c r="AK2794" t="s">
        <v>52</v>
      </c>
      <c r="AL2794" t="str">
        <f>HYPERLINK("https://pbs.twimg.com/media/D9xgk2YXkAAd2ql.jpg")</f>
        <v>https://pbs.twimg.com/media/D9xgk2YXkAAd2ql.jpg</v>
      </c>
      <c r="AM2794" t="s">
        <v>52</v>
      </c>
      <c r="AN2794" t="s">
        <v>53</v>
      </c>
    </row>
    <row r="2795" spans="1:40">
      <c r="A2795" t="s">
        <v>8081</v>
      </c>
      <c r="B2795" t="s">
        <v>9179</v>
      </c>
      <c r="C2795" t="s">
        <v>9185</v>
      </c>
      <c r="D2795" t="s">
        <v>52</v>
      </c>
      <c r="E2795" t="s">
        <v>1194</v>
      </c>
      <c r="F2795" t="s">
        <v>131</v>
      </c>
      <c r="G2795" t="str">
        <f>HYPERLINK("https://twitter.com/330576435/status/1142945269832699904")</f>
        <v>https://twitter.com/330576435/status/1142945269832699904</v>
      </c>
      <c r="H2795" t="s">
        <v>46</v>
      </c>
      <c r="I2795" t="s">
        <v>9186</v>
      </c>
      <c r="J2795" t="str">
        <f>HYPERLINK("http://twitter.com/ViqArctica")</f>
        <v>http://twitter.com/ViqArctica</v>
      </c>
      <c r="K2795">
        <v>172</v>
      </c>
      <c r="N2795" t="s">
        <v>65</v>
      </c>
      <c r="R2795" t="s">
        <v>60</v>
      </c>
      <c r="W2795">
        <v>0</v>
      </c>
      <c r="X2795">
        <v>0</v>
      </c>
      <c r="AE2795">
        <v>0</v>
      </c>
      <c r="AI2795" t="s">
        <v>52</v>
      </c>
      <c r="AJ2795" t="s">
        <v>1196</v>
      </c>
      <c r="AK2795" t="s">
        <v>52</v>
      </c>
      <c r="AL2795" t="str">
        <f>HYPERLINK("https://pbs.twimg.com/media/D9xgk2YXkAAd2ql.jpg")</f>
        <v>https://pbs.twimg.com/media/D9xgk2YXkAAd2ql.jpg</v>
      </c>
      <c r="AM2795" t="s">
        <v>52</v>
      </c>
      <c r="AN2795" t="s">
        <v>53</v>
      </c>
    </row>
    <row r="2796" spans="1:40">
      <c r="A2796" t="s">
        <v>8081</v>
      </c>
      <c r="B2796" t="s">
        <v>9179</v>
      </c>
      <c r="C2796" t="s">
        <v>9187</v>
      </c>
      <c r="D2796" t="s">
        <v>9188</v>
      </c>
      <c r="E2796" t="s">
        <v>9189</v>
      </c>
      <c r="F2796" t="s">
        <v>45</v>
      </c>
      <c r="G2796" t="str">
        <f>HYPERLINK("https://newpaper24.com/esports-player-ninja-fails-to-qualify-for-fortnite-world-cup-newpaper24")</f>
        <v>https://newpaper24.com/esports-player-ninja-fails-to-qualify-for-fortnite-world-cup-newpaper24</v>
      </c>
      <c r="H2796" t="s">
        <v>46</v>
      </c>
      <c r="I2796" t="s">
        <v>8090</v>
      </c>
      <c r="J2796" t="str">
        <f>HYPERLINK("https://newpaper24.com/esports-player-ninja-fails-to-qualify-for-fortnite-world-cup-newpaper24/")</f>
        <v>https://newpaper24.com/esports-player-ninja-fails-to-qualify-for-fortnite-world-cup-newpaper24/</v>
      </c>
      <c r="L2796" t="s">
        <v>48</v>
      </c>
      <c r="N2796" t="s">
        <v>9190</v>
      </c>
      <c r="R2796" t="s">
        <v>357</v>
      </c>
      <c r="S2796" t="s">
        <v>156</v>
      </c>
      <c r="AM2796" t="s">
        <v>52</v>
      </c>
      <c r="AN2796" t="s">
        <v>53</v>
      </c>
    </row>
    <row r="2797" spans="1:40">
      <c r="A2797" t="s">
        <v>8081</v>
      </c>
      <c r="B2797" t="s">
        <v>9179</v>
      </c>
      <c r="C2797" t="s">
        <v>9187</v>
      </c>
      <c r="D2797" t="s">
        <v>52</v>
      </c>
      <c r="E2797" t="s">
        <v>9191</v>
      </c>
      <c r="F2797" t="s">
        <v>131</v>
      </c>
      <c r="G2797" t="str">
        <f>HYPERLINK("https://twitter.com/1021810884723793921/status/1142945183069278216")</f>
        <v>https://twitter.com/1021810884723793921/status/1142945183069278216</v>
      </c>
      <c r="H2797" t="s">
        <v>46</v>
      </c>
      <c r="I2797" t="s">
        <v>9192</v>
      </c>
      <c r="J2797" t="str">
        <f>HYPERLINK("http://twitter.com/frxths")</f>
        <v>http://twitter.com/frxths</v>
      </c>
      <c r="K2797">
        <v>22</v>
      </c>
      <c r="N2797" t="s">
        <v>65</v>
      </c>
      <c r="R2797" t="s">
        <v>60</v>
      </c>
      <c r="S2797" t="s">
        <v>701</v>
      </c>
      <c r="T2797" t="s">
        <v>2321</v>
      </c>
      <c r="W2797">
        <v>0</v>
      </c>
      <c r="X2797">
        <v>0</v>
      </c>
      <c r="AE2797">
        <v>0</v>
      </c>
      <c r="AM2797" t="s">
        <v>52</v>
      </c>
      <c r="AN2797" t="s">
        <v>53</v>
      </c>
    </row>
    <row r="2798" spans="1:40">
      <c r="A2798" t="s">
        <v>8081</v>
      </c>
      <c r="B2798" t="s">
        <v>3430</v>
      </c>
      <c r="C2798" t="s">
        <v>9193</v>
      </c>
      <c r="D2798" t="s">
        <v>52</v>
      </c>
      <c r="E2798" t="s">
        <v>1194</v>
      </c>
      <c r="F2798" t="s">
        <v>131</v>
      </c>
      <c r="G2798" t="str">
        <f>HYPERLINK("https://twitter.com/1483385090/status/1142945176098398208")</f>
        <v>https://twitter.com/1483385090/status/1142945176098398208</v>
      </c>
      <c r="H2798" t="s">
        <v>46</v>
      </c>
      <c r="I2798" t="s">
        <v>9194</v>
      </c>
      <c r="J2798" t="str">
        <f>HYPERLINK("http://twitter.com/philippi_bruno")</f>
        <v>http://twitter.com/philippi_bruno</v>
      </c>
      <c r="K2798">
        <v>1195</v>
      </c>
      <c r="L2798" t="s">
        <v>48</v>
      </c>
      <c r="N2798" t="s">
        <v>65</v>
      </c>
      <c r="R2798" t="s">
        <v>60</v>
      </c>
      <c r="S2798" t="s">
        <v>432</v>
      </c>
      <c r="T2798" t="s">
        <v>6192</v>
      </c>
      <c r="U2798" t="s">
        <v>9041</v>
      </c>
      <c r="W2798">
        <v>0</v>
      </c>
      <c r="X2798">
        <v>0</v>
      </c>
      <c r="AE2798">
        <v>0</v>
      </c>
      <c r="AI2798" t="s">
        <v>52</v>
      </c>
      <c r="AJ2798" t="s">
        <v>1196</v>
      </c>
      <c r="AK2798" t="s">
        <v>52</v>
      </c>
      <c r="AL2798" t="str">
        <f>HYPERLINK("https://pbs.twimg.com/media/D9xgk2YXkAAd2ql.jpg")</f>
        <v>https://pbs.twimg.com/media/D9xgk2YXkAAd2ql.jpg</v>
      </c>
      <c r="AM2798" t="s">
        <v>52</v>
      </c>
      <c r="AN2798" t="s">
        <v>53</v>
      </c>
    </row>
    <row r="2799" spans="1:40">
      <c r="A2799" t="s">
        <v>8081</v>
      </c>
      <c r="B2799" t="s">
        <v>3430</v>
      </c>
      <c r="C2799" t="s">
        <v>9193</v>
      </c>
      <c r="D2799" t="s">
        <v>52</v>
      </c>
      <c r="E2799" t="s">
        <v>9195</v>
      </c>
      <c r="F2799" t="s">
        <v>71</v>
      </c>
      <c r="G2799" t="str">
        <f>HYPERLINK("https://twitter.com/1483385090/status/1142945162181718016")</f>
        <v>https://twitter.com/1483385090/status/1142945162181718016</v>
      </c>
      <c r="H2799" t="s">
        <v>46</v>
      </c>
      <c r="I2799" t="s">
        <v>9194</v>
      </c>
      <c r="J2799" t="str">
        <f>HYPERLINK("http://twitter.com/philippi_bruno")</f>
        <v>http://twitter.com/philippi_bruno</v>
      </c>
      <c r="K2799">
        <v>1195</v>
      </c>
      <c r="L2799" t="s">
        <v>48</v>
      </c>
      <c r="N2799" t="s">
        <v>65</v>
      </c>
      <c r="R2799" t="s">
        <v>60</v>
      </c>
      <c r="S2799" t="s">
        <v>432</v>
      </c>
      <c r="T2799" t="s">
        <v>6192</v>
      </c>
      <c r="U2799" t="s">
        <v>9041</v>
      </c>
      <c r="W2799">
        <v>1</v>
      </c>
      <c r="X2799">
        <v>1</v>
      </c>
      <c r="AE2799">
        <v>0</v>
      </c>
      <c r="AF2799">
        <v>0</v>
      </c>
      <c r="AI2799" t="s">
        <v>52</v>
      </c>
      <c r="AJ2799" t="s">
        <v>1196</v>
      </c>
      <c r="AK2799" t="s">
        <v>52</v>
      </c>
      <c r="AL2799" t="str">
        <f>HYPERLINK("https://pbs.twimg.com/media/D9xgk2YXkAAd2ql.jpg")</f>
        <v>https://pbs.twimg.com/media/D9xgk2YXkAAd2ql.jpg</v>
      </c>
      <c r="AM2799" t="s">
        <v>52</v>
      </c>
      <c r="AN2799" t="s">
        <v>53</v>
      </c>
    </row>
    <row r="2800" spans="1:40">
      <c r="A2800" t="s">
        <v>8081</v>
      </c>
      <c r="B2800" t="s">
        <v>3430</v>
      </c>
      <c r="C2800" t="s">
        <v>9187</v>
      </c>
      <c r="D2800" t="s">
        <v>52</v>
      </c>
      <c r="E2800" t="s">
        <v>9196</v>
      </c>
      <c r="F2800" t="s">
        <v>45</v>
      </c>
      <c r="G2800" t="str">
        <f>HYPERLINK("https://www.instagram.com/p/BzElDQ4A1-N")</f>
        <v>https://www.instagram.com/p/BzElDQ4A1-N</v>
      </c>
      <c r="H2800" t="s">
        <v>46</v>
      </c>
      <c r="I2800" t="s">
        <v>9197</v>
      </c>
      <c r="J2800" t="str">
        <f>HYPERLINK("http://instagram.com/xiikam")</f>
        <v>http://instagram.com/xiikam</v>
      </c>
      <c r="K2800">
        <v>1994</v>
      </c>
      <c r="N2800" t="s">
        <v>59</v>
      </c>
      <c r="O2800" t="s">
        <v>9197</v>
      </c>
      <c r="P2800" t="str">
        <f>HYPERLINK("http://instagram.com/xiikam")</f>
        <v>http://instagram.com/xiikam</v>
      </c>
      <c r="Q2800">
        <v>1994</v>
      </c>
      <c r="R2800" t="s">
        <v>60</v>
      </c>
      <c r="S2800" t="s">
        <v>51</v>
      </c>
      <c r="T2800" t="s">
        <v>173</v>
      </c>
      <c r="U2800" t="s">
        <v>9198</v>
      </c>
      <c r="W2800">
        <v>71</v>
      </c>
      <c r="X2800">
        <v>71</v>
      </c>
      <c r="AE2800">
        <v>4</v>
      </c>
      <c r="AI2800" t="s">
        <v>52</v>
      </c>
      <c r="AJ2800" t="s">
        <v>9199</v>
      </c>
      <c r="AK2800" t="s">
        <v>52</v>
      </c>
      <c r="AL2800" t="str">
        <f>HYPERLINK("https://www.instagram.com/p/BzElDQ4A1-N/media/?size=l")</f>
        <v>https://www.instagram.com/p/BzElDQ4A1-N/media/?size=l</v>
      </c>
      <c r="AM2800" t="s">
        <v>52</v>
      </c>
      <c r="AN2800" t="s">
        <v>53</v>
      </c>
    </row>
    <row r="2801" spans="1:40">
      <c r="A2801" t="s">
        <v>8081</v>
      </c>
      <c r="B2801" t="s">
        <v>3437</v>
      </c>
      <c r="C2801" t="s">
        <v>9200</v>
      </c>
      <c r="D2801" t="s">
        <v>52</v>
      </c>
      <c r="E2801" t="s">
        <v>9201</v>
      </c>
      <c r="F2801" t="s">
        <v>45</v>
      </c>
      <c r="G2801" t="str">
        <f>HYPERLINK("https://twitter.com/1134865236865847297/status/1142944868479586304")</f>
        <v>https://twitter.com/1134865236865847297/status/1142944868479586304</v>
      </c>
      <c r="H2801" t="s">
        <v>46</v>
      </c>
      <c r="I2801" t="s">
        <v>9202</v>
      </c>
      <c r="J2801" t="str">
        <f>HYPERLINK("http://twitter.com/emma_leigh_liv")</f>
        <v>http://twitter.com/emma_leigh_liv</v>
      </c>
      <c r="K2801">
        <v>1</v>
      </c>
      <c r="N2801" t="s">
        <v>65</v>
      </c>
      <c r="R2801" t="s">
        <v>60</v>
      </c>
      <c r="W2801">
        <v>0</v>
      </c>
      <c r="X2801">
        <v>0</v>
      </c>
      <c r="AE2801">
        <v>0</v>
      </c>
      <c r="AF2801">
        <v>0</v>
      </c>
      <c r="AM2801" t="s">
        <v>52</v>
      </c>
      <c r="AN2801" t="s">
        <v>53</v>
      </c>
    </row>
    <row r="2802" spans="1:40">
      <c r="A2802" t="s">
        <v>8081</v>
      </c>
      <c r="B2802" t="s">
        <v>3448</v>
      </c>
      <c r="C2802" t="s">
        <v>7338</v>
      </c>
      <c r="D2802" t="s">
        <v>52</v>
      </c>
      <c r="E2802" t="s">
        <v>9203</v>
      </c>
      <c r="F2802" t="s">
        <v>45</v>
      </c>
      <c r="G2802" t="str">
        <f>HYPERLINK("https://www.instagram.com/p/BzEk2J8FDm7")</f>
        <v>https://www.instagram.com/p/BzEk2J8FDm7</v>
      </c>
      <c r="H2802" t="s">
        <v>46</v>
      </c>
      <c r="I2802" t="s">
        <v>9204</v>
      </c>
      <c r="J2802" t="str">
        <f>HYPERLINK("http://instagram.com/doobie.brother.memes")</f>
        <v>http://instagram.com/doobie.brother.memes</v>
      </c>
      <c r="K2802">
        <v>467</v>
      </c>
      <c r="N2802" t="s">
        <v>59</v>
      </c>
      <c r="O2802" t="s">
        <v>9204</v>
      </c>
      <c r="P2802" t="str">
        <f>HYPERLINK("http://instagram.com/doobie.brother.memes")</f>
        <v>http://instagram.com/doobie.brother.memes</v>
      </c>
      <c r="Q2802">
        <v>467</v>
      </c>
      <c r="R2802" t="s">
        <v>60</v>
      </c>
      <c r="W2802">
        <v>52</v>
      </c>
      <c r="X2802">
        <v>52</v>
      </c>
      <c r="AE2802">
        <v>0</v>
      </c>
      <c r="AI2802" t="s">
        <v>108</v>
      </c>
      <c r="AJ2802" t="s">
        <v>52</v>
      </c>
      <c r="AK2802" t="s">
        <v>300</v>
      </c>
      <c r="AL2802" t="str">
        <f>HYPERLINK("https://www.instagram.com/p/BzEk2J8FDm7/media/?size=l")</f>
        <v>https://www.instagram.com/p/BzEk2J8FDm7/media/?size=l</v>
      </c>
      <c r="AM2802" t="s">
        <v>52</v>
      </c>
      <c r="AN2802" t="s">
        <v>53</v>
      </c>
    </row>
    <row r="2803" spans="1:40">
      <c r="A2803" t="s">
        <v>8081</v>
      </c>
      <c r="B2803" t="s">
        <v>3448</v>
      </c>
      <c r="C2803" t="s">
        <v>9205</v>
      </c>
      <c r="D2803" t="s">
        <v>52</v>
      </c>
      <c r="E2803" t="s">
        <v>9206</v>
      </c>
      <c r="F2803" t="s">
        <v>71</v>
      </c>
      <c r="G2803" t="str">
        <f>HYPERLINK("https://twitter.com/794268180722155521/status/1142944423799676929")</f>
        <v>https://twitter.com/794268180722155521/status/1142944423799676929</v>
      </c>
      <c r="H2803" t="s">
        <v>46</v>
      </c>
      <c r="I2803" t="s">
        <v>9207</v>
      </c>
      <c r="J2803" t="str">
        <f>HYPERLINK("http://twitter.com/GoldenWinter_28")</f>
        <v>http://twitter.com/GoldenWinter_28</v>
      </c>
      <c r="K2803">
        <v>22</v>
      </c>
      <c r="N2803" t="s">
        <v>65</v>
      </c>
      <c r="R2803" t="s">
        <v>60</v>
      </c>
      <c r="S2803" t="s">
        <v>51</v>
      </c>
      <c r="T2803" t="s">
        <v>380</v>
      </c>
      <c r="U2803" t="s">
        <v>380</v>
      </c>
      <c r="W2803">
        <v>0</v>
      </c>
      <c r="X2803">
        <v>0</v>
      </c>
      <c r="AE2803">
        <v>0</v>
      </c>
      <c r="AF2803">
        <v>0</v>
      </c>
      <c r="AI2803" t="s">
        <v>108</v>
      </c>
      <c r="AJ2803" t="s">
        <v>52</v>
      </c>
      <c r="AK2803" t="s">
        <v>52</v>
      </c>
      <c r="AL2803" t="str">
        <f>HYPERLINK("https://pbs.twimg.com/tweet_video_thumb/D9hvNNzXUAATAS3.jpg")</f>
        <v>https://pbs.twimg.com/tweet_video_thumb/D9hvNNzXUAATAS3.jpg</v>
      </c>
      <c r="AM2803" t="s">
        <v>52</v>
      </c>
      <c r="AN2803" t="s">
        <v>53</v>
      </c>
    </row>
    <row r="2804" spans="1:40">
      <c r="A2804" t="s">
        <v>8081</v>
      </c>
      <c r="B2804" t="s">
        <v>9208</v>
      </c>
      <c r="C2804" t="s">
        <v>9183</v>
      </c>
      <c r="D2804" t="s">
        <v>52</v>
      </c>
      <c r="E2804" t="s">
        <v>9209</v>
      </c>
      <c r="F2804" t="s">
        <v>45</v>
      </c>
      <c r="G2804" t="str">
        <f>HYPERLINK("https://www.instagram.com/p/BzEkxgYHY2Q")</f>
        <v>https://www.instagram.com/p/BzEkxgYHY2Q</v>
      </c>
      <c r="H2804" t="s">
        <v>215</v>
      </c>
      <c r="I2804" t="s">
        <v>9210</v>
      </c>
      <c r="J2804" t="str">
        <f>HYPERLINK("http://instagram.com/china_salmon")</f>
        <v>http://instagram.com/china_salmon</v>
      </c>
      <c r="K2804">
        <v>399</v>
      </c>
      <c r="N2804" t="s">
        <v>59</v>
      </c>
      <c r="O2804" t="s">
        <v>9210</v>
      </c>
      <c r="P2804" t="str">
        <f>HYPERLINK("http://instagram.com/china_salmon")</f>
        <v>http://instagram.com/china_salmon</v>
      </c>
      <c r="Q2804">
        <v>399</v>
      </c>
      <c r="R2804" t="s">
        <v>60</v>
      </c>
      <c r="W2804">
        <v>4</v>
      </c>
      <c r="X2804">
        <v>4</v>
      </c>
      <c r="AE2804">
        <v>0</v>
      </c>
      <c r="AI2804" t="s">
        <v>52</v>
      </c>
      <c r="AJ2804" t="s">
        <v>52</v>
      </c>
      <c r="AK2804" t="s">
        <v>680</v>
      </c>
      <c r="AL2804" t="str">
        <f>HYPERLINK("https://www.instagram.com/p/BzEkxgYHY2Q/media/?size=l")</f>
        <v>https://www.instagram.com/p/BzEkxgYHY2Q/media/?size=l</v>
      </c>
      <c r="AM2804" t="s">
        <v>52</v>
      </c>
      <c r="AN2804" t="s">
        <v>53</v>
      </c>
    </row>
    <row r="2805" spans="1:40">
      <c r="A2805" t="s">
        <v>8081</v>
      </c>
      <c r="B2805" t="s">
        <v>9211</v>
      </c>
      <c r="C2805" t="s">
        <v>9193</v>
      </c>
      <c r="D2805" t="s">
        <v>52</v>
      </c>
      <c r="E2805" t="s">
        <v>9212</v>
      </c>
      <c r="F2805" t="s">
        <v>45</v>
      </c>
      <c r="G2805" t="str">
        <f>HYPERLINK("https://www.instagram.com/p/BzEksgshOPC")</f>
        <v>https://www.instagram.com/p/BzEksgshOPC</v>
      </c>
      <c r="H2805" t="s">
        <v>46</v>
      </c>
      <c r="I2805" t="s">
        <v>9213</v>
      </c>
      <c r="J2805" t="str">
        <f>HYPERLINK("http://instagram.com/_stephhunt")</f>
        <v>http://instagram.com/_stephhunt</v>
      </c>
      <c r="K2805">
        <v>16557</v>
      </c>
      <c r="N2805" t="s">
        <v>59</v>
      </c>
      <c r="O2805" t="s">
        <v>9213</v>
      </c>
      <c r="P2805" t="str">
        <f>HYPERLINK("http://instagram.com/_stephhunt")</f>
        <v>http://instagram.com/_stephhunt</v>
      </c>
      <c r="Q2805">
        <v>16557</v>
      </c>
      <c r="R2805" t="s">
        <v>60</v>
      </c>
      <c r="W2805">
        <v>2590</v>
      </c>
      <c r="X2805">
        <v>2590</v>
      </c>
      <c r="AE2805">
        <v>370</v>
      </c>
      <c r="AI2805" t="s">
        <v>52</v>
      </c>
      <c r="AJ2805" t="s">
        <v>3626</v>
      </c>
      <c r="AK2805" t="s">
        <v>1037</v>
      </c>
      <c r="AL2805" t="str">
        <f>HYPERLINK("https://www.instagram.com/p/BzEksgshOPC/media/?size=l")</f>
        <v>https://www.instagram.com/p/BzEksgshOPC/media/?size=l</v>
      </c>
      <c r="AM2805" t="s">
        <v>52</v>
      </c>
      <c r="AN2805" t="s">
        <v>53</v>
      </c>
    </row>
    <row r="2806" spans="1:40">
      <c r="A2806" t="s">
        <v>8081</v>
      </c>
      <c r="B2806" t="s">
        <v>9214</v>
      </c>
      <c r="C2806" t="s">
        <v>9215</v>
      </c>
      <c r="D2806" t="s">
        <v>52</v>
      </c>
      <c r="E2806" t="s">
        <v>9216</v>
      </c>
      <c r="F2806" t="s">
        <v>71</v>
      </c>
      <c r="G2806" t="str">
        <f>HYPERLINK("https://twitter.com/1141390114486128641/status/1142943811611570176")</f>
        <v>https://twitter.com/1141390114486128641/status/1142943811611570176</v>
      </c>
      <c r="H2806" t="s">
        <v>46</v>
      </c>
      <c r="I2806" t="s">
        <v>9217</v>
      </c>
      <c r="J2806" t="str">
        <f>HYPERLINK("http://twitter.com/SubyWaifu")</f>
        <v>http://twitter.com/SubyWaifu</v>
      </c>
      <c r="K2806">
        <v>1</v>
      </c>
      <c r="N2806" t="s">
        <v>65</v>
      </c>
      <c r="R2806" t="s">
        <v>60</v>
      </c>
      <c r="S2806" t="s">
        <v>774</v>
      </c>
      <c r="T2806" t="s">
        <v>9218</v>
      </c>
      <c r="U2806" t="s">
        <v>9219</v>
      </c>
      <c r="W2806">
        <v>1</v>
      </c>
      <c r="X2806">
        <v>1</v>
      </c>
      <c r="AE2806">
        <v>1</v>
      </c>
      <c r="AF2806">
        <v>0</v>
      </c>
      <c r="AI2806" t="s">
        <v>52</v>
      </c>
      <c r="AJ2806" t="s">
        <v>1196</v>
      </c>
      <c r="AK2806" t="s">
        <v>52</v>
      </c>
      <c r="AL2806" t="str">
        <f>HYPERLINK("https://pbs.twimg.com/media/D9xgk2YXkAAd2ql.jpg")</f>
        <v>https://pbs.twimg.com/media/D9xgk2YXkAAd2ql.jpg</v>
      </c>
      <c r="AM2806" t="s">
        <v>52</v>
      </c>
      <c r="AN2806" t="s">
        <v>53</v>
      </c>
    </row>
    <row r="2807" spans="1:40">
      <c r="A2807" t="s">
        <v>8081</v>
      </c>
      <c r="B2807" t="s">
        <v>9214</v>
      </c>
      <c r="C2807" t="s">
        <v>9215</v>
      </c>
      <c r="D2807" t="s">
        <v>52</v>
      </c>
      <c r="E2807" t="s">
        <v>9220</v>
      </c>
      <c r="F2807" t="s">
        <v>95</v>
      </c>
      <c r="G2807" t="str">
        <f>HYPERLINK("https://twitter.com/941009463728885760/status/1142943796457627649")</f>
        <v>https://twitter.com/941009463728885760/status/1142943796457627649</v>
      </c>
      <c r="H2807" t="s">
        <v>46</v>
      </c>
      <c r="I2807" t="s">
        <v>9221</v>
      </c>
      <c r="J2807" t="str">
        <f>HYPERLINK("http://twitter.com/taefasito_")</f>
        <v>http://twitter.com/taefasito_</v>
      </c>
      <c r="K2807">
        <v>2557</v>
      </c>
      <c r="L2807" t="s">
        <v>58</v>
      </c>
      <c r="N2807" t="s">
        <v>65</v>
      </c>
      <c r="R2807" t="s">
        <v>60</v>
      </c>
      <c r="W2807">
        <v>1</v>
      </c>
      <c r="X2807">
        <v>1</v>
      </c>
      <c r="AE2807">
        <v>1</v>
      </c>
      <c r="AF2807">
        <v>0</v>
      </c>
      <c r="AM2807" t="s">
        <v>52</v>
      </c>
      <c r="AN2807" t="s">
        <v>53</v>
      </c>
    </row>
    <row r="2808" spans="1:40">
      <c r="A2808" t="s">
        <v>8081</v>
      </c>
      <c r="B2808" t="s">
        <v>9214</v>
      </c>
      <c r="C2808" t="s">
        <v>9205</v>
      </c>
      <c r="D2808" t="s">
        <v>52</v>
      </c>
      <c r="E2808" t="s">
        <v>1194</v>
      </c>
      <c r="F2808" t="s">
        <v>131</v>
      </c>
      <c r="G2808" t="str">
        <f>HYPERLINK("https://twitter.com/3299251388/status/1142943761137373186")</f>
        <v>https://twitter.com/3299251388/status/1142943761137373186</v>
      </c>
      <c r="H2808" t="s">
        <v>46</v>
      </c>
      <c r="I2808" t="s">
        <v>9222</v>
      </c>
      <c r="J2808" t="str">
        <f>HYPERLINK("http://twitter.com/zmtavarez")</f>
        <v>http://twitter.com/zmtavarez</v>
      </c>
      <c r="K2808">
        <v>473</v>
      </c>
      <c r="N2808" t="s">
        <v>65</v>
      </c>
      <c r="R2808" t="s">
        <v>60</v>
      </c>
      <c r="S2808" t="s">
        <v>97</v>
      </c>
      <c r="T2808" t="s">
        <v>98</v>
      </c>
      <c r="U2808" t="s">
        <v>1677</v>
      </c>
      <c r="W2808">
        <v>0</v>
      </c>
      <c r="X2808">
        <v>0</v>
      </c>
      <c r="AE2808">
        <v>0</v>
      </c>
      <c r="AI2808" t="s">
        <v>52</v>
      </c>
      <c r="AJ2808" t="s">
        <v>1196</v>
      </c>
      <c r="AK2808" t="s">
        <v>52</v>
      </c>
      <c r="AL2808" t="str">
        <f>HYPERLINK("https://pbs.twimg.com/media/D9xgk2YXkAAd2ql.jpg")</f>
        <v>https://pbs.twimg.com/media/D9xgk2YXkAAd2ql.jpg</v>
      </c>
      <c r="AM2808" t="s">
        <v>52</v>
      </c>
      <c r="AN2808" t="s">
        <v>53</v>
      </c>
    </row>
    <row r="2809" spans="1:40">
      <c r="A2809" t="s">
        <v>8081</v>
      </c>
      <c r="B2809" t="s">
        <v>9214</v>
      </c>
      <c r="C2809" t="s">
        <v>9223</v>
      </c>
      <c r="D2809" t="s">
        <v>52</v>
      </c>
      <c r="E2809" t="s">
        <v>1194</v>
      </c>
      <c r="F2809" t="s">
        <v>131</v>
      </c>
      <c r="G2809" t="str">
        <f>HYPERLINK("https://twitter.com/93278731/status/1142943702442229761")</f>
        <v>https://twitter.com/93278731/status/1142943702442229761</v>
      </c>
      <c r="H2809" t="s">
        <v>46</v>
      </c>
      <c r="I2809" t="s">
        <v>9224</v>
      </c>
      <c r="J2809" t="str">
        <f>HYPERLINK("http://twitter.com/hurricanewicks")</f>
        <v>http://twitter.com/hurricanewicks</v>
      </c>
      <c r="K2809">
        <v>217</v>
      </c>
      <c r="L2809" t="s">
        <v>58</v>
      </c>
      <c r="N2809" t="s">
        <v>65</v>
      </c>
      <c r="R2809" t="s">
        <v>60</v>
      </c>
      <c r="W2809">
        <v>0</v>
      </c>
      <c r="X2809">
        <v>0</v>
      </c>
      <c r="AE2809">
        <v>0</v>
      </c>
      <c r="AI2809" t="s">
        <v>52</v>
      </c>
      <c r="AJ2809" t="s">
        <v>1196</v>
      </c>
      <c r="AK2809" t="s">
        <v>52</v>
      </c>
      <c r="AL2809" t="str">
        <f>HYPERLINK("https://pbs.twimg.com/media/D9xgk2YXkAAd2ql.jpg")</f>
        <v>https://pbs.twimg.com/media/D9xgk2YXkAAd2ql.jpg</v>
      </c>
      <c r="AM2809" t="s">
        <v>52</v>
      </c>
      <c r="AN2809" t="s">
        <v>53</v>
      </c>
    </row>
    <row r="2810" spans="1:40">
      <c r="A2810" t="s">
        <v>8081</v>
      </c>
      <c r="B2810" t="s">
        <v>3476</v>
      </c>
      <c r="C2810" t="s">
        <v>9225</v>
      </c>
      <c r="D2810" t="s">
        <v>52</v>
      </c>
      <c r="E2810" t="s">
        <v>1194</v>
      </c>
      <c r="F2810" t="s">
        <v>131</v>
      </c>
      <c r="G2810" t="str">
        <f>HYPERLINK("https://twitter.com/830952252223389696/status/1142943573245140993")</f>
        <v>https://twitter.com/830952252223389696/status/1142943573245140993</v>
      </c>
      <c r="H2810" t="s">
        <v>46</v>
      </c>
      <c r="I2810" t="s">
        <v>9226</v>
      </c>
      <c r="J2810" t="str">
        <f>HYPERLINK("http://twitter.com/thaxsf")</f>
        <v>http://twitter.com/thaxsf</v>
      </c>
      <c r="K2810">
        <v>265</v>
      </c>
      <c r="N2810" t="s">
        <v>65</v>
      </c>
      <c r="R2810" t="s">
        <v>60</v>
      </c>
      <c r="W2810">
        <v>0</v>
      </c>
      <c r="X2810">
        <v>0</v>
      </c>
      <c r="AE2810">
        <v>0</v>
      </c>
      <c r="AI2810" t="s">
        <v>52</v>
      </c>
      <c r="AJ2810" t="s">
        <v>1196</v>
      </c>
      <c r="AK2810" t="s">
        <v>52</v>
      </c>
      <c r="AL2810" t="str">
        <f>HYPERLINK("https://pbs.twimg.com/media/D9xgk2YXkAAd2ql.jpg")</f>
        <v>https://pbs.twimg.com/media/D9xgk2YXkAAd2ql.jpg</v>
      </c>
      <c r="AM2810" t="s">
        <v>52</v>
      </c>
      <c r="AN2810" t="s">
        <v>53</v>
      </c>
    </row>
    <row r="2811" spans="1:40">
      <c r="A2811" t="s">
        <v>8081</v>
      </c>
      <c r="B2811" t="s">
        <v>3481</v>
      </c>
      <c r="C2811" t="s">
        <v>9183</v>
      </c>
      <c r="D2811" t="s">
        <v>52</v>
      </c>
      <c r="E2811" t="s">
        <v>9227</v>
      </c>
      <c r="F2811" t="s">
        <v>45</v>
      </c>
      <c r="G2811" t="str">
        <f>HYPERLINK("https://www.instagram.com/p/BzEkU36pTtp")</f>
        <v>https://www.instagram.com/p/BzEkU36pTtp</v>
      </c>
      <c r="H2811" t="s">
        <v>46</v>
      </c>
      <c r="I2811" t="s">
        <v>9228</v>
      </c>
      <c r="J2811" t="str">
        <f>HYPERLINK("http://instagram.com/mrhillnc")</f>
        <v>http://instagram.com/mrhillnc</v>
      </c>
      <c r="K2811">
        <v>854</v>
      </c>
      <c r="N2811" t="s">
        <v>59</v>
      </c>
      <c r="O2811" t="s">
        <v>9228</v>
      </c>
      <c r="P2811" t="str">
        <f>HYPERLINK("http://instagram.com/mrhillnc")</f>
        <v>http://instagram.com/mrhillnc</v>
      </c>
      <c r="Q2811">
        <v>854</v>
      </c>
      <c r="R2811" t="s">
        <v>60</v>
      </c>
      <c r="W2811">
        <v>2</v>
      </c>
      <c r="X2811">
        <v>2</v>
      </c>
      <c r="AE2811">
        <v>0</v>
      </c>
      <c r="AI2811" t="s">
        <v>108</v>
      </c>
      <c r="AJ2811" t="s">
        <v>716</v>
      </c>
      <c r="AK2811" t="s">
        <v>52</v>
      </c>
      <c r="AL2811" t="str">
        <f>HYPERLINK("https://www.instagram.com/p/BzEkU36pTtp/media/?size=l")</f>
        <v>https://www.instagram.com/p/BzEkU36pTtp/media/?size=l</v>
      </c>
      <c r="AM2811" t="s">
        <v>52</v>
      </c>
      <c r="AN2811" t="s">
        <v>53</v>
      </c>
    </row>
    <row r="2812" spans="1:40">
      <c r="A2812" t="s">
        <v>8081</v>
      </c>
      <c r="B2812" t="s">
        <v>9229</v>
      </c>
      <c r="C2812" t="s">
        <v>6741</v>
      </c>
      <c r="D2812" t="s">
        <v>52</v>
      </c>
      <c r="E2812" t="s">
        <v>9230</v>
      </c>
      <c r="F2812" t="s">
        <v>45</v>
      </c>
      <c r="G2812" t="str">
        <f>HYPERLINK("https://www.facebook.com/376116662847063/posts/707675596357833")</f>
        <v>https://www.facebook.com/376116662847063/posts/707675596357833</v>
      </c>
      <c r="H2812" t="s">
        <v>46</v>
      </c>
      <c r="I2812" t="s">
        <v>9231</v>
      </c>
      <c r="J2812" t="str">
        <f>HYPERLINK("https://www.facebook.com/376116662847063")</f>
        <v>https://www.facebook.com/376116662847063</v>
      </c>
      <c r="K2812">
        <v>47309</v>
      </c>
      <c r="L2812" t="s">
        <v>651</v>
      </c>
      <c r="N2812" t="s">
        <v>1792</v>
      </c>
      <c r="O2812" t="s">
        <v>9231</v>
      </c>
      <c r="P2812" t="str">
        <f>HYPERLINK("https://www.facebook.com/376116662847063")</f>
        <v>https://www.facebook.com/376116662847063</v>
      </c>
      <c r="Q2812">
        <v>47309</v>
      </c>
      <c r="R2812" t="s">
        <v>60</v>
      </c>
      <c r="W2812">
        <v>303</v>
      </c>
      <c r="X2812">
        <v>61</v>
      </c>
      <c r="Y2812">
        <v>1</v>
      </c>
      <c r="Z2812">
        <v>181</v>
      </c>
      <c r="AA2812">
        <v>50</v>
      </c>
      <c r="AB2812">
        <v>4</v>
      </c>
      <c r="AC2812">
        <v>6</v>
      </c>
      <c r="AE2812">
        <v>126</v>
      </c>
      <c r="AF2812">
        <v>272</v>
      </c>
      <c r="AI2812" t="s">
        <v>52</v>
      </c>
      <c r="AJ2812" t="s">
        <v>52</v>
      </c>
      <c r="AK2812" t="s">
        <v>52</v>
      </c>
      <c r="AL2812" t="str">
        <f>HYPERLINK("https://scontent.xx.fbcdn.net/v/t15.5256-10/65300333_337569523809445_9148421507465084928_n.jpg?_nc_cat=105&amp;_nc_oc=AQlkCTD6AI9j7E3UK2rO7ddn4yMWF8lyCztao-ne6kQTK_VK1Hr4GS777FrQqaGptIw&amp;_nc_ht=scontent.xx&amp;oh=27c558dcb1e803e123e1154e5795e152&amp;oe=5DC10AD7")</f>
        <v>https://scontent.xx.fbcdn.net/v/t15.5256-10/65300333_337569523809445_9148421507465084928_n.jpg?_nc_cat=105&amp;_nc_oc=AQlkCTD6AI9j7E3UK2rO7ddn4yMWF8lyCztao-ne6kQTK_VK1Hr4GS777FrQqaGptIw&amp;_nc_ht=scontent.xx&amp;oh=27c558dcb1e803e123e1154e5795e152&amp;oe=5DC10AD7</v>
      </c>
      <c r="AM2812" t="s">
        <v>52</v>
      </c>
      <c r="AN2812" t="s">
        <v>53</v>
      </c>
    </row>
    <row r="2813" spans="1:40">
      <c r="A2813" t="s">
        <v>8081</v>
      </c>
      <c r="B2813" t="s">
        <v>3487</v>
      </c>
      <c r="C2813" t="s">
        <v>9232</v>
      </c>
      <c r="D2813" t="s">
        <v>52</v>
      </c>
      <c r="E2813" t="s">
        <v>8717</v>
      </c>
      <c r="F2813" t="s">
        <v>71</v>
      </c>
      <c r="G2813" t="str">
        <f>HYPERLINK("https://twitter.com/238848183/status/1142942907877302272")</f>
        <v>https://twitter.com/238848183/status/1142942907877302272</v>
      </c>
      <c r="H2813" t="s">
        <v>46</v>
      </c>
      <c r="I2813" t="s">
        <v>9233</v>
      </c>
      <c r="J2813" t="str">
        <f>HYPERLINK("http://twitter.com/KaityKat080")</f>
        <v>http://twitter.com/KaityKat080</v>
      </c>
      <c r="K2813">
        <v>213</v>
      </c>
      <c r="N2813" t="s">
        <v>65</v>
      </c>
      <c r="R2813" t="s">
        <v>60</v>
      </c>
      <c r="W2813">
        <v>0</v>
      </c>
      <c r="X2813">
        <v>0</v>
      </c>
      <c r="AE2813">
        <v>0</v>
      </c>
      <c r="AF2813">
        <v>0</v>
      </c>
      <c r="AI2813" t="s">
        <v>108</v>
      </c>
      <c r="AJ2813" t="s">
        <v>52</v>
      </c>
      <c r="AK2813" t="s">
        <v>52</v>
      </c>
      <c r="AL2813" t="str">
        <f>HYPERLINK("https://pbs.twimg.com/tweet_video_thumb/D9hvNNzXUAATAS3.jpg")</f>
        <v>https://pbs.twimg.com/tweet_video_thumb/D9hvNNzXUAATAS3.jpg</v>
      </c>
      <c r="AM2813" t="s">
        <v>52</v>
      </c>
      <c r="AN2813" t="s">
        <v>53</v>
      </c>
    </row>
    <row r="2814" spans="1:40">
      <c r="A2814" t="s">
        <v>8081</v>
      </c>
      <c r="B2814" t="s">
        <v>3491</v>
      </c>
      <c r="C2814" t="s">
        <v>9225</v>
      </c>
      <c r="D2814" t="s">
        <v>52</v>
      </c>
      <c r="E2814" t="s">
        <v>3749</v>
      </c>
      <c r="F2814" t="s">
        <v>71</v>
      </c>
      <c r="G2814" t="str">
        <f>HYPERLINK("https://twitter.com/1085683341213552640/status/1142942584177926145")</f>
        <v>https://twitter.com/1085683341213552640/status/1142942584177926145</v>
      </c>
      <c r="H2814" t="s">
        <v>46</v>
      </c>
      <c r="I2814" t="s">
        <v>9234</v>
      </c>
      <c r="J2814" t="str">
        <f>HYPERLINK("http://twitter.com/Meryem23724815")</f>
        <v>http://twitter.com/Meryem23724815</v>
      </c>
      <c r="K2814">
        <v>8</v>
      </c>
      <c r="L2814" t="s">
        <v>58</v>
      </c>
      <c r="N2814" t="s">
        <v>65</v>
      </c>
      <c r="R2814" t="s">
        <v>60</v>
      </c>
      <c r="S2814" t="s">
        <v>1963</v>
      </c>
      <c r="T2814" t="s">
        <v>9235</v>
      </c>
      <c r="U2814" t="s">
        <v>9235</v>
      </c>
      <c r="W2814">
        <v>0</v>
      </c>
      <c r="X2814">
        <v>0</v>
      </c>
      <c r="AE2814">
        <v>0</v>
      </c>
      <c r="AF2814">
        <v>0</v>
      </c>
      <c r="AI2814" t="s">
        <v>108</v>
      </c>
      <c r="AJ2814" t="s">
        <v>52</v>
      </c>
      <c r="AK2814" t="s">
        <v>52</v>
      </c>
      <c r="AL2814" t="str">
        <f>HYPERLINK("https://pbs.twimg.com/media/D9sAXHUX4AA6vJs.jpg")</f>
        <v>https://pbs.twimg.com/media/D9sAXHUX4AA6vJs.jpg</v>
      </c>
      <c r="AM2814" t="s">
        <v>52</v>
      </c>
      <c r="AN2814" t="s">
        <v>53</v>
      </c>
    </row>
    <row r="2815" spans="1:40">
      <c r="A2815" t="s">
        <v>8081</v>
      </c>
      <c r="B2815" t="s">
        <v>3491</v>
      </c>
      <c r="C2815" t="s">
        <v>9236</v>
      </c>
      <c r="D2815" t="s">
        <v>52</v>
      </c>
      <c r="E2815" t="s">
        <v>1194</v>
      </c>
      <c r="F2815" t="s">
        <v>131</v>
      </c>
      <c r="G2815" t="str">
        <f>HYPERLINK("https://twitter.com/1684629912/status/1142942565186060294")</f>
        <v>https://twitter.com/1684629912/status/1142942565186060294</v>
      </c>
      <c r="H2815" t="s">
        <v>46</v>
      </c>
      <c r="I2815" t="s">
        <v>9237</v>
      </c>
      <c r="J2815" t="str">
        <f>HYPERLINK("http://twitter.com/tufano_angela")</f>
        <v>http://twitter.com/tufano_angela</v>
      </c>
      <c r="K2815">
        <v>95</v>
      </c>
      <c r="N2815" t="s">
        <v>65</v>
      </c>
      <c r="R2815" t="s">
        <v>60</v>
      </c>
      <c r="W2815">
        <v>0</v>
      </c>
      <c r="X2815">
        <v>0</v>
      </c>
      <c r="AE2815">
        <v>0</v>
      </c>
      <c r="AI2815" t="s">
        <v>52</v>
      </c>
      <c r="AJ2815" t="s">
        <v>1196</v>
      </c>
      <c r="AK2815" t="s">
        <v>52</v>
      </c>
      <c r="AL2815" t="str">
        <f>HYPERLINK("https://pbs.twimg.com/media/D9xgk2YXkAAd2ql.jpg")</f>
        <v>https://pbs.twimg.com/media/D9xgk2YXkAAd2ql.jpg</v>
      </c>
      <c r="AM2815" t="s">
        <v>52</v>
      </c>
      <c r="AN2815" t="s">
        <v>53</v>
      </c>
    </row>
    <row r="2816" spans="1:40">
      <c r="A2816" t="s">
        <v>8081</v>
      </c>
      <c r="B2816" t="s">
        <v>3491</v>
      </c>
      <c r="C2816" t="s">
        <v>9232</v>
      </c>
      <c r="D2816" t="s">
        <v>52</v>
      </c>
      <c r="E2816" t="s">
        <v>9238</v>
      </c>
      <c r="F2816" t="s">
        <v>95</v>
      </c>
      <c r="G2816" t="str">
        <f>HYPERLINK("https://twitter.com/3131506216/status/1142942475922956288")</f>
        <v>https://twitter.com/3131506216/status/1142942475922956288</v>
      </c>
      <c r="H2816" t="s">
        <v>46</v>
      </c>
      <c r="I2816" t="s">
        <v>9239</v>
      </c>
      <c r="J2816" t="str">
        <f>HYPERLINK("http://twitter.com/eddie2col4u")</f>
        <v>http://twitter.com/eddie2col4u</v>
      </c>
      <c r="K2816">
        <v>11</v>
      </c>
      <c r="N2816" t="s">
        <v>65</v>
      </c>
      <c r="R2816" t="s">
        <v>60</v>
      </c>
      <c r="W2816">
        <v>0</v>
      </c>
      <c r="X2816">
        <v>0</v>
      </c>
      <c r="AE2816">
        <v>0</v>
      </c>
      <c r="AF2816">
        <v>0</v>
      </c>
      <c r="AM2816" t="s">
        <v>52</v>
      </c>
      <c r="AN2816" t="s">
        <v>53</v>
      </c>
    </row>
    <row r="2817" spans="1:40">
      <c r="A2817" t="s">
        <v>8081</v>
      </c>
      <c r="B2817" t="s">
        <v>3491</v>
      </c>
      <c r="C2817" t="s">
        <v>9232</v>
      </c>
      <c r="D2817" t="s">
        <v>52</v>
      </c>
      <c r="E2817" t="s">
        <v>4497</v>
      </c>
      <c r="F2817" t="s">
        <v>45</v>
      </c>
      <c r="G2817" t="str">
        <f>HYPERLINK("https://twitter.com/988807131896823808/status/1142942443442061312")</f>
        <v>https://twitter.com/988807131896823808/status/1142942443442061312</v>
      </c>
      <c r="H2817" t="s">
        <v>46</v>
      </c>
      <c r="I2817" t="s">
        <v>9240</v>
      </c>
      <c r="J2817" t="str">
        <f>HYPERLINK("http://twitter.com/JackieTigerChan")</f>
        <v>http://twitter.com/JackieTigerChan</v>
      </c>
      <c r="K2817">
        <v>24</v>
      </c>
      <c r="N2817" t="s">
        <v>65</v>
      </c>
      <c r="R2817" t="s">
        <v>60</v>
      </c>
      <c r="S2817" t="s">
        <v>444</v>
      </c>
      <c r="T2817" t="s">
        <v>3183</v>
      </c>
      <c r="U2817" t="s">
        <v>9241</v>
      </c>
      <c r="W2817">
        <v>0</v>
      </c>
      <c r="X2817">
        <v>0</v>
      </c>
      <c r="AE2817">
        <v>0</v>
      </c>
      <c r="AF2817">
        <v>0</v>
      </c>
      <c r="AM2817" t="s">
        <v>52</v>
      </c>
      <c r="AN2817" t="s">
        <v>53</v>
      </c>
    </row>
    <row r="2818" spans="1:40">
      <c r="A2818" t="s">
        <v>8081</v>
      </c>
      <c r="B2818" t="s">
        <v>3502</v>
      </c>
      <c r="C2818" t="s">
        <v>9242</v>
      </c>
      <c r="D2818" t="s">
        <v>52</v>
      </c>
      <c r="E2818" t="s">
        <v>9243</v>
      </c>
      <c r="F2818" t="s">
        <v>45</v>
      </c>
      <c r="G2818" t="str">
        <f>HYPERLINK("https://twitter.com/888057524/status/1142942392988966919")</f>
        <v>https://twitter.com/888057524/status/1142942392988966919</v>
      </c>
      <c r="H2818" t="s">
        <v>215</v>
      </c>
      <c r="I2818" t="s">
        <v>9244</v>
      </c>
      <c r="J2818" t="str">
        <f>HYPERLINK("http://twitter.com/scott_groppi")</f>
        <v>http://twitter.com/scott_groppi</v>
      </c>
      <c r="K2818">
        <v>0</v>
      </c>
      <c r="L2818" t="s">
        <v>48</v>
      </c>
      <c r="N2818" t="s">
        <v>65</v>
      </c>
      <c r="R2818" t="s">
        <v>60</v>
      </c>
      <c r="S2818" t="s">
        <v>51</v>
      </c>
      <c r="T2818" t="s">
        <v>137</v>
      </c>
      <c r="U2818" t="s">
        <v>9245</v>
      </c>
      <c r="W2818">
        <v>0</v>
      </c>
      <c r="X2818">
        <v>0</v>
      </c>
      <c r="AE2818">
        <v>0</v>
      </c>
      <c r="AF2818">
        <v>0</v>
      </c>
      <c r="AM2818" t="s">
        <v>52</v>
      </c>
      <c r="AN2818" t="s">
        <v>53</v>
      </c>
    </row>
    <row r="2819" spans="1:40">
      <c r="A2819" t="s">
        <v>8081</v>
      </c>
      <c r="B2819" t="s">
        <v>3502</v>
      </c>
      <c r="C2819" t="s">
        <v>9246</v>
      </c>
      <c r="D2819" t="s">
        <v>52</v>
      </c>
      <c r="E2819" t="s">
        <v>1194</v>
      </c>
      <c r="F2819" t="s">
        <v>131</v>
      </c>
      <c r="G2819" t="str">
        <f>HYPERLINK("https://twitter.com/2851555325/status/1142942382276653057")</f>
        <v>https://twitter.com/2851555325/status/1142942382276653057</v>
      </c>
      <c r="H2819" t="s">
        <v>46</v>
      </c>
      <c r="I2819" t="s">
        <v>9247</v>
      </c>
      <c r="J2819" t="str">
        <f>HYPERLINK("http://twitter.com/itsromanap")</f>
        <v>http://twitter.com/itsromanap</v>
      </c>
      <c r="K2819">
        <v>98</v>
      </c>
      <c r="N2819" t="s">
        <v>65</v>
      </c>
      <c r="R2819" t="s">
        <v>60</v>
      </c>
      <c r="W2819">
        <v>0</v>
      </c>
      <c r="X2819">
        <v>0</v>
      </c>
      <c r="AE2819">
        <v>0</v>
      </c>
      <c r="AI2819" t="s">
        <v>52</v>
      </c>
      <c r="AJ2819" t="s">
        <v>1196</v>
      </c>
      <c r="AK2819" t="s">
        <v>52</v>
      </c>
      <c r="AL2819" t="str">
        <f>HYPERLINK("https://pbs.twimg.com/media/D9xgk2YXkAAd2ql.jpg")</f>
        <v>https://pbs.twimg.com/media/D9xgk2YXkAAd2ql.jpg</v>
      </c>
      <c r="AM2819" t="s">
        <v>52</v>
      </c>
      <c r="AN2819" t="s">
        <v>53</v>
      </c>
    </row>
    <row r="2820" spans="1:40">
      <c r="A2820" t="s">
        <v>8081</v>
      </c>
      <c r="B2820" t="s">
        <v>3502</v>
      </c>
      <c r="C2820" t="s">
        <v>9246</v>
      </c>
      <c r="D2820" t="s">
        <v>52</v>
      </c>
      <c r="E2820" t="s">
        <v>9248</v>
      </c>
      <c r="F2820" t="s">
        <v>45</v>
      </c>
      <c r="G2820" t="str">
        <f>HYPERLINK("https://www.instagram.com/p/BzEj33qpqXH")</f>
        <v>https://www.instagram.com/p/BzEj33qpqXH</v>
      </c>
      <c r="H2820" t="s">
        <v>46</v>
      </c>
      <c r="I2820" t="s">
        <v>9249</v>
      </c>
      <c r="J2820" t="str">
        <f>HYPERLINK("http://instagram.com/lulterrell")</f>
        <v>http://instagram.com/lulterrell</v>
      </c>
      <c r="K2820">
        <v>2</v>
      </c>
      <c r="N2820" t="s">
        <v>59</v>
      </c>
      <c r="O2820" t="s">
        <v>9249</v>
      </c>
      <c r="P2820" t="str">
        <f>HYPERLINK("http://instagram.com/lulterrell")</f>
        <v>http://instagram.com/lulterrell</v>
      </c>
      <c r="Q2820">
        <v>2</v>
      </c>
      <c r="R2820" t="s">
        <v>60</v>
      </c>
      <c r="W2820">
        <v>5</v>
      </c>
      <c r="X2820">
        <v>5</v>
      </c>
      <c r="AE2820">
        <v>0</v>
      </c>
      <c r="AI2820" t="s">
        <v>52</v>
      </c>
      <c r="AJ2820" t="s">
        <v>52</v>
      </c>
      <c r="AK2820" t="s">
        <v>52</v>
      </c>
      <c r="AL2820" t="str">
        <f>HYPERLINK("https://www.instagram.com/p/BzEj33qpqXH/media/?size=l")</f>
        <v>https://www.instagram.com/p/BzEj33qpqXH/media/?size=l</v>
      </c>
      <c r="AM2820" t="s">
        <v>52</v>
      </c>
      <c r="AN2820" t="s">
        <v>53</v>
      </c>
    </row>
    <row r="2821" spans="1:40">
      <c r="A2821" t="s">
        <v>8081</v>
      </c>
      <c r="B2821" t="s">
        <v>9250</v>
      </c>
      <c r="C2821" t="s">
        <v>9251</v>
      </c>
      <c r="D2821" t="s">
        <v>52</v>
      </c>
      <c r="E2821" t="s">
        <v>276</v>
      </c>
      <c r="F2821" t="s">
        <v>131</v>
      </c>
      <c r="G2821" t="str">
        <f>HYPERLINK("https://twitter.com/20537430/status/1142942131537027074")</f>
        <v>https://twitter.com/20537430/status/1142942131537027074</v>
      </c>
      <c r="H2821" t="s">
        <v>46</v>
      </c>
      <c r="I2821" t="s">
        <v>9252</v>
      </c>
      <c r="J2821" t="str">
        <f>HYPERLINK("http://twitter.com/ZerounTheQuick")</f>
        <v>http://twitter.com/ZerounTheQuick</v>
      </c>
      <c r="K2821">
        <v>560</v>
      </c>
      <c r="N2821" t="s">
        <v>65</v>
      </c>
      <c r="R2821" t="s">
        <v>60</v>
      </c>
      <c r="W2821">
        <v>0</v>
      </c>
      <c r="X2821">
        <v>0</v>
      </c>
      <c r="AE2821">
        <v>0</v>
      </c>
      <c r="AI2821" t="s">
        <v>108</v>
      </c>
      <c r="AJ2821" t="s">
        <v>52</v>
      </c>
      <c r="AK2821" t="s">
        <v>52</v>
      </c>
      <c r="AL2821" t="str">
        <f>HYPERLINK("https://pbs.twimg.com/tweet_video_thumb/D9hvNNzXUAATAS3.jpg")</f>
        <v>https://pbs.twimg.com/tweet_video_thumb/D9hvNNzXUAATAS3.jpg</v>
      </c>
      <c r="AM2821" t="s">
        <v>52</v>
      </c>
      <c r="AN2821" t="s">
        <v>53</v>
      </c>
    </row>
    <row r="2822" spans="1:40">
      <c r="A2822" t="s">
        <v>8081</v>
      </c>
      <c r="B2822" t="s">
        <v>9250</v>
      </c>
      <c r="C2822" t="s">
        <v>9253</v>
      </c>
      <c r="D2822" t="s">
        <v>52</v>
      </c>
      <c r="E2822" t="s">
        <v>9254</v>
      </c>
      <c r="F2822" t="s">
        <v>131</v>
      </c>
      <c r="G2822" t="str">
        <f>HYPERLINK("https://twitter.com/1095014182494310400/status/1142942094903980033")</f>
        <v>https://twitter.com/1095014182494310400/status/1142942094903980033</v>
      </c>
      <c r="H2822" t="s">
        <v>46</v>
      </c>
      <c r="I2822" t="s">
        <v>9255</v>
      </c>
      <c r="J2822" t="str">
        <f>HYPERLINK("http://twitter.com/badtypebil")</f>
        <v>http://twitter.com/badtypebil</v>
      </c>
      <c r="K2822">
        <v>1071</v>
      </c>
      <c r="N2822" t="s">
        <v>65</v>
      </c>
      <c r="R2822" t="s">
        <v>60</v>
      </c>
      <c r="W2822">
        <v>0</v>
      </c>
      <c r="X2822">
        <v>0</v>
      </c>
      <c r="AE2822">
        <v>0</v>
      </c>
      <c r="AM2822" t="s">
        <v>52</v>
      </c>
      <c r="AN2822" t="s">
        <v>53</v>
      </c>
    </row>
    <row r="2823" spans="1:40">
      <c r="A2823" t="s">
        <v>8081</v>
      </c>
      <c r="B2823" t="s">
        <v>9250</v>
      </c>
      <c r="C2823" t="s">
        <v>9225</v>
      </c>
      <c r="D2823" t="s">
        <v>52</v>
      </c>
      <c r="E2823" t="s">
        <v>8717</v>
      </c>
      <c r="F2823" t="s">
        <v>71</v>
      </c>
      <c r="G2823" t="str">
        <f>HYPERLINK("https://twitter.com/769893829/status/1142942061773111297")</f>
        <v>https://twitter.com/769893829/status/1142942061773111297</v>
      </c>
      <c r="H2823" t="s">
        <v>46</v>
      </c>
      <c r="I2823" t="s">
        <v>9256</v>
      </c>
      <c r="J2823" t="str">
        <f>HYPERLINK("http://twitter.com/_DaSickesst")</f>
        <v>http://twitter.com/_DaSickesst</v>
      </c>
      <c r="K2823">
        <v>5015</v>
      </c>
      <c r="N2823" t="s">
        <v>65</v>
      </c>
      <c r="R2823" t="s">
        <v>60</v>
      </c>
      <c r="W2823">
        <v>8</v>
      </c>
      <c r="X2823">
        <v>8</v>
      </c>
      <c r="AE2823">
        <v>2</v>
      </c>
      <c r="AF2823">
        <v>4</v>
      </c>
      <c r="AI2823" t="s">
        <v>108</v>
      </c>
      <c r="AJ2823" t="s">
        <v>52</v>
      </c>
      <c r="AK2823" t="s">
        <v>52</v>
      </c>
      <c r="AL2823" t="str">
        <f>HYPERLINK("https://pbs.twimg.com/tweet_video_thumb/D9hvNNzXUAATAS3.jpg")</f>
        <v>https://pbs.twimg.com/tweet_video_thumb/D9hvNNzXUAATAS3.jpg</v>
      </c>
      <c r="AM2823" t="s">
        <v>52</v>
      </c>
      <c r="AN2823" t="s">
        <v>53</v>
      </c>
    </row>
    <row r="2824" spans="1:40">
      <c r="A2824" t="s">
        <v>8081</v>
      </c>
      <c r="B2824" t="s">
        <v>3512</v>
      </c>
      <c r="C2824" t="s">
        <v>8458</v>
      </c>
      <c r="D2824" t="s">
        <v>9257</v>
      </c>
      <c r="E2824" t="s">
        <v>9258</v>
      </c>
      <c r="F2824" t="s">
        <v>45</v>
      </c>
      <c r="G2824" t="str">
        <f>HYPERLINK("https://www.youtube.com/watch?v=yKcHO4pg1UI")</f>
        <v>https://www.youtube.com/watch?v=yKcHO4pg1UI</v>
      </c>
      <c r="H2824" t="s">
        <v>46</v>
      </c>
      <c r="I2824" t="s">
        <v>9259</v>
      </c>
      <c r="J2824" t="str">
        <f>HYPERLINK("https://www.youtube.com/channel/UC0KqbaZwoSSxOz2zfyOATBg")</f>
        <v>https://www.youtube.com/channel/UC0KqbaZwoSSxOz2zfyOATBg</v>
      </c>
      <c r="K2824">
        <v>26</v>
      </c>
      <c r="N2824" t="s">
        <v>116</v>
      </c>
      <c r="O2824" t="s">
        <v>9259</v>
      </c>
      <c r="P2824" t="str">
        <f>HYPERLINK("https://www.youtube.com/channel/UC0KqbaZwoSSxOz2zfyOATBg")</f>
        <v>https://www.youtube.com/channel/UC0KqbaZwoSSxOz2zfyOATBg</v>
      </c>
      <c r="Q2824">
        <v>26</v>
      </c>
      <c r="R2824" t="s">
        <v>60</v>
      </c>
      <c r="W2824">
        <v>3</v>
      </c>
      <c r="X2824">
        <v>3</v>
      </c>
      <c r="AD2824">
        <v>0</v>
      </c>
      <c r="AE2824">
        <v>0</v>
      </c>
      <c r="AG2824">
        <v>12</v>
      </c>
      <c r="AI2824" t="s">
        <v>52</v>
      </c>
      <c r="AJ2824" t="s">
        <v>2277</v>
      </c>
      <c r="AK2824" t="s">
        <v>52</v>
      </c>
      <c r="AL2824" t="str">
        <f>HYPERLINK("https://i.ytimg.com/vi/yKcHO4pg1UI/sddefault.jpg")</f>
        <v>https://i.ytimg.com/vi/yKcHO4pg1UI/sddefault.jpg</v>
      </c>
      <c r="AM2824" t="s">
        <v>52</v>
      </c>
      <c r="AN2824" t="s">
        <v>53</v>
      </c>
    </row>
    <row r="2825" spans="1:40">
      <c r="A2825" t="s">
        <v>8081</v>
      </c>
      <c r="B2825" t="s">
        <v>3512</v>
      </c>
      <c r="C2825" t="s">
        <v>9185</v>
      </c>
      <c r="D2825" t="s">
        <v>52</v>
      </c>
      <c r="E2825" t="s">
        <v>9260</v>
      </c>
      <c r="F2825" t="s">
        <v>45</v>
      </c>
      <c r="G2825" t="str">
        <f>HYPERLINK("https://www.instagram.com/p/BzEhymtAem3")</f>
        <v>https://www.instagram.com/p/BzEhymtAem3</v>
      </c>
      <c r="H2825" t="s">
        <v>46</v>
      </c>
      <c r="I2825" t="s">
        <v>9261</v>
      </c>
      <c r="J2825" t="str">
        <f>HYPERLINK("http://instagram.com/coleccionista_carther")</f>
        <v>http://instagram.com/coleccionista_carther</v>
      </c>
      <c r="K2825">
        <v>431</v>
      </c>
      <c r="N2825" t="s">
        <v>59</v>
      </c>
      <c r="O2825" t="s">
        <v>9261</v>
      </c>
      <c r="P2825" t="str">
        <f>HYPERLINK("http://instagram.com/coleccionista_carther")</f>
        <v>http://instagram.com/coleccionista_carther</v>
      </c>
      <c r="Q2825">
        <v>431</v>
      </c>
      <c r="R2825" t="s">
        <v>60</v>
      </c>
      <c r="W2825">
        <v>65</v>
      </c>
      <c r="X2825">
        <v>65</v>
      </c>
      <c r="AE2825">
        <v>8</v>
      </c>
      <c r="AG2825">
        <v>270</v>
      </c>
      <c r="AI2825" t="s">
        <v>52</v>
      </c>
      <c r="AJ2825" t="s">
        <v>52</v>
      </c>
      <c r="AK2825" t="s">
        <v>110</v>
      </c>
      <c r="AL2825" t="str">
        <f>HYPERLINK("https://www.instagram.com/p/BzEhymtAem3/media/?size=l")</f>
        <v>https://www.instagram.com/p/BzEhymtAem3/media/?size=l</v>
      </c>
      <c r="AM2825" t="s">
        <v>52</v>
      </c>
      <c r="AN2825" t="s">
        <v>53</v>
      </c>
    </row>
    <row r="2826" spans="1:40">
      <c r="A2826" t="s">
        <v>8081</v>
      </c>
      <c r="B2826" t="s">
        <v>3512</v>
      </c>
      <c r="C2826" t="s">
        <v>6900</v>
      </c>
      <c r="D2826" t="s">
        <v>9262</v>
      </c>
      <c r="E2826" t="s">
        <v>9263</v>
      </c>
      <c r="F2826" t="s">
        <v>45</v>
      </c>
      <c r="G2826" t="str">
        <f>HYPERLINK("https://apkhook.com/taco-pizza-pizza-hut.html")</f>
        <v>https://apkhook.com/taco-pizza-pizza-hut.html</v>
      </c>
      <c r="H2826" t="s">
        <v>46</v>
      </c>
      <c r="N2826" t="s">
        <v>1633</v>
      </c>
      <c r="R2826" t="s">
        <v>50</v>
      </c>
      <c r="S2826" t="s">
        <v>51</v>
      </c>
      <c r="AM2826" t="s">
        <v>52</v>
      </c>
      <c r="AN2826" t="s">
        <v>53</v>
      </c>
    </row>
    <row r="2827" spans="1:40">
      <c r="A2827" t="s">
        <v>8081</v>
      </c>
      <c r="B2827" t="s">
        <v>3512</v>
      </c>
      <c r="C2827" t="s">
        <v>8712</v>
      </c>
      <c r="D2827" t="s">
        <v>9264</v>
      </c>
      <c r="E2827" t="s">
        <v>9265</v>
      </c>
      <c r="F2827" t="s">
        <v>45</v>
      </c>
      <c r="G2827" t="str">
        <f>HYPERLINK("https://apkhook.com/mountain-dew-contest.html")</f>
        <v>https://apkhook.com/mountain-dew-contest.html</v>
      </c>
      <c r="H2827" t="s">
        <v>46</v>
      </c>
      <c r="N2827" t="s">
        <v>1633</v>
      </c>
      <c r="R2827" t="s">
        <v>50</v>
      </c>
      <c r="S2827" t="s">
        <v>51</v>
      </c>
      <c r="AM2827" t="s">
        <v>52</v>
      </c>
      <c r="AN2827" t="s">
        <v>53</v>
      </c>
    </row>
    <row r="2828" spans="1:40">
      <c r="A2828" t="s">
        <v>8081</v>
      </c>
      <c r="B2828" t="s">
        <v>3512</v>
      </c>
      <c r="C2828" t="s">
        <v>8712</v>
      </c>
      <c r="D2828" t="s">
        <v>9266</v>
      </c>
      <c r="E2828" t="s">
        <v>9267</v>
      </c>
      <c r="F2828" t="s">
        <v>45</v>
      </c>
      <c r="G2828" t="str">
        <f>HYPERLINK("https://apkhook.com/dorito-dust.html")</f>
        <v>https://apkhook.com/dorito-dust.html</v>
      </c>
      <c r="H2828" t="s">
        <v>46</v>
      </c>
      <c r="N2828" t="s">
        <v>1633</v>
      </c>
      <c r="R2828" t="s">
        <v>50</v>
      </c>
      <c r="S2828" t="s">
        <v>51</v>
      </c>
      <c r="AM2828" t="s">
        <v>52</v>
      </c>
      <c r="AN2828" t="s">
        <v>53</v>
      </c>
    </row>
    <row r="2829" spans="1:40">
      <c r="A2829" t="s">
        <v>8081</v>
      </c>
      <c r="B2829" t="s">
        <v>3512</v>
      </c>
      <c r="C2829" t="s">
        <v>9268</v>
      </c>
      <c r="D2829" t="s">
        <v>9269</v>
      </c>
      <c r="E2829" t="s">
        <v>9270</v>
      </c>
      <c r="F2829" t="s">
        <v>45</v>
      </c>
      <c r="G2829" t="str">
        <f>HYPERLINK("https://apkhook.com/dorito-costume.html")</f>
        <v>https://apkhook.com/dorito-costume.html</v>
      </c>
      <c r="H2829" t="s">
        <v>46</v>
      </c>
      <c r="N2829" t="s">
        <v>1633</v>
      </c>
      <c r="R2829" t="s">
        <v>50</v>
      </c>
      <c r="S2829" t="s">
        <v>51</v>
      </c>
      <c r="AM2829" t="s">
        <v>52</v>
      </c>
      <c r="AN2829" t="s">
        <v>53</v>
      </c>
    </row>
    <row r="2830" spans="1:40">
      <c r="A2830" t="s">
        <v>8081</v>
      </c>
      <c r="B2830" t="s">
        <v>9271</v>
      </c>
      <c r="C2830" t="s">
        <v>9272</v>
      </c>
      <c r="D2830" t="s">
        <v>52</v>
      </c>
      <c r="E2830" t="s">
        <v>9273</v>
      </c>
      <c r="F2830" t="s">
        <v>45</v>
      </c>
      <c r="G2830" t="str">
        <f>HYPERLINK("https://www.instagram.com/p/BzEjVlSAdpi")</f>
        <v>https://www.instagram.com/p/BzEjVlSAdpi</v>
      </c>
      <c r="H2830" t="s">
        <v>46</v>
      </c>
      <c r="I2830" t="s">
        <v>9274</v>
      </c>
      <c r="J2830" t="str">
        <f>HYPERLINK("http://instagram.com/turbskies_for_life")</f>
        <v>http://instagram.com/turbskies_for_life</v>
      </c>
      <c r="K2830">
        <v>0</v>
      </c>
      <c r="N2830" t="s">
        <v>59</v>
      </c>
      <c r="O2830" t="s">
        <v>9274</v>
      </c>
      <c r="P2830" t="str">
        <f>HYPERLINK("http://instagram.com/turbskies_for_life")</f>
        <v>http://instagram.com/turbskies_for_life</v>
      </c>
      <c r="Q2830">
        <v>0</v>
      </c>
      <c r="R2830" t="s">
        <v>60</v>
      </c>
      <c r="W2830">
        <v>27</v>
      </c>
      <c r="X2830">
        <v>27</v>
      </c>
      <c r="AE2830">
        <v>1</v>
      </c>
      <c r="AG2830">
        <v>31</v>
      </c>
      <c r="AI2830" t="s">
        <v>52</v>
      </c>
      <c r="AJ2830" t="s">
        <v>121</v>
      </c>
      <c r="AK2830" t="s">
        <v>52</v>
      </c>
      <c r="AL2830" t="str">
        <f>HYPERLINK("https://www.instagram.com/p/BzEjVlSAdpi/media/?size=l")</f>
        <v>https://www.instagram.com/p/BzEjVlSAdpi/media/?size=l</v>
      </c>
      <c r="AM2830" t="s">
        <v>52</v>
      </c>
      <c r="AN2830" t="s">
        <v>53</v>
      </c>
    </row>
    <row r="2831" spans="1:40">
      <c r="A2831" t="s">
        <v>8081</v>
      </c>
      <c r="B2831" t="s">
        <v>9275</v>
      </c>
      <c r="C2831" t="s">
        <v>9253</v>
      </c>
      <c r="D2831" t="s">
        <v>52</v>
      </c>
      <c r="E2831" t="s">
        <v>9276</v>
      </c>
      <c r="F2831" t="s">
        <v>95</v>
      </c>
      <c r="G2831" t="str">
        <f>HYPERLINK("https://twitter.com/36037162/status/1142941001931268097")</f>
        <v>https://twitter.com/36037162/status/1142941001931268097</v>
      </c>
      <c r="H2831" t="s">
        <v>46</v>
      </c>
      <c r="I2831" t="s">
        <v>9277</v>
      </c>
      <c r="J2831" t="str">
        <f>HYPERLINK("http://twitter.com/baconelf")</f>
        <v>http://twitter.com/baconelf</v>
      </c>
      <c r="K2831">
        <v>318</v>
      </c>
      <c r="N2831" t="s">
        <v>65</v>
      </c>
      <c r="R2831" t="s">
        <v>60</v>
      </c>
      <c r="S2831" t="s">
        <v>97</v>
      </c>
      <c r="T2831" t="s">
        <v>177</v>
      </c>
      <c r="U2831" t="s">
        <v>9278</v>
      </c>
      <c r="W2831">
        <v>7</v>
      </c>
      <c r="X2831">
        <v>7</v>
      </c>
      <c r="AE2831">
        <v>0</v>
      </c>
      <c r="AF2831">
        <v>0</v>
      </c>
      <c r="AM2831" t="s">
        <v>52</v>
      </c>
      <c r="AN2831" t="s">
        <v>53</v>
      </c>
    </row>
    <row r="2832" spans="1:40">
      <c r="A2832" t="s">
        <v>8081</v>
      </c>
      <c r="B2832" t="s">
        <v>9275</v>
      </c>
      <c r="C2832" t="s">
        <v>9279</v>
      </c>
      <c r="D2832" t="s">
        <v>52</v>
      </c>
      <c r="E2832" t="s">
        <v>1194</v>
      </c>
      <c r="F2832" t="s">
        <v>131</v>
      </c>
      <c r="G2832" t="str">
        <f>HYPERLINK("https://twitter.com/33254820/status/1142940917894176768")</f>
        <v>https://twitter.com/33254820/status/1142940917894176768</v>
      </c>
      <c r="H2832" t="s">
        <v>46</v>
      </c>
      <c r="I2832" t="s">
        <v>9280</v>
      </c>
      <c r="J2832" t="str">
        <f>HYPERLINK("http://twitter.com/Iluvnectarines")</f>
        <v>http://twitter.com/Iluvnectarines</v>
      </c>
      <c r="K2832">
        <v>76</v>
      </c>
      <c r="N2832" t="s">
        <v>65</v>
      </c>
      <c r="R2832" t="s">
        <v>60</v>
      </c>
      <c r="W2832">
        <v>0</v>
      </c>
      <c r="X2832">
        <v>0</v>
      </c>
      <c r="AE2832">
        <v>0</v>
      </c>
      <c r="AI2832" t="s">
        <v>52</v>
      </c>
      <c r="AJ2832" t="s">
        <v>1196</v>
      </c>
      <c r="AK2832" t="s">
        <v>52</v>
      </c>
      <c r="AL2832" t="str">
        <f>HYPERLINK("https://pbs.twimg.com/media/D9xgk2YXkAAd2ql.jpg")</f>
        <v>https://pbs.twimg.com/media/D9xgk2YXkAAd2ql.jpg</v>
      </c>
      <c r="AM2832" t="s">
        <v>52</v>
      </c>
      <c r="AN2832" t="s">
        <v>53</v>
      </c>
    </row>
    <row r="2833" spans="1:40">
      <c r="A2833" t="s">
        <v>8081</v>
      </c>
      <c r="B2833" t="s">
        <v>3520</v>
      </c>
      <c r="C2833" t="s">
        <v>9272</v>
      </c>
      <c r="D2833" t="s">
        <v>52</v>
      </c>
      <c r="E2833" t="s">
        <v>9254</v>
      </c>
      <c r="F2833" t="s">
        <v>45</v>
      </c>
      <c r="G2833" t="str">
        <f>HYPERLINK("https://twitter.com/1093425978100060160/status/1142940842904215552")</f>
        <v>https://twitter.com/1093425978100060160/status/1142940842904215552</v>
      </c>
      <c r="H2833" t="s">
        <v>46</v>
      </c>
      <c r="I2833" t="s">
        <v>9281</v>
      </c>
      <c r="J2833" t="str">
        <f>HYPERLINK("http://twitter.com/eilishilomilo")</f>
        <v>http://twitter.com/eilishilomilo</v>
      </c>
      <c r="K2833">
        <v>1157</v>
      </c>
      <c r="L2833" t="s">
        <v>58</v>
      </c>
      <c r="N2833" t="s">
        <v>65</v>
      </c>
      <c r="R2833" t="s">
        <v>60</v>
      </c>
      <c r="S2833" t="s">
        <v>97</v>
      </c>
      <c r="T2833" t="s">
        <v>177</v>
      </c>
      <c r="W2833">
        <v>9</v>
      </c>
      <c r="X2833">
        <v>9</v>
      </c>
      <c r="AE2833">
        <v>0</v>
      </c>
      <c r="AF2833">
        <v>1</v>
      </c>
      <c r="AM2833" t="s">
        <v>52</v>
      </c>
      <c r="AN2833" t="s">
        <v>53</v>
      </c>
    </row>
    <row r="2834" spans="1:40">
      <c r="A2834" t="s">
        <v>8081</v>
      </c>
      <c r="B2834" t="s">
        <v>3520</v>
      </c>
      <c r="C2834" t="s">
        <v>9282</v>
      </c>
      <c r="D2834" t="s">
        <v>52</v>
      </c>
      <c r="E2834" t="s">
        <v>6828</v>
      </c>
      <c r="F2834" t="s">
        <v>95</v>
      </c>
      <c r="G2834" t="str">
        <f>HYPERLINK("https://twitter.com/3408757967/status/1142940780266307584")</f>
        <v>https://twitter.com/3408757967/status/1142940780266307584</v>
      </c>
      <c r="H2834" t="s">
        <v>46</v>
      </c>
      <c r="I2834" t="s">
        <v>9283</v>
      </c>
      <c r="J2834" t="str">
        <f>HYPERLINK("http://twitter.com/SquidGertrude")</f>
        <v>http://twitter.com/SquidGertrude</v>
      </c>
      <c r="K2834">
        <v>792</v>
      </c>
      <c r="N2834" t="s">
        <v>65</v>
      </c>
      <c r="R2834" t="s">
        <v>60</v>
      </c>
      <c r="S2834" t="s">
        <v>51</v>
      </c>
      <c r="T2834" t="s">
        <v>2522</v>
      </c>
      <c r="U2834" t="s">
        <v>9284</v>
      </c>
      <c r="W2834">
        <v>26</v>
      </c>
      <c r="X2834">
        <v>26</v>
      </c>
      <c r="AE2834">
        <v>1</v>
      </c>
      <c r="AF2834">
        <v>1</v>
      </c>
      <c r="AM2834" t="s">
        <v>52</v>
      </c>
      <c r="AN2834" t="s">
        <v>53</v>
      </c>
    </row>
    <row r="2835" spans="1:40">
      <c r="A2835" t="s">
        <v>8081</v>
      </c>
      <c r="B2835" t="s">
        <v>3520</v>
      </c>
      <c r="C2835" t="s">
        <v>9282</v>
      </c>
      <c r="D2835" t="s">
        <v>52</v>
      </c>
      <c r="E2835" t="s">
        <v>1194</v>
      </c>
      <c r="F2835" t="s">
        <v>131</v>
      </c>
      <c r="G2835" t="str">
        <f>HYPERLINK("https://twitter.com/848387411826675713/status/1142940765456404481")</f>
        <v>https://twitter.com/848387411826675713/status/1142940765456404481</v>
      </c>
      <c r="H2835" t="s">
        <v>46</v>
      </c>
      <c r="I2835" t="s">
        <v>9285</v>
      </c>
      <c r="J2835" t="str">
        <f>HYPERLINK("http://twitter.com/mariiacastillop")</f>
        <v>http://twitter.com/mariiacastillop</v>
      </c>
      <c r="K2835">
        <v>11729</v>
      </c>
      <c r="L2835" t="s">
        <v>58</v>
      </c>
      <c r="N2835" t="s">
        <v>65</v>
      </c>
      <c r="R2835" t="s">
        <v>60</v>
      </c>
      <c r="S2835" t="s">
        <v>4293</v>
      </c>
      <c r="T2835" t="s">
        <v>4294</v>
      </c>
      <c r="U2835" t="s">
        <v>9286</v>
      </c>
      <c r="W2835">
        <v>0</v>
      </c>
      <c r="X2835">
        <v>0</v>
      </c>
      <c r="AE2835">
        <v>0</v>
      </c>
      <c r="AI2835" t="s">
        <v>52</v>
      </c>
      <c r="AJ2835" t="s">
        <v>1196</v>
      </c>
      <c r="AK2835" t="s">
        <v>52</v>
      </c>
      <c r="AL2835" t="str">
        <f>HYPERLINK("https://pbs.twimg.com/media/D9xgk2YXkAAd2ql.jpg")</f>
        <v>https://pbs.twimg.com/media/D9xgk2YXkAAd2ql.jpg</v>
      </c>
      <c r="AM2835" t="s">
        <v>52</v>
      </c>
      <c r="AN2835" t="s">
        <v>53</v>
      </c>
    </row>
    <row r="2836" spans="1:40">
      <c r="A2836" t="s">
        <v>8081</v>
      </c>
      <c r="B2836" t="s">
        <v>3524</v>
      </c>
      <c r="C2836" t="s">
        <v>9279</v>
      </c>
      <c r="D2836" t="s">
        <v>52</v>
      </c>
      <c r="E2836" t="s">
        <v>9287</v>
      </c>
      <c r="F2836" t="s">
        <v>45</v>
      </c>
      <c r="G2836" t="str">
        <f>HYPERLINK("https://www.instagram.com/p/BzEjEMWh720")</f>
        <v>https://www.instagram.com/p/BzEjEMWh720</v>
      </c>
      <c r="H2836" t="s">
        <v>46</v>
      </c>
      <c r="I2836" t="s">
        <v>9288</v>
      </c>
      <c r="J2836" t="str">
        <f>HYPERLINK("http://instagram.com/hangaroneph")</f>
        <v>http://instagram.com/hangaroneph</v>
      </c>
      <c r="K2836">
        <v>345</v>
      </c>
      <c r="N2836" t="s">
        <v>59</v>
      </c>
      <c r="O2836" t="s">
        <v>9288</v>
      </c>
      <c r="P2836" t="str">
        <f>HYPERLINK("http://instagram.com/hangaroneph")</f>
        <v>http://instagram.com/hangaroneph</v>
      </c>
      <c r="Q2836">
        <v>345</v>
      </c>
      <c r="R2836" t="s">
        <v>60</v>
      </c>
      <c r="S2836" t="s">
        <v>226</v>
      </c>
      <c r="T2836" t="s">
        <v>9289</v>
      </c>
      <c r="U2836" t="s">
        <v>9290</v>
      </c>
      <c r="W2836">
        <v>30</v>
      </c>
      <c r="X2836">
        <v>30</v>
      </c>
      <c r="AE2836">
        <v>0</v>
      </c>
      <c r="AI2836" t="s">
        <v>52</v>
      </c>
      <c r="AJ2836" t="s">
        <v>9291</v>
      </c>
      <c r="AK2836" t="s">
        <v>52</v>
      </c>
      <c r="AL2836" t="str">
        <f>HYPERLINK("https://www.instagram.com/p/BzEjEMWh720/media/?size=l")</f>
        <v>https://www.instagram.com/p/BzEjEMWh720/media/?size=l</v>
      </c>
      <c r="AM2836" t="s">
        <v>52</v>
      </c>
      <c r="AN2836" t="s">
        <v>53</v>
      </c>
    </row>
    <row r="2837" spans="1:40">
      <c r="A2837" t="s">
        <v>8081</v>
      </c>
      <c r="B2837" t="s">
        <v>3524</v>
      </c>
      <c r="C2837" t="s">
        <v>9272</v>
      </c>
      <c r="D2837" t="s">
        <v>52</v>
      </c>
      <c r="E2837" t="s">
        <v>9292</v>
      </c>
      <c r="F2837" t="s">
        <v>71</v>
      </c>
      <c r="G2837" t="str">
        <f>HYPERLINK("https://twitter.com/985545110795571200/status/1142940402376433665")</f>
        <v>https://twitter.com/985545110795571200/status/1142940402376433665</v>
      </c>
      <c r="H2837" t="s">
        <v>46</v>
      </c>
      <c r="I2837" t="s">
        <v>9293</v>
      </c>
      <c r="J2837" t="str">
        <f>HYPERLINK("http://twitter.com/NorthTXTeacher")</f>
        <v>http://twitter.com/NorthTXTeacher</v>
      </c>
      <c r="K2837">
        <v>298</v>
      </c>
      <c r="N2837" t="s">
        <v>65</v>
      </c>
      <c r="R2837" t="s">
        <v>60</v>
      </c>
      <c r="S2837" t="s">
        <v>51</v>
      </c>
      <c r="T2837" t="s">
        <v>152</v>
      </c>
      <c r="W2837">
        <v>3</v>
      </c>
      <c r="X2837">
        <v>3</v>
      </c>
      <c r="AE2837">
        <v>1</v>
      </c>
      <c r="AF2837">
        <v>0</v>
      </c>
      <c r="AM2837" t="s">
        <v>52</v>
      </c>
      <c r="AN2837" t="s">
        <v>53</v>
      </c>
    </row>
    <row r="2838" spans="1:40">
      <c r="A2838" t="s">
        <v>8081</v>
      </c>
      <c r="B2838" t="s">
        <v>3542</v>
      </c>
      <c r="C2838" t="s">
        <v>9251</v>
      </c>
      <c r="D2838" t="s">
        <v>52</v>
      </c>
      <c r="E2838" t="s">
        <v>9294</v>
      </c>
      <c r="F2838" t="s">
        <v>71</v>
      </c>
      <c r="G2838" t="str">
        <f>HYPERLINK("https://twitter.com/414290098/status/1142939971151650827")</f>
        <v>https://twitter.com/414290098/status/1142939971151650827</v>
      </c>
      <c r="H2838" t="s">
        <v>91</v>
      </c>
      <c r="I2838" t="s">
        <v>7791</v>
      </c>
      <c r="J2838" t="str">
        <f>HYPERLINK("http://twitter.com/dooger66")</f>
        <v>http://twitter.com/dooger66</v>
      </c>
      <c r="K2838">
        <v>154</v>
      </c>
      <c r="N2838" t="s">
        <v>65</v>
      </c>
      <c r="R2838" t="s">
        <v>60</v>
      </c>
      <c r="S2838" t="s">
        <v>444</v>
      </c>
      <c r="T2838" t="s">
        <v>1062</v>
      </c>
      <c r="U2838" t="s">
        <v>7792</v>
      </c>
      <c r="W2838">
        <v>1</v>
      </c>
      <c r="X2838">
        <v>1</v>
      </c>
      <c r="AE2838">
        <v>1</v>
      </c>
      <c r="AF2838">
        <v>0</v>
      </c>
      <c r="AM2838" t="s">
        <v>52</v>
      </c>
      <c r="AN2838" t="s">
        <v>53</v>
      </c>
    </row>
    <row r="2839" spans="1:40">
      <c r="A2839" t="s">
        <v>8081</v>
      </c>
      <c r="B2839" t="s">
        <v>3552</v>
      </c>
      <c r="C2839" t="s">
        <v>9295</v>
      </c>
      <c r="D2839" t="s">
        <v>52</v>
      </c>
      <c r="E2839" t="s">
        <v>8659</v>
      </c>
      <c r="F2839" t="s">
        <v>71</v>
      </c>
      <c r="G2839" t="str">
        <f>HYPERLINK("https://twitter.com/3138227834/status/1142939489687392256")</f>
        <v>https://twitter.com/3138227834/status/1142939489687392256</v>
      </c>
      <c r="H2839" t="s">
        <v>46</v>
      </c>
      <c r="I2839" t="s">
        <v>9296</v>
      </c>
      <c r="J2839" t="str">
        <f>HYPERLINK("http://twitter.com/pandasrocklife")</f>
        <v>http://twitter.com/pandasrocklife</v>
      </c>
      <c r="K2839">
        <v>133</v>
      </c>
      <c r="N2839" t="s">
        <v>65</v>
      </c>
      <c r="R2839" t="s">
        <v>60</v>
      </c>
      <c r="W2839">
        <v>0</v>
      </c>
      <c r="X2839">
        <v>0</v>
      </c>
      <c r="AE2839">
        <v>0</v>
      </c>
      <c r="AF2839">
        <v>0</v>
      </c>
      <c r="AI2839" t="s">
        <v>52</v>
      </c>
      <c r="AJ2839" t="s">
        <v>3639</v>
      </c>
      <c r="AK2839" t="s">
        <v>238</v>
      </c>
      <c r="AL2839" t="str">
        <f>HYPERLINK("https://pbs.twimg.com/media/D9jR1g0UYAAm_F_.jpg")</f>
        <v>https://pbs.twimg.com/media/D9jR1g0UYAAm_F_.jpg</v>
      </c>
      <c r="AM2839" t="s">
        <v>52</v>
      </c>
      <c r="AN2839" t="s">
        <v>53</v>
      </c>
    </row>
    <row r="2840" spans="1:40">
      <c r="A2840" t="s">
        <v>8081</v>
      </c>
      <c r="B2840" t="s">
        <v>3552</v>
      </c>
      <c r="C2840" t="s">
        <v>8712</v>
      </c>
      <c r="D2840" t="s">
        <v>8219</v>
      </c>
      <c r="E2840" t="s">
        <v>9297</v>
      </c>
      <c r="F2840" t="s">
        <v>45</v>
      </c>
      <c r="G2840" t="str">
        <f>HYPERLINK("https://www.reddit.com/r/CasualUK/comments/c499kc/right_oiks_sick_of_small_crumbly_supermarket/?sort=new")</f>
        <v>https://www.reddit.com/r/CasualUK/comments/c499kc/right_oiks_sick_of_small_crumbly_supermarket/?sort=new</v>
      </c>
      <c r="H2840" t="s">
        <v>215</v>
      </c>
      <c r="I2840" t="s">
        <v>9298</v>
      </c>
      <c r="J2840" t="str">
        <f>HYPERLINK("https://www.reddit.com/r/CasualUK/comments/c499kc/right_oiks_sick_of_small_crumbly_supermarket/?sort=new")</f>
        <v>https://www.reddit.com/r/CasualUK/comments/c499kc/right_oiks_sick_of_small_crumbly_supermarket/?sort=new</v>
      </c>
      <c r="N2840" t="s">
        <v>545</v>
      </c>
      <c r="O2840" t="s">
        <v>8222</v>
      </c>
      <c r="P2840" t="str">
        <f>HYPERLINK("https://www.reddit.com/r/CasualUK/")</f>
        <v>https://www.reddit.com/r/CasualUK/</v>
      </c>
      <c r="R2840" t="s">
        <v>516</v>
      </c>
      <c r="S2840" t="s">
        <v>51</v>
      </c>
      <c r="AM2840" t="s">
        <v>52</v>
      </c>
      <c r="AN2840" t="s">
        <v>53</v>
      </c>
    </row>
    <row r="2841" spans="1:40">
      <c r="A2841" t="s">
        <v>8081</v>
      </c>
      <c r="B2841" t="s">
        <v>3564</v>
      </c>
      <c r="C2841" t="s">
        <v>9299</v>
      </c>
      <c r="D2841" t="s">
        <v>52</v>
      </c>
      <c r="E2841" t="s">
        <v>9300</v>
      </c>
      <c r="F2841" t="s">
        <v>45</v>
      </c>
      <c r="G2841" t="str">
        <f>HYPERLINK("https://www.instagram.com/p/BzEig4eHsFI")</f>
        <v>https://www.instagram.com/p/BzEig4eHsFI</v>
      </c>
      <c r="H2841" t="s">
        <v>46</v>
      </c>
      <c r="I2841" t="s">
        <v>9301</v>
      </c>
      <c r="J2841" t="str">
        <f>HYPERLINK("http://instagram.com/ww_maddiesjourney")</f>
        <v>http://instagram.com/ww_maddiesjourney</v>
      </c>
      <c r="K2841">
        <v>183</v>
      </c>
      <c r="L2841" t="s">
        <v>58</v>
      </c>
      <c r="N2841" t="s">
        <v>59</v>
      </c>
      <c r="O2841" t="s">
        <v>9301</v>
      </c>
      <c r="P2841" t="str">
        <f>HYPERLINK("http://instagram.com/ww_maddiesjourney")</f>
        <v>http://instagram.com/ww_maddiesjourney</v>
      </c>
      <c r="Q2841">
        <v>183</v>
      </c>
      <c r="R2841" t="s">
        <v>60</v>
      </c>
      <c r="W2841">
        <v>22</v>
      </c>
      <c r="X2841">
        <v>22</v>
      </c>
      <c r="AE2841">
        <v>1</v>
      </c>
      <c r="AI2841" t="s">
        <v>52</v>
      </c>
      <c r="AJ2841" t="s">
        <v>9302</v>
      </c>
      <c r="AK2841" t="s">
        <v>52</v>
      </c>
      <c r="AL2841" t="str">
        <f>HYPERLINK("https://www.instagram.com/p/BzEig4eHsFI/media/?size=l")</f>
        <v>https://www.instagram.com/p/BzEig4eHsFI/media/?size=l</v>
      </c>
      <c r="AM2841" t="s">
        <v>52</v>
      </c>
      <c r="AN2841" t="s">
        <v>53</v>
      </c>
    </row>
    <row r="2842" spans="1:40">
      <c r="A2842" t="s">
        <v>8081</v>
      </c>
      <c r="B2842" t="s">
        <v>3564</v>
      </c>
      <c r="C2842" t="s">
        <v>9299</v>
      </c>
      <c r="D2842" t="s">
        <v>52</v>
      </c>
      <c r="E2842" t="s">
        <v>9303</v>
      </c>
      <c r="F2842" t="s">
        <v>45</v>
      </c>
      <c r="G2842" t="str">
        <f>HYPERLINK("https://twitter.com/734580106845401090/status/1142939201278828545")</f>
        <v>https://twitter.com/734580106845401090/status/1142939201278828545</v>
      </c>
      <c r="H2842" t="s">
        <v>46</v>
      </c>
      <c r="I2842" t="s">
        <v>9304</v>
      </c>
      <c r="J2842" t="str">
        <f>HYPERLINK("http://twitter.com/Linster55")</f>
        <v>http://twitter.com/Linster55</v>
      </c>
      <c r="K2842">
        <v>49</v>
      </c>
      <c r="N2842" t="s">
        <v>65</v>
      </c>
      <c r="R2842" t="s">
        <v>60</v>
      </c>
      <c r="S2842" t="s">
        <v>9305</v>
      </c>
      <c r="U2842" t="s">
        <v>9306</v>
      </c>
      <c r="W2842">
        <v>0</v>
      </c>
      <c r="X2842">
        <v>0</v>
      </c>
      <c r="AE2842">
        <v>0</v>
      </c>
      <c r="AF2842">
        <v>0</v>
      </c>
      <c r="AI2842" t="s">
        <v>52</v>
      </c>
      <c r="AJ2842" t="s">
        <v>9307</v>
      </c>
      <c r="AK2842" t="s">
        <v>52</v>
      </c>
      <c r="AL2842" t="str">
        <f>HYPERLINK("https://pbs.twimg.com/media/D9yJJB5WsAAfJEP.jpg")</f>
        <v>https://pbs.twimg.com/media/D9yJJB5WsAAfJEP.jpg</v>
      </c>
      <c r="AM2842" t="s">
        <v>52</v>
      </c>
      <c r="AN2842" t="s">
        <v>53</v>
      </c>
    </row>
    <row r="2843" spans="1:40">
      <c r="A2843" t="s">
        <v>8081</v>
      </c>
      <c r="B2843" t="s">
        <v>3588</v>
      </c>
      <c r="C2843" t="s">
        <v>9299</v>
      </c>
      <c r="D2843" t="s">
        <v>52</v>
      </c>
      <c r="E2843" t="s">
        <v>9308</v>
      </c>
      <c r="F2843" t="s">
        <v>45</v>
      </c>
      <c r="G2843" t="str">
        <f>HYPERLINK("https://twitter.com/2381319312/status/1142938800181719040")</f>
        <v>https://twitter.com/2381319312/status/1142938800181719040</v>
      </c>
      <c r="H2843" t="s">
        <v>46</v>
      </c>
      <c r="I2843" t="s">
        <v>9309</v>
      </c>
      <c r="J2843" t="str">
        <f>HYPERLINK("http://twitter.com/dddald")</f>
        <v>http://twitter.com/dddald</v>
      </c>
      <c r="K2843">
        <v>6500</v>
      </c>
      <c r="L2843" t="s">
        <v>58</v>
      </c>
      <c r="N2843" t="s">
        <v>65</v>
      </c>
      <c r="R2843" t="s">
        <v>60</v>
      </c>
      <c r="W2843">
        <v>0</v>
      </c>
      <c r="X2843">
        <v>0</v>
      </c>
      <c r="AE2843">
        <v>0</v>
      </c>
      <c r="AF2843">
        <v>0</v>
      </c>
      <c r="AM2843" t="s">
        <v>52</v>
      </c>
      <c r="AN2843" t="s">
        <v>53</v>
      </c>
    </row>
    <row r="2844" spans="1:40">
      <c r="A2844" t="s">
        <v>8081</v>
      </c>
      <c r="B2844" t="s">
        <v>3588</v>
      </c>
      <c r="C2844" t="s">
        <v>9310</v>
      </c>
      <c r="D2844" t="s">
        <v>52</v>
      </c>
      <c r="E2844" t="s">
        <v>9311</v>
      </c>
      <c r="F2844" t="s">
        <v>95</v>
      </c>
      <c r="G2844" t="str">
        <f>HYPERLINK("https://twitter.com/1117509240002961408/status/1142938769831673861")</f>
        <v>https://twitter.com/1117509240002961408/status/1142938769831673861</v>
      </c>
      <c r="H2844" t="s">
        <v>46</v>
      </c>
      <c r="I2844" t="s">
        <v>9312</v>
      </c>
      <c r="J2844" t="str">
        <f>HYPERLINK("http://twitter.com/lv2nt")</f>
        <v>http://twitter.com/lv2nt</v>
      </c>
      <c r="K2844">
        <v>61</v>
      </c>
      <c r="N2844" t="s">
        <v>65</v>
      </c>
      <c r="R2844" t="s">
        <v>60</v>
      </c>
      <c r="W2844">
        <v>1</v>
      </c>
      <c r="X2844">
        <v>1</v>
      </c>
      <c r="AE2844">
        <v>1</v>
      </c>
      <c r="AF2844">
        <v>0</v>
      </c>
      <c r="AM2844" t="s">
        <v>52</v>
      </c>
      <c r="AN2844" t="s">
        <v>53</v>
      </c>
    </row>
    <row r="2845" spans="1:40">
      <c r="A2845" t="s">
        <v>8081</v>
      </c>
      <c r="B2845" t="s">
        <v>3588</v>
      </c>
      <c r="C2845" t="s">
        <v>9295</v>
      </c>
      <c r="D2845" t="s">
        <v>52</v>
      </c>
      <c r="E2845" t="s">
        <v>9313</v>
      </c>
      <c r="F2845" t="s">
        <v>45</v>
      </c>
      <c r="G2845" t="str">
        <f>HYPERLINK("https://twitter.com/213191651/status/1142938699258310658")</f>
        <v>https://twitter.com/213191651/status/1142938699258310658</v>
      </c>
      <c r="H2845" t="s">
        <v>46</v>
      </c>
      <c r="I2845" t="s">
        <v>9314</v>
      </c>
      <c r="J2845" t="str">
        <f>HYPERLINK("http://twitter.com/Thee_Gooch")</f>
        <v>http://twitter.com/Thee_Gooch</v>
      </c>
      <c r="K2845">
        <v>320</v>
      </c>
      <c r="N2845" t="s">
        <v>65</v>
      </c>
      <c r="R2845" t="s">
        <v>60</v>
      </c>
      <c r="S2845" t="s">
        <v>51</v>
      </c>
      <c r="T2845" t="s">
        <v>2720</v>
      </c>
      <c r="U2845" t="s">
        <v>9315</v>
      </c>
      <c r="W2845">
        <v>0</v>
      </c>
      <c r="X2845">
        <v>0</v>
      </c>
      <c r="AE2845">
        <v>0</v>
      </c>
      <c r="AF2845">
        <v>0</v>
      </c>
      <c r="AM2845" t="s">
        <v>52</v>
      </c>
      <c r="AN2845" t="s">
        <v>53</v>
      </c>
    </row>
    <row r="2846" spans="1:40">
      <c r="A2846" t="s">
        <v>8081</v>
      </c>
      <c r="B2846" t="s">
        <v>3588</v>
      </c>
      <c r="C2846" t="s">
        <v>9295</v>
      </c>
      <c r="D2846" t="s">
        <v>52</v>
      </c>
      <c r="E2846" t="s">
        <v>9316</v>
      </c>
      <c r="F2846" t="s">
        <v>71</v>
      </c>
      <c r="G2846" t="str">
        <f>HYPERLINK("https://twitter.com/813954655/status/1142938695273783297")</f>
        <v>https://twitter.com/813954655/status/1142938695273783297</v>
      </c>
      <c r="H2846" t="s">
        <v>46</v>
      </c>
      <c r="I2846" t="s">
        <v>9317</v>
      </c>
      <c r="J2846" t="str">
        <f>HYPERLINK("http://twitter.com/dungeonsnOPERA")</f>
        <v>http://twitter.com/dungeonsnOPERA</v>
      </c>
      <c r="K2846">
        <v>261</v>
      </c>
      <c r="N2846" t="s">
        <v>65</v>
      </c>
      <c r="R2846" t="s">
        <v>60</v>
      </c>
      <c r="W2846">
        <v>8</v>
      </c>
      <c r="X2846">
        <v>8</v>
      </c>
      <c r="AE2846">
        <v>0</v>
      </c>
      <c r="AF2846">
        <v>0</v>
      </c>
      <c r="AI2846" t="s">
        <v>52</v>
      </c>
      <c r="AJ2846" t="s">
        <v>52</v>
      </c>
      <c r="AK2846" t="s">
        <v>52</v>
      </c>
      <c r="AL2846" t="str">
        <f>HYPERLINK("https://pbs.twimg.com/media/D9x4zkUXYAAdzJq.jpg")</f>
        <v>https://pbs.twimg.com/media/D9x4zkUXYAAdzJq.jpg</v>
      </c>
      <c r="AM2846" t="s">
        <v>52</v>
      </c>
      <c r="AN2846" t="s">
        <v>53</v>
      </c>
    </row>
    <row r="2847" spans="1:40">
      <c r="A2847" t="s">
        <v>8081</v>
      </c>
      <c r="B2847" t="s">
        <v>3588</v>
      </c>
      <c r="C2847" t="s">
        <v>9295</v>
      </c>
      <c r="D2847" t="s">
        <v>52</v>
      </c>
      <c r="E2847" t="s">
        <v>6910</v>
      </c>
      <c r="F2847" t="s">
        <v>131</v>
      </c>
      <c r="G2847" t="str">
        <f>HYPERLINK("https://twitter.com/2905552835/status/1142938687728041984")</f>
        <v>https://twitter.com/2905552835/status/1142938687728041984</v>
      </c>
      <c r="H2847" t="s">
        <v>46</v>
      </c>
      <c r="I2847" t="s">
        <v>9318</v>
      </c>
      <c r="J2847" t="str">
        <f>HYPERLINK("http://twitter.com/Marvin_SuperDog")</f>
        <v>http://twitter.com/Marvin_SuperDog</v>
      </c>
      <c r="K2847">
        <v>2183</v>
      </c>
      <c r="N2847" t="s">
        <v>65</v>
      </c>
      <c r="R2847" t="s">
        <v>60</v>
      </c>
      <c r="W2847">
        <v>0</v>
      </c>
      <c r="X2847">
        <v>0</v>
      </c>
      <c r="AE2847">
        <v>0</v>
      </c>
      <c r="AM2847" t="s">
        <v>52</v>
      </c>
      <c r="AN2847" t="s">
        <v>53</v>
      </c>
    </row>
    <row r="2848" spans="1:40">
      <c r="A2848" t="s">
        <v>8081</v>
      </c>
      <c r="B2848" t="s">
        <v>3596</v>
      </c>
      <c r="C2848" t="s">
        <v>9319</v>
      </c>
      <c r="D2848" t="s">
        <v>52</v>
      </c>
      <c r="E2848" t="s">
        <v>9320</v>
      </c>
      <c r="F2848" t="s">
        <v>45</v>
      </c>
      <c r="G2848" t="str">
        <f>HYPERLINK("https://www.instagram.com/p/BzEiLZXjZnt")</f>
        <v>https://www.instagram.com/p/BzEiLZXjZnt</v>
      </c>
      <c r="H2848" t="s">
        <v>46</v>
      </c>
      <c r="I2848" t="s">
        <v>9321</v>
      </c>
      <c r="J2848" t="str">
        <f>HYPERLINK("http://instagram.com/ludathegoodgirl")</f>
        <v>http://instagram.com/ludathegoodgirl</v>
      </c>
      <c r="K2848">
        <v>1133</v>
      </c>
      <c r="N2848" t="s">
        <v>59</v>
      </c>
      <c r="O2848" t="s">
        <v>9321</v>
      </c>
      <c r="P2848" t="str">
        <f>HYPERLINK("http://instagram.com/ludathegoodgirl")</f>
        <v>http://instagram.com/ludathegoodgirl</v>
      </c>
      <c r="Q2848">
        <v>1133</v>
      </c>
      <c r="R2848" t="s">
        <v>60</v>
      </c>
      <c r="S2848" t="s">
        <v>51</v>
      </c>
      <c r="T2848" t="s">
        <v>738</v>
      </c>
      <c r="U2848" t="s">
        <v>9322</v>
      </c>
      <c r="W2848">
        <v>532</v>
      </c>
      <c r="X2848">
        <v>532</v>
      </c>
      <c r="AE2848">
        <v>5</v>
      </c>
      <c r="AI2848" t="s">
        <v>52</v>
      </c>
      <c r="AJ2848" t="s">
        <v>985</v>
      </c>
      <c r="AK2848" t="s">
        <v>52</v>
      </c>
      <c r="AL2848" t="str">
        <f>HYPERLINK("https://www.instagram.com/p/BzEiLZXjZnt/media/?size=l")</f>
        <v>https://www.instagram.com/p/BzEiLZXjZnt/media/?size=l</v>
      </c>
      <c r="AM2848" t="s">
        <v>52</v>
      </c>
      <c r="AN2848" t="s">
        <v>53</v>
      </c>
    </row>
    <row r="2849" spans="1:40">
      <c r="A2849" t="s">
        <v>8081</v>
      </c>
      <c r="B2849" t="s">
        <v>3596</v>
      </c>
      <c r="C2849" t="s">
        <v>9319</v>
      </c>
      <c r="D2849" t="s">
        <v>52</v>
      </c>
      <c r="E2849" t="s">
        <v>9323</v>
      </c>
      <c r="F2849" t="s">
        <v>71</v>
      </c>
      <c r="G2849" t="str">
        <f>HYPERLINK("https://twitter.com/895269382863151105/status/1142938604811018240")</f>
        <v>https://twitter.com/895269382863151105/status/1142938604811018240</v>
      </c>
      <c r="H2849" t="s">
        <v>46</v>
      </c>
      <c r="I2849" t="s">
        <v>9324</v>
      </c>
      <c r="J2849" t="str">
        <f>HYPERLINK("http://twitter.com/ChikaaaaSleezy")</f>
        <v>http://twitter.com/ChikaaaaSleezy</v>
      </c>
      <c r="K2849">
        <v>761</v>
      </c>
      <c r="N2849" t="s">
        <v>65</v>
      </c>
      <c r="R2849" t="s">
        <v>60</v>
      </c>
      <c r="S2849" t="s">
        <v>1071</v>
      </c>
      <c r="T2849" t="s">
        <v>5971</v>
      </c>
      <c r="U2849" t="s">
        <v>6207</v>
      </c>
      <c r="W2849">
        <v>6</v>
      </c>
      <c r="X2849">
        <v>6</v>
      </c>
      <c r="AE2849">
        <v>5</v>
      </c>
      <c r="AF2849">
        <v>0</v>
      </c>
      <c r="AM2849" t="s">
        <v>52</v>
      </c>
      <c r="AN2849" t="s">
        <v>53</v>
      </c>
    </row>
    <row r="2850" spans="1:40">
      <c r="A2850" t="s">
        <v>8081</v>
      </c>
      <c r="B2850" t="s">
        <v>3596</v>
      </c>
      <c r="C2850" t="s">
        <v>9319</v>
      </c>
      <c r="D2850" t="s">
        <v>52</v>
      </c>
      <c r="E2850" t="s">
        <v>9325</v>
      </c>
      <c r="F2850" t="s">
        <v>95</v>
      </c>
      <c r="G2850" t="str">
        <f>HYPERLINK("https://twitter.com/886421260271570945/status/1142938597429063681")</f>
        <v>https://twitter.com/886421260271570945/status/1142938597429063681</v>
      </c>
      <c r="H2850" t="s">
        <v>46</v>
      </c>
      <c r="I2850" t="s">
        <v>9326</v>
      </c>
      <c r="J2850" t="str">
        <f>HYPERLINK("http://twitter.com/gyllanhaal")</f>
        <v>http://twitter.com/gyllanhaal</v>
      </c>
      <c r="K2850">
        <v>930</v>
      </c>
      <c r="L2850" t="s">
        <v>58</v>
      </c>
      <c r="N2850" t="s">
        <v>65</v>
      </c>
      <c r="R2850" t="s">
        <v>60</v>
      </c>
      <c r="W2850">
        <v>0</v>
      </c>
      <c r="X2850">
        <v>0</v>
      </c>
      <c r="AE2850">
        <v>1</v>
      </c>
      <c r="AF2850">
        <v>0</v>
      </c>
      <c r="AI2850" t="s">
        <v>108</v>
      </c>
      <c r="AJ2850" t="s">
        <v>716</v>
      </c>
      <c r="AK2850" t="s">
        <v>52</v>
      </c>
      <c r="AL2850" t="str">
        <f>HYPERLINK("https://pbs.twimg.com/media/D9yIeufXsAAawX6.jpg")</f>
        <v>https://pbs.twimg.com/media/D9yIeufXsAAawX6.jpg</v>
      </c>
      <c r="AM2850" t="s">
        <v>52</v>
      </c>
      <c r="AN2850" t="s">
        <v>53</v>
      </c>
    </row>
    <row r="2851" spans="1:40">
      <c r="A2851" t="s">
        <v>8081</v>
      </c>
      <c r="B2851" t="s">
        <v>3596</v>
      </c>
      <c r="C2851" t="s">
        <v>9319</v>
      </c>
      <c r="D2851" t="s">
        <v>52</v>
      </c>
      <c r="E2851" t="s">
        <v>9327</v>
      </c>
      <c r="F2851" t="s">
        <v>95</v>
      </c>
      <c r="G2851" t="str">
        <f>HYPERLINK("https://twitter.com/3198243541/status/1142938596573417472")</f>
        <v>https://twitter.com/3198243541/status/1142938596573417472</v>
      </c>
      <c r="H2851" t="s">
        <v>46</v>
      </c>
      <c r="I2851" t="s">
        <v>9328</v>
      </c>
      <c r="J2851" t="str">
        <f>HYPERLINK("http://twitter.com/wrdvghn4jc")</f>
        <v>http://twitter.com/wrdvghn4jc</v>
      </c>
      <c r="K2851">
        <v>2558</v>
      </c>
      <c r="N2851" t="s">
        <v>65</v>
      </c>
      <c r="R2851" t="s">
        <v>60</v>
      </c>
      <c r="S2851" t="s">
        <v>51</v>
      </c>
      <c r="T2851" t="s">
        <v>3267</v>
      </c>
      <c r="U2851" t="s">
        <v>4188</v>
      </c>
      <c r="W2851">
        <v>0</v>
      </c>
      <c r="X2851">
        <v>0</v>
      </c>
      <c r="AE2851">
        <v>0</v>
      </c>
      <c r="AF2851">
        <v>0</v>
      </c>
      <c r="AM2851" t="s">
        <v>52</v>
      </c>
      <c r="AN2851" t="s">
        <v>53</v>
      </c>
    </row>
    <row r="2852" spans="1:40">
      <c r="A2852" t="s">
        <v>8081</v>
      </c>
      <c r="B2852" t="s">
        <v>3596</v>
      </c>
      <c r="C2852" t="s">
        <v>9319</v>
      </c>
      <c r="D2852" t="s">
        <v>52</v>
      </c>
      <c r="E2852" t="s">
        <v>526</v>
      </c>
      <c r="F2852" t="s">
        <v>131</v>
      </c>
      <c r="G2852" t="str">
        <f>HYPERLINK("https://twitter.com/833855913073180678/status/1142938553799852032")</f>
        <v>https://twitter.com/833855913073180678/status/1142938553799852032</v>
      </c>
      <c r="H2852" t="s">
        <v>46</v>
      </c>
      <c r="I2852" t="s">
        <v>9329</v>
      </c>
      <c r="J2852" t="str">
        <f>HYPERLINK("http://twitter.com/evexelmundo")</f>
        <v>http://twitter.com/evexelmundo</v>
      </c>
      <c r="K2852">
        <v>340</v>
      </c>
      <c r="N2852" t="s">
        <v>65</v>
      </c>
      <c r="R2852" t="s">
        <v>60</v>
      </c>
      <c r="S2852" t="s">
        <v>437</v>
      </c>
      <c r="T2852" t="s">
        <v>2099</v>
      </c>
      <c r="U2852" t="s">
        <v>9330</v>
      </c>
      <c r="W2852">
        <v>0</v>
      </c>
      <c r="X2852">
        <v>0</v>
      </c>
      <c r="AE2852">
        <v>0</v>
      </c>
      <c r="AI2852" t="s">
        <v>108</v>
      </c>
      <c r="AJ2852" t="s">
        <v>52</v>
      </c>
      <c r="AK2852" t="s">
        <v>52</v>
      </c>
      <c r="AL2852" t="str">
        <f>HYPERLINK("https://pbs.twimg.com/ext_tw_video_thumb/1141360066962100224/pu/img/5_tGc4hLFQwcD07b.jpg")</f>
        <v>https://pbs.twimg.com/ext_tw_video_thumb/1141360066962100224/pu/img/5_tGc4hLFQwcD07b.jpg</v>
      </c>
      <c r="AM2852" t="s">
        <v>52</v>
      </c>
      <c r="AN2852" t="s">
        <v>53</v>
      </c>
    </row>
    <row r="2853" spans="1:40">
      <c r="A2853" t="s">
        <v>8081</v>
      </c>
      <c r="B2853" t="s">
        <v>3596</v>
      </c>
      <c r="C2853" t="s">
        <v>9331</v>
      </c>
      <c r="D2853" t="s">
        <v>52</v>
      </c>
      <c r="E2853" t="s">
        <v>3749</v>
      </c>
      <c r="F2853" t="s">
        <v>71</v>
      </c>
      <c r="G2853" t="str">
        <f>HYPERLINK("https://twitter.com/73107216/status/1142938521604427778")</f>
        <v>https://twitter.com/73107216/status/1142938521604427778</v>
      </c>
      <c r="H2853" t="s">
        <v>46</v>
      </c>
      <c r="I2853" t="s">
        <v>9332</v>
      </c>
      <c r="J2853" t="str">
        <f>HYPERLINK("http://twitter.com/ShakyWorrier")</f>
        <v>http://twitter.com/ShakyWorrier</v>
      </c>
      <c r="K2853">
        <v>1503</v>
      </c>
      <c r="N2853" t="s">
        <v>65</v>
      </c>
      <c r="R2853" t="s">
        <v>60</v>
      </c>
      <c r="S2853" t="s">
        <v>444</v>
      </c>
      <c r="T2853" t="s">
        <v>2608</v>
      </c>
      <c r="U2853" t="s">
        <v>9333</v>
      </c>
      <c r="W2853">
        <v>0</v>
      </c>
      <c r="X2853">
        <v>0</v>
      </c>
      <c r="AE2853">
        <v>0</v>
      </c>
      <c r="AF2853">
        <v>0</v>
      </c>
      <c r="AI2853" t="s">
        <v>108</v>
      </c>
      <c r="AJ2853" t="s">
        <v>52</v>
      </c>
      <c r="AK2853" t="s">
        <v>52</v>
      </c>
      <c r="AL2853" t="str">
        <f>HYPERLINK("https://pbs.twimg.com/media/D9sAXHUX4AA6vJs.jpg")</f>
        <v>https://pbs.twimg.com/media/D9sAXHUX4AA6vJs.jpg</v>
      </c>
      <c r="AM2853" t="s">
        <v>52</v>
      </c>
      <c r="AN2853" t="s">
        <v>53</v>
      </c>
    </row>
    <row r="2854" spans="1:40">
      <c r="A2854" t="s">
        <v>8081</v>
      </c>
      <c r="B2854" t="s">
        <v>3596</v>
      </c>
      <c r="C2854" t="s">
        <v>9334</v>
      </c>
      <c r="D2854" t="s">
        <v>52</v>
      </c>
      <c r="E2854" t="s">
        <v>9335</v>
      </c>
      <c r="F2854" t="s">
        <v>45</v>
      </c>
      <c r="G2854" t="str">
        <f>HYPERLINK("https://twitter.com/733306121654505472/status/1142938499223556096")</f>
        <v>https://twitter.com/733306121654505472/status/1142938499223556096</v>
      </c>
      <c r="H2854" t="s">
        <v>46</v>
      </c>
      <c r="I2854" t="s">
        <v>9336</v>
      </c>
      <c r="J2854" t="str">
        <f>HYPERLINK("http://twitter.com/jessebreazeale")</f>
        <v>http://twitter.com/jessebreazeale</v>
      </c>
      <c r="K2854">
        <v>127</v>
      </c>
      <c r="N2854" t="s">
        <v>65</v>
      </c>
      <c r="R2854" t="s">
        <v>60</v>
      </c>
      <c r="S2854" t="s">
        <v>51</v>
      </c>
      <c r="T2854" t="s">
        <v>253</v>
      </c>
      <c r="U2854" t="s">
        <v>9337</v>
      </c>
      <c r="W2854">
        <v>15</v>
      </c>
      <c r="X2854">
        <v>15</v>
      </c>
      <c r="AE2854">
        <v>0</v>
      </c>
      <c r="AF2854">
        <v>0</v>
      </c>
      <c r="AM2854" t="s">
        <v>52</v>
      </c>
      <c r="AN2854" t="s">
        <v>53</v>
      </c>
    </row>
    <row r="2855" spans="1:40">
      <c r="A2855" t="s">
        <v>8081</v>
      </c>
      <c r="B2855" t="s">
        <v>3603</v>
      </c>
      <c r="C2855" t="s">
        <v>9338</v>
      </c>
      <c r="D2855" t="s">
        <v>52</v>
      </c>
      <c r="E2855" t="s">
        <v>9339</v>
      </c>
      <c r="F2855" t="s">
        <v>95</v>
      </c>
      <c r="G2855" t="str">
        <f>HYPERLINK("https://twitter.com/1020202157335891968/status/1142938075485655046")</f>
        <v>https://twitter.com/1020202157335891968/status/1142938075485655046</v>
      </c>
      <c r="H2855" t="s">
        <v>46</v>
      </c>
      <c r="I2855" t="s">
        <v>9340</v>
      </c>
      <c r="J2855" t="str">
        <f>HYPERLINK("http://twitter.com/allyqinn")</f>
        <v>http://twitter.com/allyqinn</v>
      </c>
      <c r="K2855">
        <v>35</v>
      </c>
      <c r="N2855" t="s">
        <v>65</v>
      </c>
      <c r="R2855" t="s">
        <v>60</v>
      </c>
      <c r="W2855">
        <v>0</v>
      </c>
      <c r="X2855">
        <v>0</v>
      </c>
      <c r="AE2855">
        <v>0</v>
      </c>
      <c r="AF2855">
        <v>0</v>
      </c>
      <c r="AM2855" t="s">
        <v>52</v>
      </c>
      <c r="AN2855" t="s">
        <v>53</v>
      </c>
    </row>
    <row r="2856" spans="1:40">
      <c r="A2856" t="s">
        <v>8081</v>
      </c>
      <c r="B2856" t="s">
        <v>3627</v>
      </c>
      <c r="C2856" t="s">
        <v>9341</v>
      </c>
      <c r="D2856" t="s">
        <v>52</v>
      </c>
      <c r="E2856" t="s">
        <v>9342</v>
      </c>
      <c r="F2856" t="s">
        <v>95</v>
      </c>
      <c r="G2856" t="str">
        <f>HYPERLINK("https://twitter.com/4794903488/status/1142937144509550592")</f>
        <v>https://twitter.com/4794903488/status/1142937144509550592</v>
      </c>
      <c r="H2856" t="s">
        <v>46</v>
      </c>
      <c r="I2856" t="s">
        <v>9343</v>
      </c>
      <c r="J2856" t="str">
        <f>HYPERLINK("http://twitter.com/abolseiro")</f>
        <v>http://twitter.com/abolseiro</v>
      </c>
      <c r="K2856">
        <v>516</v>
      </c>
      <c r="N2856" t="s">
        <v>65</v>
      </c>
      <c r="R2856" t="s">
        <v>60</v>
      </c>
      <c r="W2856">
        <v>0</v>
      </c>
      <c r="X2856">
        <v>0</v>
      </c>
      <c r="AE2856">
        <v>1</v>
      </c>
      <c r="AF2856">
        <v>0</v>
      </c>
      <c r="AM2856" t="s">
        <v>52</v>
      </c>
      <c r="AN2856" t="s">
        <v>53</v>
      </c>
    </row>
    <row r="2857" spans="1:40">
      <c r="A2857" t="s">
        <v>8081</v>
      </c>
      <c r="B2857" t="s">
        <v>3632</v>
      </c>
      <c r="C2857" t="s">
        <v>9344</v>
      </c>
      <c r="D2857" t="s">
        <v>52</v>
      </c>
      <c r="E2857" t="s">
        <v>9345</v>
      </c>
      <c r="F2857" t="s">
        <v>45</v>
      </c>
      <c r="G2857" t="str">
        <f>HYPERLINK("https://twitter.com/894399008097017856/status/1142937113941250048")</f>
        <v>https://twitter.com/894399008097017856/status/1142937113941250048</v>
      </c>
      <c r="H2857" t="s">
        <v>91</v>
      </c>
      <c r="I2857" t="s">
        <v>9346</v>
      </c>
      <c r="J2857" t="str">
        <f>HYPERLINK("http://twitter.com/GayForrestShow")</f>
        <v>http://twitter.com/GayForrestShow</v>
      </c>
      <c r="K2857">
        <v>58</v>
      </c>
      <c r="N2857" t="s">
        <v>65</v>
      </c>
      <c r="R2857" t="s">
        <v>60</v>
      </c>
      <c r="S2857" t="s">
        <v>51</v>
      </c>
      <c r="T2857" t="s">
        <v>738</v>
      </c>
      <c r="W2857">
        <v>0</v>
      </c>
      <c r="X2857">
        <v>0</v>
      </c>
      <c r="AE2857">
        <v>1</v>
      </c>
      <c r="AF2857">
        <v>0</v>
      </c>
      <c r="AI2857" t="s">
        <v>52</v>
      </c>
      <c r="AJ2857" t="s">
        <v>52</v>
      </c>
      <c r="AK2857" t="s">
        <v>52</v>
      </c>
      <c r="AL2857" t="str">
        <f>HYPERLINK("https://pbs.twimg.com/media/D9yHPOXUYAABsV7.jpg")</f>
        <v>https://pbs.twimg.com/media/D9yHPOXUYAABsV7.jpg</v>
      </c>
      <c r="AM2857" t="s">
        <v>52</v>
      </c>
      <c r="AN2857" t="s">
        <v>53</v>
      </c>
    </row>
    <row r="2858" spans="1:40">
      <c r="A2858" t="s">
        <v>8081</v>
      </c>
      <c r="B2858" t="s">
        <v>3632</v>
      </c>
      <c r="C2858" t="s">
        <v>9347</v>
      </c>
      <c r="D2858" t="s">
        <v>52</v>
      </c>
      <c r="E2858" t="s">
        <v>1194</v>
      </c>
      <c r="F2858" t="s">
        <v>131</v>
      </c>
      <c r="G2858" t="str">
        <f>HYPERLINK("https://twitter.com/3148482495/status/1142937068001210369")</f>
        <v>https://twitter.com/3148482495/status/1142937068001210369</v>
      </c>
      <c r="H2858" t="s">
        <v>46</v>
      </c>
      <c r="I2858" t="s">
        <v>9348</v>
      </c>
      <c r="J2858" t="str">
        <f>HYPERLINK("http://twitter.com/Payton_rene30")</f>
        <v>http://twitter.com/Payton_rene30</v>
      </c>
      <c r="K2858">
        <v>267</v>
      </c>
      <c r="N2858" t="s">
        <v>65</v>
      </c>
      <c r="R2858" t="s">
        <v>60</v>
      </c>
      <c r="W2858">
        <v>0</v>
      </c>
      <c r="X2858">
        <v>0</v>
      </c>
      <c r="AE2858">
        <v>0</v>
      </c>
      <c r="AI2858" t="s">
        <v>52</v>
      </c>
      <c r="AJ2858" t="s">
        <v>1196</v>
      </c>
      <c r="AK2858" t="s">
        <v>52</v>
      </c>
      <c r="AL2858" t="str">
        <f>HYPERLINK("https://pbs.twimg.com/media/D9xgk2YXkAAd2ql.jpg")</f>
        <v>https://pbs.twimg.com/media/D9xgk2YXkAAd2ql.jpg</v>
      </c>
      <c r="AM2858" t="s">
        <v>52</v>
      </c>
      <c r="AN2858" t="s">
        <v>53</v>
      </c>
    </row>
    <row r="2859" spans="1:40">
      <c r="A2859" t="s">
        <v>8081</v>
      </c>
      <c r="B2859" t="s">
        <v>3632</v>
      </c>
      <c r="C2859" t="s">
        <v>9347</v>
      </c>
      <c r="D2859" t="s">
        <v>52</v>
      </c>
      <c r="E2859" t="s">
        <v>3749</v>
      </c>
      <c r="F2859" t="s">
        <v>71</v>
      </c>
      <c r="G2859" t="str">
        <f>HYPERLINK("https://twitter.com/277426551/status/1142937035109478400")</f>
        <v>https://twitter.com/277426551/status/1142937035109478400</v>
      </c>
      <c r="H2859" t="s">
        <v>46</v>
      </c>
      <c r="I2859" t="s">
        <v>9349</v>
      </c>
      <c r="J2859" t="str">
        <f>HYPERLINK("http://twitter.com/takalani_mere")</f>
        <v>http://twitter.com/takalani_mere</v>
      </c>
      <c r="K2859">
        <v>364</v>
      </c>
      <c r="N2859" t="s">
        <v>65</v>
      </c>
      <c r="R2859" t="s">
        <v>60</v>
      </c>
      <c r="S2859" t="s">
        <v>1071</v>
      </c>
      <c r="T2859" t="s">
        <v>1072</v>
      </c>
      <c r="U2859" t="s">
        <v>1073</v>
      </c>
      <c r="W2859">
        <v>0</v>
      </c>
      <c r="X2859">
        <v>0</v>
      </c>
      <c r="AE2859">
        <v>0</v>
      </c>
      <c r="AF2859">
        <v>0</v>
      </c>
      <c r="AI2859" t="s">
        <v>108</v>
      </c>
      <c r="AJ2859" t="s">
        <v>52</v>
      </c>
      <c r="AK2859" t="s">
        <v>52</v>
      </c>
      <c r="AL2859" t="str">
        <f>HYPERLINK("https://pbs.twimg.com/media/D9sAXHUX4AA6vJs.jpg")</f>
        <v>https://pbs.twimg.com/media/D9sAXHUX4AA6vJs.jpg</v>
      </c>
      <c r="AM2859" t="s">
        <v>52</v>
      </c>
      <c r="AN2859" t="s">
        <v>53</v>
      </c>
    </row>
    <row r="2860" spans="1:40">
      <c r="A2860" t="s">
        <v>8081</v>
      </c>
      <c r="B2860" t="s">
        <v>3640</v>
      </c>
      <c r="C2860" t="s">
        <v>9350</v>
      </c>
      <c r="D2860" t="s">
        <v>52</v>
      </c>
      <c r="E2860" t="s">
        <v>9351</v>
      </c>
      <c r="F2860" t="s">
        <v>131</v>
      </c>
      <c r="G2860" t="str">
        <f>HYPERLINK("https://twitter.com/2890635478/status/1142936865957384192")</f>
        <v>https://twitter.com/2890635478/status/1142936865957384192</v>
      </c>
      <c r="H2860" t="s">
        <v>46</v>
      </c>
      <c r="I2860" t="s">
        <v>9352</v>
      </c>
      <c r="J2860" t="str">
        <f>HYPERLINK("http://twitter.com/DHertzLocker")</f>
        <v>http://twitter.com/DHertzLocker</v>
      </c>
      <c r="K2860">
        <v>743</v>
      </c>
      <c r="N2860" t="s">
        <v>65</v>
      </c>
      <c r="R2860" t="s">
        <v>60</v>
      </c>
      <c r="S2860" t="s">
        <v>97</v>
      </c>
      <c r="T2860" t="s">
        <v>177</v>
      </c>
      <c r="W2860">
        <v>0</v>
      </c>
      <c r="X2860">
        <v>0</v>
      </c>
      <c r="AE2860">
        <v>0</v>
      </c>
      <c r="AI2860" t="s">
        <v>52</v>
      </c>
      <c r="AJ2860" t="s">
        <v>52</v>
      </c>
      <c r="AK2860" t="s">
        <v>52</v>
      </c>
      <c r="AL2860" t="str">
        <f>HYPERLINK("https://pbs.twimg.com/media/D9mFywEW4AY05Wr.jpg")</f>
        <v>https://pbs.twimg.com/media/D9mFywEW4AY05Wr.jpg</v>
      </c>
      <c r="AM2860" t="s">
        <v>52</v>
      </c>
      <c r="AN2860" t="s">
        <v>53</v>
      </c>
    </row>
    <row r="2861" spans="1:40">
      <c r="A2861" t="s">
        <v>8081</v>
      </c>
      <c r="B2861" t="s">
        <v>3640</v>
      </c>
      <c r="C2861" t="s">
        <v>9183</v>
      </c>
      <c r="D2861" t="s">
        <v>52</v>
      </c>
      <c r="E2861" t="s">
        <v>9353</v>
      </c>
      <c r="F2861" t="s">
        <v>45</v>
      </c>
      <c r="G2861" t="str">
        <f>HYPERLINK("https://www.instagram.com/p/BzEhTbxHGoA")</f>
        <v>https://www.instagram.com/p/BzEhTbxHGoA</v>
      </c>
      <c r="H2861" t="s">
        <v>46</v>
      </c>
      <c r="I2861" t="s">
        <v>9354</v>
      </c>
      <c r="J2861" t="str">
        <f>HYPERLINK("http://instagram.com/my__ms_life")</f>
        <v>http://instagram.com/my__ms_life</v>
      </c>
      <c r="K2861">
        <v>153</v>
      </c>
      <c r="N2861" t="s">
        <v>59</v>
      </c>
      <c r="O2861" t="s">
        <v>9354</v>
      </c>
      <c r="P2861" t="str">
        <f>HYPERLINK("http://instagram.com/my__ms_life")</f>
        <v>http://instagram.com/my__ms_life</v>
      </c>
      <c r="Q2861">
        <v>153</v>
      </c>
      <c r="R2861" t="s">
        <v>60</v>
      </c>
      <c r="S2861" t="s">
        <v>444</v>
      </c>
      <c r="T2861" t="s">
        <v>2608</v>
      </c>
      <c r="U2861" t="s">
        <v>2609</v>
      </c>
      <c r="W2861">
        <v>18</v>
      </c>
      <c r="X2861">
        <v>18</v>
      </c>
      <c r="AE2861">
        <v>10</v>
      </c>
      <c r="AI2861" t="s">
        <v>52</v>
      </c>
      <c r="AJ2861" t="s">
        <v>52</v>
      </c>
      <c r="AK2861" t="s">
        <v>52</v>
      </c>
      <c r="AL2861" t="str">
        <f>HYPERLINK("https://www.instagram.com/p/BzEhTbxHGoA/media/?size=l")</f>
        <v>https://www.instagram.com/p/BzEhTbxHGoA/media/?size=l</v>
      </c>
      <c r="AM2861" t="s">
        <v>52</v>
      </c>
      <c r="AN2861" t="s">
        <v>53</v>
      </c>
    </row>
    <row r="2862" spans="1:40">
      <c r="A2862" t="s">
        <v>8081</v>
      </c>
      <c r="B2862" t="s">
        <v>3645</v>
      </c>
      <c r="C2862" t="s">
        <v>9355</v>
      </c>
      <c r="D2862" t="s">
        <v>52</v>
      </c>
      <c r="E2862" t="s">
        <v>9356</v>
      </c>
      <c r="F2862" t="s">
        <v>45</v>
      </c>
      <c r="G2862" t="str">
        <f>HYPERLINK("https://www.instagram.com/p/BzEgytSnjWK")</f>
        <v>https://www.instagram.com/p/BzEgytSnjWK</v>
      </c>
      <c r="H2862" t="s">
        <v>46</v>
      </c>
      <c r="I2862" t="s">
        <v>9357</v>
      </c>
      <c r="J2862" t="str">
        <f>HYPERLINK("http://instagram.com/_adore.makeup")</f>
        <v>http://instagram.com/_adore.makeup</v>
      </c>
      <c r="K2862">
        <v>551</v>
      </c>
      <c r="N2862" t="s">
        <v>59</v>
      </c>
      <c r="O2862" t="s">
        <v>9357</v>
      </c>
      <c r="P2862" t="str">
        <f>HYPERLINK("http://instagram.com/_adore.makeup")</f>
        <v>http://instagram.com/_adore.makeup</v>
      </c>
      <c r="Q2862">
        <v>551</v>
      </c>
      <c r="R2862" t="s">
        <v>60</v>
      </c>
      <c r="W2862">
        <v>36</v>
      </c>
      <c r="X2862">
        <v>36</v>
      </c>
      <c r="AE2862">
        <v>18</v>
      </c>
      <c r="AG2862">
        <v>62</v>
      </c>
      <c r="AI2862" t="s">
        <v>52</v>
      </c>
      <c r="AJ2862" t="s">
        <v>52</v>
      </c>
      <c r="AK2862" t="s">
        <v>680</v>
      </c>
      <c r="AL2862" t="str">
        <f>HYPERLINK("https://www.instagram.com/p/BzEgytSnjWK/media/?size=l")</f>
        <v>https://www.instagram.com/p/BzEgytSnjWK/media/?size=l</v>
      </c>
      <c r="AM2862" t="s">
        <v>52</v>
      </c>
      <c r="AN2862" t="s">
        <v>53</v>
      </c>
    </row>
    <row r="2863" spans="1:40">
      <c r="A2863" t="s">
        <v>8081</v>
      </c>
      <c r="B2863" t="s">
        <v>3658</v>
      </c>
      <c r="C2863" t="s">
        <v>9350</v>
      </c>
      <c r="D2863" t="s">
        <v>52</v>
      </c>
      <c r="E2863" t="s">
        <v>9358</v>
      </c>
      <c r="F2863" t="s">
        <v>45</v>
      </c>
      <c r="G2863" t="str">
        <f>HYPERLINK("https://twitter.com/763069450161627137/status/1142936345767305218")</f>
        <v>https://twitter.com/763069450161627137/status/1142936345767305218</v>
      </c>
      <c r="H2863" t="s">
        <v>46</v>
      </c>
      <c r="I2863" t="s">
        <v>9359</v>
      </c>
      <c r="J2863" t="str">
        <f>HYPERLINK("http://twitter.com/thegreyfae")</f>
        <v>http://twitter.com/thegreyfae</v>
      </c>
      <c r="K2863">
        <v>143</v>
      </c>
      <c r="N2863" t="s">
        <v>65</v>
      </c>
      <c r="R2863" t="s">
        <v>60</v>
      </c>
      <c r="W2863">
        <v>2</v>
      </c>
      <c r="X2863">
        <v>2</v>
      </c>
      <c r="AE2863">
        <v>1</v>
      </c>
      <c r="AF2863">
        <v>0</v>
      </c>
      <c r="AM2863" t="s">
        <v>52</v>
      </c>
      <c r="AN2863" t="s">
        <v>53</v>
      </c>
    </row>
    <row r="2864" spans="1:40">
      <c r="A2864" t="s">
        <v>8081</v>
      </c>
      <c r="B2864" t="s">
        <v>3669</v>
      </c>
      <c r="C2864" t="s">
        <v>9360</v>
      </c>
      <c r="D2864" t="s">
        <v>52</v>
      </c>
      <c r="E2864" t="s">
        <v>9361</v>
      </c>
      <c r="F2864" t="s">
        <v>45</v>
      </c>
      <c r="G2864" t="str">
        <f>HYPERLINK("https://twitter.com/2787923990/status/1142935996629041152")</f>
        <v>https://twitter.com/2787923990/status/1142935996629041152</v>
      </c>
      <c r="H2864" t="s">
        <v>46</v>
      </c>
      <c r="I2864" t="s">
        <v>9362</v>
      </c>
      <c r="J2864" t="str">
        <f>HYPERLINK("http://twitter.com/_myunghos")</f>
        <v>http://twitter.com/_myunghos</v>
      </c>
      <c r="K2864">
        <v>86</v>
      </c>
      <c r="N2864" t="s">
        <v>65</v>
      </c>
      <c r="R2864" t="s">
        <v>60</v>
      </c>
      <c r="W2864">
        <v>0</v>
      </c>
      <c r="X2864">
        <v>0</v>
      </c>
      <c r="AE2864">
        <v>0</v>
      </c>
      <c r="AF2864">
        <v>0</v>
      </c>
      <c r="AM2864" t="s">
        <v>52</v>
      </c>
      <c r="AN2864" t="s">
        <v>53</v>
      </c>
    </row>
    <row r="2865" spans="1:40">
      <c r="A2865" t="s">
        <v>8081</v>
      </c>
      <c r="B2865" t="s">
        <v>9363</v>
      </c>
      <c r="C2865" t="s">
        <v>9364</v>
      </c>
      <c r="D2865" t="s">
        <v>52</v>
      </c>
      <c r="E2865" t="s">
        <v>1389</v>
      </c>
      <c r="F2865" t="s">
        <v>131</v>
      </c>
      <c r="G2865" t="str">
        <f>HYPERLINK("https://twitter.com/1091104837645885440/status/1142935743469408260")</f>
        <v>https://twitter.com/1091104837645885440/status/1142935743469408260</v>
      </c>
      <c r="H2865" t="s">
        <v>46</v>
      </c>
      <c r="I2865" t="s">
        <v>9365</v>
      </c>
      <c r="J2865" t="str">
        <f>HYPERLINK("http://twitter.com/BenjiBandss")</f>
        <v>http://twitter.com/BenjiBandss</v>
      </c>
      <c r="K2865">
        <v>43</v>
      </c>
      <c r="N2865" t="s">
        <v>65</v>
      </c>
      <c r="R2865" t="s">
        <v>60</v>
      </c>
      <c r="S2865" t="s">
        <v>51</v>
      </c>
      <c r="T2865" t="s">
        <v>152</v>
      </c>
      <c r="U2865" t="s">
        <v>9366</v>
      </c>
      <c r="W2865">
        <v>0</v>
      </c>
      <c r="X2865">
        <v>0</v>
      </c>
      <c r="AE2865">
        <v>0</v>
      </c>
      <c r="AI2865" t="s">
        <v>52</v>
      </c>
      <c r="AJ2865" t="s">
        <v>1196</v>
      </c>
      <c r="AK2865" t="s">
        <v>52</v>
      </c>
      <c r="AL2865" t="str">
        <f>HYPERLINK("https://pbs.twimg.com/media/D9xgk2YXkAAd2ql.jpg")</f>
        <v>https://pbs.twimg.com/media/D9xgk2YXkAAd2ql.jpg</v>
      </c>
      <c r="AM2865" t="s">
        <v>52</v>
      </c>
      <c r="AN2865" t="s">
        <v>53</v>
      </c>
    </row>
    <row r="2866" spans="1:40">
      <c r="A2866" t="s">
        <v>8081</v>
      </c>
      <c r="B2866" t="s">
        <v>9363</v>
      </c>
      <c r="C2866" t="s">
        <v>9367</v>
      </c>
      <c r="D2866" t="s">
        <v>52</v>
      </c>
      <c r="E2866" t="s">
        <v>9368</v>
      </c>
      <c r="F2866" t="s">
        <v>95</v>
      </c>
      <c r="G2866" t="str">
        <f>HYPERLINK("https://twitter.com/328499717/status/1142935727816302597")</f>
        <v>https://twitter.com/328499717/status/1142935727816302597</v>
      </c>
      <c r="H2866" t="s">
        <v>46</v>
      </c>
      <c r="I2866" t="s">
        <v>9369</v>
      </c>
      <c r="J2866" t="str">
        <f>HYPERLINK("http://twitter.com/yinnster")</f>
        <v>http://twitter.com/yinnster</v>
      </c>
      <c r="K2866">
        <v>412</v>
      </c>
      <c r="N2866" t="s">
        <v>65</v>
      </c>
      <c r="R2866" t="s">
        <v>60</v>
      </c>
      <c r="S2866" t="s">
        <v>51</v>
      </c>
      <c r="T2866" t="s">
        <v>1785</v>
      </c>
      <c r="U2866" t="s">
        <v>1786</v>
      </c>
      <c r="W2866">
        <v>1</v>
      </c>
      <c r="X2866">
        <v>1</v>
      </c>
      <c r="AE2866">
        <v>0</v>
      </c>
      <c r="AF2866">
        <v>0</v>
      </c>
      <c r="AM2866" t="s">
        <v>52</v>
      </c>
      <c r="AN2866" t="s">
        <v>53</v>
      </c>
    </row>
    <row r="2867" spans="1:40">
      <c r="A2867" t="s">
        <v>8081</v>
      </c>
      <c r="B2867" t="s">
        <v>9363</v>
      </c>
      <c r="C2867" t="s">
        <v>9370</v>
      </c>
      <c r="D2867" t="s">
        <v>52</v>
      </c>
      <c r="E2867" t="s">
        <v>1194</v>
      </c>
      <c r="F2867" t="s">
        <v>131</v>
      </c>
      <c r="G2867" t="str">
        <f>HYPERLINK("https://twitter.com/1137198011321266176/status/1142935651756568576")</f>
        <v>https://twitter.com/1137198011321266176/status/1142935651756568576</v>
      </c>
      <c r="H2867" t="s">
        <v>46</v>
      </c>
      <c r="I2867" t="s">
        <v>9371</v>
      </c>
      <c r="J2867" t="str">
        <f>HYPERLINK("http://twitter.com/KATSUKREMEDONUT")</f>
        <v>http://twitter.com/KATSUKREMEDONUT</v>
      </c>
      <c r="K2867">
        <v>20</v>
      </c>
      <c r="N2867" t="s">
        <v>65</v>
      </c>
      <c r="R2867" t="s">
        <v>60</v>
      </c>
      <c r="S2867" t="s">
        <v>1947</v>
      </c>
      <c r="T2867" t="s">
        <v>2484</v>
      </c>
      <c r="U2867" t="s">
        <v>2485</v>
      </c>
      <c r="W2867">
        <v>0</v>
      </c>
      <c r="X2867">
        <v>0</v>
      </c>
      <c r="AE2867">
        <v>0</v>
      </c>
      <c r="AI2867" t="s">
        <v>52</v>
      </c>
      <c r="AJ2867" t="s">
        <v>1196</v>
      </c>
      <c r="AK2867" t="s">
        <v>52</v>
      </c>
      <c r="AL2867" t="str">
        <f>HYPERLINK("https://pbs.twimg.com/media/D9xgk2YXkAAd2ql.jpg")</f>
        <v>https://pbs.twimg.com/media/D9xgk2YXkAAd2ql.jpg</v>
      </c>
      <c r="AM2867" t="s">
        <v>52</v>
      </c>
      <c r="AN2867" t="s">
        <v>53</v>
      </c>
    </row>
    <row r="2868" spans="1:40">
      <c r="A2868" t="s">
        <v>8081</v>
      </c>
      <c r="B2868" t="s">
        <v>9363</v>
      </c>
      <c r="C2868" t="s">
        <v>9360</v>
      </c>
      <c r="D2868" t="s">
        <v>52</v>
      </c>
      <c r="E2868" t="s">
        <v>9372</v>
      </c>
      <c r="F2868" t="s">
        <v>131</v>
      </c>
      <c r="G2868" t="str">
        <f>HYPERLINK("https://twitter.com/1137499495267229697/status/1142935622157553666")</f>
        <v>https://twitter.com/1137499495267229697/status/1142935622157553666</v>
      </c>
      <c r="H2868" t="s">
        <v>46</v>
      </c>
      <c r="I2868" t="s">
        <v>9373</v>
      </c>
      <c r="J2868" t="str">
        <f>HYPERLINK("http://twitter.com/MarkxistaI")</f>
        <v>http://twitter.com/MarkxistaI</v>
      </c>
      <c r="K2868">
        <v>16</v>
      </c>
      <c r="N2868" t="s">
        <v>65</v>
      </c>
      <c r="R2868" t="s">
        <v>60</v>
      </c>
      <c r="W2868">
        <v>0</v>
      </c>
      <c r="X2868">
        <v>0</v>
      </c>
      <c r="AE2868">
        <v>0</v>
      </c>
      <c r="AM2868" t="s">
        <v>52</v>
      </c>
      <c r="AN2868" t="s">
        <v>53</v>
      </c>
    </row>
    <row r="2869" spans="1:40">
      <c r="A2869" t="s">
        <v>8081</v>
      </c>
      <c r="B2869" t="s">
        <v>9363</v>
      </c>
      <c r="C2869" t="s">
        <v>9374</v>
      </c>
      <c r="D2869" t="s">
        <v>52</v>
      </c>
      <c r="E2869" t="s">
        <v>8566</v>
      </c>
      <c r="F2869" t="s">
        <v>131</v>
      </c>
      <c r="G2869" t="str">
        <f>HYPERLINK("https://twitter.com/81914348/status/1142935616163864576")</f>
        <v>https://twitter.com/81914348/status/1142935616163864576</v>
      </c>
      <c r="H2869" t="s">
        <v>46</v>
      </c>
      <c r="I2869" t="s">
        <v>9375</v>
      </c>
      <c r="J2869" t="str">
        <f>HYPERLINK("http://twitter.com/HollyOhhh")</f>
        <v>http://twitter.com/HollyOhhh</v>
      </c>
      <c r="K2869">
        <v>110</v>
      </c>
      <c r="N2869" t="s">
        <v>65</v>
      </c>
      <c r="R2869" t="s">
        <v>60</v>
      </c>
      <c r="S2869" t="s">
        <v>51</v>
      </c>
      <c r="T2869" t="s">
        <v>152</v>
      </c>
      <c r="W2869">
        <v>0</v>
      </c>
      <c r="X2869">
        <v>0</v>
      </c>
      <c r="AE2869">
        <v>0</v>
      </c>
      <c r="AM2869" t="s">
        <v>52</v>
      </c>
      <c r="AN2869" t="s">
        <v>53</v>
      </c>
    </row>
    <row r="2870" spans="1:40">
      <c r="A2870" t="s">
        <v>8081</v>
      </c>
      <c r="B2870" t="s">
        <v>9376</v>
      </c>
      <c r="C2870" t="s">
        <v>9360</v>
      </c>
      <c r="D2870" t="s">
        <v>52</v>
      </c>
      <c r="E2870" t="s">
        <v>1194</v>
      </c>
      <c r="F2870" t="s">
        <v>131</v>
      </c>
      <c r="G2870" t="str">
        <f>HYPERLINK("https://twitter.com/2529736329/status/1142935595423080449")</f>
        <v>https://twitter.com/2529736329/status/1142935595423080449</v>
      </c>
      <c r="H2870" t="s">
        <v>46</v>
      </c>
      <c r="I2870" t="s">
        <v>9377</v>
      </c>
      <c r="J2870" t="str">
        <f>HYPERLINK("http://twitter.com/thatsrightb1tch")</f>
        <v>http://twitter.com/thatsrightb1tch</v>
      </c>
      <c r="K2870">
        <v>745</v>
      </c>
      <c r="N2870" t="s">
        <v>65</v>
      </c>
      <c r="R2870" t="s">
        <v>60</v>
      </c>
      <c r="W2870">
        <v>0</v>
      </c>
      <c r="X2870">
        <v>0</v>
      </c>
      <c r="AE2870">
        <v>0</v>
      </c>
      <c r="AI2870" t="s">
        <v>52</v>
      </c>
      <c r="AJ2870" t="s">
        <v>1196</v>
      </c>
      <c r="AK2870" t="s">
        <v>52</v>
      </c>
      <c r="AL2870" t="str">
        <f>HYPERLINK("https://pbs.twimg.com/media/D9xgk2YXkAAd2ql.jpg")</f>
        <v>https://pbs.twimg.com/media/D9xgk2YXkAAd2ql.jpg</v>
      </c>
      <c r="AM2870" t="s">
        <v>52</v>
      </c>
      <c r="AN2870" t="s">
        <v>53</v>
      </c>
    </row>
    <row r="2871" spans="1:40">
      <c r="A2871" t="s">
        <v>8081</v>
      </c>
      <c r="B2871" t="s">
        <v>9376</v>
      </c>
      <c r="C2871" t="s">
        <v>9374</v>
      </c>
      <c r="D2871" t="s">
        <v>52</v>
      </c>
      <c r="E2871" t="s">
        <v>8784</v>
      </c>
      <c r="F2871" t="s">
        <v>71</v>
      </c>
      <c r="G2871" t="str">
        <f>HYPERLINK("https://twitter.com/3786827413/status/1142935565756710912")</f>
        <v>https://twitter.com/3786827413/status/1142935565756710912</v>
      </c>
      <c r="H2871" t="s">
        <v>46</v>
      </c>
      <c r="I2871" t="s">
        <v>9378</v>
      </c>
      <c r="J2871" t="str">
        <f>HYPERLINK("http://twitter.com/ryside_")</f>
        <v>http://twitter.com/ryside_</v>
      </c>
      <c r="K2871">
        <v>271</v>
      </c>
      <c r="L2871" t="s">
        <v>48</v>
      </c>
      <c r="N2871" t="s">
        <v>65</v>
      </c>
      <c r="R2871" t="s">
        <v>60</v>
      </c>
      <c r="W2871">
        <v>1</v>
      </c>
      <c r="X2871">
        <v>1</v>
      </c>
      <c r="AE2871">
        <v>0</v>
      </c>
      <c r="AF2871">
        <v>1</v>
      </c>
      <c r="AI2871" t="s">
        <v>52</v>
      </c>
      <c r="AJ2871" t="s">
        <v>1196</v>
      </c>
      <c r="AK2871" t="s">
        <v>52</v>
      </c>
      <c r="AL2871" t="str">
        <f>HYPERLINK("https://pbs.twimg.com/media/D9xgk2YXkAAd2ql.jpg")</f>
        <v>https://pbs.twimg.com/media/D9xgk2YXkAAd2ql.jpg</v>
      </c>
      <c r="AM2871" t="s">
        <v>52</v>
      </c>
      <c r="AN2871" t="s">
        <v>53</v>
      </c>
    </row>
    <row r="2872" spans="1:40">
      <c r="A2872" t="s">
        <v>8081</v>
      </c>
      <c r="B2872" t="s">
        <v>3677</v>
      </c>
      <c r="C2872" t="s">
        <v>9379</v>
      </c>
      <c r="D2872" t="s">
        <v>9380</v>
      </c>
      <c r="E2872" t="s">
        <v>9381</v>
      </c>
      <c r="F2872" t="s">
        <v>95</v>
      </c>
      <c r="G2872" t="str">
        <f>HYPERLINK("https://disqus.com/home/discussion/channel-popculture/cbssm_sherry_lansing_plus_an_incredibly_bad_take_on_fosseverdon_and_other_sunday_headlines/#comment-4513540168")</f>
        <v>https://disqus.com/home/discussion/channel-popculture/cbssm_sherry_lansing_plus_an_incredibly_bad_take_on_fosseverdon_and_other_sunday_headlines/#comment-4513540168</v>
      </c>
      <c r="H2872" t="s">
        <v>46</v>
      </c>
      <c r="I2872" t="s">
        <v>7269</v>
      </c>
      <c r="J2872" t="str">
        <f>HYPERLINK("https://disqus.com/by/CaliCheeseSucks/")</f>
        <v>https://disqus.com/by/CaliCheeseSucks/</v>
      </c>
      <c r="K2872">
        <v>0</v>
      </c>
      <c r="N2872" t="s">
        <v>5770</v>
      </c>
      <c r="O2872" t="s">
        <v>9382</v>
      </c>
      <c r="P2872" t="str">
        <f>HYPERLINK("https://disqus.com/home/channel/popculture/")</f>
        <v>https://disqus.com/home/channel/popculture/</v>
      </c>
      <c r="Q2872">
        <v>121736</v>
      </c>
      <c r="R2872" t="s">
        <v>50</v>
      </c>
      <c r="W2872">
        <v>2</v>
      </c>
      <c r="X2872">
        <v>2</v>
      </c>
      <c r="AL2872" t="s">
        <v>9383</v>
      </c>
      <c r="AM2872" t="s">
        <v>52</v>
      </c>
      <c r="AN2872" t="s">
        <v>53</v>
      </c>
    </row>
    <row r="2873" spans="1:40">
      <c r="A2873" t="s">
        <v>8081</v>
      </c>
      <c r="B2873" t="s">
        <v>3677</v>
      </c>
      <c r="C2873" t="s">
        <v>8458</v>
      </c>
      <c r="D2873" t="s">
        <v>9384</v>
      </c>
      <c r="E2873" t="s">
        <v>9384</v>
      </c>
      <c r="F2873" t="s">
        <v>45</v>
      </c>
      <c r="G2873" t="str">
        <f>HYPERLINK("https://www.youtube.com/watch?v=YHlACAgmeGU")</f>
        <v>https://www.youtube.com/watch?v=YHlACAgmeGU</v>
      </c>
      <c r="H2873" t="s">
        <v>215</v>
      </c>
      <c r="I2873" t="s">
        <v>9385</v>
      </c>
      <c r="J2873" t="str">
        <f>HYPERLINK("https://www.youtube.com/channel/UCO09sKEwPpPPMk8s9PdVkLg")</f>
        <v>https://www.youtube.com/channel/UCO09sKEwPpPPMk8s9PdVkLg</v>
      </c>
      <c r="K2873">
        <v>45</v>
      </c>
      <c r="N2873" t="s">
        <v>116</v>
      </c>
      <c r="O2873" t="s">
        <v>9385</v>
      </c>
      <c r="P2873" t="str">
        <f>HYPERLINK("https://www.youtube.com/channel/UCO09sKEwPpPPMk8s9PdVkLg")</f>
        <v>https://www.youtube.com/channel/UCO09sKEwPpPPMk8s9PdVkLg</v>
      </c>
      <c r="Q2873">
        <v>45</v>
      </c>
      <c r="R2873" t="s">
        <v>60</v>
      </c>
      <c r="W2873">
        <v>6</v>
      </c>
      <c r="X2873">
        <v>6</v>
      </c>
      <c r="AD2873">
        <v>0</v>
      </c>
      <c r="AE2873">
        <v>0</v>
      </c>
      <c r="AG2873">
        <v>11</v>
      </c>
      <c r="AI2873" t="s">
        <v>52</v>
      </c>
      <c r="AJ2873" t="s">
        <v>52</v>
      </c>
      <c r="AK2873" t="s">
        <v>52</v>
      </c>
      <c r="AL2873" t="str">
        <f>HYPERLINK("https://i.ytimg.com/vi/YHlACAgmeGU/maxresdefault.jpg")</f>
        <v>https://i.ytimg.com/vi/YHlACAgmeGU/maxresdefault.jpg</v>
      </c>
      <c r="AM2873" t="s">
        <v>52</v>
      </c>
      <c r="AN2873" t="s">
        <v>53</v>
      </c>
    </row>
    <row r="2874" spans="1:40">
      <c r="A2874" t="s">
        <v>8081</v>
      </c>
      <c r="B2874" t="s">
        <v>3697</v>
      </c>
      <c r="C2874" t="s">
        <v>9360</v>
      </c>
      <c r="D2874" t="s">
        <v>52</v>
      </c>
      <c r="E2874" t="s">
        <v>9386</v>
      </c>
      <c r="F2874" t="s">
        <v>95</v>
      </c>
      <c r="G2874" t="str">
        <f>HYPERLINK("https://twitter.com/1135315471761321986/status/1142934806197690368")</f>
        <v>https://twitter.com/1135315471761321986/status/1142934806197690368</v>
      </c>
      <c r="H2874" t="s">
        <v>46</v>
      </c>
      <c r="I2874" t="s">
        <v>9387</v>
      </c>
      <c r="J2874" t="str">
        <f>HYPERLINK("http://twitter.com/charlot38025701")</f>
        <v>http://twitter.com/charlot38025701</v>
      </c>
      <c r="K2874">
        <v>1</v>
      </c>
      <c r="N2874" t="s">
        <v>65</v>
      </c>
      <c r="R2874" t="s">
        <v>60</v>
      </c>
      <c r="W2874">
        <v>0</v>
      </c>
      <c r="X2874">
        <v>0</v>
      </c>
      <c r="AE2874">
        <v>1</v>
      </c>
      <c r="AF2874">
        <v>0</v>
      </c>
      <c r="AM2874" t="s">
        <v>52</v>
      </c>
      <c r="AN2874" t="s">
        <v>53</v>
      </c>
    </row>
    <row r="2875" spans="1:40">
      <c r="A2875" t="s">
        <v>8081</v>
      </c>
      <c r="B2875" t="s">
        <v>3701</v>
      </c>
      <c r="C2875" t="s">
        <v>9388</v>
      </c>
      <c r="D2875" t="s">
        <v>52</v>
      </c>
      <c r="E2875" t="s">
        <v>1194</v>
      </c>
      <c r="F2875" t="s">
        <v>131</v>
      </c>
      <c r="G2875" t="str">
        <f>HYPERLINK("https://twitter.com/1359817770/status/1142934376679976968")</f>
        <v>https://twitter.com/1359817770/status/1142934376679976968</v>
      </c>
      <c r="H2875" t="s">
        <v>46</v>
      </c>
      <c r="I2875" t="s">
        <v>9389</v>
      </c>
      <c r="J2875" t="str">
        <f>HYPERLINK("http://twitter.com/trzn_elena")</f>
        <v>http://twitter.com/trzn_elena</v>
      </c>
      <c r="K2875">
        <v>165</v>
      </c>
      <c r="N2875" t="s">
        <v>65</v>
      </c>
      <c r="R2875" t="s">
        <v>60</v>
      </c>
      <c r="W2875">
        <v>0</v>
      </c>
      <c r="X2875">
        <v>0</v>
      </c>
      <c r="AE2875">
        <v>0</v>
      </c>
      <c r="AI2875" t="s">
        <v>52</v>
      </c>
      <c r="AJ2875" t="s">
        <v>1196</v>
      </c>
      <c r="AK2875" t="s">
        <v>52</v>
      </c>
      <c r="AL2875" t="str">
        <f>HYPERLINK("https://pbs.twimg.com/media/D9xgk2YXkAAd2ql.jpg")</f>
        <v>https://pbs.twimg.com/media/D9xgk2YXkAAd2ql.jpg</v>
      </c>
      <c r="AM2875" t="s">
        <v>52</v>
      </c>
      <c r="AN2875" t="s">
        <v>53</v>
      </c>
    </row>
    <row r="2876" spans="1:40">
      <c r="A2876" t="s">
        <v>8081</v>
      </c>
      <c r="B2876" t="s">
        <v>9390</v>
      </c>
      <c r="C2876" t="s">
        <v>9388</v>
      </c>
      <c r="D2876" t="s">
        <v>52</v>
      </c>
      <c r="E2876" t="s">
        <v>9391</v>
      </c>
      <c r="F2876" t="s">
        <v>45</v>
      </c>
      <c r="G2876" t="str">
        <f>HYPERLINK("https://twitter.com/480075121/status/1142934348104159237")</f>
        <v>https://twitter.com/480075121/status/1142934348104159237</v>
      </c>
      <c r="H2876" t="s">
        <v>215</v>
      </c>
      <c r="I2876" t="s">
        <v>9392</v>
      </c>
      <c r="J2876" t="str">
        <f>HYPERLINK("http://twitter.com/susie_melendez")</f>
        <v>http://twitter.com/susie_melendez</v>
      </c>
      <c r="K2876">
        <v>246</v>
      </c>
      <c r="N2876" t="s">
        <v>65</v>
      </c>
      <c r="R2876" t="s">
        <v>60</v>
      </c>
      <c r="S2876" t="s">
        <v>51</v>
      </c>
      <c r="T2876" t="s">
        <v>152</v>
      </c>
      <c r="U2876" t="s">
        <v>9393</v>
      </c>
      <c r="W2876">
        <v>1</v>
      </c>
      <c r="X2876">
        <v>1</v>
      </c>
      <c r="AE2876">
        <v>0</v>
      </c>
      <c r="AF2876">
        <v>0</v>
      </c>
      <c r="AM2876" t="s">
        <v>52</v>
      </c>
      <c r="AN2876" t="s">
        <v>53</v>
      </c>
    </row>
    <row r="2877" spans="1:40">
      <c r="A2877" t="s">
        <v>8081</v>
      </c>
      <c r="B2877" t="s">
        <v>9390</v>
      </c>
      <c r="C2877" t="s">
        <v>9394</v>
      </c>
      <c r="D2877" t="s">
        <v>52</v>
      </c>
      <c r="E2877" t="s">
        <v>9395</v>
      </c>
      <c r="F2877" t="s">
        <v>45</v>
      </c>
      <c r="G2877" t="str">
        <f>HYPERLINK("https://www.instagram.com/p/BzEgOzahWvO")</f>
        <v>https://www.instagram.com/p/BzEgOzahWvO</v>
      </c>
      <c r="H2877" t="s">
        <v>46</v>
      </c>
      <c r="I2877" t="s">
        <v>9396</v>
      </c>
      <c r="J2877" t="str">
        <f>HYPERLINK("http://instagram.com/sananguyenn")</f>
        <v>http://instagram.com/sananguyenn</v>
      </c>
      <c r="K2877">
        <v>1021</v>
      </c>
      <c r="N2877" t="s">
        <v>59</v>
      </c>
      <c r="O2877" t="s">
        <v>9396</v>
      </c>
      <c r="P2877" t="str">
        <f>HYPERLINK("http://instagram.com/sananguyenn")</f>
        <v>http://instagram.com/sananguyenn</v>
      </c>
      <c r="Q2877">
        <v>1021</v>
      </c>
      <c r="R2877" t="s">
        <v>60</v>
      </c>
      <c r="W2877">
        <v>172</v>
      </c>
      <c r="X2877">
        <v>172</v>
      </c>
      <c r="AE2877">
        <v>4</v>
      </c>
      <c r="AI2877" t="s">
        <v>52</v>
      </c>
      <c r="AJ2877" t="s">
        <v>9397</v>
      </c>
      <c r="AK2877" t="s">
        <v>9398</v>
      </c>
      <c r="AL2877" t="str">
        <f>HYPERLINK("https://www.instagram.com/p/BzEgOzahWvO/media/?size=l")</f>
        <v>https://www.instagram.com/p/BzEgOzahWvO/media/?size=l</v>
      </c>
      <c r="AM2877" t="s">
        <v>52</v>
      </c>
      <c r="AN2877" t="s">
        <v>53</v>
      </c>
    </row>
    <row r="2878" spans="1:40">
      <c r="A2878" t="s">
        <v>8081</v>
      </c>
      <c r="B2878" t="s">
        <v>9390</v>
      </c>
      <c r="C2878" t="s">
        <v>9399</v>
      </c>
      <c r="D2878" t="s">
        <v>52</v>
      </c>
      <c r="E2878" t="s">
        <v>8550</v>
      </c>
      <c r="F2878" t="s">
        <v>131</v>
      </c>
      <c r="G2878" t="str">
        <f>HYPERLINK("https://twitter.com/2251209257/status/1142934227396304898")</f>
        <v>https://twitter.com/2251209257/status/1142934227396304898</v>
      </c>
      <c r="H2878" t="s">
        <v>46</v>
      </c>
      <c r="I2878" t="s">
        <v>9400</v>
      </c>
      <c r="J2878" t="str">
        <f>HYPERLINK("http://twitter.com/097Jaavier")</f>
        <v>http://twitter.com/097Jaavier</v>
      </c>
      <c r="K2878">
        <v>488</v>
      </c>
      <c r="N2878" t="s">
        <v>65</v>
      </c>
      <c r="R2878" t="s">
        <v>60</v>
      </c>
      <c r="W2878">
        <v>0</v>
      </c>
      <c r="X2878">
        <v>0</v>
      </c>
      <c r="AE2878">
        <v>0</v>
      </c>
      <c r="AM2878" t="s">
        <v>52</v>
      </c>
      <c r="AN2878" t="s">
        <v>53</v>
      </c>
    </row>
    <row r="2879" spans="1:40">
      <c r="A2879" t="s">
        <v>8081</v>
      </c>
      <c r="B2879" t="s">
        <v>9390</v>
      </c>
      <c r="C2879" t="s">
        <v>9399</v>
      </c>
      <c r="D2879" t="s">
        <v>52</v>
      </c>
      <c r="E2879" t="s">
        <v>9401</v>
      </c>
      <c r="F2879" t="s">
        <v>95</v>
      </c>
      <c r="G2879" t="str">
        <f>HYPERLINK("https://twitter.com/580899868/status/1142934201622290432")</f>
        <v>https://twitter.com/580899868/status/1142934201622290432</v>
      </c>
      <c r="H2879" t="s">
        <v>215</v>
      </c>
      <c r="I2879" t="s">
        <v>9402</v>
      </c>
      <c r="J2879" t="str">
        <f>HYPERLINK("http://twitter.com/JonBeecham")</f>
        <v>http://twitter.com/JonBeecham</v>
      </c>
      <c r="K2879">
        <v>6790</v>
      </c>
      <c r="N2879" t="s">
        <v>65</v>
      </c>
      <c r="R2879" t="s">
        <v>60</v>
      </c>
      <c r="W2879">
        <v>0</v>
      </c>
      <c r="X2879">
        <v>0</v>
      </c>
      <c r="AE2879">
        <v>0</v>
      </c>
      <c r="AF2879">
        <v>0</v>
      </c>
      <c r="AM2879" t="s">
        <v>52</v>
      </c>
      <c r="AN2879" t="s">
        <v>53</v>
      </c>
    </row>
    <row r="2880" spans="1:40">
      <c r="A2880" t="s">
        <v>8081</v>
      </c>
      <c r="B2880" t="s">
        <v>9390</v>
      </c>
      <c r="C2880" t="s">
        <v>9403</v>
      </c>
      <c r="D2880" t="s">
        <v>52</v>
      </c>
      <c r="E2880" t="s">
        <v>276</v>
      </c>
      <c r="F2880" t="s">
        <v>131</v>
      </c>
      <c r="G2880" t="str">
        <f>HYPERLINK("https://twitter.com/580899868/status/1142934186921254912")</f>
        <v>https://twitter.com/580899868/status/1142934186921254912</v>
      </c>
      <c r="H2880" t="s">
        <v>46</v>
      </c>
      <c r="I2880" t="s">
        <v>9402</v>
      </c>
      <c r="J2880" t="str">
        <f>HYPERLINK("http://twitter.com/JonBeecham")</f>
        <v>http://twitter.com/JonBeecham</v>
      </c>
      <c r="K2880">
        <v>6790</v>
      </c>
      <c r="N2880" t="s">
        <v>65</v>
      </c>
      <c r="R2880" t="s">
        <v>60</v>
      </c>
      <c r="W2880">
        <v>0</v>
      </c>
      <c r="X2880">
        <v>0</v>
      </c>
      <c r="AE2880">
        <v>0</v>
      </c>
      <c r="AI2880" t="s">
        <v>108</v>
      </c>
      <c r="AJ2880" t="s">
        <v>52</v>
      </c>
      <c r="AK2880" t="s">
        <v>52</v>
      </c>
      <c r="AL2880" t="str">
        <f>HYPERLINK("https://pbs.twimg.com/tweet_video_thumb/D9hvNNzXUAATAS3.jpg")</f>
        <v>https://pbs.twimg.com/tweet_video_thumb/D9hvNNzXUAATAS3.jpg</v>
      </c>
      <c r="AM2880" t="s">
        <v>52</v>
      </c>
      <c r="AN2880" t="s">
        <v>53</v>
      </c>
    </row>
    <row r="2881" spans="1:40">
      <c r="A2881" t="s">
        <v>8081</v>
      </c>
      <c r="B2881" t="s">
        <v>9390</v>
      </c>
      <c r="C2881" t="s">
        <v>9403</v>
      </c>
      <c r="D2881" t="s">
        <v>52</v>
      </c>
      <c r="E2881" t="s">
        <v>9404</v>
      </c>
      <c r="F2881" t="s">
        <v>95</v>
      </c>
      <c r="G2881" t="str">
        <f>HYPERLINK("https://twitter.com/1135315471761321986/status/1142934165744181253")</f>
        <v>https://twitter.com/1135315471761321986/status/1142934165744181253</v>
      </c>
      <c r="H2881" t="s">
        <v>91</v>
      </c>
      <c r="I2881" t="s">
        <v>9387</v>
      </c>
      <c r="J2881" t="str">
        <f>HYPERLINK("http://twitter.com/charlot38025701")</f>
        <v>http://twitter.com/charlot38025701</v>
      </c>
      <c r="K2881">
        <v>1</v>
      </c>
      <c r="N2881" t="s">
        <v>65</v>
      </c>
      <c r="R2881" t="s">
        <v>60</v>
      </c>
      <c r="W2881">
        <v>1</v>
      </c>
      <c r="X2881">
        <v>1</v>
      </c>
      <c r="AE2881">
        <v>1</v>
      </c>
      <c r="AF2881">
        <v>0</v>
      </c>
      <c r="AM2881" t="s">
        <v>52</v>
      </c>
      <c r="AN2881" t="s">
        <v>53</v>
      </c>
    </row>
    <row r="2882" spans="1:40">
      <c r="A2882" t="s">
        <v>8081</v>
      </c>
      <c r="B2882" t="s">
        <v>9390</v>
      </c>
      <c r="C2882" t="s">
        <v>9405</v>
      </c>
      <c r="D2882" t="s">
        <v>52</v>
      </c>
      <c r="E2882" t="s">
        <v>9406</v>
      </c>
      <c r="F2882" t="s">
        <v>45</v>
      </c>
      <c r="G2882" t="str">
        <f>HYPERLINK("https://www.instagram.com/p/BzEgIa8A_ES")</f>
        <v>https://www.instagram.com/p/BzEgIa8A_ES</v>
      </c>
      <c r="H2882" t="s">
        <v>46</v>
      </c>
      <c r="I2882" t="s">
        <v>9407</v>
      </c>
      <c r="J2882" t="str">
        <f>HYPERLINK("http://instagram.com/cherished_memsphoto")</f>
        <v>http://instagram.com/cherished_memsphoto</v>
      </c>
      <c r="K2882">
        <v>56</v>
      </c>
      <c r="N2882" t="s">
        <v>59</v>
      </c>
      <c r="O2882" t="s">
        <v>9407</v>
      </c>
      <c r="P2882" t="str">
        <f>HYPERLINK("http://instagram.com/cherished_memsphoto")</f>
        <v>http://instagram.com/cherished_memsphoto</v>
      </c>
      <c r="Q2882">
        <v>56</v>
      </c>
      <c r="R2882" t="s">
        <v>60</v>
      </c>
      <c r="S2882" t="s">
        <v>51</v>
      </c>
      <c r="T2882" t="s">
        <v>2923</v>
      </c>
      <c r="U2882" t="s">
        <v>9408</v>
      </c>
      <c r="W2882">
        <v>12</v>
      </c>
      <c r="X2882">
        <v>12</v>
      </c>
      <c r="AE2882">
        <v>1</v>
      </c>
      <c r="AI2882" t="s">
        <v>108</v>
      </c>
      <c r="AJ2882" t="s">
        <v>659</v>
      </c>
      <c r="AK2882" t="s">
        <v>52</v>
      </c>
      <c r="AL2882" t="str">
        <f>HYPERLINK("https://www.instagram.com/p/BzEgIa8A_ES/media/?size=l")</f>
        <v>https://www.instagram.com/p/BzEgIa8A_ES/media/?size=l</v>
      </c>
      <c r="AM2882" t="s">
        <v>52</v>
      </c>
      <c r="AN2882" t="s">
        <v>53</v>
      </c>
    </row>
    <row r="2883" spans="1:40">
      <c r="A2883" t="s">
        <v>8081</v>
      </c>
      <c r="B2883" t="s">
        <v>9409</v>
      </c>
      <c r="C2883" t="s">
        <v>9403</v>
      </c>
      <c r="D2883" t="s">
        <v>52</v>
      </c>
      <c r="E2883" t="s">
        <v>9410</v>
      </c>
      <c r="F2883" t="s">
        <v>45</v>
      </c>
      <c r="G2883" t="str">
        <f>HYPERLINK("https://www.instagram.com/p/BzEgFT0INO1")</f>
        <v>https://www.instagram.com/p/BzEgFT0INO1</v>
      </c>
      <c r="H2883" t="s">
        <v>46</v>
      </c>
      <c r="I2883" t="s">
        <v>9411</v>
      </c>
      <c r="J2883" t="str">
        <f>HYPERLINK("http://instagram.com/kdaofficials")</f>
        <v>http://instagram.com/kdaofficials</v>
      </c>
      <c r="K2883">
        <v>117</v>
      </c>
      <c r="N2883" t="s">
        <v>59</v>
      </c>
      <c r="O2883" t="s">
        <v>9411</v>
      </c>
      <c r="P2883" t="str">
        <f>HYPERLINK("http://instagram.com/kdaofficials")</f>
        <v>http://instagram.com/kdaofficials</v>
      </c>
      <c r="Q2883">
        <v>117</v>
      </c>
      <c r="R2883" t="s">
        <v>60</v>
      </c>
      <c r="W2883">
        <v>18</v>
      </c>
      <c r="X2883">
        <v>18</v>
      </c>
      <c r="AE2883">
        <v>0</v>
      </c>
      <c r="AI2883" t="s">
        <v>52</v>
      </c>
      <c r="AJ2883" t="s">
        <v>9412</v>
      </c>
      <c r="AK2883" t="s">
        <v>9413</v>
      </c>
      <c r="AL2883" t="str">
        <f>HYPERLINK("https://www.instagram.com/p/BzEgFT0INO1/media/?size=l")</f>
        <v>https://www.instagram.com/p/BzEgFT0INO1/media/?size=l</v>
      </c>
      <c r="AM2883" t="s">
        <v>52</v>
      </c>
      <c r="AN2883" t="s">
        <v>53</v>
      </c>
    </row>
    <row r="2884" spans="1:40">
      <c r="A2884" t="s">
        <v>8081</v>
      </c>
      <c r="B2884" t="s">
        <v>9409</v>
      </c>
      <c r="C2884" t="s">
        <v>9414</v>
      </c>
      <c r="D2884" t="s">
        <v>9415</v>
      </c>
      <c r="E2884" t="s">
        <v>9416</v>
      </c>
      <c r="F2884" t="s">
        <v>45</v>
      </c>
      <c r="G2884" t="str">
        <f>HYPERLINK("https://www.youtube.com/watch?v=Dr66hEPesO0")</f>
        <v>https://www.youtube.com/watch?v=Dr66hEPesO0</v>
      </c>
      <c r="H2884" t="s">
        <v>46</v>
      </c>
      <c r="I2884" t="s">
        <v>9417</v>
      </c>
      <c r="J2884" t="str">
        <f>HYPERLINK("https://www.youtube.com/channel/UCfVvWjXCxt0WCbfpI2Dd4vA")</f>
        <v>https://www.youtube.com/channel/UCfVvWjXCxt0WCbfpI2Dd4vA</v>
      </c>
      <c r="K2884">
        <v>87</v>
      </c>
      <c r="N2884" t="s">
        <v>116</v>
      </c>
      <c r="O2884" t="s">
        <v>9417</v>
      </c>
      <c r="P2884" t="str">
        <f>HYPERLINK("https://www.youtube.com/channel/UCfVvWjXCxt0WCbfpI2Dd4vA")</f>
        <v>https://www.youtube.com/channel/UCfVvWjXCxt0WCbfpI2Dd4vA</v>
      </c>
      <c r="Q2884">
        <v>87</v>
      </c>
      <c r="R2884" t="s">
        <v>60</v>
      </c>
      <c r="W2884">
        <v>11</v>
      </c>
      <c r="X2884">
        <v>11</v>
      </c>
      <c r="AD2884">
        <v>1</v>
      </c>
      <c r="AE2884">
        <v>5</v>
      </c>
      <c r="AG2884">
        <v>33</v>
      </c>
      <c r="AI2884" t="s">
        <v>108</v>
      </c>
      <c r="AJ2884" t="s">
        <v>52</v>
      </c>
      <c r="AK2884" t="s">
        <v>52</v>
      </c>
      <c r="AL2884" t="str">
        <f>HYPERLINK("https://i.ytimg.com/vi/Dr66hEPesO0/maxresdefault.jpg")</f>
        <v>https://i.ytimg.com/vi/Dr66hEPesO0/maxresdefault.jpg</v>
      </c>
      <c r="AM2884" t="s">
        <v>52</v>
      </c>
      <c r="AN2884" t="s">
        <v>53</v>
      </c>
    </row>
    <row r="2885" spans="1:40">
      <c r="A2885" t="s">
        <v>8081</v>
      </c>
      <c r="B2885" t="s">
        <v>3709</v>
      </c>
      <c r="C2885" t="s">
        <v>9388</v>
      </c>
      <c r="D2885" t="s">
        <v>52</v>
      </c>
      <c r="E2885" t="s">
        <v>9418</v>
      </c>
      <c r="F2885" t="s">
        <v>95</v>
      </c>
      <c r="G2885" t="str">
        <f>HYPERLINK("https://twitter.com/991045352164921344/status/1142933365701713921")</f>
        <v>https://twitter.com/991045352164921344/status/1142933365701713921</v>
      </c>
      <c r="H2885" t="s">
        <v>46</v>
      </c>
      <c r="I2885" t="s">
        <v>9419</v>
      </c>
      <c r="J2885" t="str">
        <f>HYPERLINK("http://twitter.com/bluthebird145")</f>
        <v>http://twitter.com/bluthebird145</v>
      </c>
      <c r="K2885">
        <v>3</v>
      </c>
      <c r="N2885" t="s">
        <v>65</v>
      </c>
      <c r="R2885" t="s">
        <v>60</v>
      </c>
      <c r="S2885" t="s">
        <v>51</v>
      </c>
      <c r="T2885" t="s">
        <v>678</v>
      </c>
      <c r="U2885" t="s">
        <v>679</v>
      </c>
      <c r="W2885">
        <v>1</v>
      </c>
      <c r="X2885">
        <v>1</v>
      </c>
      <c r="AE2885">
        <v>0</v>
      </c>
      <c r="AF2885">
        <v>0</v>
      </c>
      <c r="AM2885" t="s">
        <v>52</v>
      </c>
      <c r="AN2885" t="s">
        <v>53</v>
      </c>
    </row>
    <row r="2886" spans="1:40">
      <c r="A2886" t="s">
        <v>8081</v>
      </c>
      <c r="B2886" t="s">
        <v>9420</v>
      </c>
      <c r="C2886" t="s">
        <v>9128</v>
      </c>
      <c r="D2886" t="s">
        <v>52</v>
      </c>
      <c r="E2886" t="s">
        <v>9421</v>
      </c>
      <c r="F2886" t="s">
        <v>45</v>
      </c>
      <c r="G2886" t="str">
        <f>HYPERLINK("https://www.instagram.com/p/BzEeA-BHFEj")</f>
        <v>https://www.instagram.com/p/BzEeA-BHFEj</v>
      </c>
      <c r="H2886" t="s">
        <v>46</v>
      </c>
      <c r="I2886" t="s">
        <v>9422</v>
      </c>
      <c r="J2886" t="str">
        <f>HYPERLINK("http://instagram.com/mariah_sk8r")</f>
        <v>http://instagram.com/mariah_sk8r</v>
      </c>
      <c r="K2886">
        <v>264</v>
      </c>
      <c r="L2886" t="s">
        <v>58</v>
      </c>
      <c r="N2886" t="s">
        <v>59</v>
      </c>
      <c r="O2886" t="s">
        <v>9422</v>
      </c>
      <c r="P2886" t="str">
        <f>HYPERLINK("http://instagram.com/mariah_sk8r")</f>
        <v>http://instagram.com/mariah_sk8r</v>
      </c>
      <c r="Q2886">
        <v>264</v>
      </c>
      <c r="R2886" t="s">
        <v>60</v>
      </c>
      <c r="S2886" t="s">
        <v>51</v>
      </c>
      <c r="T2886" t="s">
        <v>173</v>
      </c>
      <c r="U2886" t="s">
        <v>9423</v>
      </c>
      <c r="W2886">
        <v>84</v>
      </c>
      <c r="X2886">
        <v>84</v>
      </c>
      <c r="AE2886">
        <v>5</v>
      </c>
      <c r="AG2886">
        <v>272</v>
      </c>
      <c r="AI2886" t="s">
        <v>108</v>
      </c>
      <c r="AJ2886" t="s">
        <v>8390</v>
      </c>
      <c r="AK2886" t="s">
        <v>2089</v>
      </c>
      <c r="AL2886" t="str">
        <f>HYPERLINK("https://www.instagram.com/p/BzEeA-BHFEj/media/?size=l")</f>
        <v>https://www.instagram.com/p/BzEeA-BHFEj/media/?size=l</v>
      </c>
      <c r="AM2886" t="s">
        <v>52</v>
      </c>
      <c r="AN2886" t="s">
        <v>53</v>
      </c>
    </row>
    <row r="2887" spans="1:40">
      <c r="A2887" t="s">
        <v>8081</v>
      </c>
      <c r="B2887" t="s">
        <v>9420</v>
      </c>
      <c r="C2887" t="s">
        <v>9424</v>
      </c>
      <c r="D2887" t="s">
        <v>52</v>
      </c>
      <c r="E2887" t="s">
        <v>3749</v>
      </c>
      <c r="F2887" t="s">
        <v>71</v>
      </c>
      <c r="G2887" t="str">
        <f>HYPERLINK("https://twitter.com/867678931/status/1142933194553143296")</f>
        <v>https://twitter.com/867678931/status/1142933194553143296</v>
      </c>
      <c r="H2887" t="s">
        <v>46</v>
      </c>
      <c r="I2887" t="s">
        <v>9425</v>
      </c>
      <c r="J2887" t="str">
        <f>HYPERLINK("http://twitter.com/Mphozil_DJ")</f>
        <v>http://twitter.com/Mphozil_DJ</v>
      </c>
      <c r="K2887">
        <v>761</v>
      </c>
      <c r="N2887" t="s">
        <v>65</v>
      </c>
      <c r="R2887" t="s">
        <v>60</v>
      </c>
      <c r="S2887" t="s">
        <v>1071</v>
      </c>
      <c r="T2887" t="s">
        <v>1072</v>
      </c>
      <c r="U2887" t="s">
        <v>1073</v>
      </c>
      <c r="W2887">
        <v>0</v>
      </c>
      <c r="X2887">
        <v>0</v>
      </c>
      <c r="AE2887">
        <v>0</v>
      </c>
      <c r="AF2887">
        <v>0</v>
      </c>
      <c r="AI2887" t="s">
        <v>108</v>
      </c>
      <c r="AJ2887" t="s">
        <v>52</v>
      </c>
      <c r="AK2887" t="s">
        <v>52</v>
      </c>
      <c r="AL2887" t="str">
        <f>HYPERLINK("https://pbs.twimg.com/media/D9sAXHUX4AA6vJs.jpg")</f>
        <v>https://pbs.twimg.com/media/D9sAXHUX4AA6vJs.jpg</v>
      </c>
      <c r="AM2887" t="s">
        <v>52</v>
      </c>
      <c r="AN2887" t="s">
        <v>53</v>
      </c>
    </row>
    <row r="2888" spans="1:40">
      <c r="A2888" t="s">
        <v>8081</v>
      </c>
      <c r="B2888" t="s">
        <v>3716</v>
      </c>
      <c r="C2888" t="s">
        <v>9399</v>
      </c>
      <c r="D2888" t="s">
        <v>52</v>
      </c>
      <c r="E2888" t="s">
        <v>9426</v>
      </c>
      <c r="F2888" t="s">
        <v>45</v>
      </c>
      <c r="G2888" t="str">
        <f>HYPERLINK("https://www.instagram.com/p/BzEfnJmh-S6")</f>
        <v>https://www.instagram.com/p/BzEfnJmh-S6</v>
      </c>
      <c r="H2888" t="s">
        <v>91</v>
      </c>
      <c r="I2888" t="s">
        <v>9427</v>
      </c>
      <c r="J2888" t="str">
        <f>HYPERLINK("http://instagram.com/thewisewhisk")</f>
        <v>http://instagram.com/thewisewhisk</v>
      </c>
      <c r="K2888">
        <v>50</v>
      </c>
      <c r="N2888" t="s">
        <v>59</v>
      </c>
      <c r="O2888" t="s">
        <v>9427</v>
      </c>
      <c r="P2888" t="str">
        <f>HYPERLINK("http://instagram.com/thewisewhisk")</f>
        <v>http://instagram.com/thewisewhisk</v>
      </c>
      <c r="Q2888">
        <v>50</v>
      </c>
      <c r="R2888" t="s">
        <v>60</v>
      </c>
      <c r="S2888" t="s">
        <v>51</v>
      </c>
      <c r="T2888" t="s">
        <v>263</v>
      </c>
      <c r="U2888" t="s">
        <v>9428</v>
      </c>
      <c r="W2888">
        <v>20</v>
      </c>
      <c r="X2888">
        <v>20</v>
      </c>
      <c r="AE2888">
        <v>8</v>
      </c>
      <c r="AI2888" t="s">
        <v>52</v>
      </c>
      <c r="AJ2888" t="s">
        <v>659</v>
      </c>
      <c r="AK2888" t="s">
        <v>52</v>
      </c>
      <c r="AL2888" t="str">
        <f>HYPERLINK("https://www.instagram.com/p/BzEfnJmh-S6/media/?size=l")</f>
        <v>https://www.instagram.com/p/BzEfnJmh-S6/media/?size=l</v>
      </c>
      <c r="AM2888" t="s">
        <v>52</v>
      </c>
      <c r="AN2888" t="s">
        <v>53</v>
      </c>
    </row>
    <row r="2889" spans="1:40">
      <c r="A2889" t="s">
        <v>8081</v>
      </c>
      <c r="B2889" t="s">
        <v>3720</v>
      </c>
      <c r="C2889" t="s">
        <v>9429</v>
      </c>
      <c r="D2889" t="s">
        <v>9430</v>
      </c>
      <c r="E2889" t="s">
        <v>9430</v>
      </c>
      <c r="F2889" t="s">
        <v>45</v>
      </c>
      <c r="G2889" t="str">
        <f>HYPERLINK("https://www.youtube.com/watch?v=27xSDaI0I_g")</f>
        <v>https://www.youtube.com/watch?v=27xSDaI0I_g</v>
      </c>
      <c r="H2889" t="s">
        <v>215</v>
      </c>
      <c r="I2889" t="s">
        <v>9431</v>
      </c>
      <c r="J2889" t="str">
        <f>HYPERLINK("https://www.youtube.com/channel/UC5JIoGGbapO-DuVTUOCifow")</f>
        <v>https://www.youtube.com/channel/UC5JIoGGbapO-DuVTUOCifow</v>
      </c>
      <c r="K2889">
        <v>26</v>
      </c>
      <c r="N2889" t="s">
        <v>116</v>
      </c>
      <c r="O2889" t="s">
        <v>9431</v>
      </c>
      <c r="P2889" t="str">
        <f>HYPERLINK("https://www.youtube.com/channel/UC5JIoGGbapO-DuVTUOCifow")</f>
        <v>https://www.youtube.com/channel/UC5JIoGGbapO-DuVTUOCifow</v>
      </c>
      <c r="Q2889">
        <v>26</v>
      </c>
      <c r="R2889" t="s">
        <v>60</v>
      </c>
      <c r="W2889">
        <v>1</v>
      </c>
      <c r="X2889">
        <v>1</v>
      </c>
      <c r="AD2889">
        <v>0</v>
      </c>
      <c r="AE2889">
        <v>0</v>
      </c>
      <c r="AG2889">
        <v>8</v>
      </c>
      <c r="AI2889" t="s">
        <v>52</v>
      </c>
      <c r="AJ2889" t="s">
        <v>52</v>
      </c>
      <c r="AK2889" t="s">
        <v>52</v>
      </c>
      <c r="AL2889" t="str">
        <f>HYPERLINK("https://i.ytimg.com/vi/27xSDaI0I_g/maxresdefault.jpg")</f>
        <v>https://i.ytimg.com/vi/27xSDaI0I_g/maxresdefault.jpg</v>
      </c>
      <c r="AM2889" t="s">
        <v>52</v>
      </c>
      <c r="AN2889" t="s">
        <v>53</v>
      </c>
    </row>
    <row r="2890" spans="1:40">
      <c r="A2890" t="s">
        <v>8081</v>
      </c>
      <c r="B2890" t="s">
        <v>3720</v>
      </c>
      <c r="C2890" t="s">
        <v>9432</v>
      </c>
      <c r="D2890" t="s">
        <v>52</v>
      </c>
      <c r="E2890" t="s">
        <v>9433</v>
      </c>
      <c r="F2890" t="s">
        <v>45</v>
      </c>
      <c r="G2890" t="str">
        <f>HYPERLINK("https://www.instagram.com/p/BzEfVEKjfbP")</f>
        <v>https://www.instagram.com/p/BzEfVEKjfbP</v>
      </c>
      <c r="H2890" t="s">
        <v>46</v>
      </c>
      <c r="I2890" t="s">
        <v>9434</v>
      </c>
      <c r="J2890" t="str">
        <f>HYPERLINK("http://instagram.com/fitandfunwithlisa")</f>
        <v>http://instagram.com/fitandfunwithlisa</v>
      </c>
      <c r="K2890">
        <v>366</v>
      </c>
      <c r="L2890" t="s">
        <v>58</v>
      </c>
      <c r="N2890" t="s">
        <v>59</v>
      </c>
      <c r="O2890" t="s">
        <v>9434</v>
      </c>
      <c r="P2890" t="str">
        <f>HYPERLINK("http://instagram.com/fitandfunwithlisa")</f>
        <v>http://instagram.com/fitandfunwithlisa</v>
      </c>
      <c r="Q2890">
        <v>366</v>
      </c>
      <c r="R2890" t="s">
        <v>60</v>
      </c>
      <c r="W2890">
        <v>9</v>
      </c>
      <c r="X2890">
        <v>9</v>
      </c>
      <c r="AE2890">
        <v>0</v>
      </c>
      <c r="AI2890" t="s">
        <v>108</v>
      </c>
      <c r="AJ2890" t="s">
        <v>321</v>
      </c>
      <c r="AK2890" t="s">
        <v>52</v>
      </c>
      <c r="AL2890" t="str">
        <f>HYPERLINK("https://www.instagram.com/p/BzEfVEKjfbP/media/?size=l")</f>
        <v>https://www.instagram.com/p/BzEfVEKjfbP/media/?size=l</v>
      </c>
      <c r="AM2890" t="s">
        <v>52</v>
      </c>
      <c r="AN2890" t="s">
        <v>53</v>
      </c>
    </row>
    <row r="2891" spans="1:40">
      <c r="A2891" t="s">
        <v>8081</v>
      </c>
      <c r="B2891" t="s">
        <v>3724</v>
      </c>
      <c r="C2891" t="s">
        <v>9435</v>
      </c>
      <c r="D2891" t="s">
        <v>52</v>
      </c>
      <c r="E2891" t="s">
        <v>9436</v>
      </c>
      <c r="F2891" t="s">
        <v>45</v>
      </c>
      <c r="G2891" t="str">
        <f>HYPERLINK("https://www.instagram.com/p/BzEfSOnBCBo")</f>
        <v>https://www.instagram.com/p/BzEfSOnBCBo</v>
      </c>
      <c r="H2891" t="s">
        <v>46</v>
      </c>
      <c r="I2891" t="s">
        <v>9437</v>
      </c>
      <c r="J2891" t="str">
        <f>HYPERLINK("http://instagram.com/bimmerkuken")</f>
        <v>http://instagram.com/bimmerkuken</v>
      </c>
      <c r="K2891">
        <v>995</v>
      </c>
      <c r="N2891" t="s">
        <v>59</v>
      </c>
      <c r="O2891" t="s">
        <v>9437</v>
      </c>
      <c r="P2891" t="str">
        <f>HYPERLINK("http://instagram.com/bimmerkuken")</f>
        <v>http://instagram.com/bimmerkuken</v>
      </c>
      <c r="Q2891">
        <v>995</v>
      </c>
      <c r="R2891" t="s">
        <v>60</v>
      </c>
      <c r="W2891">
        <v>16</v>
      </c>
      <c r="X2891">
        <v>16</v>
      </c>
      <c r="AE2891">
        <v>1</v>
      </c>
      <c r="AI2891" t="s">
        <v>108</v>
      </c>
      <c r="AJ2891" t="s">
        <v>9438</v>
      </c>
      <c r="AK2891" t="s">
        <v>52</v>
      </c>
      <c r="AL2891" t="str">
        <f>HYPERLINK("https://www.instagram.com/p/BzEfSOnBCBo/media/?size=l")</f>
        <v>https://www.instagram.com/p/BzEfSOnBCBo/media/?size=l</v>
      </c>
      <c r="AM2891" t="s">
        <v>52</v>
      </c>
      <c r="AN2891" t="s">
        <v>53</v>
      </c>
    </row>
    <row r="2892" spans="1:40">
      <c r="A2892" t="s">
        <v>8081</v>
      </c>
      <c r="B2892" t="s">
        <v>3724</v>
      </c>
      <c r="C2892" t="s">
        <v>9435</v>
      </c>
      <c r="D2892" t="s">
        <v>52</v>
      </c>
      <c r="E2892" t="s">
        <v>9439</v>
      </c>
      <c r="F2892" t="s">
        <v>95</v>
      </c>
      <c r="G2892" t="str">
        <f>HYPERLINK("https://twitter.com/948018598471196672/status/1142932170408898560")</f>
        <v>https://twitter.com/948018598471196672/status/1142932170408898560</v>
      </c>
      <c r="H2892" t="s">
        <v>46</v>
      </c>
      <c r="I2892" t="s">
        <v>9440</v>
      </c>
      <c r="J2892" t="str">
        <f>HYPERLINK("http://twitter.com/ExposeClusterBs")</f>
        <v>http://twitter.com/ExposeClusterBs</v>
      </c>
      <c r="K2892">
        <v>162</v>
      </c>
      <c r="N2892" t="s">
        <v>65</v>
      </c>
      <c r="R2892" t="s">
        <v>60</v>
      </c>
      <c r="W2892">
        <v>1</v>
      </c>
      <c r="X2892">
        <v>1</v>
      </c>
      <c r="AE2892">
        <v>1</v>
      </c>
      <c r="AF2892">
        <v>0</v>
      </c>
      <c r="AM2892" t="s">
        <v>52</v>
      </c>
      <c r="AN2892" t="s">
        <v>53</v>
      </c>
    </row>
    <row r="2893" spans="1:40">
      <c r="A2893" t="s">
        <v>8081</v>
      </c>
      <c r="B2893" t="s">
        <v>3724</v>
      </c>
      <c r="C2893" t="s">
        <v>9441</v>
      </c>
      <c r="D2893" t="s">
        <v>9442</v>
      </c>
      <c r="E2893" t="s">
        <v>9443</v>
      </c>
      <c r="F2893" t="s">
        <v>95</v>
      </c>
      <c r="G2893" t="str">
        <f>HYPERLINK("https://metsmerizedonline.com/2019/06/all-hell-breaks-loose-in-mets-clubhouse-after-gut-punch-loss.html/#comment-4513529830")</f>
        <v>https://metsmerizedonline.com/2019/06/all-hell-breaks-loose-in-mets-clubhouse-after-gut-punch-loss.html/#comment-4513529830</v>
      </c>
      <c r="H2893" t="s">
        <v>46</v>
      </c>
      <c r="I2893" t="s">
        <v>9444</v>
      </c>
      <c r="J2893" t="str">
        <f>HYPERLINK("https://disqus.com/by/siskisarisk/")</f>
        <v>https://disqus.com/by/siskisarisk/</v>
      </c>
      <c r="K2893">
        <v>3</v>
      </c>
      <c r="N2893" t="s">
        <v>9445</v>
      </c>
      <c r="O2893" t="s">
        <v>9446</v>
      </c>
      <c r="P2893" t="str">
        <f>HYPERLINK("https://disqus.com/home/forum/metsmerizedonline/")</f>
        <v>https://disqus.com/home/forum/metsmerizedonline/</v>
      </c>
      <c r="R2893" t="s">
        <v>50</v>
      </c>
      <c r="W2893">
        <v>0</v>
      </c>
      <c r="X2893">
        <v>0</v>
      </c>
      <c r="AM2893" t="s">
        <v>52</v>
      </c>
      <c r="AN2893" t="s">
        <v>53</v>
      </c>
    </row>
    <row r="2894" spans="1:40">
      <c r="A2894" t="s">
        <v>8081</v>
      </c>
      <c r="B2894" t="s">
        <v>3724</v>
      </c>
      <c r="C2894" t="s">
        <v>9403</v>
      </c>
      <c r="D2894" t="s">
        <v>52</v>
      </c>
      <c r="E2894" t="s">
        <v>9447</v>
      </c>
      <c r="F2894" t="s">
        <v>131</v>
      </c>
      <c r="G2894" t="str">
        <f>HYPERLINK("https://twitter.com/4740670274/status/1142932121817735168")</f>
        <v>https://twitter.com/4740670274/status/1142932121817735168</v>
      </c>
      <c r="H2894" t="s">
        <v>46</v>
      </c>
      <c r="I2894" t="s">
        <v>9448</v>
      </c>
      <c r="J2894" t="str">
        <f>HYPERLINK("http://twitter.com/Lil_ol_kat")</f>
        <v>http://twitter.com/Lil_ol_kat</v>
      </c>
      <c r="K2894">
        <v>6241</v>
      </c>
      <c r="N2894" t="s">
        <v>65</v>
      </c>
      <c r="R2894" t="s">
        <v>60</v>
      </c>
      <c r="S2894" t="s">
        <v>2226</v>
      </c>
      <c r="W2894">
        <v>0</v>
      </c>
      <c r="X2894">
        <v>0</v>
      </c>
      <c r="AE2894">
        <v>0</v>
      </c>
      <c r="AM2894" t="s">
        <v>52</v>
      </c>
      <c r="AN2894" t="s">
        <v>53</v>
      </c>
    </row>
    <row r="2895" spans="1:40">
      <c r="A2895" t="s">
        <v>8081</v>
      </c>
      <c r="B2895" t="s">
        <v>3738</v>
      </c>
      <c r="C2895" t="s">
        <v>9449</v>
      </c>
      <c r="D2895" t="s">
        <v>52</v>
      </c>
      <c r="E2895" t="s">
        <v>8659</v>
      </c>
      <c r="F2895" t="s">
        <v>71</v>
      </c>
      <c r="G2895" t="str">
        <f>HYPERLINK("https://twitter.com/721816406229065728/status/1142931499391389696")</f>
        <v>https://twitter.com/721816406229065728/status/1142931499391389696</v>
      </c>
      <c r="H2895" t="s">
        <v>46</v>
      </c>
      <c r="I2895" t="s">
        <v>9450</v>
      </c>
      <c r="J2895" t="str">
        <f>HYPERLINK("http://twitter.com/Gregg_GV")</f>
        <v>http://twitter.com/Gregg_GV</v>
      </c>
      <c r="K2895">
        <v>144</v>
      </c>
      <c r="N2895" t="s">
        <v>65</v>
      </c>
      <c r="R2895" t="s">
        <v>60</v>
      </c>
      <c r="S2895" t="s">
        <v>51</v>
      </c>
      <c r="T2895" t="s">
        <v>173</v>
      </c>
      <c r="U2895" t="s">
        <v>5175</v>
      </c>
      <c r="W2895">
        <v>0</v>
      </c>
      <c r="X2895">
        <v>0</v>
      </c>
      <c r="AE2895">
        <v>0</v>
      </c>
      <c r="AF2895">
        <v>0</v>
      </c>
      <c r="AI2895" t="s">
        <v>52</v>
      </c>
      <c r="AJ2895" t="s">
        <v>3639</v>
      </c>
      <c r="AK2895" t="s">
        <v>238</v>
      </c>
      <c r="AL2895" t="str">
        <f>HYPERLINK("https://pbs.twimg.com/media/D9jR1g0UYAAm_F_.jpg")</f>
        <v>https://pbs.twimg.com/media/D9jR1g0UYAAm_F_.jpg</v>
      </c>
      <c r="AM2895" t="s">
        <v>52</v>
      </c>
      <c r="AN2895" t="s">
        <v>53</v>
      </c>
    </row>
    <row r="2896" spans="1:40">
      <c r="A2896" t="s">
        <v>8081</v>
      </c>
      <c r="B2896" t="s">
        <v>9451</v>
      </c>
      <c r="C2896" t="s">
        <v>9429</v>
      </c>
      <c r="D2896" t="s">
        <v>9452</v>
      </c>
      <c r="E2896" t="s">
        <v>9453</v>
      </c>
      <c r="F2896" t="s">
        <v>45</v>
      </c>
      <c r="G2896" t="str">
        <f>HYPERLINK("https://www.youtube.com/watch?v=mTaSIQn5Ycc")</f>
        <v>https://www.youtube.com/watch?v=mTaSIQn5Ycc</v>
      </c>
      <c r="H2896" t="s">
        <v>46</v>
      </c>
      <c r="I2896" t="s">
        <v>9454</v>
      </c>
      <c r="J2896" t="str">
        <f>HYPERLINK("https://www.youtube.com/channel/UCly6wMclbQ-RbE_PdX128nA")</f>
        <v>https://www.youtube.com/channel/UCly6wMclbQ-RbE_PdX128nA</v>
      </c>
      <c r="K2896">
        <v>23</v>
      </c>
      <c r="N2896" t="s">
        <v>116</v>
      </c>
      <c r="O2896" t="s">
        <v>9454</v>
      </c>
      <c r="P2896" t="str">
        <f>HYPERLINK("https://www.youtube.com/channel/UCly6wMclbQ-RbE_PdX128nA")</f>
        <v>https://www.youtube.com/channel/UCly6wMclbQ-RbE_PdX128nA</v>
      </c>
      <c r="Q2896">
        <v>23</v>
      </c>
      <c r="R2896" t="s">
        <v>60</v>
      </c>
      <c r="W2896">
        <v>1</v>
      </c>
      <c r="X2896">
        <v>1</v>
      </c>
      <c r="AD2896">
        <v>0</v>
      </c>
      <c r="AE2896">
        <v>0</v>
      </c>
      <c r="AG2896">
        <v>1</v>
      </c>
      <c r="AI2896" t="s">
        <v>52</v>
      </c>
      <c r="AJ2896" t="s">
        <v>52</v>
      </c>
      <c r="AK2896" t="s">
        <v>52</v>
      </c>
      <c r="AL2896" t="str">
        <f>HYPERLINK("https://i.ytimg.com/vi/mTaSIQn5Ycc/hqdefault.jpg")</f>
        <v>https://i.ytimg.com/vi/mTaSIQn5Ycc/hqdefault.jpg</v>
      </c>
      <c r="AM2896" t="s">
        <v>52</v>
      </c>
      <c r="AN2896" t="s">
        <v>53</v>
      </c>
    </row>
    <row r="2897" spans="1:40">
      <c r="A2897" t="s">
        <v>8081</v>
      </c>
      <c r="B2897" t="s">
        <v>9455</v>
      </c>
      <c r="C2897" t="s">
        <v>9394</v>
      </c>
      <c r="D2897" t="s">
        <v>9456</v>
      </c>
      <c r="E2897" t="s">
        <v>9457</v>
      </c>
      <c r="F2897" t="s">
        <v>45</v>
      </c>
      <c r="G2897" t="str">
        <f>HYPERLINK("https://www.youtube.com/watch?v=_6E_F5Toh-c")</f>
        <v>https://www.youtube.com/watch?v=_6E_F5Toh-c</v>
      </c>
      <c r="H2897" t="s">
        <v>46</v>
      </c>
      <c r="I2897" t="s">
        <v>9458</v>
      </c>
      <c r="J2897" t="str">
        <f>HYPERLINK("https://www.youtube.com/channel/UCDBxfCBVigHiHIQjTE_mWkg")</f>
        <v>https://www.youtube.com/channel/UCDBxfCBVigHiHIQjTE_mWkg</v>
      </c>
      <c r="K2897">
        <v>30</v>
      </c>
      <c r="N2897" t="s">
        <v>116</v>
      </c>
      <c r="O2897" t="s">
        <v>9458</v>
      </c>
      <c r="P2897" t="str">
        <f>HYPERLINK("https://www.youtube.com/channel/UCDBxfCBVigHiHIQjTE_mWkg")</f>
        <v>https://www.youtube.com/channel/UCDBxfCBVigHiHIQjTE_mWkg</v>
      </c>
      <c r="Q2897">
        <v>30</v>
      </c>
      <c r="R2897" t="s">
        <v>60</v>
      </c>
      <c r="W2897">
        <v>3</v>
      </c>
      <c r="X2897">
        <v>3</v>
      </c>
      <c r="AD2897">
        <v>0</v>
      </c>
      <c r="AE2897">
        <v>1</v>
      </c>
      <c r="AG2897">
        <v>9</v>
      </c>
      <c r="AI2897" t="s">
        <v>52</v>
      </c>
      <c r="AJ2897" t="s">
        <v>9459</v>
      </c>
      <c r="AK2897" t="s">
        <v>9460</v>
      </c>
      <c r="AL2897" t="str">
        <f>HYPERLINK("https://i.ytimg.com/vi/_6E_F5Toh-c/hqdefault.jpg")</f>
        <v>https://i.ytimg.com/vi/_6E_F5Toh-c/hqdefault.jpg</v>
      </c>
      <c r="AM2897" t="s">
        <v>52</v>
      </c>
      <c r="AN2897" t="s">
        <v>53</v>
      </c>
    </row>
    <row r="2898" spans="1:40">
      <c r="A2898" t="s">
        <v>8081</v>
      </c>
      <c r="B2898" t="s">
        <v>9455</v>
      </c>
      <c r="C2898" t="s">
        <v>9461</v>
      </c>
      <c r="D2898" t="s">
        <v>52</v>
      </c>
      <c r="E2898" t="s">
        <v>8659</v>
      </c>
      <c r="F2898" t="s">
        <v>71</v>
      </c>
      <c r="G2898" t="str">
        <f>HYPERLINK("https://twitter.com/895120956863074304/status/1142931007487672320")</f>
        <v>https://twitter.com/895120956863074304/status/1142931007487672320</v>
      </c>
      <c r="H2898" t="s">
        <v>46</v>
      </c>
      <c r="I2898" t="s">
        <v>9462</v>
      </c>
      <c r="J2898" t="str">
        <f>HYPERLINK("http://twitter.com/Kung_Fu_Kaylee")</f>
        <v>http://twitter.com/Kung_Fu_Kaylee</v>
      </c>
      <c r="K2898">
        <v>399</v>
      </c>
      <c r="N2898" t="s">
        <v>65</v>
      </c>
      <c r="R2898" t="s">
        <v>60</v>
      </c>
      <c r="S2898" t="s">
        <v>51</v>
      </c>
      <c r="T2898" t="s">
        <v>173</v>
      </c>
      <c r="U2898" t="s">
        <v>9463</v>
      </c>
      <c r="W2898">
        <v>0</v>
      </c>
      <c r="X2898">
        <v>0</v>
      </c>
      <c r="AE2898">
        <v>0</v>
      </c>
      <c r="AF2898">
        <v>0</v>
      </c>
      <c r="AI2898" t="s">
        <v>52</v>
      </c>
      <c r="AJ2898" t="s">
        <v>3639</v>
      </c>
      <c r="AK2898" t="s">
        <v>238</v>
      </c>
      <c r="AL2898" t="str">
        <f>HYPERLINK("https://pbs.twimg.com/media/D9jR1g0UYAAm_F_.jpg")</f>
        <v>https://pbs.twimg.com/media/D9jR1g0UYAAm_F_.jpg</v>
      </c>
      <c r="AM2898" t="s">
        <v>52</v>
      </c>
      <c r="AN2898" t="s">
        <v>53</v>
      </c>
    </row>
    <row r="2899" spans="1:40">
      <c r="A2899" t="s">
        <v>8081</v>
      </c>
      <c r="B2899" t="s">
        <v>9455</v>
      </c>
      <c r="C2899" t="s">
        <v>9464</v>
      </c>
      <c r="D2899" t="s">
        <v>52</v>
      </c>
      <c r="E2899" t="s">
        <v>1194</v>
      </c>
      <c r="F2899" t="s">
        <v>131</v>
      </c>
      <c r="G2899" t="str">
        <f>HYPERLINK("https://twitter.com/2921331853/status/1142930897899085824")</f>
        <v>https://twitter.com/2921331853/status/1142930897899085824</v>
      </c>
      <c r="H2899" t="s">
        <v>46</v>
      </c>
      <c r="I2899" t="s">
        <v>9465</v>
      </c>
      <c r="J2899" t="str">
        <f>HYPERLINK("http://twitter.com/Baeleyb")</f>
        <v>http://twitter.com/Baeleyb</v>
      </c>
      <c r="K2899">
        <v>438</v>
      </c>
      <c r="N2899" t="s">
        <v>65</v>
      </c>
      <c r="R2899" t="s">
        <v>60</v>
      </c>
      <c r="W2899">
        <v>0</v>
      </c>
      <c r="X2899">
        <v>0</v>
      </c>
      <c r="AE2899">
        <v>0</v>
      </c>
      <c r="AI2899" t="s">
        <v>52</v>
      </c>
      <c r="AJ2899" t="s">
        <v>1196</v>
      </c>
      <c r="AK2899" t="s">
        <v>52</v>
      </c>
      <c r="AL2899" t="str">
        <f>HYPERLINK("https://pbs.twimg.com/media/D9xgk2YXkAAd2ql.jpg")</f>
        <v>https://pbs.twimg.com/media/D9xgk2YXkAAd2ql.jpg</v>
      </c>
      <c r="AM2899" t="s">
        <v>52</v>
      </c>
      <c r="AN2899" t="s">
        <v>53</v>
      </c>
    </row>
    <row r="2900" spans="1:40">
      <c r="A2900" t="s">
        <v>8081</v>
      </c>
      <c r="B2900" t="s">
        <v>9455</v>
      </c>
      <c r="C2900" t="s">
        <v>9464</v>
      </c>
      <c r="D2900" t="s">
        <v>52</v>
      </c>
      <c r="E2900" t="s">
        <v>1194</v>
      </c>
      <c r="F2900" t="s">
        <v>131</v>
      </c>
      <c r="G2900" t="str">
        <f>HYPERLINK("https://twitter.com/780930188200677376/status/1142930889128595456")</f>
        <v>https://twitter.com/780930188200677376/status/1142930889128595456</v>
      </c>
      <c r="H2900" t="s">
        <v>46</v>
      </c>
      <c r="I2900" t="s">
        <v>9466</v>
      </c>
      <c r="J2900" t="str">
        <f>HYPERLINK("http://twitter.com/JuanitooGonz")</f>
        <v>http://twitter.com/JuanitooGonz</v>
      </c>
      <c r="K2900">
        <v>462</v>
      </c>
      <c r="L2900" t="s">
        <v>48</v>
      </c>
      <c r="N2900" t="s">
        <v>65</v>
      </c>
      <c r="R2900" t="s">
        <v>60</v>
      </c>
      <c r="S2900" t="s">
        <v>51</v>
      </c>
      <c r="T2900" t="s">
        <v>152</v>
      </c>
      <c r="U2900" t="s">
        <v>9467</v>
      </c>
      <c r="W2900">
        <v>0</v>
      </c>
      <c r="X2900">
        <v>0</v>
      </c>
      <c r="AE2900">
        <v>0</v>
      </c>
      <c r="AI2900" t="s">
        <v>52</v>
      </c>
      <c r="AJ2900" t="s">
        <v>1196</v>
      </c>
      <c r="AK2900" t="s">
        <v>52</v>
      </c>
      <c r="AL2900" t="str">
        <f>HYPERLINK("https://pbs.twimg.com/media/D9xgk2YXkAAd2ql.jpg")</f>
        <v>https://pbs.twimg.com/media/D9xgk2YXkAAd2ql.jpg</v>
      </c>
      <c r="AM2900" t="s">
        <v>52</v>
      </c>
      <c r="AN2900" t="s">
        <v>53</v>
      </c>
    </row>
    <row r="2901" spans="1:40">
      <c r="A2901" t="s">
        <v>8081</v>
      </c>
      <c r="B2901" t="s">
        <v>9455</v>
      </c>
      <c r="C2901" t="s">
        <v>9461</v>
      </c>
      <c r="D2901" t="s">
        <v>52</v>
      </c>
      <c r="E2901" t="s">
        <v>9468</v>
      </c>
      <c r="F2901" t="s">
        <v>131</v>
      </c>
      <c r="G2901" t="str">
        <f>HYPERLINK("https://twitter.com/44890606/status/1142930870514282496")</f>
        <v>https://twitter.com/44890606/status/1142930870514282496</v>
      </c>
      <c r="H2901" t="s">
        <v>46</v>
      </c>
      <c r="I2901" t="s">
        <v>9469</v>
      </c>
      <c r="J2901" t="str">
        <f>HYPERLINK("http://twitter.com/rinaaaagurl")</f>
        <v>http://twitter.com/rinaaaagurl</v>
      </c>
      <c r="K2901">
        <v>452</v>
      </c>
      <c r="N2901" t="s">
        <v>65</v>
      </c>
      <c r="R2901" t="s">
        <v>60</v>
      </c>
      <c r="S2901" t="s">
        <v>1947</v>
      </c>
      <c r="T2901" t="s">
        <v>2484</v>
      </c>
      <c r="U2901" t="s">
        <v>2485</v>
      </c>
      <c r="W2901">
        <v>0</v>
      </c>
      <c r="X2901">
        <v>0</v>
      </c>
      <c r="AE2901">
        <v>0</v>
      </c>
      <c r="AM2901" t="s">
        <v>52</v>
      </c>
      <c r="AN2901" t="s">
        <v>53</v>
      </c>
    </row>
    <row r="2902" spans="1:40">
      <c r="A2902" t="s">
        <v>8081</v>
      </c>
      <c r="B2902" t="s">
        <v>3741</v>
      </c>
      <c r="C2902" t="s">
        <v>9470</v>
      </c>
      <c r="D2902" t="s">
        <v>52</v>
      </c>
      <c r="E2902" t="s">
        <v>9471</v>
      </c>
      <c r="F2902" t="s">
        <v>45</v>
      </c>
      <c r="G2902" t="str">
        <f>HYPERLINK("https://twitter.com/1322681696/status/1142930808807788546")</f>
        <v>https://twitter.com/1322681696/status/1142930808807788546</v>
      </c>
      <c r="H2902" t="s">
        <v>91</v>
      </c>
      <c r="I2902" t="s">
        <v>9472</v>
      </c>
      <c r="J2902" t="str">
        <f>HYPERLINK("http://twitter.com/mj_reuben")</f>
        <v>http://twitter.com/mj_reuben</v>
      </c>
      <c r="K2902">
        <v>569</v>
      </c>
      <c r="L2902" t="s">
        <v>48</v>
      </c>
      <c r="N2902" t="s">
        <v>65</v>
      </c>
      <c r="R2902" t="s">
        <v>60</v>
      </c>
      <c r="S2902" t="s">
        <v>444</v>
      </c>
      <c r="T2902" t="s">
        <v>1062</v>
      </c>
      <c r="U2902" t="s">
        <v>3442</v>
      </c>
      <c r="W2902">
        <v>1</v>
      </c>
      <c r="X2902">
        <v>1</v>
      </c>
      <c r="AE2902">
        <v>0</v>
      </c>
      <c r="AF2902">
        <v>0</v>
      </c>
      <c r="AM2902" t="s">
        <v>52</v>
      </c>
      <c r="AN2902" t="s">
        <v>53</v>
      </c>
    </row>
    <row r="2903" spans="1:40">
      <c r="A2903" t="s">
        <v>8081</v>
      </c>
      <c r="B2903" t="s">
        <v>3741</v>
      </c>
      <c r="C2903" t="s">
        <v>9470</v>
      </c>
      <c r="D2903" t="s">
        <v>52</v>
      </c>
      <c r="E2903" t="s">
        <v>7787</v>
      </c>
      <c r="F2903" t="s">
        <v>45</v>
      </c>
      <c r="G2903" t="str">
        <f>HYPERLINK("https://twitter.com/177965338/status/1142930791409815557")</f>
        <v>https://twitter.com/177965338/status/1142930791409815557</v>
      </c>
      <c r="H2903" t="s">
        <v>46</v>
      </c>
      <c r="I2903" t="s">
        <v>9473</v>
      </c>
      <c r="J2903" t="str">
        <f>HYPERLINK("http://twitter.com/pedroypablo_")</f>
        <v>http://twitter.com/pedroypablo_</v>
      </c>
      <c r="K2903">
        <v>8065</v>
      </c>
      <c r="L2903" t="s">
        <v>58</v>
      </c>
      <c r="N2903" t="s">
        <v>65</v>
      </c>
      <c r="R2903" t="s">
        <v>60</v>
      </c>
      <c r="W2903">
        <v>28</v>
      </c>
      <c r="X2903">
        <v>28</v>
      </c>
      <c r="AE2903">
        <v>0</v>
      </c>
      <c r="AF2903">
        <v>2</v>
      </c>
      <c r="AM2903" t="s">
        <v>52</v>
      </c>
      <c r="AN2903" t="s">
        <v>53</v>
      </c>
    </row>
    <row r="2904" spans="1:40">
      <c r="A2904" t="s">
        <v>8081</v>
      </c>
      <c r="B2904" t="s">
        <v>3744</v>
      </c>
      <c r="C2904" t="s">
        <v>9474</v>
      </c>
      <c r="D2904" t="s">
        <v>52</v>
      </c>
      <c r="E2904" t="s">
        <v>9475</v>
      </c>
      <c r="F2904" t="s">
        <v>45</v>
      </c>
      <c r="G2904" t="str">
        <f>HYPERLINK("https://www.facebook.com/1565514057023872/posts/2309896409252296")</f>
        <v>https://www.facebook.com/1565514057023872/posts/2309896409252296</v>
      </c>
      <c r="H2904" t="s">
        <v>46</v>
      </c>
      <c r="I2904" t="s">
        <v>9476</v>
      </c>
      <c r="J2904" t="str">
        <f>HYPERLINK("https://www.facebook.com/1565514057023872")</f>
        <v>https://www.facebook.com/1565514057023872</v>
      </c>
      <c r="K2904">
        <v>4411</v>
      </c>
      <c r="L2904" t="s">
        <v>651</v>
      </c>
      <c r="N2904" t="s">
        <v>1792</v>
      </c>
      <c r="O2904" t="s">
        <v>9476</v>
      </c>
      <c r="P2904" t="str">
        <f>HYPERLINK("https://www.facebook.com/1565514057023872")</f>
        <v>https://www.facebook.com/1565514057023872</v>
      </c>
      <c r="Q2904">
        <v>4411</v>
      </c>
      <c r="R2904" t="s">
        <v>60</v>
      </c>
      <c r="W2904">
        <v>72</v>
      </c>
      <c r="X2904">
        <v>65</v>
      </c>
      <c r="Y2904">
        <v>2</v>
      </c>
      <c r="Z2904">
        <v>1</v>
      </c>
      <c r="AA2904">
        <v>4</v>
      </c>
      <c r="AB2904">
        <v>0</v>
      </c>
      <c r="AC2904">
        <v>0</v>
      </c>
      <c r="AE2904">
        <v>3</v>
      </c>
      <c r="AF2904">
        <v>4</v>
      </c>
      <c r="AI2904" t="s">
        <v>108</v>
      </c>
      <c r="AJ2904" t="s">
        <v>268</v>
      </c>
      <c r="AK2904" t="s">
        <v>52</v>
      </c>
      <c r="AL2904" t="str">
        <f>HYPERLINK("https://scontent.xx.fbcdn.net/v/t1.0-9/p720x720/64962359_2309894902585780_3304934788325965824_o.jpg?_nc_cat=104&amp;_nc_ht=scontent.xx&amp;oh=121b092047f50836fbf10f5f760d9c07&amp;oe=5DBBB6AC")</f>
        <v>https://scontent.xx.fbcdn.net/v/t1.0-9/p720x720/64962359_2309894902585780_3304934788325965824_o.jpg?_nc_cat=104&amp;_nc_ht=scontent.xx&amp;oh=121b092047f50836fbf10f5f760d9c07&amp;oe=5DBBB6AC</v>
      </c>
      <c r="AM2904" t="s">
        <v>52</v>
      </c>
      <c r="AN2904" t="s">
        <v>53</v>
      </c>
    </row>
    <row r="2905" spans="1:40">
      <c r="A2905" t="s">
        <v>8081</v>
      </c>
      <c r="B2905" t="s">
        <v>3744</v>
      </c>
      <c r="C2905" t="s">
        <v>9477</v>
      </c>
      <c r="D2905" t="s">
        <v>9478</v>
      </c>
      <c r="E2905" t="s">
        <v>9479</v>
      </c>
      <c r="F2905" t="s">
        <v>45</v>
      </c>
      <c r="G2905" t="str">
        <f>HYPERLINK("https://iwaspoisoned.com/incident/taco-bell-south-grand-avenue-fowlerville-mi-usa-221236")</f>
        <v>https://iwaspoisoned.com/incident/taco-bell-south-grand-avenue-fowlerville-mi-usa-221236</v>
      </c>
      <c r="H2905" t="s">
        <v>46</v>
      </c>
      <c r="I2905" t="s">
        <v>9480</v>
      </c>
      <c r="J2905" t="str">
        <f>HYPERLINK("https://iwaspoisoned.com/incident/taco-bell-south-grand-avenue-fowlerville-mi-usa-221236")</f>
        <v>https://iwaspoisoned.com/incident/taco-bell-south-grand-avenue-fowlerville-mi-usa-221236</v>
      </c>
      <c r="N2905" t="s">
        <v>9481</v>
      </c>
      <c r="R2905" t="s">
        <v>357</v>
      </c>
      <c r="S2905" t="s">
        <v>51</v>
      </c>
      <c r="AM2905" t="s">
        <v>52</v>
      </c>
      <c r="AN2905" t="s">
        <v>53</v>
      </c>
    </row>
    <row r="2906" spans="1:40">
      <c r="A2906" t="s">
        <v>8081</v>
      </c>
      <c r="B2906" t="s">
        <v>3744</v>
      </c>
      <c r="C2906" t="s">
        <v>9482</v>
      </c>
      <c r="D2906" t="s">
        <v>52</v>
      </c>
      <c r="E2906" t="s">
        <v>9483</v>
      </c>
      <c r="F2906" t="s">
        <v>45</v>
      </c>
      <c r="G2906" t="str">
        <f>HYPERLINK("https://www.facebook.com/46665999177/posts/10157174186174178")</f>
        <v>https://www.facebook.com/46665999177/posts/10157174186174178</v>
      </c>
      <c r="H2906" t="s">
        <v>46</v>
      </c>
      <c r="I2906" t="s">
        <v>108</v>
      </c>
      <c r="J2906" t="str">
        <f>HYPERLINK("https://www.facebook.com/46665999177")</f>
        <v>https://www.facebook.com/46665999177</v>
      </c>
      <c r="K2906">
        <v>16723464</v>
      </c>
      <c r="L2906" t="s">
        <v>651</v>
      </c>
      <c r="N2906" t="s">
        <v>1792</v>
      </c>
      <c r="O2906" t="s">
        <v>108</v>
      </c>
      <c r="P2906" t="str">
        <f>HYPERLINK("https://www.facebook.com/46665999177")</f>
        <v>https://www.facebook.com/46665999177</v>
      </c>
      <c r="Q2906">
        <v>16723464</v>
      </c>
      <c r="R2906" t="s">
        <v>60</v>
      </c>
      <c r="S2906" t="s">
        <v>774</v>
      </c>
      <c r="W2906">
        <v>28</v>
      </c>
      <c r="X2906">
        <v>21</v>
      </c>
      <c r="Y2906">
        <v>3</v>
      </c>
      <c r="Z2906">
        <v>3</v>
      </c>
      <c r="AA2906">
        <v>1</v>
      </c>
      <c r="AB2906">
        <v>0</v>
      </c>
      <c r="AC2906">
        <v>0</v>
      </c>
      <c r="AE2906">
        <v>10</v>
      </c>
      <c r="AF2906">
        <v>4</v>
      </c>
      <c r="AI2906" t="s">
        <v>52</v>
      </c>
      <c r="AJ2906" t="s">
        <v>52</v>
      </c>
      <c r="AK2906" t="s">
        <v>601</v>
      </c>
      <c r="AL2906" t="str">
        <f>HYPERLINK("https://scontent.xx.fbcdn.net/v/t15.5256-10/65309118_424182844833984_5189407201898266624_n.jpg?_nc_cat=106&amp;_nc_ht=scontent.xx&amp;oh=764d7e485df958192092e3a54f7df101&amp;oe=5DC4DEC9")</f>
        <v>https://scontent.xx.fbcdn.net/v/t15.5256-10/65309118_424182844833984_5189407201898266624_n.jpg?_nc_cat=106&amp;_nc_ht=scontent.xx&amp;oh=764d7e485df958192092e3a54f7df101&amp;oe=5DC4DEC9</v>
      </c>
      <c r="AM2906" t="s">
        <v>52</v>
      </c>
      <c r="AN2906" t="s">
        <v>53</v>
      </c>
    </row>
    <row r="2907" spans="1:40">
      <c r="A2907" t="s">
        <v>8081</v>
      </c>
      <c r="B2907" t="s">
        <v>3744</v>
      </c>
      <c r="C2907" t="s">
        <v>9484</v>
      </c>
      <c r="D2907" t="s">
        <v>52</v>
      </c>
      <c r="E2907" t="s">
        <v>9485</v>
      </c>
      <c r="F2907" t="s">
        <v>45</v>
      </c>
      <c r="G2907" t="str">
        <f>HYPERLINK("https://www.facebook.com/46665999177/posts/10157176753999178")</f>
        <v>https://www.facebook.com/46665999177/posts/10157176753999178</v>
      </c>
      <c r="H2907" t="s">
        <v>46</v>
      </c>
      <c r="I2907" t="s">
        <v>108</v>
      </c>
      <c r="J2907" t="str">
        <f>HYPERLINK("https://www.facebook.com/46665999177")</f>
        <v>https://www.facebook.com/46665999177</v>
      </c>
      <c r="K2907">
        <v>16723464</v>
      </c>
      <c r="L2907" t="s">
        <v>651</v>
      </c>
      <c r="N2907" t="s">
        <v>1792</v>
      </c>
      <c r="O2907" t="s">
        <v>108</v>
      </c>
      <c r="P2907" t="str">
        <f>HYPERLINK("https://www.facebook.com/46665999177")</f>
        <v>https://www.facebook.com/46665999177</v>
      </c>
      <c r="Q2907">
        <v>16723464</v>
      </c>
      <c r="R2907" t="s">
        <v>60</v>
      </c>
      <c r="S2907" t="s">
        <v>774</v>
      </c>
      <c r="W2907">
        <v>15</v>
      </c>
      <c r="X2907">
        <v>12</v>
      </c>
      <c r="Y2907">
        <v>3</v>
      </c>
      <c r="Z2907">
        <v>0</v>
      </c>
      <c r="AA2907">
        <v>0</v>
      </c>
      <c r="AB2907">
        <v>0</v>
      </c>
      <c r="AC2907">
        <v>0</v>
      </c>
      <c r="AE2907">
        <v>4</v>
      </c>
      <c r="AF2907">
        <v>3</v>
      </c>
      <c r="AI2907" t="s">
        <v>52</v>
      </c>
      <c r="AJ2907" t="s">
        <v>52</v>
      </c>
      <c r="AK2907" t="s">
        <v>601</v>
      </c>
      <c r="AL2907" t="str">
        <f>HYPERLINK("https://scontent.xx.fbcdn.net/v/t15.5256-10/65206792_474616103345547_815072681249472512_n.jpg?_nc_cat=108&amp;_nc_ht=scontent.xx&amp;oh=90a57467bbcbf57f40709b64ddd9139f&amp;oe=5D8B8E4C")</f>
        <v>https://scontent.xx.fbcdn.net/v/t15.5256-10/65206792_474616103345547_815072681249472512_n.jpg?_nc_cat=108&amp;_nc_ht=scontent.xx&amp;oh=90a57467bbcbf57f40709b64ddd9139f&amp;oe=5D8B8E4C</v>
      </c>
      <c r="AM2907" t="s">
        <v>52</v>
      </c>
      <c r="AN2907" t="s">
        <v>53</v>
      </c>
    </row>
    <row r="2908" spans="1:40">
      <c r="A2908" t="s">
        <v>8081</v>
      </c>
      <c r="B2908" t="s">
        <v>3755</v>
      </c>
      <c r="C2908" t="s">
        <v>9461</v>
      </c>
      <c r="D2908" t="s">
        <v>52</v>
      </c>
      <c r="E2908" t="s">
        <v>9486</v>
      </c>
      <c r="F2908" t="s">
        <v>71</v>
      </c>
      <c r="G2908" t="str">
        <f>HYPERLINK("https://twitter.com/595666084/status/1142930237870805001")</f>
        <v>https://twitter.com/595666084/status/1142930237870805001</v>
      </c>
      <c r="H2908" t="s">
        <v>46</v>
      </c>
      <c r="I2908" t="s">
        <v>9487</v>
      </c>
      <c r="J2908" t="str">
        <f>HYPERLINK("http://twitter.com/DannyAdams93")</f>
        <v>http://twitter.com/DannyAdams93</v>
      </c>
      <c r="K2908">
        <v>1501</v>
      </c>
      <c r="N2908" t="s">
        <v>65</v>
      </c>
      <c r="R2908" t="s">
        <v>60</v>
      </c>
      <c r="S2908" t="s">
        <v>51</v>
      </c>
      <c r="T2908" t="s">
        <v>2200</v>
      </c>
      <c r="U2908" t="s">
        <v>3790</v>
      </c>
      <c r="W2908">
        <v>7</v>
      </c>
      <c r="X2908">
        <v>7</v>
      </c>
      <c r="AE2908">
        <v>0</v>
      </c>
      <c r="AF2908">
        <v>0</v>
      </c>
      <c r="AM2908" t="s">
        <v>52</v>
      </c>
      <c r="AN2908" t="s">
        <v>53</v>
      </c>
    </row>
    <row r="2909" spans="1:40">
      <c r="A2909" t="s">
        <v>8081</v>
      </c>
      <c r="B2909" t="s">
        <v>3758</v>
      </c>
      <c r="C2909" t="s">
        <v>7409</v>
      </c>
      <c r="D2909" t="s">
        <v>52</v>
      </c>
      <c r="E2909" t="s">
        <v>9488</v>
      </c>
      <c r="F2909" t="s">
        <v>45</v>
      </c>
      <c r="G2909" t="str">
        <f>HYPERLINK("https://www.instagram.com/p/BzEeL-ij19I")</f>
        <v>https://www.instagram.com/p/BzEeL-ij19I</v>
      </c>
      <c r="H2909" t="s">
        <v>46</v>
      </c>
      <c r="I2909" t="s">
        <v>9489</v>
      </c>
      <c r="J2909" t="str">
        <f>HYPERLINK("http://instagram.com/barbpostz")</f>
        <v>http://instagram.com/barbpostz</v>
      </c>
      <c r="K2909">
        <v>2731</v>
      </c>
      <c r="N2909" t="s">
        <v>59</v>
      </c>
      <c r="O2909" t="s">
        <v>9489</v>
      </c>
      <c r="P2909" t="str">
        <f>HYPERLINK("http://instagram.com/barbpostz")</f>
        <v>http://instagram.com/barbpostz</v>
      </c>
      <c r="Q2909">
        <v>2731</v>
      </c>
      <c r="R2909" t="s">
        <v>60</v>
      </c>
      <c r="W2909">
        <v>22971</v>
      </c>
      <c r="X2909">
        <v>22971</v>
      </c>
      <c r="AE2909">
        <v>209</v>
      </c>
      <c r="AI2909" t="s">
        <v>108</v>
      </c>
      <c r="AJ2909" t="s">
        <v>52</v>
      </c>
      <c r="AK2909" t="s">
        <v>52</v>
      </c>
      <c r="AL2909" t="str">
        <f>HYPERLINK("https://www.instagram.com/p/BzEeL-ij19I/media/?size=l")</f>
        <v>https://www.instagram.com/p/BzEeL-ij19I/media/?size=l</v>
      </c>
      <c r="AM2909" t="s">
        <v>52</v>
      </c>
      <c r="AN2909" t="s">
        <v>53</v>
      </c>
    </row>
    <row r="2910" spans="1:40">
      <c r="A2910" t="s">
        <v>8081</v>
      </c>
      <c r="B2910" t="s">
        <v>3762</v>
      </c>
      <c r="C2910" t="s">
        <v>9461</v>
      </c>
      <c r="D2910" t="s">
        <v>52</v>
      </c>
      <c r="E2910" t="s">
        <v>9490</v>
      </c>
      <c r="F2910" t="s">
        <v>71</v>
      </c>
      <c r="G2910" t="str">
        <f>HYPERLINK("https://twitter.com/98816315/status/1142929734873096192")</f>
        <v>https://twitter.com/98816315/status/1142929734873096192</v>
      </c>
      <c r="H2910" t="s">
        <v>46</v>
      </c>
      <c r="I2910" t="s">
        <v>9491</v>
      </c>
      <c r="J2910" t="str">
        <f>HYPERLINK("http://twitter.com/GTjumperzo")</f>
        <v>http://twitter.com/GTjumperzo</v>
      </c>
      <c r="K2910">
        <v>1155</v>
      </c>
      <c r="L2910" t="s">
        <v>48</v>
      </c>
      <c r="N2910" t="s">
        <v>65</v>
      </c>
      <c r="R2910" t="s">
        <v>60</v>
      </c>
      <c r="S2910" t="s">
        <v>51</v>
      </c>
      <c r="T2910" t="s">
        <v>160</v>
      </c>
      <c r="U2910" t="s">
        <v>2658</v>
      </c>
      <c r="W2910">
        <v>1</v>
      </c>
      <c r="X2910">
        <v>1</v>
      </c>
      <c r="AE2910">
        <v>0</v>
      </c>
      <c r="AF2910">
        <v>0</v>
      </c>
      <c r="AM2910" t="s">
        <v>52</v>
      </c>
      <c r="AN2910" t="s">
        <v>53</v>
      </c>
    </row>
    <row r="2911" spans="1:40">
      <c r="A2911" t="s">
        <v>8081</v>
      </c>
      <c r="B2911" t="s">
        <v>9492</v>
      </c>
      <c r="C2911" t="s">
        <v>9493</v>
      </c>
      <c r="D2911" t="s">
        <v>52</v>
      </c>
      <c r="E2911" t="s">
        <v>5043</v>
      </c>
      <c r="F2911" t="s">
        <v>131</v>
      </c>
      <c r="G2911" t="str">
        <f>HYPERLINK("https://twitter.com/4035248535/status/1142929512403034115")</f>
        <v>https://twitter.com/4035248535/status/1142929512403034115</v>
      </c>
      <c r="H2911" t="s">
        <v>46</v>
      </c>
      <c r="I2911" t="s">
        <v>9494</v>
      </c>
      <c r="J2911" t="str">
        <f>HYPERLINK("http://twitter.com/BelenCamejoo2")</f>
        <v>http://twitter.com/BelenCamejoo2</v>
      </c>
      <c r="K2911">
        <v>574</v>
      </c>
      <c r="N2911" t="s">
        <v>65</v>
      </c>
      <c r="R2911" t="s">
        <v>60</v>
      </c>
      <c r="S2911" t="s">
        <v>9495</v>
      </c>
      <c r="T2911" t="s">
        <v>9496</v>
      </c>
      <c r="U2911" t="s">
        <v>9497</v>
      </c>
      <c r="W2911">
        <v>0</v>
      </c>
      <c r="X2911">
        <v>0</v>
      </c>
      <c r="AE2911">
        <v>0</v>
      </c>
      <c r="AM2911" t="s">
        <v>52</v>
      </c>
      <c r="AN2911" t="s">
        <v>53</v>
      </c>
    </row>
    <row r="2912" spans="1:40">
      <c r="A2912" t="s">
        <v>8081</v>
      </c>
      <c r="B2912" t="s">
        <v>9492</v>
      </c>
      <c r="C2912" t="s">
        <v>9429</v>
      </c>
      <c r="D2912" t="s">
        <v>52</v>
      </c>
      <c r="E2912" t="s">
        <v>9498</v>
      </c>
      <c r="F2912" t="s">
        <v>45</v>
      </c>
      <c r="G2912" t="str">
        <f>HYPERLINK("https://www.instagram.com/p/BzEd_WAh8Ef")</f>
        <v>https://www.instagram.com/p/BzEd_WAh8Ef</v>
      </c>
      <c r="H2912" t="s">
        <v>46</v>
      </c>
      <c r="I2912" t="s">
        <v>9499</v>
      </c>
      <c r="J2912" t="str">
        <f>HYPERLINK("http://instagram.com/janisevans")</f>
        <v>http://instagram.com/janisevans</v>
      </c>
      <c r="K2912">
        <v>742</v>
      </c>
      <c r="N2912" t="s">
        <v>59</v>
      </c>
      <c r="O2912" t="s">
        <v>9499</v>
      </c>
      <c r="P2912" t="str">
        <f>HYPERLINK("http://instagram.com/janisevans")</f>
        <v>http://instagram.com/janisevans</v>
      </c>
      <c r="Q2912">
        <v>742</v>
      </c>
      <c r="R2912" t="s">
        <v>60</v>
      </c>
      <c r="W2912">
        <v>44</v>
      </c>
      <c r="X2912">
        <v>44</v>
      </c>
      <c r="AE2912">
        <v>0</v>
      </c>
      <c r="AI2912" t="s">
        <v>52</v>
      </c>
      <c r="AJ2912" t="s">
        <v>52</v>
      </c>
      <c r="AK2912" t="s">
        <v>52</v>
      </c>
      <c r="AL2912" t="str">
        <f>HYPERLINK("https://www.instagram.com/p/BzEd_WAh8Ef/media/?size=l")</f>
        <v>https://www.instagram.com/p/BzEd_WAh8Ef/media/?size=l</v>
      </c>
      <c r="AM2912" t="s">
        <v>52</v>
      </c>
      <c r="AN2912" t="s">
        <v>53</v>
      </c>
    </row>
    <row r="2913" spans="1:40">
      <c r="A2913" t="s">
        <v>8081</v>
      </c>
      <c r="B2913" t="s">
        <v>9492</v>
      </c>
      <c r="C2913" t="s">
        <v>6896</v>
      </c>
      <c r="D2913" t="s">
        <v>9500</v>
      </c>
      <c r="E2913" t="s">
        <v>9501</v>
      </c>
      <c r="F2913" t="s">
        <v>45</v>
      </c>
      <c r="G2913" t="str">
        <f>HYPERLINK("https://plasticjones.wordpress.com/2019/06/23/what-am-i-watching")</f>
        <v>https://plasticjones.wordpress.com/2019/06/23/what-am-i-watching</v>
      </c>
      <c r="H2913" t="s">
        <v>215</v>
      </c>
      <c r="I2913" t="s">
        <v>9502</v>
      </c>
      <c r="J2913" t="str">
        <f>HYPERLINK("https://plasticjones.wordpress.com/2019/06/23/what-am-i-watching/")</f>
        <v>https://plasticjones.wordpress.com/2019/06/23/what-am-i-watching/</v>
      </c>
      <c r="N2913" t="s">
        <v>2991</v>
      </c>
      <c r="R2913" t="s">
        <v>50</v>
      </c>
      <c r="S2913" t="s">
        <v>51</v>
      </c>
      <c r="AM2913" t="s">
        <v>52</v>
      </c>
      <c r="AN2913" t="s">
        <v>53</v>
      </c>
    </row>
    <row r="2914" spans="1:40">
      <c r="A2914" t="s">
        <v>8081</v>
      </c>
      <c r="B2914" t="s">
        <v>3771</v>
      </c>
      <c r="C2914" t="s">
        <v>9503</v>
      </c>
      <c r="D2914" t="s">
        <v>52</v>
      </c>
      <c r="E2914" t="s">
        <v>1194</v>
      </c>
      <c r="F2914" t="s">
        <v>131</v>
      </c>
      <c r="G2914" t="str">
        <f>HYPERLINK("https://twitter.com/194864662/status/1142929087402582016")</f>
        <v>https://twitter.com/194864662/status/1142929087402582016</v>
      </c>
      <c r="H2914" t="s">
        <v>46</v>
      </c>
      <c r="I2914" t="s">
        <v>52</v>
      </c>
      <c r="J2914" t="str">
        <f>HYPERLINK("http://twitter.com/CronopiaMayor")</f>
        <v>http://twitter.com/CronopiaMayor</v>
      </c>
      <c r="K2914">
        <v>337</v>
      </c>
      <c r="N2914" t="s">
        <v>65</v>
      </c>
      <c r="R2914" t="s">
        <v>60</v>
      </c>
      <c r="S2914" t="s">
        <v>2118</v>
      </c>
      <c r="T2914" t="s">
        <v>9504</v>
      </c>
      <c r="U2914" t="s">
        <v>9504</v>
      </c>
      <c r="W2914">
        <v>0</v>
      </c>
      <c r="X2914">
        <v>0</v>
      </c>
      <c r="AE2914">
        <v>0</v>
      </c>
      <c r="AI2914" t="s">
        <v>52</v>
      </c>
      <c r="AJ2914" t="s">
        <v>1196</v>
      </c>
      <c r="AK2914" t="s">
        <v>52</v>
      </c>
      <c r="AL2914" t="str">
        <f>HYPERLINK("https://pbs.twimg.com/media/D9xgk2YXkAAd2ql.jpg")</f>
        <v>https://pbs.twimg.com/media/D9xgk2YXkAAd2ql.jpg</v>
      </c>
      <c r="AM2914" t="s">
        <v>52</v>
      </c>
      <c r="AN2914" t="s">
        <v>53</v>
      </c>
    </row>
    <row r="2915" spans="1:40">
      <c r="A2915" t="s">
        <v>8081</v>
      </c>
      <c r="B2915" t="s">
        <v>3774</v>
      </c>
      <c r="C2915" t="s">
        <v>9505</v>
      </c>
      <c r="D2915" t="s">
        <v>52</v>
      </c>
      <c r="E2915" t="s">
        <v>7318</v>
      </c>
      <c r="F2915" t="s">
        <v>131</v>
      </c>
      <c r="G2915" t="str">
        <f>HYPERLINK("https://twitter.com/878700571/status/1142929068649779201")</f>
        <v>https://twitter.com/878700571/status/1142929068649779201</v>
      </c>
      <c r="H2915" t="s">
        <v>46</v>
      </c>
      <c r="I2915" t="s">
        <v>9506</v>
      </c>
      <c r="J2915" t="str">
        <f>HYPERLINK("http://twitter.com/veIouria_")</f>
        <v>http://twitter.com/veIouria_</v>
      </c>
      <c r="K2915">
        <v>121</v>
      </c>
      <c r="N2915" t="s">
        <v>65</v>
      </c>
      <c r="R2915" t="s">
        <v>60</v>
      </c>
      <c r="S2915" t="s">
        <v>7641</v>
      </c>
      <c r="T2915" t="s">
        <v>9507</v>
      </c>
      <c r="U2915" t="s">
        <v>9508</v>
      </c>
      <c r="W2915">
        <v>0</v>
      </c>
      <c r="X2915">
        <v>0</v>
      </c>
      <c r="AE2915">
        <v>0</v>
      </c>
      <c r="AM2915" t="s">
        <v>52</v>
      </c>
      <c r="AN2915" t="s">
        <v>53</v>
      </c>
    </row>
    <row r="2916" spans="1:40">
      <c r="A2916" t="s">
        <v>8081</v>
      </c>
      <c r="B2916" t="s">
        <v>3774</v>
      </c>
      <c r="C2916" t="s">
        <v>9505</v>
      </c>
      <c r="D2916" t="s">
        <v>52</v>
      </c>
      <c r="E2916" t="s">
        <v>9509</v>
      </c>
      <c r="F2916" t="s">
        <v>45</v>
      </c>
      <c r="G2916" t="str">
        <f>HYPERLINK("https://twitter.com/1112787804558254080/status/1142929047376150528")</f>
        <v>https://twitter.com/1112787804558254080/status/1142929047376150528</v>
      </c>
      <c r="H2916" t="s">
        <v>46</v>
      </c>
      <c r="I2916" t="s">
        <v>9510</v>
      </c>
      <c r="J2916" t="str">
        <f>HYPERLINK("http://twitter.com/AshFutaKitsune")</f>
        <v>http://twitter.com/AshFutaKitsune</v>
      </c>
      <c r="K2916">
        <v>683</v>
      </c>
      <c r="N2916" t="s">
        <v>65</v>
      </c>
      <c r="R2916" t="s">
        <v>60</v>
      </c>
      <c r="W2916">
        <v>6</v>
      </c>
      <c r="X2916">
        <v>6</v>
      </c>
      <c r="AE2916">
        <v>2</v>
      </c>
      <c r="AF2916">
        <v>0</v>
      </c>
      <c r="AM2916" t="s">
        <v>52</v>
      </c>
      <c r="AN2916" t="s">
        <v>53</v>
      </c>
    </row>
    <row r="2917" spans="1:40">
      <c r="A2917" t="s">
        <v>8081</v>
      </c>
      <c r="B2917" t="s">
        <v>3774</v>
      </c>
      <c r="C2917" t="s">
        <v>9511</v>
      </c>
      <c r="D2917" t="s">
        <v>52</v>
      </c>
      <c r="E2917" t="s">
        <v>130</v>
      </c>
      <c r="F2917" t="s">
        <v>131</v>
      </c>
      <c r="G2917" t="str">
        <f>HYPERLINK("https://twitter.com/367328884/status/1142929032914309121")</f>
        <v>https://twitter.com/367328884/status/1142929032914309121</v>
      </c>
      <c r="H2917" t="s">
        <v>46</v>
      </c>
      <c r="I2917" t="s">
        <v>4794</v>
      </c>
      <c r="J2917" t="str">
        <f>HYPERLINK("http://twitter.com/katscreamy")</f>
        <v>http://twitter.com/katscreamy</v>
      </c>
      <c r="K2917">
        <v>1130</v>
      </c>
      <c r="N2917" t="s">
        <v>65</v>
      </c>
      <c r="R2917" t="s">
        <v>60</v>
      </c>
      <c r="S2917" t="s">
        <v>97</v>
      </c>
      <c r="T2917" t="s">
        <v>177</v>
      </c>
      <c r="W2917">
        <v>0</v>
      </c>
      <c r="X2917">
        <v>0</v>
      </c>
      <c r="AE2917">
        <v>0</v>
      </c>
      <c r="AI2917" t="s">
        <v>108</v>
      </c>
      <c r="AJ2917" t="s">
        <v>52</v>
      </c>
      <c r="AK2917" t="s">
        <v>52</v>
      </c>
      <c r="AL2917" t="str">
        <f>HYPERLINK("https://pbs.twimg.com/media/D9XTkLWW4AAOYnJ.jpg")</f>
        <v>https://pbs.twimg.com/media/D9XTkLWW4AAOYnJ.jpg</v>
      </c>
      <c r="AM2917" t="s">
        <v>52</v>
      </c>
      <c r="AN2917" t="s">
        <v>53</v>
      </c>
    </row>
    <row r="2918" spans="1:40">
      <c r="A2918" t="s">
        <v>8081</v>
      </c>
      <c r="B2918" t="s">
        <v>3774</v>
      </c>
      <c r="C2918" t="s">
        <v>9512</v>
      </c>
      <c r="D2918" t="s">
        <v>52</v>
      </c>
      <c r="E2918" t="s">
        <v>3749</v>
      </c>
      <c r="F2918" t="s">
        <v>71</v>
      </c>
      <c r="G2918" t="str">
        <f>HYPERLINK("https://twitter.com/1030866830/status/1142928989968850944")</f>
        <v>https://twitter.com/1030866830/status/1142928989968850944</v>
      </c>
      <c r="H2918" t="s">
        <v>46</v>
      </c>
      <c r="I2918" t="s">
        <v>52</v>
      </c>
      <c r="J2918" t="str">
        <f>HYPERLINK("http://twitter.com/X_BRUHHH")</f>
        <v>http://twitter.com/X_BRUHHH</v>
      </c>
      <c r="K2918">
        <v>3210</v>
      </c>
      <c r="N2918" t="s">
        <v>65</v>
      </c>
      <c r="R2918" t="s">
        <v>60</v>
      </c>
      <c r="S2918" t="s">
        <v>1071</v>
      </c>
      <c r="T2918" t="s">
        <v>1072</v>
      </c>
      <c r="U2918" t="s">
        <v>1295</v>
      </c>
      <c r="W2918">
        <v>0</v>
      </c>
      <c r="X2918">
        <v>0</v>
      </c>
      <c r="AE2918">
        <v>0</v>
      </c>
      <c r="AF2918">
        <v>0</v>
      </c>
      <c r="AI2918" t="s">
        <v>108</v>
      </c>
      <c r="AJ2918" t="s">
        <v>52</v>
      </c>
      <c r="AK2918" t="s">
        <v>52</v>
      </c>
      <c r="AL2918" t="str">
        <f>HYPERLINK("https://pbs.twimg.com/media/D9sAXHUX4AA6vJs.jpg")</f>
        <v>https://pbs.twimg.com/media/D9sAXHUX4AA6vJs.jpg</v>
      </c>
      <c r="AM2918" t="s">
        <v>52</v>
      </c>
      <c r="AN2918" t="s">
        <v>53</v>
      </c>
    </row>
    <row r="2919" spans="1:40">
      <c r="A2919" t="s">
        <v>8081</v>
      </c>
      <c r="B2919" t="s">
        <v>3774</v>
      </c>
      <c r="C2919" t="s">
        <v>9512</v>
      </c>
      <c r="D2919" t="s">
        <v>52</v>
      </c>
      <c r="E2919" t="s">
        <v>5043</v>
      </c>
      <c r="F2919" t="s">
        <v>45</v>
      </c>
      <c r="G2919" t="str">
        <f>HYPERLINK("https://twitter.com/2180025632/status/1142928971987914753")</f>
        <v>https://twitter.com/2180025632/status/1142928971987914753</v>
      </c>
      <c r="H2919" t="s">
        <v>46</v>
      </c>
      <c r="I2919" t="s">
        <v>9513</v>
      </c>
      <c r="J2919" t="str">
        <f>HYPERLINK("http://twitter.com/carmuu23")</f>
        <v>http://twitter.com/carmuu23</v>
      </c>
      <c r="K2919">
        <v>2003</v>
      </c>
      <c r="N2919" t="s">
        <v>65</v>
      </c>
      <c r="R2919" t="s">
        <v>60</v>
      </c>
      <c r="W2919">
        <v>7</v>
      </c>
      <c r="X2919">
        <v>7</v>
      </c>
      <c r="AE2919">
        <v>1</v>
      </c>
      <c r="AF2919">
        <v>12</v>
      </c>
      <c r="AM2919" t="s">
        <v>52</v>
      </c>
      <c r="AN2919" t="s">
        <v>53</v>
      </c>
    </row>
    <row r="2920" spans="1:40">
      <c r="A2920" t="s">
        <v>8081</v>
      </c>
      <c r="B2920" t="s">
        <v>3774</v>
      </c>
      <c r="C2920" t="s">
        <v>9493</v>
      </c>
      <c r="D2920" t="s">
        <v>52</v>
      </c>
      <c r="E2920" t="s">
        <v>1194</v>
      </c>
      <c r="F2920" t="s">
        <v>131</v>
      </c>
      <c r="G2920" t="str">
        <f>HYPERLINK("https://twitter.com/965140786365939712/status/1142928967202009089")</f>
        <v>https://twitter.com/965140786365939712/status/1142928967202009089</v>
      </c>
      <c r="H2920" t="s">
        <v>46</v>
      </c>
      <c r="I2920" t="s">
        <v>5390</v>
      </c>
      <c r="J2920" t="str">
        <f>HYPERLINK("http://twitter.com/ButteryCarbs")</f>
        <v>http://twitter.com/ButteryCarbs</v>
      </c>
      <c r="K2920">
        <v>47</v>
      </c>
      <c r="L2920" t="s">
        <v>48</v>
      </c>
      <c r="N2920" t="s">
        <v>65</v>
      </c>
      <c r="R2920" t="s">
        <v>60</v>
      </c>
      <c r="S2920" t="s">
        <v>51</v>
      </c>
      <c r="T2920" t="s">
        <v>2522</v>
      </c>
      <c r="U2920" t="s">
        <v>4048</v>
      </c>
      <c r="W2920">
        <v>0</v>
      </c>
      <c r="X2920">
        <v>0</v>
      </c>
      <c r="AE2920">
        <v>0</v>
      </c>
      <c r="AI2920" t="s">
        <v>52</v>
      </c>
      <c r="AJ2920" t="s">
        <v>1196</v>
      </c>
      <c r="AK2920" t="s">
        <v>52</v>
      </c>
      <c r="AL2920" t="str">
        <f>HYPERLINK("https://pbs.twimg.com/media/D9xgk2YXkAAd2ql.jpg")</f>
        <v>https://pbs.twimg.com/media/D9xgk2YXkAAd2ql.jpg</v>
      </c>
      <c r="AM2920" t="s">
        <v>52</v>
      </c>
      <c r="AN2920" t="s">
        <v>53</v>
      </c>
    </row>
    <row r="2921" spans="1:40">
      <c r="A2921" t="s">
        <v>8081</v>
      </c>
      <c r="B2921" t="s">
        <v>3774</v>
      </c>
      <c r="C2921" t="s">
        <v>9493</v>
      </c>
      <c r="D2921" t="s">
        <v>52</v>
      </c>
      <c r="E2921" t="s">
        <v>1194</v>
      </c>
      <c r="F2921" t="s">
        <v>131</v>
      </c>
      <c r="G2921" t="str">
        <f>HYPERLINK("https://twitter.com/1063268490646249473/status/1142928940878716928")</f>
        <v>https://twitter.com/1063268490646249473/status/1142928940878716928</v>
      </c>
      <c r="H2921" t="s">
        <v>46</v>
      </c>
      <c r="I2921" t="s">
        <v>52</v>
      </c>
      <c r="J2921" t="str">
        <f>HYPERLINK("http://twitter.com/StonerSkank")</f>
        <v>http://twitter.com/StonerSkank</v>
      </c>
      <c r="K2921">
        <v>48</v>
      </c>
      <c r="N2921" t="s">
        <v>65</v>
      </c>
      <c r="R2921" t="s">
        <v>60</v>
      </c>
      <c r="W2921">
        <v>0</v>
      </c>
      <c r="X2921">
        <v>0</v>
      </c>
      <c r="AE2921">
        <v>0</v>
      </c>
      <c r="AI2921" t="s">
        <v>52</v>
      </c>
      <c r="AJ2921" t="s">
        <v>1196</v>
      </c>
      <c r="AK2921" t="s">
        <v>52</v>
      </c>
      <c r="AL2921" t="str">
        <f>HYPERLINK("https://pbs.twimg.com/media/D9xgk2YXkAAd2ql.jpg")</f>
        <v>https://pbs.twimg.com/media/D9xgk2YXkAAd2ql.jpg</v>
      </c>
      <c r="AM2921" t="s">
        <v>52</v>
      </c>
      <c r="AN2921" t="s">
        <v>53</v>
      </c>
    </row>
    <row r="2922" spans="1:40">
      <c r="A2922" t="s">
        <v>8081</v>
      </c>
      <c r="B2922" t="s">
        <v>3774</v>
      </c>
      <c r="C2922" t="s">
        <v>9514</v>
      </c>
      <c r="D2922" t="s">
        <v>52</v>
      </c>
      <c r="E2922" t="s">
        <v>3749</v>
      </c>
      <c r="F2922" t="s">
        <v>71</v>
      </c>
      <c r="G2922" t="str">
        <f>HYPERLINK("https://twitter.com/714582484776828928/status/1142928875430785025")</f>
        <v>https://twitter.com/714582484776828928/status/1142928875430785025</v>
      </c>
      <c r="H2922" t="s">
        <v>46</v>
      </c>
      <c r="I2922" t="s">
        <v>52</v>
      </c>
      <c r="J2922" t="str">
        <f>HYPERLINK("http://twitter.com/MalaikaThe2nd")</f>
        <v>http://twitter.com/MalaikaThe2nd</v>
      </c>
      <c r="K2922">
        <v>699</v>
      </c>
      <c r="N2922" t="s">
        <v>65</v>
      </c>
      <c r="R2922" t="s">
        <v>60</v>
      </c>
      <c r="W2922">
        <v>0</v>
      </c>
      <c r="X2922">
        <v>0</v>
      </c>
      <c r="AE2922">
        <v>0</v>
      </c>
      <c r="AF2922">
        <v>0</v>
      </c>
      <c r="AI2922" t="s">
        <v>108</v>
      </c>
      <c r="AJ2922" t="s">
        <v>52</v>
      </c>
      <c r="AK2922" t="s">
        <v>52</v>
      </c>
      <c r="AL2922" t="str">
        <f>HYPERLINK("https://pbs.twimg.com/media/D9sAXHUX4AA6vJs.jpg")</f>
        <v>https://pbs.twimg.com/media/D9sAXHUX4AA6vJs.jpg</v>
      </c>
      <c r="AM2922" t="s">
        <v>52</v>
      </c>
      <c r="AN2922" t="s">
        <v>53</v>
      </c>
    </row>
    <row r="2923" spans="1:40">
      <c r="A2923" t="s">
        <v>8081</v>
      </c>
      <c r="B2923" t="s">
        <v>3774</v>
      </c>
      <c r="C2923" t="s">
        <v>9515</v>
      </c>
      <c r="D2923" t="s">
        <v>52</v>
      </c>
      <c r="E2923" t="s">
        <v>1194</v>
      </c>
      <c r="F2923" t="s">
        <v>131</v>
      </c>
      <c r="G2923" t="str">
        <f>HYPERLINK("https://twitter.com/209313855/status/1142928842941784065")</f>
        <v>https://twitter.com/209313855/status/1142928842941784065</v>
      </c>
      <c r="H2923" t="s">
        <v>46</v>
      </c>
      <c r="I2923" t="s">
        <v>9516</v>
      </c>
      <c r="J2923" t="str">
        <f>HYPERLINK("http://twitter.com/FuckMan_Shit")</f>
        <v>http://twitter.com/FuckMan_Shit</v>
      </c>
      <c r="K2923">
        <v>186</v>
      </c>
      <c r="N2923" t="s">
        <v>65</v>
      </c>
      <c r="R2923" t="s">
        <v>60</v>
      </c>
      <c r="S2923" t="s">
        <v>51</v>
      </c>
      <c r="T2923" t="s">
        <v>380</v>
      </c>
      <c r="U2923" t="s">
        <v>380</v>
      </c>
      <c r="W2923">
        <v>0</v>
      </c>
      <c r="X2923">
        <v>0</v>
      </c>
      <c r="AE2923">
        <v>0</v>
      </c>
      <c r="AI2923" t="s">
        <v>52</v>
      </c>
      <c r="AJ2923" t="s">
        <v>1196</v>
      </c>
      <c r="AK2923" t="s">
        <v>52</v>
      </c>
      <c r="AL2923" t="str">
        <f>HYPERLINK("https://pbs.twimg.com/media/D9xgk2YXkAAd2ql.jpg")</f>
        <v>https://pbs.twimg.com/media/D9xgk2YXkAAd2ql.jpg</v>
      </c>
      <c r="AM2923" t="s">
        <v>52</v>
      </c>
      <c r="AN2923" t="s">
        <v>53</v>
      </c>
    </row>
    <row r="2924" spans="1:40">
      <c r="A2924" t="s">
        <v>8081</v>
      </c>
      <c r="B2924" t="s">
        <v>3779</v>
      </c>
      <c r="C2924" t="s">
        <v>9515</v>
      </c>
      <c r="D2924" t="s">
        <v>52</v>
      </c>
      <c r="E2924" t="s">
        <v>1194</v>
      </c>
      <c r="F2924" t="s">
        <v>131</v>
      </c>
      <c r="G2924" t="str">
        <f>HYPERLINK("https://twitter.com/2395107900/status/1142928816387629058")</f>
        <v>https://twitter.com/2395107900/status/1142928816387629058</v>
      </c>
      <c r="H2924" t="s">
        <v>46</v>
      </c>
      <c r="I2924" t="s">
        <v>9517</v>
      </c>
      <c r="J2924" t="str">
        <f>HYPERLINK("http://twitter.com/_kristyxo")</f>
        <v>http://twitter.com/_kristyxo</v>
      </c>
      <c r="K2924">
        <v>763</v>
      </c>
      <c r="N2924" t="s">
        <v>65</v>
      </c>
      <c r="R2924" t="s">
        <v>60</v>
      </c>
      <c r="S2924" t="s">
        <v>51</v>
      </c>
      <c r="T2924" t="s">
        <v>1218</v>
      </c>
      <c r="U2924" t="s">
        <v>9518</v>
      </c>
      <c r="W2924">
        <v>0</v>
      </c>
      <c r="X2924">
        <v>0</v>
      </c>
      <c r="AE2924">
        <v>0</v>
      </c>
      <c r="AI2924" t="s">
        <v>52</v>
      </c>
      <c r="AJ2924" t="s">
        <v>1196</v>
      </c>
      <c r="AK2924" t="s">
        <v>52</v>
      </c>
      <c r="AL2924" t="str">
        <f>HYPERLINK("https://pbs.twimg.com/media/D9xgk2YXkAAd2ql.jpg")</f>
        <v>https://pbs.twimg.com/media/D9xgk2YXkAAd2ql.jpg</v>
      </c>
      <c r="AM2924" t="s">
        <v>52</v>
      </c>
      <c r="AN2924" t="s">
        <v>53</v>
      </c>
    </row>
    <row r="2925" spans="1:40">
      <c r="A2925" t="s">
        <v>8081</v>
      </c>
      <c r="B2925" t="s">
        <v>3779</v>
      </c>
      <c r="C2925" t="s">
        <v>7441</v>
      </c>
      <c r="D2925" t="s">
        <v>52</v>
      </c>
      <c r="E2925" t="s">
        <v>9519</v>
      </c>
      <c r="F2925" t="s">
        <v>45</v>
      </c>
      <c r="G2925" t="str">
        <f>HYPERLINK("https://www.instagram.com/p/BzEdpyfAZYv")</f>
        <v>https://www.instagram.com/p/BzEdpyfAZYv</v>
      </c>
      <c r="H2925" t="s">
        <v>46</v>
      </c>
      <c r="I2925" t="s">
        <v>9520</v>
      </c>
      <c r="J2925" t="str">
        <f>HYPERLINK("http://instagram.com/qualitycorbyn")</f>
        <v>http://instagram.com/qualitycorbyn</v>
      </c>
      <c r="K2925">
        <v>342</v>
      </c>
      <c r="N2925" t="s">
        <v>59</v>
      </c>
      <c r="O2925" t="s">
        <v>9520</v>
      </c>
      <c r="P2925" t="str">
        <f>HYPERLINK("http://instagram.com/qualitycorbyn")</f>
        <v>http://instagram.com/qualitycorbyn</v>
      </c>
      <c r="Q2925">
        <v>342</v>
      </c>
      <c r="R2925" t="s">
        <v>60</v>
      </c>
      <c r="W2925">
        <v>75</v>
      </c>
      <c r="X2925">
        <v>75</v>
      </c>
      <c r="AE2925">
        <v>13</v>
      </c>
      <c r="AI2925" t="s">
        <v>108</v>
      </c>
      <c r="AJ2925" t="s">
        <v>52</v>
      </c>
      <c r="AK2925" t="s">
        <v>52</v>
      </c>
      <c r="AL2925" t="str">
        <f>HYPERLINK("https://www.instagram.com/p/BzEdpyfAZYv/media/?size=l")</f>
        <v>https://www.instagram.com/p/BzEdpyfAZYv/media/?size=l</v>
      </c>
      <c r="AM2925" t="s">
        <v>52</v>
      </c>
      <c r="AN2925" t="s">
        <v>53</v>
      </c>
    </row>
    <row r="2926" spans="1:40">
      <c r="A2926" t="s">
        <v>8081</v>
      </c>
      <c r="B2926" t="s">
        <v>3779</v>
      </c>
      <c r="C2926" t="s">
        <v>9279</v>
      </c>
      <c r="D2926" t="s">
        <v>9521</v>
      </c>
      <c r="E2926" t="s">
        <v>9522</v>
      </c>
      <c r="F2926" t="s">
        <v>95</v>
      </c>
      <c r="G2926" t="str">
        <f>HYPERLINK("https://telegram.me/infur/403329")</f>
        <v>https://telegram.me/infur/403329</v>
      </c>
      <c r="H2926" t="s">
        <v>46</v>
      </c>
      <c r="I2926" t="s">
        <v>9523</v>
      </c>
      <c r="J2926" t="str">
        <f>HYPERLINK("https://telegram.me/yuricat")</f>
        <v>https://telegram.me/yuricat</v>
      </c>
      <c r="N2926" t="s">
        <v>4242</v>
      </c>
      <c r="O2926" t="s">
        <v>9524</v>
      </c>
      <c r="P2926" t="str">
        <f>HYPERLINK("https://telegram.me/infur")</f>
        <v>https://telegram.me/infur</v>
      </c>
      <c r="Q2926">
        <v>245</v>
      </c>
      <c r="R2926" t="s">
        <v>4244</v>
      </c>
      <c r="AM2926" t="s">
        <v>52</v>
      </c>
      <c r="AN2926" t="s">
        <v>53</v>
      </c>
    </row>
    <row r="2927" spans="1:40">
      <c r="A2927" t="s">
        <v>8081</v>
      </c>
      <c r="B2927" t="s">
        <v>3795</v>
      </c>
      <c r="C2927" t="s">
        <v>9512</v>
      </c>
      <c r="D2927" t="s">
        <v>52</v>
      </c>
      <c r="E2927" t="s">
        <v>9525</v>
      </c>
      <c r="F2927" t="s">
        <v>45</v>
      </c>
      <c r="G2927" t="str">
        <f>HYPERLINK("https://twitter.com/719300221/status/1142928556768448517")</f>
        <v>https://twitter.com/719300221/status/1142928556768448517</v>
      </c>
      <c r="H2927" t="s">
        <v>46</v>
      </c>
      <c r="I2927" t="s">
        <v>9526</v>
      </c>
      <c r="J2927" t="str">
        <f>HYPERLINK("http://twitter.com/spookylilbitch")</f>
        <v>http://twitter.com/spookylilbitch</v>
      </c>
      <c r="K2927">
        <v>1194</v>
      </c>
      <c r="N2927" t="s">
        <v>65</v>
      </c>
      <c r="R2927" t="s">
        <v>60</v>
      </c>
      <c r="W2927">
        <v>1</v>
      </c>
      <c r="X2927">
        <v>1</v>
      </c>
      <c r="AE2927">
        <v>0</v>
      </c>
      <c r="AF2927">
        <v>0</v>
      </c>
      <c r="AM2927" t="s">
        <v>52</v>
      </c>
      <c r="AN2927" t="s">
        <v>53</v>
      </c>
    </row>
    <row r="2928" spans="1:40">
      <c r="A2928" t="s">
        <v>8081</v>
      </c>
      <c r="B2928" t="s">
        <v>3795</v>
      </c>
      <c r="C2928" t="s">
        <v>9279</v>
      </c>
      <c r="D2928" t="s">
        <v>52</v>
      </c>
      <c r="E2928" t="s">
        <v>9521</v>
      </c>
      <c r="F2928" t="s">
        <v>45</v>
      </c>
      <c r="G2928" t="str">
        <f>HYPERLINK("https://telegram.me/infur/403324")</f>
        <v>https://telegram.me/infur/403324</v>
      </c>
      <c r="H2928" t="s">
        <v>46</v>
      </c>
      <c r="I2928" t="s">
        <v>9527</v>
      </c>
      <c r="J2928" t="str">
        <f>HYPERLINK("https://telegram.me/damien42")</f>
        <v>https://telegram.me/damien42</v>
      </c>
      <c r="N2928" t="s">
        <v>4242</v>
      </c>
      <c r="O2928" t="s">
        <v>9524</v>
      </c>
      <c r="P2928" t="str">
        <f>HYPERLINK("https://telegram.me/infur")</f>
        <v>https://telegram.me/infur</v>
      </c>
      <c r="Q2928">
        <v>245</v>
      </c>
      <c r="R2928" t="s">
        <v>4244</v>
      </c>
      <c r="AM2928" t="s">
        <v>52</v>
      </c>
      <c r="AN2928" t="s">
        <v>53</v>
      </c>
    </row>
    <row r="2929" spans="1:40">
      <c r="A2929" t="s">
        <v>8081</v>
      </c>
      <c r="B2929" t="s">
        <v>3799</v>
      </c>
      <c r="C2929" t="s">
        <v>9528</v>
      </c>
      <c r="D2929" t="s">
        <v>52</v>
      </c>
      <c r="E2929" t="s">
        <v>9529</v>
      </c>
      <c r="F2929" t="s">
        <v>45</v>
      </c>
      <c r="G2929" t="str">
        <f>HYPERLINK("https://twitter.com/15386921/status/1142927934094827520")</f>
        <v>https://twitter.com/15386921/status/1142927934094827520</v>
      </c>
      <c r="H2929" t="s">
        <v>46</v>
      </c>
      <c r="I2929" t="s">
        <v>9530</v>
      </c>
      <c r="J2929" t="str">
        <f>HYPERLINK("http://twitter.com/zagatam")</f>
        <v>http://twitter.com/zagatam</v>
      </c>
      <c r="K2929">
        <v>935</v>
      </c>
      <c r="L2929" t="s">
        <v>58</v>
      </c>
      <c r="N2929" t="s">
        <v>65</v>
      </c>
      <c r="R2929" t="s">
        <v>60</v>
      </c>
      <c r="S2929" t="s">
        <v>51</v>
      </c>
      <c r="T2929" t="s">
        <v>380</v>
      </c>
      <c r="U2929" t="s">
        <v>380</v>
      </c>
      <c r="W2929">
        <v>1</v>
      </c>
      <c r="X2929">
        <v>1</v>
      </c>
      <c r="AE2929">
        <v>1</v>
      </c>
      <c r="AF2929">
        <v>0</v>
      </c>
      <c r="AM2929" t="s">
        <v>52</v>
      </c>
      <c r="AN2929" t="s">
        <v>53</v>
      </c>
    </row>
    <row r="2930" spans="1:40">
      <c r="A2930" t="s">
        <v>8081</v>
      </c>
      <c r="B2930" t="s">
        <v>3815</v>
      </c>
      <c r="C2930" t="s">
        <v>9512</v>
      </c>
      <c r="D2930" t="s">
        <v>9531</v>
      </c>
      <c r="E2930" t="s">
        <v>9532</v>
      </c>
      <c r="F2930" t="s">
        <v>45</v>
      </c>
      <c r="G2930" t="str">
        <f>HYPERLINK("http://worldnewsnetwork.co.in/fortnite-legend-dr-lupo-pulls-off-a-record-breaking-charity-stream-raising-nearly-1m-forbes")</f>
        <v>http://worldnewsnetwork.co.in/fortnite-legend-dr-lupo-pulls-off-a-record-breaking-charity-stream-raising-nearly-1m-forbes</v>
      </c>
      <c r="H2930" t="s">
        <v>46</v>
      </c>
      <c r="I2930" t="s">
        <v>9533</v>
      </c>
      <c r="J2930" t="str">
        <f>HYPERLINK("http://worldnewsnetwork.co.in")</f>
        <v>http://worldnewsnetwork.co.in</v>
      </c>
      <c r="N2930" t="s">
        <v>9534</v>
      </c>
      <c r="R2930" t="s">
        <v>357</v>
      </c>
      <c r="S2930" t="s">
        <v>315</v>
      </c>
      <c r="AI2930" t="s">
        <v>52</v>
      </c>
      <c r="AJ2930" t="s">
        <v>233</v>
      </c>
      <c r="AK2930" t="s">
        <v>52</v>
      </c>
      <c r="AL2930" t="str">
        <f>HYPERLINK("http://worldnewsnetwork.co.in/wp-content/uploads/2019/06/60951/fortnite-legend-dr-lupo-pulls-off-a-record-breaking-charity-stream-raising-nearly-1m-forbes.jpg")</f>
        <v>http://worldnewsnetwork.co.in/wp-content/uploads/2019/06/60951/fortnite-legend-dr-lupo-pulls-off-a-record-breaking-charity-stream-raising-nearly-1m-forbes.jpg</v>
      </c>
      <c r="AM2930" t="s">
        <v>52</v>
      </c>
      <c r="AN2930" t="s">
        <v>53</v>
      </c>
    </row>
    <row r="2931" spans="1:40">
      <c r="A2931" t="s">
        <v>8081</v>
      </c>
      <c r="B2931" t="s">
        <v>3815</v>
      </c>
      <c r="C2931" t="s">
        <v>9535</v>
      </c>
      <c r="D2931" t="s">
        <v>52</v>
      </c>
      <c r="E2931" t="s">
        <v>9536</v>
      </c>
      <c r="F2931" t="s">
        <v>45</v>
      </c>
      <c r="G2931" t="str">
        <f>HYPERLINK("https://www.instagram.com/p/BzEdFArJY9W")</f>
        <v>https://www.instagram.com/p/BzEdFArJY9W</v>
      </c>
      <c r="H2931" t="s">
        <v>46</v>
      </c>
      <c r="I2931" t="s">
        <v>9537</v>
      </c>
      <c r="J2931" t="str">
        <f>HYPERLINK("http://instagram.com/worldsetpromotion")</f>
        <v>http://instagram.com/worldsetpromotion</v>
      </c>
      <c r="K2931">
        <v>0</v>
      </c>
      <c r="N2931" t="s">
        <v>59</v>
      </c>
      <c r="O2931" t="s">
        <v>9537</v>
      </c>
      <c r="P2931" t="str">
        <f>HYPERLINK("http://instagram.com/worldsetpromotion")</f>
        <v>http://instagram.com/worldsetpromotion</v>
      </c>
      <c r="Q2931">
        <v>0</v>
      </c>
      <c r="R2931" t="s">
        <v>60</v>
      </c>
      <c r="S2931" t="s">
        <v>51</v>
      </c>
      <c r="W2931">
        <v>3</v>
      </c>
      <c r="X2931">
        <v>3</v>
      </c>
      <c r="AE2931">
        <v>1</v>
      </c>
      <c r="AI2931" t="s">
        <v>108</v>
      </c>
      <c r="AJ2931" t="s">
        <v>9538</v>
      </c>
      <c r="AK2931" t="s">
        <v>52</v>
      </c>
      <c r="AL2931" t="str">
        <f>HYPERLINK("https://www.instagram.com/p/BzEdFArJY9W/media/?size=l")</f>
        <v>https://www.instagram.com/p/BzEdFArJY9W/media/?size=l</v>
      </c>
      <c r="AM2931" t="s">
        <v>52</v>
      </c>
      <c r="AN2931" t="s">
        <v>53</v>
      </c>
    </row>
    <row r="2932" spans="1:40">
      <c r="A2932" t="s">
        <v>8081</v>
      </c>
      <c r="B2932" t="s">
        <v>3815</v>
      </c>
      <c r="C2932" t="s">
        <v>9505</v>
      </c>
      <c r="D2932" t="s">
        <v>9539</v>
      </c>
      <c r="E2932" t="s">
        <v>9540</v>
      </c>
      <c r="F2932" t="s">
        <v>45</v>
      </c>
      <c r="G2932" t="str">
        <f>HYPERLINK("https://www.youtube.com/watch?v=kof5kpXcZk4")</f>
        <v>https://www.youtube.com/watch?v=kof5kpXcZk4</v>
      </c>
      <c r="H2932" t="s">
        <v>46</v>
      </c>
      <c r="I2932" t="s">
        <v>9541</v>
      </c>
      <c r="J2932" t="str">
        <f>HYPERLINK("https://www.youtube.com/channel/UCE4rUJonDoU58Lr564Zfemw")</f>
        <v>https://www.youtube.com/channel/UCE4rUJonDoU58Lr564Zfemw</v>
      </c>
      <c r="K2932">
        <v>25</v>
      </c>
      <c r="N2932" t="s">
        <v>116</v>
      </c>
      <c r="O2932" t="s">
        <v>9541</v>
      </c>
      <c r="P2932" t="str">
        <f>HYPERLINK("https://www.youtube.com/channel/UCE4rUJonDoU58Lr564Zfemw")</f>
        <v>https://www.youtube.com/channel/UCE4rUJonDoU58Lr564Zfemw</v>
      </c>
      <c r="Q2932">
        <v>25</v>
      </c>
      <c r="R2932" t="s">
        <v>60</v>
      </c>
      <c r="W2932">
        <v>1</v>
      </c>
      <c r="X2932">
        <v>1</v>
      </c>
      <c r="AD2932">
        <v>0</v>
      </c>
      <c r="AE2932">
        <v>0</v>
      </c>
      <c r="AG2932">
        <v>6</v>
      </c>
      <c r="AI2932" t="s">
        <v>52</v>
      </c>
      <c r="AJ2932" t="s">
        <v>9542</v>
      </c>
      <c r="AK2932" t="s">
        <v>52</v>
      </c>
      <c r="AL2932" t="str">
        <f>HYPERLINK("https://i.ytimg.com/vi/kof5kpXcZk4/sddefault.jpg")</f>
        <v>https://i.ytimg.com/vi/kof5kpXcZk4/sddefault.jpg</v>
      </c>
      <c r="AM2932" t="s">
        <v>52</v>
      </c>
      <c r="AN2932" t="s">
        <v>53</v>
      </c>
    </row>
    <row r="2933" spans="1:40">
      <c r="A2933" t="s">
        <v>8081</v>
      </c>
      <c r="B2933" t="s">
        <v>3819</v>
      </c>
      <c r="C2933" t="s">
        <v>9461</v>
      </c>
      <c r="D2933" t="s">
        <v>9543</v>
      </c>
      <c r="E2933" t="s">
        <v>9544</v>
      </c>
      <c r="F2933" t="s">
        <v>45</v>
      </c>
      <c r="G2933" t="str">
        <f>HYPERLINK("https://www.youtube.com/watch?v=cC2cYPGKCJQ")</f>
        <v>https://www.youtube.com/watch?v=cC2cYPGKCJQ</v>
      </c>
      <c r="H2933" t="s">
        <v>46</v>
      </c>
      <c r="I2933" t="s">
        <v>9545</v>
      </c>
      <c r="J2933" t="str">
        <f>HYPERLINK("https://www.youtube.com/channel/UCa9LPT4y2qgRsnTue1fWrTA")</f>
        <v>https://www.youtube.com/channel/UCa9LPT4y2qgRsnTue1fWrTA</v>
      </c>
      <c r="K2933">
        <v>432</v>
      </c>
      <c r="N2933" t="s">
        <v>116</v>
      </c>
      <c r="O2933" t="s">
        <v>9545</v>
      </c>
      <c r="P2933" t="str">
        <f>HYPERLINK("https://www.youtube.com/channel/UCa9LPT4y2qgRsnTue1fWrTA")</f>
        <v>https://www.youtube.com/channel/UCa9LPT4y2qgRsnTue1fWrTA</v>
      </c>
      <c r="Q2933">
        <v>432</v>
      </c>
      <c r="R2933" t="s">
        <v>60</v>
      </c>
      <c r="W2933">
        <v>0</v>
      </c>
      <c r="X2933">
        <v>0</v>
      </c>
      <c r="AD2933">
        <v>0</v>
      </c>
      <c r="AE2933">
        <v>0</v>
      </c>
      <c r="AG2933">
        <v>14</v>
      </c>
      <c r="AI2933" t="s">
        <v>52</v>
      </c>
      <c r="AJ2933" t="s">
        <v>1106</v>
      </c>
      <c r="AK2933" t="s">
        <v>2951</v>
      </c>
      <c r="AL2933" t="str">
        <f>HYPERLINK("https://i.ytimg.com/vi/cC2cYPGKCJQ/hqdefault.jpg")</f>
        <v>https://i.ytimg.com/vi/cC2cYPGKCJQ/hqdefault.jpg</v>
      </c>
      <c r="AM2933" t="s">
        <v>52</v>
      </c>
      <c r="AN2933" t="s">
        <v>53</v>
      </c>
    </row>
    <row r="2934" spans="1:40">
      <c r="A2934" t="s">
        <v>8081</v>
      </c>
      <c r="B2934" t="s">
        <v>3819</v>
      </c>
      <c r="C2934" t="s">
        <v>9546</v>
      </c>
      <c r="D2934" t="s">
        <v>9547</v>
      </c>
      <c r="E2934" t="s">
        <v>9548</v>
      </c>
      <c r="F2934" t="s">
        <v>45</v>
      </c>
      <c r="G2934" t="str">
        <f>HYPERLINK("https://www.youtube.com/watch?v=g3-zv0S9OOs")</f>
        <v>https://www.youtube.com/watch?v=g3-zv0S9OOs</v>
      </c>
      <c r="H2934" t="s">
        <v>46</v>
      </c>
      <c r="I2934" t="s">
        <v>9549</v>
      </c>
      <c r="J2934" t="str">
        <f>HYPERLINK("https://www.youtube.com/channel/UCtVIRfKdMsBjjZ1xpxrfDkQ")</f>
        <v>https://www.youtube.com/channel/UCtVIRfKdMsBjjZ1xpxrfDkQ</v>
      </c>
      <c r="K2934">
        <v>51</v>
      </c>
      <c r="N2934" t="s">
        <v>116</v>
      </c>
      <c r="O2934" t="s">
        <v>9549</v>
      </c>
      <c r="P2934" t="str">
        <f>HYPERLINK("https://www.youtube.com/channel/UCtVIRfKdMsBjjZ1xpxrfDkQ")</f>
        <v>https://www.youtube.com/channel/UCtVIRfKdMsBjjZ1xpxrfDkQ</v>
      </c>
      <c r="Q2934">
        <v>51</v>
      </c>
      <c r="R2934" t="s">
        <v>60</v>
      </c>
      <c r="W2934">
        <v>0</v>
      </c>
      <c r="X2934">
        <v>0</v>
      </c>
      <c r="AD2934">
        <v>0</v>
      </c>
      <c r="AE2934">
        <v>0</v>
      </c>
      <c r="AG2934">
        <v>5</v>
      </c>
      <c r="AI2934" t="s">
        <v>52</v>
      </c>
      <c r="AJ2934" t="s">
        <v>2277</v>
      </c>
      <c r="AK2934" t="s">
        <v>52</v>
      </c>
      <c r="AL2934" t="str">
        <f>HYPERLINK("https://i.ytimg.com/vi/g3-zv0S9OOs/maxresdefault.jpg")</f>
        <v>https://i.ytimg.com/vi/g3-zv0S9OOs/maxresdefault.jpg</v>
      </c>
      <c r="AM2934" t="s">
        <v>52</v>
      </c>
      <c r="AN2934" t="s">
        <v>53</v>
      </c>
    </row>
    <row r="2935" spans="1:40">
      <c r="A2935" t="s">
        <v>8081</v>
      </c>
      <c r="B2935" t="s">
        <v>3819</v>
      </c>
      <c r="C2935" t="s">
        <v>7445</v>
      </c>
      <c r="D2935" t="s">
        <v>52</v>
      </c>
      <c r="E2935" t="s">
        <v>9550</v>
      </c>
      <c r="F2935" t="s">
        <v>45</v>
      </c>
      <c r="G2935" t="str">
        <f>HYPERLINK("https://www.instagram.com/p/BzEc7yVFrgS")</f>
        <v>https://www.instagram.com/p/BzEc7yVFrgS</v>
      </c>
      <c r="H2935" t="s">
        <v>46</v>
      </c>
      <c r="I2935" t="s">
        <v>9551</v>
      </c>
      <c r="J2935" t="str">
        <f>HYPERLINK("http://instagram.com/fofinhadoyou")</f>
        <v>http://instagram.com/fofinhadoyou</v>
      </c>
      <c r="K2935">
        <v>186</v>
      </c>
      <c r="N2935" t="s">
        <v>59</v>
      </c>
      <c r="O2935" t="s">
        <v>9551</v>
      </c>
      <c r="P2935" t="str">
        <f>HYPERLINK("http://instagram.com/fofinhadoyou")</f>
        <v>http://instagram.com/fofinhadoyou</v>
      </c>
      <c r="Q2935">
        <v>186</v>
      </c>
      <c r="R2935" t="s">
        <v>60</v>
      </c>
      <c r="W2935">
        <v>22</v>
      </c>
      <c r="X2935">
        <v>22</v>
      </c>
      <c r="AE2935">
        <v>0</v>
      </c>
      <c r="AI2935" t="s">
        <v>108</v>
      </c>
      <c r="AJ2935" t="s">
        <v>52</v>
      </c>
      <c r="AK2935" t="s">
        <v>52</v>
      </c>
      <c r="AL2935" t="str">
        <f>HYPERLINK("https://www.instagram.com/p/BzEc7yVFrgS/media/?size=l")</f>
        <v>https://www.instagram.com/p/BzEc7yVFrgS/media/?size=l</v>
      </c>
      <c r="AM2935" t="s">
        <v>52</v>
      </c>
      <c r="AN2935" t="s">
        <v>53</v>
      </c>
    </row>
    <row r="2936" spans="1:40">
      <c r="A2936" t="s">
        <v>8081</v>
      </c>
      <c r="B2936" t="s">
        <v>3827</v>
      </c>
      <c r="C2936" t="s">
        <v>9552</v>
      </c>
      <c r="D2936" t="s">
        <v>52</v>
      </c>
      <c r="E2936" t="s">
        <v>9553</v>
      </c>
      <c r="F2936" t="s">
        <v>95</v>
      </c>
      <c r="G2936" t="str">
        <f>HYPERLINK("https://twitter.com/191034625/status/1142926915801473024")</f>
        <v>https://twitter.com/191034625/status/1142926915801473024</v>
      </c>
      <c r="H2936" t="s">
        <v>46</v>
      </c>
      <c r="I2936" t="s">
        <v>9554</v>
      </c>
      <c r="J2936" t="str">
        <f>HYPERLINK("http://twitter.com/kzarr")</f>
        <v>http://twitter.com/kzarr</v>
      </c>
      <c r="K2936">
        <v>5702</v>
      </c>
      <c r="N2936" t="s">
        <v>65</v>
      </c>
      <c r="R2936" t="s">
        <v>60</v>
      </c>
      <c r="S2936" t="s">
        <v>51</v>
      </c>
      <c r="T2936" t="s">
        <v>152</v>
      </c>
      <c r="U2936" t="s">
        <v>424</v>
      </c>
      <c r="W2936">
        <v>0</v>
      </c>
      <c r="X2936">
        <v>0</v>
      </c>
      <c r="AE2936">
        <v>0</v>
      </c>
      <c r="AF2936">
        <v>0</v>
      </c>
      <c r="AM2936" t="s">
        <v>52</v>
      </c>
      <c r="AN2936" t="s">
        <v>53</v>
      </c>
    </row>
    <row r="2937" spans="1:40">
      <c r="A2937" t="s">
        <v>8081</v>
      </c>
      <c r="B2937" t="s">
        <v>3827</v>
      </c>
      <c r="C2937" t="s">
        <v>9552</v>
      </c>
      <c r="D2937" t="s">
        <v>52</v>
      </c>
      <c r="E2937" t="s">
        <v>9555</v>
      </c>
      <c r="F2937" t="s">
        <v>95</v>
      </c>
      <c r="G2937" t="str">
        <f>HYPERLINK("https://twitter.com/767140377778393092/status/1142926817772363778")</f>
        <v>https://twitter.com/767140377778393092/status/1142926817772363778</v>
      </c>
      <c r="H2937" t="s">
        <v>46</v>
      </c>
      <c r="I2937" t="s">
        <v>9556</v>
      </c>
      <c r="J2937" t="str">
        <f>HYPERLINK("http://twitter.com/QuesoSonico")</f>
        <v>http://twitter.com/QuesoSonico</v>
      </c>
      <c r="K2937">
        <v>338</v>
      </c>
      <c r="N2937" t="s">
        <v>65</v>
      </c>
      <c r="R2937" t="s">
        <v>60</v>
      </c>
      <c r="S2937" t="s">
        <v>387</v>
      </c>
      <c r="T2937" t="s">
        <v>3687</v>
      </c>
      <c r="U2937" t="s">
        <v>9557</v>
      </c>
      <c r="W2937">
        <v>1</v>
      </c>
      <c r="X2937">
        <v>1</v>
      </c>
      <c r="AE2937">
        <v>0</v>
      </c>
      <c r="AF2937">
        <v>0</v>
      </c>
      <c r="AM2937" t="s">
        <v>52</v>
      </c>
      <c r="AN2937" t="s">
        <v>53</v>
      </c>
    </row>
    <row r="2938" spans="1:40">
      <c r="A2938" t="s">
        <v>8081</v>
      </c>
      <c r="B2938" t="s">
        <v>3829</v>
      </c>
      <c r="C2938" t="s">
        <v>9558</v>
      </c>
      <c r="D2938" t="s">
        <v>52</v>
      </c>
      <c r="E2938" t="s">
        <v>9559</v>
      </c>
      <c r="F2938" t="s">
        <v>45</v>
      </c>
      <c r="G2938" t="str">
        <f>HYPERLINK("https://twitter.com/999517281335021569/status/1142926746326577158")</f>
        <v>https://twitter.com/999517281335021569/status/1142926746326577158</v>
      </c>
      <c r="H2938" t="s">
        <v>46</v>
      </c>
      <c r="I2938" t="s">
        <v>9560</v>
      </c>
      <c r="J2938" t="str">
        <f>HYPERLINK("http://twitter.com/JohnExodiaWick")</f>
        <v>http://twitter.com/JohnExodiaWick</v>
      </c>
      <c r="K2938">
        <v>95</v>
      </c>
      <c r="N2938" t="s">
        <v>65</v>
      </c>
      <c r="R2938" t="s">
        <v>60</v>
      </c>
      <c r="S2938" t="s">
        <v>51</v>
      </c>
      <c r="T2938" t="s">
        <v>1218</v>
      </c>
      <c r="U2938" t="s">
        <v>9518</v>
      </c>
      <c r="W2938">
        <v>4</v>
      </c>
      <c r="X2938">
        <v>4</v>
      </c>
      <c r="AE2938">
        <v>0</v>
      </c>
      <c r="AF2938">
        <v>0</v>
      </c>
      <c r="AI2938" t="s">
        <v>52</v>
      </c>
      <c r="AJ2938" t="s">
        <v>9561</v>
      </c>
      <c r="AK2938" t="s">
        <v>9562</v>
      </c>
      <c r="AL2938" t="str">
        <f>HYPERLINK("https://pbs.twimg.com/media/D9x90RgW4AElaZT.jpg")</f>
        <v>https://pbs.twimg.com/media/D9x90RgW4AElaZT.jpg</v>
      </c>
      <c r="AM2938" t="s">
        <v>52</v>
      </c>
      <c r="AN2938" t="s">
        <v>53</v>
      </c>
    </row>
    <row r="2939" spans="1:40">
      <c r="A2939" t="s">
        <v>8081</v>
      </c>
      <c r="B2939" t="s">
        <v>3829</v>
      </c>
      <c r="C2939" t="s">
        <v>9563</v>
      </c>
      <c r="D2939" t="s">
        <v>52</v>
      </c>
      <c r="E2939" t="s">
        <v>9564</v>
      </c>
      <c r="F2939" t="s">
        <v>95</v>
      </c>
      <c r="G2939" t="str">
        <f>HYPERLINK("https://twitter.com/580870421/status/1142926717335433216")</f>
        <v>https://twitter.com/580870421/status/1142926717335433216</v>
      </c>
      <c r="H2939" t="s">
        <v>46</v>
      </c>
      <c r="I2939" t="s">
        <v>9565</v>
      </c>
      <c r="J2939" t="str">
        <f>HYPERLINK("http://twitter.com/almstIove")</f>
        <v>http://twitter.com/almstIove</v>
      </c>
      <c r="K2939">
        <v>620</v>
      </c>
      <c r="N2939" t="s">
        <v>65</v>
      </c>
      <c r="R2939" t="s">
        <v>60</v>
      </c>
      <c r="S2939" t="s">
        <v>1774</v>
      </c>
      <c r="T2939" t="s">
        <v>9566</v>
      </c>
      <c r="U2939" t="s">
        <v>9567</v>
      </c>
      <c r="W2939">
        <v>0</v>
      </c>
      <c r="X2939">
        <v>0</v>
      </c>
      <c r="AE2939">
        <v>0</v>
      </c>
      <c r="AF2939">
        <v>0</v>
      </c>
      <c r="AM2939" t="s">
        <v>52</v>
      </c>
      <c r="AN2939" t="s">
        <v>53</v>
      </c>
    </row>
    <row r="2940" spans="1:40">
      <c r="A2940" t="s">
        <v>8081</v>
      </c>
      <c r="B2940" t="s">
        <v>3829</v>
      </c>
      <c r="C2940" t="s">
        <v>9558</v>
      </c>
      <c r="D2940" t="s">
        <v>52</v>
      </c>
      <c r="E2940" t="s">
        <v>8659</v>
      </c>
      <c r="F2940" t="s">
        <v>71</v>
      </c>
      <c r="G2940" t="str">
        <f>HYPERLINK("https://twitter.com/2232856656/status/1142926646325858304")</f>
        <v>https://twitter.com/2232856656/status/1142926646325858304</v>
      </c>
      <c r="H2940" t="s">
        <v>46</v>
      </c>
      <c r="I2940" t="s">
        <v>9568</v>
      </c>
      <c r="J2940" t="str">
        <f>HYPERLINK("http://twitter.com/rianbroseph")</f>
        <v>http://twitter.com/rianbroseph</v>
      </c>
      <c r="K2940">
        <v>405</v>
      </c>
      <c r="N2940" t="s">
        <v>65</v>
      </c>
      <c r="R2940" t="s">
        <v>60</v>
      </c>
      <c r="S2940" t="s">
        <v>51</v>
      </c>
      <c r="T2940" t="s">
        <v>173</v>
      </c>
      <c r="W2940">
        <v>0</v>
      </c>
      <c r="X2940">
        <v>0</v>
      </c>
      <c r="AE2940">
        <v>0</v>
      </c>
      <c r="AF2940">
        <v>0</v>
      </c>
      <c r="AI2940" t="s">
        <v>52</v>
      </c>
      <c r="AJ2940" t="s">
        <v>3639</v>
      </c>
      <c r="AK2940" t="s">
        <v>238</v>
      </c>
      <c r="AL2940" t="str">
        <f>HYPERLINK("https://pbs.twimg.com/media/D9jR1g0UYAAm_F_.jpg")</f>
        <v>https://pbs.twimg.com/media/D9jR1g0UYAAm_F_.jpg</v>
      </c>
      <c r="AM2940" t="s">
        <v>52</v>
      </c>
      <c r="AN2940" t="s">
        <v>53</v>
      </c>
    </row>
    <row r="2941" spans="1:40">
      <c r="A2941" t="s">
        <v>8081</v>
      </c>
      <c r="B2941" t="s">
        <v>3851</v>
      </c>
      <c r="C2941" t="s">
        <v>9558</v>
      </c>
      <c r="D2941" t="s">
        <v>52</v>
      </c>
      <c r="E2941" t="s">
        <v>9569</v>
      </c>
      <c r="F2941" t="s">
        <v>45</v>
      </c>
      <c r="G2941" t="str">
        <f>HYPERLINK("https://www.instagram.com/p/BzEca5KF7UC")</f>
        <v>https://www.instagram.com/p/BzEca5KF7UC</v>
      </c>
      <c r="H2941" t="s">
        <v>215</v>
      </c>
      <c r="I2941" t="s">
        <v>9570</v>
      </c>
      <c r="J2941" t="str">
        <f>HYPERLINK("http://instagram.com/carmenguthrie")</f>
        <v>http://instagram.com/carmenguthrie</v>
      </c>
      <c r="K2941">
        <v>264</v>
      </c>
      <c r="N2941" t="s">
        <v>59</v>
      </c>
      <c r="O2941" t="s">
        <v>9570</v>
      </c>
      <c r="P2941" t="str">
        <f>HYPERLINK("http://instagram.com/carmenguthrie")</f>
        <v>http://instagram.com/carmenguthrie</v>
      </c>
      <c r="Q2941">
        <v>264</v>
      </c>
      <c r="R2941" t="s">
        <v>60</v>
      </c>
      <c r="S2941" t="s">
        <v>51</v>
      </c>
      <c r="T2941" t="s">
        <v>3267</v>
      </c>
      <c r="U2941" t="s">
        <v>9571</v>
      </c>
      <c r="W2941">
        <v>8</v>
      </c>
      <c r="X2941">
        <v>8</v>
      </c>
      <c r="AE2941">
        <v>0</v>
      </c>
      <c r="AI2941" t="s">
        <v>52</v>
      </c>
      <c r="AJ2941" t="s">
        <v>9572</v>
      </c>
      <c r="AK2941" t="s">
        <v>52</v>
      </c>
      <c r="AL2941" t="str">
        <f>HYPERLINK("https://www.instagram.com/p/BzEca5KF7UC/media/?size=l")</f>
        <v>https://www.instagram.com/p/BzEca5KF7UC/media/?size=l</v>
      </c>
      <c r="AM2941" t="s">
        <v>52</v>
      </c>
      <c r="AN2941" t="s">
        <v>53</v>
      </c>
    </row>
    <row r="2942" spans="1:40">
      <c r="A2942" t="s">
        <v>8081</v>
      </c>
      <c r="B2942" t="s">
        <v>3851</v>
      </c>
      <c r="C2942" t="s">
        <v>9573</v>
      </c>
      <c r="D2942" t="s">
        <v>52</v>
      </c>
      <c r="E2942" t="s">
        <v>1194</v>
      </c>
      <c r="F2942" t="s">
        <v>131</v>
      </c>
      <c r="G2942" t="str">
        <f>HYPERLINK("https://twitter.com/1026244770446761984/status/1142925838020575232")</f>
        <v>https://twitter.com/1026244770446761984/status/1142925838020575232</v>
      </c>
      <c r="H2942" t="s">
        <v>46</v>
      </c>
      <c r="I2942" t="s">
        <v>9574</v>
      </c>
      <c r="J2942" t="str">
        <f>HYPERLINK("http://twitter.com/ayden_can")</f>
        <v>http://twitter.com/ayden_can</v>
      </c>
      <c r="K2942">
        <v>107</v>
      </c>
      <c r="N2942" t="s">
        <v>65</v>
      </c>
      <c r="R2942" t="s">
        <v>60</v>
      </c>
      <c r="S2942" t="s">
        <v>51</v>
      </c>
      <c r="T2942" t="s">
        <v>738</v>
      </c>
      <c r="U2942" t="s">
        <v>9575</v>
      </c>
      <c r="W2942">
        <v>0</v>
      </c>
      <c r="X2942">
        <v>0</v>
      </c>
      <c r="AE2942">
        <v>0</v>
      </c>
      <c r="AI2942" t="s">
        <v>52</v>
      </c>
      <c r="AJ2942" t="s">
        <v>1196</v>
      </c>
      <c r="AK2942" t="s">
        <v>52</v>
      </c>
      <c r="AL2942" t="str">
        <f>HYPERLINK("https://pbs.twimg.com/media/D9xgk2YXkAAd2ql.jpg")</f>
        <v>https://pbs.twimg.com/media/D9xgk2YXkAAd2ql.jpg</v>
      </c>
      <c r="AM2942" t="s">
        <v>52</v>
      </c>
      <c r="AN2942" t="s">
        <v>53</v>
      </c>
    </row>
    <row r="2943" spans="1:40">
      <c r="A2943" t="s">
        <v>8081</v>
      </c>
      <c r="B2943" t="s">
        <v>3860</v>
      </c>
      <c r="C2943" t="s">
        <v>9528</v>
      </c>
      <c r="D2943" t="s">
        <v>52</v>
      </c>
      <c r="E2943" t="s">
        <v>1194</v>
      </c>
      <c r="F2943" t="s">
        <v>131</v>
      </c>
      <c r="G2943" t="str">
        <f>HYPERLINK("https://twitter.com/517353602/status/1142925787944742912")</f>
        <v>https://twitter.com/517353602/status/1142925787944742912</v>
      </c>
      <c r="H2943" t="s">
        <v>46</v>
      </c>
      <c r="I2943" t="s">
        <v>9576</v>
      </c>
      <c r="J2943" t="str">
        <f>HYPERLINK("http://twitter.com/gakkenall")</f>
        <v>http://twitter.com/gakkenall</v>
      </c>
      <c r="K2943">
        <v>204</v>
      </c>
      <c r="N2943" t="s">
        <v>65</v>
      </c>
      <c r="R2943" t="s">
        <v>60</v>
      </c>
      <c r="S2943" t="s">
        <v>1643</v>
      </c>
      <c r="T2943" t="s">
        <v>9577</v>
      </c>
      <c r="W2943">
        <v>0</v>
      </c>
      <c r="X2943">
        <v>0</v>
      </c>
      <c r="AE2943">
        <v>0</v>
      </c>
      <c r="AI2943" t="s">
        <v>52</v>
      </c>
      <c r="AJ2943" t="s">
        <v>1196</v>
      </c>
      <c r="AK2943" t="s">
        <v>52</v>
      </c>
      <c r="AL2943" t="str">
        <f>HYPERLINK("https://pbs.twimg.com/media/D9xgk2YXkAAd2ql.jpg")</f>
        <v>https://pbs.twimg.com/media/D9xgk2YXkAAd2ql.jpg</v>
      </c>
      <c r="AM2943" t="s">
        <v>52</v>
      </c>
      <c r="AN2943" t="s">
        <v>53</v>
      </c>
    </row>
    <row r="2944" spans="1:40">
      <c r="A2944" t="s">
        <v>8081</v>
      </c>
      <c r="B2944" t="s">
        <v>3860</v>
      </c>
      <c r="C2944" t="s">
        <v>9546</v>
      </c>
      <c r="D2944" t="s">
        <v>52</v>
      </c>
      <c r="E2944" t="s">
        <v>1194</v>
      </c>
      <c r="F2944" t="s">
        <v>131</v>
      </c>
      <c r="G2944" t="str">
        <f>HYPERLINK("https://twitter.com/961323339674542080/status/1142925767174742016")</f>
        <v>https://twitter.com/961323339674542080/status/1142925767174742016</v>
      </c>
      <c r="H2944" t="s">
        <v>46</v>
      </c>
      <c r="I2944" t="s">
        <v>9578</v>
      </c>
      <c r="J2944" t="str">
        <f>HYPERLINK("http://twitter.com/dmemery18")</f>
        <v>http://twitter.com/dmemery18</v>
      </c>
      <c r="K2944">
        <v>67</v>
      </c>
      <c r="N2944" t="s">
        <v>65</v>
      </c>
      <c r="R2944" t="s">
        <v>60</v>
      </c>
      <c r="S2944" t="s">
        <v>51</v>
      </c>
      <c r="T2944" t="s">
        <v>66</v>
      </c>
      <c r="U2944" t="s">
        <v>9579</v>
      </c>
      <c r="W2944">
        <v>0</v>
      </c>
      <c r="X2944">
        <v>0</v>
      </c>
      <c r="AE2944">
        <v>0</v>
      </c>
      <c r="AI2944" t="s">
        <v>52</v>
      </c>
      <c r="AJ2944" t="s">
        <v>1196</v>
      </c>
      <c r="AK2944" t="s">
        <v>52</v>
      </c>
      <c r="AL2944" t="str">
        <f>HYPERLINK("https://pbs.twimg.com/media/D9xgk2YXkAAd2ql.jpg")</f>
        <v>https://pbs.twimg.com/media/D9xgk2YXkAAd2ql.jpg</v>
      </c>
      <c r="AM2944" t="s">
        <v>52</v>
      </c>
      <c r="AN2944" t="s">
        <v>53</v>
      </c>
    </row>
    <row r="2945" spans="1:40">
      <c r="A2945" t="s">
        <v>8081</v>
      </c>
      <c r="B2945" t="s">
        <v>3860</v>
      </c>
      <c r="C2945" t="s">
        <v>9563</v>
      </c>
      <c r="D2945" t="s">
        <v>52</v>
      </c>
      <c r="E2945" t="s">
        <v>9580</v>
      </c>
      <c r="F2945" t="s">
        <v>71</v>
      </c>
      <c r="G2945" t="str">
        <f>HYPERLINK("https://twitter.com/948290559625580544/status/1142925714695577602")</f>
        <v>https://twitter.com/948290559625580544/status/1142925714695577602</v>
      </c>
      <c r="H2945" t="s">
        <v>46</v>
      </c>
      <c r="I2945" t="s">
        <v>9581</v>
      </c>
      <c r="J2945" t="str">
        <f>HYPERLINK("http://twitter.com/armaniswave")</f>
        <v>http://twitter.com/armaniswave</v>
      </c>
      <c r="K2945">
        <v>1262</v>
      </c>
      <c r="N2945" t="s">
        <v>65</v>
      </c>
      <c r="R2945" t="s">
        <v>60</v>
      </c>
      <c r="S2945" t="s">
        <v>639</v>
      </c>
      <c r="T2945" t="s">
        <v>9582</v>
      </c>
      <c r="U2945" t="s">
        <v>9583</v>
      </c>
      <c r="W2945">
        <v>0</v>
      </c>
      <c r="X2945">
        <v>0</v>
      </c>
      <c r="AE2945">
        <v>0</v>
      </c>
      <c r="AF2945">
        <v>0</v>
      </c>
      <c r="AI2945" t="s">
        <v>108</v>
      </c>
      <c r="AJ2945" t="s">
        <v>52</v>
      </c>
      <c r="AK2945" t="s">
        <v>52</v>
      </c>
      <c r="AL2945" t="str">
        <f>HYPERLINK("https://pbs.twimg.com/tweet_video_thumb/D9hvNNzXUAATAS3.jpg")</f>
        <v>https://pbs.twimg.com/tweet_video_thumb/D9hvNNzXUAATAS3.jpg</v>
      </c>
      <c r="AM2945" t="s">
        <v>52</v>
      </c>
      <c r="AN2945" t="s">
        <v>53</v>
      </c>
    </row>
    <row r="2946" spans="1:40">
      <c r="A2946" t="s">
        <v>8081</v>
      </c>
      <c r="B2946" t="s">
        <v>3860</v>
      </c>
      <c r="C2946" t="s">
        <v>9552</v>
      </c>
      <c r="D2946" t="s">
        <v>52</v>
      </c>
      <c r="E2946" t="s">
        <v>7026</v>
      </c>
      <c r="F2946" t="s">
        <v>131</v>
      </c>
      <c r="G2946" t="str">
        <f>HYPERLINK("https://twitter.com/4184810217/status/1142925664770768899")</f>
        <v>https://twitter.com/4184810217/status/1142925664770768899</v>
      </c>
      <c r="H2946" t="s">
        <v>46</v>
      </c>
      <c r="I2946" t="s">
        <v>9584</v>
      </c>
      <c r="J2946" t="str">
        <f>HYPERLINK("http://twitter.com/DidiMatli")</f>
        <v>http://twitter.com/DidiMatli</v>
      </c>
      <c r="K2946">
        <v>2744</v>
      </c>
      <c r="N2946" t="s">
        <v>65</v>
      </c>
      <c r="R2946" t="s">
        <v>60</v>
      </c>
      <c r="S2946" t="s">
        <v>1071</v>
      </c>
      <c r="T2946" t="s">
        <v>5971</v>
      </c>
      <c r="U2946" t="s">
        <v>6207</v>
      </c>
      <c r="W2946">
        <v>0</v>
      </c>
      <c r="X2946">
        <v>0</v>
      </c>
      <c r="AE2946">
        <v>0</v>
      </c>
      <c r="AM2946" t="s">
        <v>52</v>
      </c>
      <c r="AN2946" t="s">
        <v>53</v>
      </c>
    </row>
    <row r="2947" spans="1:40">
      <c r="A2947" t="s">
        <v>8081</v>
      </c>
      <c r="B2947" t="s">
        <v>3860</v>
      </c>
      <c r="C2947" t="s">
        <v>9558</v>
      </c>
      <c r="D2947" t="s">
        <v>52</v>
      </c>
      <c r="E2947" t="s">
        <v>3749</v>
      </c>
      <c r="F2947" t="s">
        <v>71</v>
      </c>
      <c r="G2947" t="str">
        <f>HYPERLINK("https://twitter.com/1354730455/status/1142925573704040449")</f>
        <v>https://twitter.com/1354730455/status/1142925573704040449</v>
      </c>
      <c r="H2947" t="s">
        <v>46</v>
      </c>
      <c r="I2947" t="s">
        <v>9585</v>
      </c>
      <c r="J2947" t="str">
        <f>HYPERLINK("http://twitter.com/IceCreamPapi_9x")</f>
        <v>http://twitter.com/IceCreamPapi_9x</v>
      </c>
      <c r="K2947">
        <v>225</v>
      </c>
      <c r="N2947" t="s">
        <v>65</v>
      </c>
      <c r="R2947" t="s">
        <v>60</v>
      </c>
      <c r="S2947" t="s">
        <v>9586</v>
      </c>
      <c r="U2947" t="s">
        <v>9587</v>
      </c>
      <c r="W2947">
        <v>0</v>
      </c>
      <c r="X2947">
        <v>0</v>
      </c>
      <c r="AE2947">
        <v>0</v>
      </c>
      <c r="AF2947">
        <v>0</v>
      </c>
      <c r="AI2947" t="s">
        <v>108</v>
      </c>
      <c r="AJ2947" t="s">
        <v>52</v>
      </c>
      <c r="AK2947" t="s">
        <v>52</v>
      </c>
      <c r="AL2947" t="str">
        <f>HYPERLINK("https://pbs.twimg.com/media/D9sAXHUX4AA6vJs.jpg")</f>
        <v>https://pbs.twimg.com/media/D9sAXHUX4AA6vJs.jpg</v>
      </c>
      <c r="AM2947" t="s">
        <v>52</v>
      </c>
      <c r="AN2947" t="s">
        <v>53</v>
      </c>
    </row>
    <row r="2948" spans="1:40">
      <c r="A2948" t="s">
        <v>8081</v>
      </c>
      <c r="B2948" t="s">
        <v>3860</v>
      </c>
      <c r="C2948" t="s">
        <v>9573</v>
      </c>
      <c r="D2948" t="s">
        <v>52</v>
      </c>
      <c r="E2948" t="s">
        <v>9588</v>
      </c>
      <c r="F2948" t="s">
        <v>45</v>
      </c>
      <c r="G2948" t="str">
        <f>HYPERLINK("https://www.instagram.com/p/BzEcPUCDv6_")</f>
        <v>https://www.instagram.com/p/BzEcPUCDv6_</v>
      </c>
      <c r="H2948" t="s">
        <v>46</v>
      </c>
      <c r="I2948" t="s">
        <v>9589</v>
      </c>
      <c r="J2948" t="str">
        <f>HYPERLINK("http://instagram.com/amandabear_lecter")</f>
        <v>http://instagram.com/amandabear_lecter</v>
      </c>
      <c r="K2948">
        <v>15340</v>
      </c>
      <c r="N2948" t="s">
        <v>59</v>
      </c>
      <c r="O2948" t="s">
        <v>9589</v>
      </c>
      <c r="P2948" t="str">
        <f>HYPERLINK("http://instagram.com/amandabear_lecter")</f>
        <v>http://instagram.com/amandabear_lecter</v>
      </c>
      <c r="Q2948">
        <v>15340</v>
      </c>
      <c r="R2948" t="s">
        <v>60</v>
      </c>
      <c r="W2948">
        <v>773</v>
      </c>
      <c r="X2948">
        <v>773</v>
      </c>
      <c r="AE2948">
        <v>91</v>
      </c>
      <c r="AI2948" t="s">
        <v>52</v>
      </c>
      <c r="AJ2948" t="s">
        <v>9590</v>
      </c>
      <c r="AK2948" t="s">
        <v>52</v>
      </c>
      <c r="AL2948" t="str">
        <f>HYPERLINK("https://www.instagram.com/p/BzEcPUCDv6_/media/?size=l")</f>
        <v>https://www.instagram.com/p/BzEcPUCDv6_/media/?size=l</v>
      </c>
      <c r="AM2948" t="s">
        <v>52</v>
      </c>
      <c r="AN2948" t="s">
        <v>53</v>
      </c>
    </row>
    <row r="2949" spans="1:40">
      <c r="A2949" t="s">
        <v>8081</v>
      </c>
      <c r="B2949" t="s">
        <v>3864</v>
      </c>
      <c r="C2949" t="s">
        <v>9591</v>
      </c>
      <c r="D2949" t="s">
        <v>52</v>
      </c>
      <c r="E2949" t="s">
        <v>3749</v>
      </c>
      <c r="F2949" t="s">
        <v>71</v>
      </c>
      <c r="G2949" t="str">
        <f>HYPERLINK("https://twitter.com/189014863/status/1142925388525555712")</f>
        <v>https://twitter.com/189014863/status/1142925388525555712</v>
      </c>
      <c r="H2949" t="s">
        <v>46</v>
      </c>
      <c r="I2949" t="s">
        <v>9592</v>
      </c>
      <c r="J2949" t="str">
        <f>HYPERLINK("http://twitter.com/HollyBadAzzBrwn")</f>
        <v>http://twitter.com/HollyBadAzzBrwn</v>
      </c>
      <c r="K2949">
        <v>870</v>
      </c>
      <c r="N2949" t="s">
        <v>65</v>
      </c>
      <c r="R2949" t="s">
        <v>60</v>
      </c>
      <c r="W2949">
        <v>0</v>
      </c>
      <c r="X2949">
        <v>0</v>
      </c>
      <c r="AE2949">
        <v>0</v>
      </c>
      <c r="AF2949">
        <v>0</v>
      </c>
      <c r="AI2949" t="s">
        <v>108</v>
      </c>
      <c r="AJ2949" t="s">
        <v>52</v>
      </c>
      <c r="AK2949" t="s">
        <v>52</v>
      </c>
      <c r="AL2949" t="str">
        <f>HYPERLINK("https://pbs.twimg.com/media/D9sAXHUX4AA6vJs.jpg")</f>
        <v>https://pbs.twimg.com/media/D9sAXHUX4AA6vJs.jpg</v>
      </c>
      <c r="AM2949" t="s">
        <v>52</v>
      </c>
      <c r="AN2949" t="s">
        <v>53</v>
      </c>
    </row>
    <row r="2950" spans="1:40">
      <c r="A2950" t="s">
        <v>8081</v>
      </c>
      <c r="B2950" t="s">
        <v>9593</v>
      </c>
      <c r="C2950" t="s">
        <v>9594</v>
      </c>
      <c r="D2950" t="s">
        <v>52</v>
      </c>
      <c r="E2950" t="s">
        <v>9595</v>
      </c>
      <c r="F2950" t="s">
        <v>95</v>
      </c>
      <c r="G2950" t="str">
        <f>HYPERLINK("https://twitter.com/1094771623255773184/status/1142924877395050497")</f>
        <v>https://twitter.com/1094771623255773184/status/1142924877395050497</v>
      </c>
      <c r="H2950" t="s">
        <v>46</v>
      </c>
      <c r="I2950" t="s">
        <v>9596</v>
      </c>
      <c r="J2950" t="str">
        <f>HYPERLINK("http://twitter.com/Steve56397357")</f>
        <v>http://twitter.com/Steve56397357</v>
      </c>
      <c r="K2950">
        <v>43</v>
      </c>
      <c r="N2950" t="s">
        <v>65</v>
      </c>
      <c r="R2950" t="s">
        <v>60</v>
      </c>
      <c r="S2950" t="s">
        <v>51</v>
      </c>
      <c r="T2950" t="s">
        <v>2720</v>
      </c>
      <c r="W2950">
        <v>1</v>
      </c>
      <c r="X2950">
        <v>1</v>
      </c>
      <c r="AE2950">
        <v>0</v>
      </c>
      <c r="AF2950">
        <v>0</v>
      </c>
      <c r="AM2950" t="s">
        <v>52</v>
      </c>
      <c r="AN2950" t="s">
        <v>53</v>
      </c>
    </row>
    <row r="2951" spans="1:40">
      <c r="A2951" t="s">
        <v>8081</v>
      </c>
      <c r="B2951" t="s">
        <v>9593</v>
      </c>
      <c r="C2951" t="s">
        <v>9591</v>
      </c>
      <c r="D2951" t="s">
        <v>52</v>
      </c>
      <c r="E2951" t="s">
        <v>9468</v>
      </c>
      <c r="F2951" t="s">
        <v>131</v>
      </c>
      <c r="G2951" t="str">
        <f>HYPERLINK("https://twitter.com/1120758295277387776/status/1142924866108002305")</f>
        <v>https://twitter.com/1120758295277387776/status/1142924866108002305</v>
      </c>
      <c r="H2951" t="s">
        <v>46</v>
      </c>
      <c r="I2951" t="s">
        <v>9597</v>
      </c>
      <c r="J2951" t="str">
        <f>HYPERLINK("http://twitter.com/incorrectzh")</f>
        <v>http://twitter.com/incorrectzh</v>
      </c>
      <c r="K2951">
        <v>434</v>
      </c>
      <c r="N2951" t="s">
        <v>65</v>
      </c>
      <c r="R2951" t="s">
        <v>60</v>
      </c>
      <c r="W2951">
        <v>0</v>
      </c>
      <c r="X2951">
        <v>0</v>
      </c>
      <c r="AE2951">
        <v>0</v>
      </c>
      <c r="AM2951" t="s">
        <v>52</v>
      </c>
      <c r="AN2951" t="s">
        <v>53</v>
      </c>
    </row>
    <row r="2952" spans="1:40">
      <c r="A2952" t="s">
        <v>8081</v>
      </c>
      <c r="B2952" t="s">
        <v>9593</v>
      </c>
      <c r="C2952" t="s">
        <v>9594</v>
      </c>
      <c r="D2952" t="s">
        <v>52</v>
      </c>
      <c r="E2952" t="s">
        <v>9598</v>
      </c>
      <c r="F2952" t="s">
        <v>95</v>
      </c>
      <c r="G2952" t="str">
        <f>HYPERLINK("https://twitter.com/750947543710834688/status/1142924824311787520")</f>
        <v>https://twitter.com/750947543710834688/status/1142924824311787520</v>
      </c>
      <c r="H2952" t="s">
        <v>46</v>
      </c>
      <c r="I2952" t="s">
        <v>9599</v>
      </c>
      <c r="J2952" t="str">
        <f>HYPERLINK("http://twitter.com/oldblacklamb562")</f>
        <v>http://twitter.com/oldblacklamb562</v>
      </c>
      <c r="K2952">
        <v>266</v>
      </c>
      <c r="N2952" t="s">
        <v>65</v>
      </c>
      <c r="R2952" t="s">
        <v>60</v>
      </c>
      <c r="S2952" t="s">
        <v>51</v>
      </c>
      <c r="T2952" t="s">
        <v>738</v>
      </c>
      <c r="U2952" t="s">
        <v>9575</v>
      </c>
      <c r="W2952">
        <v>0</v>
      </c>
      <c r="X2952">
        <v>0</v>
      </c>
      <c r="AE2952">
        <v>1</v>
      </c>
      <c r="AF2952">
        <v>0</v>
      </c>
      <c r="AM2952" t="s">
        <v>52</v>
      </c>
      <c r="AN2952" t="s">
        <v>53</v>
      </c>
    </row>
    <row r="2953" spans="1:40">
      <c r="A2953" t="s">
        <v>8081</v>
      </c>
      <c r="B2953" t="s">
        <v>9593</v>
      </c>
      <c r="C2953" t="s">
        <v>9594</v>
      </c>
      <c r="D2953" t="s">
        <v>52</v>
      </c>
      <c r="E2953" t="s">
        <v>9600</v>
      </c>
      <c r="F2953" t="s">
        <v>45</v>
      </c>
      <c r="G2953" t="str">
        <f>HYPERLINK("https://twitter.com/1184393922/status/1142924816636235776")</f>
        <v>https://twitter.com/1184393922/status/1142924816636235776</v>
      </c>
      <c r="H2953" t="s">
        <v>46</v>
      </c>
      <c r="I2953" t="s">
        <v>9601</v>
      </c>
      <c r="J2953" t="str">
        <f>HYPERLINK("http://twitter.com/prettyfacefredo")</f>
        <v>http://twitter.com/prettyfacefredo</v>
      </c>
      <c r="K2953">
        <v>214</v>
      </c>
      <c r="N2953" t="s">
        <v>65</v>
      </c>
      <c r="R2953" t="s">
        <v>60</v>
      </c>
      <c r="S2953" t="s">
        <v>51</v>
      </c>
      <c r="T2953" t="s">
        <v>2527</v>
      </c>
      <c r="U2953" t="s">
        <v>9602</v>
      </c>
      <c r="W2953">
        <v>6</v>
      </c>
      <c r="X2953">
        <v>6</v>
      </c>
      <c r="AE2953">
        <v>0</v>
      </c>
      <c r="AF2953">
        <v>3</v>
      </c>
      <c r="AM2953" t="s">
        <v>52</v>
      </c>
      <c r="AN2953" t="s">
        <v>53</v>
      </c>
    </row>
    <row r="2954" spans="1:40">
      <c r="A2954" t="s">
        <v>8081</v>
      </c>
      <c r="B2954" t="s">
        <v>3876</v>
      </c>
      <c r="C2954" t="s">
        <v>9603</v>
      </c>
      <c r="D2954" t="s">
        <v>52</v>
      </c>
      <c r="E2954" t="s">
        <v>4514</v>
      </c>
      <c r="F2954" t="s">
        <v>71</v>
      </c>
      <c r="G2954" t="str">
        <f>HYPERLINK("https://twitter.com/401080179/status/1142924385940135936")</f>
        <v>https://twitter.com/401080179/status/1142924385940135936</v>
      </c>
      <c r="H2954" t="s">
        <v>46</v>
      </c>
      <c r="I2954" t="s">
        <v>9604</v>
      </c>
      <c r="J2954" t="str">
        <f>HYPERLINK("http://twitter.com/adriikingari")</f>
        <v>http://twitter.com/adriikingari</v>
      </c>
      <c r="K2954">
        <v>742</v>
      </c>
      <c r="N2954" t="s">
        <v>65</v>
      </c>
      <c r="R2954" t="s">
        <v>60</v>
      </c>
      <c r="S2954" t="s">
        <v>437</v>
      </c>
      <c r="T2954" t="s">
        <v>528</v>
      </c>
      <c r="U2954" t="s">
        <v>529</v>
      </c>
      <c r="W2954">
        <v>0</v>
      </c>
      <c r="X2954">
        <v>0</v>
      </c>
      <c r="AE2954">
        <v>0</v>
      </c>
      <c r="AF2954">
        <v>0</v>
      </c>
      <c r="AI2954" t="s">
        <v>108</v>
      </c>
      <c r="AJ2954" t="s">
        <v>52</v>
      </c>
      <c r="AK2954" t="s">
        <v>52</v>
      </c>
      <c r="AL2954" t="str">
        <f>HYPERLINK("https://pbs.twimg.com/tweet_video_thumb/D9hvNNzXUAATAS3.jpg")</f>
        <v>https://pbs.twimg.com/tweet_video_thumb/D9hvNNzXUAATAS3.jpg</v>
      </c>
      <c r="AM2954" t="s">
        <v>52</v>
      </c>
      <c r="AN2954" t="s">
        <v>53</v>
      </c>
    </row>
    <row r="2955" spans="1:40">
      <c r="A2955" t="s">
        <v>8081</v>
      </c>
      <c r="B2955" t="s">
        <v>3876</v>
      </c>
      <c r="C2955" t="s">
        <v>9605</v>
      </c>
      <c r="D2955" t="s">
        <v>52</v>
      </c>
      <c r="E2955" t="s">
        <v>9606</v>
      </c>
      <c r="F2955" t="s">
        <v>95</v>
      </c>
      <c r="G2955" t="str">
        <f>HYPERLINK("https://twitter.com/574696220/status/1142924338359918597")</f>
        <v>https://twitter.com/574696220/status/1142924338359918597</v>
      </c>
      <c r="H2955" t="s">
        <v>46</v>
      </c>
      <c r="I2955" t="s">
        <v>9607</v>
      </c>
      <c r="J2955" t="str">
        <f>HYPERLINK("http://twitter.com/cutiscolumbus")</f>
        <v>http://twitter.com/cutiscolumbus</v>
      </c>
      <c r="K2955">
        <v>257</v>
      </c>
      <c r="N2955" t="s">
        <v>65</v>
      </c>
      <c r="R2955" t="s">
        <v>60</v>
      </c>
      <c r="W2955">
        <v>1</v>
      </c>
      <c r="X2955">
        <v>1</v>
      </c>
      <c r="AE2955">
        <v>0</v>
      </c>
      <c r="AF2955">
        <v>0</v>
      </c>
      <c r="AM2955" t="s">
        <v>52</v>
      </c>
      <c r="AN2955" t="s">
        <v>53</v>
      </c>
    </row>
    <row r="2956" spans="1:40">
      <c r="A2956" t="s">
        <v>8081</v>
      </c>
      <c r="B2956" t="s">
        <v>9608</v>
      </c>
      <c r="C2956" t="s">
        <v>9603</v>
      </c>
      <c r="D2956" t="s">
        <v>52</v>
      </c>
      <c r="E2956" t="s">
        <v>8659</v>
      </c>
      <c r="F2956" t="s">
        <v>71</v>
      </c>
      <c r="G2956" t="str">
        <f>HYPERLINK("https://twitter.com/258012888/status/1142924247792119809")</f>
        <v>https://twitter.com/258012888/status/1142924247792119809</v>
      </c>
      <c r="H2956" t="s">
        <v>46</v>
      </c>
      <c r="I2956" t="s">
        <v>9609</v>
      </c>
      <c r="J2956" t="str">
        <f>HYPERLINK("http://twitter.com/Crysstal_garcia")</f>
        <v>http://twitter.com/Crysstal_garcia</v>
      </c>
      <c r="K2956">
        <v>1273</v>
      </c>
      <c r="N2956" t="s">
        <v>65</v>
      </c>
      <c r="R2956" t="s">
        <v>60</v>
      </c>
      <c r="W2956">
        <v>0</v>
      </c>
      <c r="X2956">
        <v>0</v>
      </c>
      <c r="AE2956">
        <v>0</v>
      </c>
      <c r="AF2956">
        <v>0</v>
      </c>
      <c r="AI2956" t="s">
        <v>52</v>
      </c>
      <c r="AJ2956" t="s">
        <v>3639</v>
      </c>
      <c r="AK2956" t="s">
        <v>238</v>
      </c>
      <c r="AL2956" t="str">
        <f>HYPERLINK("https://pbs.twimg.com/media/D9jR1g0UYAAm_F_.jpg")</f>
        <v>https://pbs.twimg.com/media/D9jR1g0UYAAm_F_.jpg</v>
      </c>
      <c r="AM2956" t="s">
        <v>52</v>
      </c>
      <c r="AN2956" t="s">
        <v>53</v>
      </c>
    </row>
    <row r="2957" spans="1:40">
      <c r="A2957" t="s">
        <v>8081</v>
      </c>
      <c r="B2957" t="s">
        <v>3890</v>
      </c>
      <c r="C2957" t="s">
        <v>9552</v>
      </c>
      <c r="D2957" t="s">
        <v>52</v>
      </c>
      <c r="E2957" t="s">
        <v>9610</v>
      </c>
      <c r="F2957" t="s">
        <v>45</v>
      </c>
      <c r="G2957" t="str">
        <f>HYPERLINK("https://www.instagram.com/p/BzEbiuqBlP4")</f>
        <v>https://www.instagram.com/p/BzEbiuqBlP4</v>
      </c>
      <c r="H2957" t="s">
        <v>215</v>
      </c>
      <c r="I2957" t="s">
        <v>9611</v>
      </c>
      <c r="J2957" t="str">
        <f>HYPERLINK("http://instagram.com/neonkayan")</f>
        <v>http://instagram.com/neonkayan</v>
      </c>
      <c r="K2957">
        <v>376</v>
      </c>
      <c r="N2957" t="s">
        <v>59</v>
      </c>
      <c r="O2957" t="s">
        <v>9611</v>
      </c>
      <c r="P2957" t="str">
        <f>HYPERLINK("http://instagram.com/neonkayan")</f>
        <v>http://instagram.com/neonkayan</v>
      </c>
      <c r="Q2957">
        <v>376</v>
      </c>
      <c r="R2957" t="s">
        <v>60</v>
      </c>
      <c r="S2957" t="s">
        <v>51</v>
      </c>
      <c r="T2957" t="s">
        <v>678</v>
      </c>
      <c r="U2957" t="s">
        <v>9612</v>
      </c>
      <c r="W2957">
        <v>38</v>
      </c>
      <c r="X2957">
        <v>38</v>
      </c>
      <c r="AE2957">
        <v>3</v>
      </c>
      <c r="AI2957" t="s">
        <v>52</v>
      </c>
      <c r="AJ2957" t="s">
        <v>977</v>
      </c>
      <c r="AK2957" t="s">
        <v>9613</v>
      </c>
      <c r="AL2957" t="str">
        <f>HYPERLINK("https://www.instagram.com/p/BzEbiuqBlP4/media/?size=l")</f>
        <v>https://www.instagram.com/p/BzEbiuqBlP4/media/?size=l</v>
      </c>
      <c r="AM2957" t="s">
        <v>52</v>
      </c>
      <c r="AN2957" t="s">
        <v>53</v>
      </c>
    </row>
    <row r="2958" spans="1:40">
      <c r="A2958" t="s">
        <v>8081</v>
      </c>
      <c r="B2958" t="s">
        <v>3890</v>
      </c>
      <c r="C2958" t="s">
        <v>9594</v>
      </c>
      <c r="D2958" t="s">
        <v>52</v>
      </c>
      <c r="E2958" t="s">
        <v>9614</v>
      </c>
      <c r="F2958" t="s">
        <v>71</v>
      </c>
      <c r="G2958" t="str">
        <f>HYPERLINK("https://twitter.com/2965915462/status/1142923965918261248")</f>
        <v>https://twitter.com/2965915462/status/1142923965918261248</v>
      </c>
      <c r="H2958" t="s">
        <v>46</v>
      </c>
      <c r="I2958" t="s">
        <v>9615</v>
      </c>
      <c r="J2958" t="str">
        <f>HYPERLINK("http://twitter.com/tshiamomg")</f>
        <v>http://twitter.com/tshiamomg</v>
      </c>
      <c r="K2958">
        <v>1842</v>
      </c>
      <c r="N2958" t="s">
        <v>65</v>
      </c>
      <c r="R2958" t="s">
        <v>60</v>
      </c>
      <c r="S2958" t="s">
        <v>1071</v>
      </c>
      <c r="T2958" t="s">
        <v>1072</v>
      </c>
      <c r="U2958" t="s">
        <v>1295</v>
      </c>
      <c r="W2958">
        <v>0</v>
      </c>
      <c r="X2958">
        <v>0</v>
      </c>
      <c r="AE2958">
        <v>0</v>
      </c>
      <c r="AF2958">
        <v>0</v>
      </c>
      <c r="AM2958" t="s">
        <v>52</v>
      </c>
      <c r="AN2958" t="s">
        <v>53</v>
      </c>
    </row>
    <row r="2959" spans="1:40">
      <c r="A2959" t="s">
        <v>8081</v>
      </c>
      <c r="B2959" t="s">
        <v>3890</v>
      </c>
      <c r="C2959" t="s">
        <v>7425</v>
      </c>
      <c r="D2959" t="s">
        <v>52</v>
      </c>
      <c r="E2959" t="s">
        <v>9616</v>
      </c>
      <c r="F2959" t="s">
        <v>45</v>
      </c>
      <c r="G2959" t="str">
        <f>HYPERLINK("https://www.instagram.com/p/BzEbc0ig0Na")</f>
        <v>https://www.instagram.com/p/BzEbc0ig0Na</v>
      </c>
      <c r="H2959" t="s">
        <v>46</v>
      </c>
      <c r="I2959" t="s">
        <v>9617</v>
      </c>
      <c r="J2959" t="str">
        <f>HYPERLINK("http://instagram.com/vsco.guidee")</f>
        <v>http://instagram.com/vsco.guidee</v>
      </c>
      <c r="K2959">
        <v>131</v>
      </c>
      <c r="N2959" t="s">
        <v>59</v>
      </c>
      <c r="O2959" t="s">
        <v>9617</v>
      </c>
      <c r="P2959" t="str">
        <f>HYPERLINK("http://instagram.com/vsco.guidee")</f>
        <v>http://instagram.com/vsco.guidee</v>
      </c>
      <c r="Q2959">
        <v>131</v>
      </c>
      <c r="R2959" t="s">
        <v>60</v>
      </c>
      <c r="W2959">
        <v>12</v>
      </c>
      <c r="X2959">
        <v>12</v>
      </c>
      <c r="AE2959">
        <v>0</v>
      </c>
      <c r="AI2959" t="s">
        <v>108</v>
      </c>
      <c r="AJ2959" t="s">
        <v>9618</v>
      </c>
      <c r="AK2959" t="s">
        <v>52</v>
      </c>
      <c r="AL2959" t="str">
        <f>HYPERLINK("https://www.instagram.com/p/BzEbc0ig0Na/media/?size=l")</f>
        <v>https://www.instagram.com/p/BzEbc0ig0Na/media/?size=l</v>
      </c>
      <c r="AM2959" t="s">
        <v>52</v>
      </c>
      <c r="AN2959" t="s">
        <v>53</v>
      </c>
    </row>
    <row r="2960" spans="1:40">
      <c r="A2960" t="s">
        <v>8081</v>
      </c>
      <c r="B2960" t="s">
        <v>3898</v>
      </c>
      <c r="C2960" t="s">
        <v>9619</v>
      </c>
      <c r="D2960" t="s">
        <v>9620</v>
      </c>
      <c r="E2960" t="s">
        <v>9620</v>
      </c>
      <c r="F2960" t="s">
        <v>45</v>
      </c>
      <c r="G2960" t="str">
        <f>HYPERLINK("https://www.youtube.com/watch?v=XoWkoxH4Wps")</f>
        <v>https://www.youtube.com/watch?v=XoWkoxH4Wps</v>
      </c>
      <c r="H2960" t="s">
        <v>46</v>
      </c>
      <c r="I2960" t="s">
        <v>9621</v>
      </c>
      <c r="J2960" t="str">
        <f>HYPERLINK("https://www.youtube.com/channel/UCaTkLDPkVzozo8NXtjOsxIw")</f>
        <v>https://www.youtube.com/channel/UCaTkLDPkVzozo8NXtjOsxIw</v>
      </c>
      <c r="K2960">
        <v>68</v>
      </c>
      <c r="N2960" t="s">
        <v>116</v>
      </c>
      <c r="O2960" t="s">
        <v>9621</v>
      </c>
      <c r="P2960" t="str">
        <f>HYPERLINK("https://www.youtube.com/channel/UCaTkLDPkVzozo8NXtjOsxIw")</f>
        <v>https://www.youtube.com/channel/UCaTkLDPkVzozo8NXtjOsxIw</v>
      </c>
      <c r="Q2960">
        <v>68</v>
      </c>
      <c r="R2960" t="s">
        <v>60</v>
      </c>
      <c r="W2960">
        <v>3</v>
      </c>
      <c r="X2960">
        <v>3</v>
      </c>
      <c r="AD2960">
        <v>1</v>
      </c>
      <c r="AE2960">
        <v>0</v>
      </c>
      <c r="AG2960">
        <v>17</v>
      </c>
      <c r="AI2960" t="s">
        <v>108</v>
      </c>
      <c r="AJ2960" t="s">
        <v>458</v>
      </c>
      <c r="AK2960" t="s">
        <v>110</v>
      </c>
      <c r="AL2960" t="str">
        <f>HYPERLINK("https://i.ytimg.com/vi/XoWkoxH4Wps/sddefault.jpg")</f>
        <v>https://i.ytimg.com/vi/XoWkoxH4Wps/sddefault.jpg</v>
      </c>
      <c r="AM2960" t="s">
        <v>52</v>
      </c>
      <c r="AN2960" t="s">
        <v>53</v>
      </c>
    </row>
    <row r="2961" spans="1:40">
      <c r="A2961" t="s">
        <v>8081</v>
      </c>
      <c r="B2961" t="s">
        <v>3898</v>
      </c>
      <c r="C2961" t="s">
        <v>9622</v>
      </c>
      <c r="D2961" t="s">
        <v>52</v>
      </c>
      <c r="E2961" t="s">
        <v>9623</v>
      </c>
      <c r="F2961" t="s">
        <v>95</v>
      </c>
      <c r="G2961" t="str">
        <f>HYPERLINK("https://twitter.com/963618339246497792/status/1142923569703333891")</f>
        <v>https://twitter.com/963618339246497792/status/1142923569703333891</v>
      </c>
      <c r="H2961" t="s">
        <v>215</v>
      </c>
      <c r="I2961" t="s">
        <v>9624</v>
      </c>
      <c r="J2961" t="str">
        <f>HYPERLINK("http://twitter.com/DavidJu03198845")</f>
        <v>http://twitter.com/DavidJu03198845</v>
      </c>
      <c r="K2961">
        <v>3</v>
      </c>
      <c r="N2961" t="s">
        <v>65</v>
      </c>
      <c r="R2961" t="s">
        <v>60</v>
      </c>
      <c r="S2961" t="s">
        <v>437</v>
      </c>
      <c r="T2961" t="s">
        <v>528</v>
      </c>
      <c r="U2961" t="s">
        <v>529</v>
      </c>
      <c r="W2961">
        <v>0</v>
      </c>
      <c r="X2961">
        <v>0</v>
      </c>
      <c r="AE2961">
        <v>1</v>
      </c>
      <c r="AF2961">
        <v>0</v>
      </c>
      <c r="AM2961" t="s">
        <v>52</v>
      </c>
      <c r="AN2961" t="s">
        <v>53</v>
      </c>
    </row>
    <row r="2962" spans="1:40">
      <c r="A2962" t="s">
        <v>8081</v>
      </c>
      <c r="B2962" t="s">
        <v>3898</v>
      </c>
      <c r="C2962" t="s">
        <v>9625</v>
      </c>
      <c r="D2962" t="s">
        <v>52</v>
      </c>
      <c r="E2962" t="s">
        <v>8659</v>
      </c>
      <c r="F2962" t="s">
        <v>71</v>
      </c>
      <c r="G2962" t="str">
        <f>HYPERLINK("https://twitter.com/2961813896/status/1142923551441211392")</f>
        <v>https://twitter.com/2961813896/status/1142923551441211392</v>
      </c>
      <c r="H2962" t="s">
        <v>46</v>
      </c>
      <c r="I2962" t="s">
        <v>9626</v>
      </c>
      <c r="J2962" t="str">
        <f>HYPERLINK("http://twitter.com/stupitalupita")</f>
        <v>http://twitter.com/stupitalupita</v>
      </c>
      <c r="K2962">
        <v>840</v>
      </c>
      <c r="N2962" t="s">
        <v>65</v>
      </c>
      <c r="R2962" t="s">
        <v>60</v>
      </c>
      <c r="W2962">
        <v>16</v>
      </c>
      <c r="X2962">
        <v>16</v>
      </c>
      <c r="AE2962">
        <v>0</v>
      </c>
      <c r="AF2962">
        <v>7</v>
      </c>
      <c r="AI2962" t="s">
        <v>52</v>
      </c>
      <c r="AJ2962" t="s">
        <v>3639</v>
      </c>
      <c r="AK2962" t="s">
        <v>238</v>
      </c>
      <c r="AL2962" t="str">
        <f>HYPERLINK("https://pbs.twimg.com/media/D9jR1g0UYAAm_F_.jpg")</f>
        <v>https://pbs.twimg.com/media/D9jR1g0UYAAm_F_.jpg</v>
      </c>
      <c r="AM2962" t="s">
        <v>52</v>
      </c>
      <c r="AN2962" t="s">
        <v>53</v>
      </c>
    </row>
    <row r="2963" spans="1:40">
      <c r="A2963" t="s">
        <v>8081</v>
      </c>
      <c r="B2963" t="s">
        <v>3915</v>
      </c>
      <c r="C2963" t="s">
        <v>9627</v>
      </c>
      <c r="D2963" t="s">
        <v>52</v>
      </c>
      <c r="E2963" t="s">
        <v>5927</v>
      </c>
      <c r="F2963" t="s">
        <v>131</v>
      </c>
      <c r="G2963" t="str">
        <f>HYPERLINK("https://twitter.com/838751580241305600/status/1142922981758214144")</f>
        <v>https://twitter.com/838751580241305600/status/1142922981758214144</v>
      </c>
      <c r="H2963" t="s">
        <v>46</v>
      </c>
      <c r="I2963" t="s">
        <v>9628</v>
      </c>
      <c r="J2963" t="str">
        <f>HYPERLINK("http://twitter.com/Abnerbgross")</f>
        <v>http://twitter.com/Abnerbgross</v>
      </c>
      <c r="K2963">
        <v>54</v>
      </c>
      <c r="N2963" t="s">
        <v>65</v>
      </c>
      <c r="R2963" t="s">
        <v>60</v>
      </c>
      <c r="S2963" t="s">
        <v>444</v>
      </c>
      <c r="T2963" t="s">
        <v>3183</v>
      </c>
      <c r="U2963" t="s">
        <v>9241</v>
      </c>
      <c r="W2963">
        <v>0</v>
      </c>
      <c r="X2963">
        <v>0</v>
      </c>
      <c r="AE2963">
        <v>0</v>
      </c>
      <c r="AM2963" t="s">
        <v>52</v>
      </c>
      <c r="AN2963" t="s">
        <v>53</v>
      </c>
    </row>
    <row r="2964" spans="1:40">
      <c r="A2964" t="s">
        <v>8081</v>
      </c>
      <c r="B2964" t="s">
        <v>3944</v>
      </c>
      <c r="C2964" t="s">
        <v>9629</v>
      </c>
      <c r="D2964" t="s">
        <v>52</v>
      </c>
      <c r="E2964" t="s">
        <v>9630</v>
      </c>
      <c r="F2964" t="s">
        <v>131</v>
      </c>
      <c r="G2964" t="str">
        <f>HYPERLINK("https://twitter.com/2952319157/status/1142921804840951809")</f>
        <v>https://twitter.com/2952319157/status/1142921804840951809</v>
      </c>
      <c r="H2964" t="s">
        <v>46</v>
      </c>
      <c r="I2964" t="s">
        <v>9631</v>
      </c>
      <c r="J2964" t="str">
        <f>HYPERLINK("http://twitter.com/TinchoCasco1905")</f>
        <v>http://twitter.com/TinchoCasco1905</v>
      </c>
      <c r="K2964">
        <v>451</v>
      </c>
      <c r="N2964" t="s">
        <v>65</v>
      </c>
      <c r="R2964" t="s">
        <v>60</v>
      </c>
      <c r="S2964" t="s">
        <v>701</v>
      </c>
      <c r="T2964" t="s">
        <v>2528</v>
      </c>
      <c r="U2964" t="s">
        <v>9632</v>
      </c>
      <c r="W2964">
        <v>0</v>
      </c>
      <c r="X2964">
        <v>0</v>
      </c>
      <c r="AE2964">
        <v>0</v>
      </c>
      <c r="AM2964" t="s">
        <v>52</v>
      </c>
      <c r="AN2964" t="s">
        <v>53</v>
      </c>
    </row>
    <row r="2965" spans="1:40">
      <c r="A2965" t="s">
        <v>8081</v>
      </c>
      <c r="B2965" t="s">
        <v>3944</v>
      </c>
      <c r="C2965" t="s">
        <v>9503</v>
      </c>
      <c r="D2965" t="s">
        <v>52</v>
      </c>
      <c r="E2965" t="s">
        <v>9633</v>
      </c>
      <c r="F2965" t="s">
        <v>45</v>
      </c>
      <c r="G2965" t="str">
        <f>HYPERLINK("https://www.instagram.com/p/BzEahNIDYhn")</f>
        <v>https://www.instagram.com/p/BzEahNIDYhn</v>
      </c>
      <c r="H2965" t="s">
        <v>46</v>
      </c>
      <c r="I2965" t="s">
        <v>4367</v>
      </c>
      <c r="J2965" t="str">
        <f>HYPERLINK("http://instagram.com/indie_matic")</f>
        <v>http://instagram.com/indie_matic</v>
      </c>
      <c r="K2965">
        <v>328</v>
      </c>
      <c r="N2965" t="s">
        <v>59</v>
      </c>
      <c r="O2965" t="s">
        <v>4367</v>
      </c>
      <c r="P2965" t="str">
        <f>HYPERLINK("http://instagram.com/indie_matic")</f>
        <v>http://instagram.com/indie_matic</v>
      </c>
      <c r="Q2965">
        <v>328</v>
      </c>
      <c r="R2965" t="s">
        <v>60</v>
      </c>
      <c r="W2965">
        <v>11</v>
      </c>
      <c r="X2965">
        <v>11</v>
      </c>
      <c r="AE2965">
        <v>1</v>
      </c>
      <c r="AI2965" t="s">
        <v>52</v>
      </c>
      <c r="AJ2965" t="s">
        <v>659</v>
      </c>
      <c r="AK2965" t="s">
        <v>52</v>
      </c>
      <c r="AL2965" t="str">
        <f>HYPERLINK("https://www.instagram.com/p/BzEahNIDYhn/media/?size=l")</f>
        <v>https://www.instagram.com/p/BzEahNIDYhn/media/?size=l</v>
      </c>
      <c r="AM2965" t="s">
        <v>52</v>
      </c>
      <c r="AN2965" t="s">
        <v>53</v>
      </c>
    </row>
    <row r="2966" spans="1:40">
      <c r="A2966" t="s">
        <v>8081</v>
      </c>
      <c r="B2966" t="s">
        <v>3971</v>
      </c>
      <c r="C2966" t="s">
        <v>9634</v>
      </c>
      <c r="D2966" t="s">
        <v>52</v>
      </c>
      <c r="E2966" t="s">
        <v>130</v>
      </c>
      <c r="F2966" t="s">
        <v>131</v>
      </c>
      <c r="G2966" t="str">
        <f>HYPERLINK("https://twitter.com/20147358/status/1142921169181585409")</f>
        <v>https://twitter.com/20147358/status/1142921169181585409</v>
      </c>
      <c r="H2966" t="s">
        <v>46</v>
      </c>
      <c r="I2966" t="s">
        <v>9635</v>
      </c>
      <c r="J2966" t="str">
        <f>HYPERLINK("http://twitter.com/DesBrownLlaneza")</f>
        <v>http://twitter.com/DesBrownLlaneza</v>
      </c>
      <c r="K2966">
        <v>257</v>
      </c>
      <c r="N2966" t="s">
        <v>65</v>
      </c>
      <c r="R2966" t="s">
        <v>60</v>
      </c>
      <c r="S2966" t="s">
        <v>97</v>
      </c>
      <c r="T2966" t="s">
        <v>177</v>
      </c>
      <c r="U2966" t="s">
        <v>9636</v>
      </c>
      <c r="W2966">
        <v>0</v>
      </c>
      <c r="X2966">
        <v>0</v>
      </c>
      <c r="AE2966">
        <v>0</v>
      </c>
      <c r="AI2966" t="s">
        <v>108</v>
      </c>
      <c r="AJ2966" t="s">
        <v>52</v>
      </c>
      <c r="AK2966" t="s">
        <v>52</v>
      </c>
      <c r="AL2966" t="str">
        <f>HYPERLINK("https://pbs.twimg.com/media/D9XTkLWW4AAOYnJ.jpg")</f>
        <v>https://pbs.twimg.com/media/D9XTkLWW4AAOYnJ.jpg</v>
      </c>
      <c r="AM2966" t="s">
        <v>52</v>
      </c>
      <c r="AN2966" t="s">
        <v>53</v>
      </c>
    </row>
    <row r="2967" spans="1:40">
      <c r="A2967" t="s">
        <v>8081</v>
      </c>
      <c r="B2967" t="s">
        <v>3971</v>
      </c>
      <c r="C2967" t="s">
        <v>9637</v>
      </c>
      <c r="D2967" t="s">
        <v>9638</v>
      </c>
      <c r="E2967" t="s">
        <v>9639</v>
      </c>
      <c r="F2967" t="s">
        <v>95</v>
      </c>
      <c r="G2967" t="str">
        <f>HYPERLINK("https://thehill.com/blogs/blog-briefing-room/news/449948-popular-knitting-website-bans-shows-of-support-for-trump#comment-4513493260")</f>
        <v>https://thehill.com/blogs/blog-briefing-room/news/449948-popular-knitting-website-bans-shows-of-support-for-trump#comment-4513493260</v>
      </c>
      <c r="H2967" t="s">
        <v>46</v>
      </c>
      <c r="I2967" t="s">
        <v>9640</v>
      </c>
      <c r="J2967" t="str">
        <f>HYPERLINK("https://disqus.com/by/disqus_irRBS6k9BQ/")</f>
        <v>https://disqus.com/by/disqus_irRBS6k9BQ/</v>
      </c>
      <c r="K2967">
        <v>1</v>
      </c>
      <c r="N2967" t="s">
        <v>2257</v>
      </c>
      <c r="O2967" t="s">
        <v>2258</v>
      </c>
      <c r="P2967" t="str">
        <f>HYPERLINK("https://disqus.com/home/forum/thehill-v4/")</f>
        <v>https://disqus.com/home/forum/thehill-v4/</v>
      </c>
      <c r="R2967" t="s">
        <v>50</v>
      </c>
      <c r="W2967">
        <v>0</v>
      </c>
      <c r="X2967">
        <v>0</v>
      </c>
      <c r="AM2967" t="s">
        <v>52</v>
      </c>
      <c r="AN2967" t="s">
        <v>53</v>
      </c>
    </row>
    <row r="2968" spans="1:40">
      <c r="A2968" t="s">
        <v>8081</v>
      </c>
      <c r="B2968" t="s">
        <v>9641</v>
      </c>
      <c r="C2968" t="s">
        <v>9642</v>
      </c>
      <c r="D2968" t="s">
        <v>52</v>
      </c>
      <c r="E2968" t="s">
        <v>9643</v>
      </c>
      <c r="F2968" t="s">
        <v>71</v>
      </c>
      <c r="G2968" t="str">
        <f>HYPERLINK("https://twitter.com/2868337439/status/1142920253942444032")</f>
        <v>https://twitter.com/2868337439/status/1142920253942444032</v>
      </c>
      <c r="H2968" t="s">
        <v>46</v>
      </c>
      <c r="I2968" t="s">
        <v>9644</v>
      </c>
      <c r="J2968" t="str">
        <f>HYPERLINK("http://twitter.com/PassionFruitWlf")</f>
        <v>http://twitter.com/PassionFruitWlf</v>
      </c>
      <c r="K2968">
        <v>667</v>
      </c>
      <c r="N2968" t="s">
        <v>65</v>
      </c>
      <c r="R2968" t="s">
        <v>60</v>
      </c>
      <c r="S2968" t="s">
        <v>444</v>
      </c>
      <c r="T2968" t="s">
        <v>8442</v>
      </c>
      <c r="U2968" t="s">
        <v>9645</v>
      </c>
      <c r="W2968">
        <v>0</v>
      </c>
      <c r="X2968">
        <v>0</v>
      </c>
      <c r="AE2968">
        <v>0</v>
      </c>
      <c r="AF2968">
        <v>0</v>
      </c>
      <c r="AI2968" t="s">
        <v>108</v>
      </c>
      <c r="AJ2968" t="s">
        <v>52</v>
      </c>
      <c r="AK2968" t="s">
        <v>52</v>
      </c>
      <c r="AL2968" t="str">
        <f>HYPERLINK("https://pbs.twimg.com/tweet_video_thumb/D9hvNNzXUAATAS3.jpg")</f>
        <v>https://pbs.twimg.com/tweet_video_thumb/D9hvNNzXUAATAS3.jpg</v>
      </c>
      <c r="AM2968" t="s">
        <v>52</v>
      </c>
      <c r="AN2968" t="s">
        <v>53</v>
      </c>
    </row>
    <row r="2969" spans="1:40">
      <c r="A2969" t="s">
        <v>8081</v>
      </c>
      <c r="B2969" t="s">
        <v>3989</v>
      </c>
      <c r="C2969" t="s">
        <v>9646</v>
      </c>
      <c r="D2969" t="s">
        <v>52</v>
      </c>
      <c r="E2969" t="s">
        <v>9647</v>
      </c>
      <c r="F2969" t="s">
        <v>45</v>
      </c>
      <c r="G2969" t="str">
        <f>HYPERLINK("https://twitter.com/1078192321/status/1142919809979449345")</f>
        <v>https://twitter.com/1078192321/status/1142919809979449345</v>
      </c>
      <c r="H2969" t="s">
        <v>46</v>
      </c>
      <c r="I2969" t="s">
        <v>9648</v>
      </c>
      <c r="J2969" t="str">
        <f>HYPERLINK("http://twitter.com/kaiiiyuhh")</f>
        <v>http://twitter.com/kaiiiyuhh</v>
      </c>
      <c r="K2969">
        <v>3233</v>
      </c>
      <c r="N2969" t="s">
        <v>65</v>
      </c>
      <c r="R2969" t="s">
        <v>60</v>
      </c>
      <c r="W2969">
        <v>0</v>
      </c>
      <c r="X2969">
        <v>0</v>
      </c>
      <c r="AE2969">
        <v>0</v>
      </c>
      <c r="AF2969">
        <v>0</v>
      </c>
      <c r="AM2969" t="s">
        <v>52</v>
      </c>
      <c r="AN2969" t="s">
        <v>53</v>
      </c>
    </row>
    <row r="2970" spans="1:40">
      <c r="A2970" t="s">
        <v>8081</v>
      </c>
      <c r="B2970" t="s">
        <v>9649</v>
      </c>
      <c r="C2970" t="s">
        <v>9646</v>
      </c>
      <c r="D2970" t="s">
        <v>9650</v>
      </c>
      <c r="E2970" t="s">
        <v>8451</v>
      </c>
      <c r="F2970" t="s">
        <v>45</v>
      </c>
      <c r="G2970" t="str">
        <f>HYPERLINK("https://www.nowtolove.com.au/health/body/healthy-mummy-weight-loss-transformations-56563")</f>
        <v>https://www.nowtolove.com.au/health/body/healthy-mummy-weight-loss-transformations-56563</v>
      </c>
      <c r="H2970" t="s">
        <v>46</v>
      </c>
      <c r="I2970" t="s">
        <v>9651</v>
      </c>
      <c r="J2970" t="str">
        <f>HYPERLINK("http://nwonline.com.au")</f>
        <v>http://nwonline.com.au</v>
      </c>
      <c r="N2970" t="s">
        <v>9652</v>
      </c>
      <c r="R2970" t="s">
        <v>357</v>
      </c>
      <c r="S2970" t="s">
        <v>774</v>
      </c>
      <c r="AM2970" t="s">
        <v>52</v>
      </c>
      <c r="AN2970" t="s">
        <v>53</v>
      </c>
    </row>
    <row r="2971" spans="1:40">
      <c r="A2971" t="s">
        <v>8081</v>
      </c>
      <c r="B2971" t="s">
        <v>9649</v>
      </c>
      <c r="C2971" t="s">
        <v>9627</v>
      </c>
      <c r="D2971" t="s">
        <v>52</v>
      </c>
      <c r="E2971" t="s">
        <v>3749</v>
      </c>
      <c r="F2971" t="s">
        <v>71</v>
      </c>
      <c r="G2971" t="str">
        <f>HYPERLINK("https://twitter.com/749326847251517440/status/1142919527832985600")</f>
        <v>https://twitter.com/749326847251517440/status/1142919527832985600</v>
      </c>
      <c r="H2971" t="s">
        <v>46</v>
      </c>
      <c r="I2971" t="s">
        <v>52</v>
      </c>
      <c r="J2971" t="str">
        <f>HYPERLINK("http://twitter.com/_blkhoney")</f>
        <v>http://twitter.com/_blkhoney</v>
      </c>
      <c r="K2971">
        <v>154</v>
      </c>
      <c r="N2971" t="s">
        <v>65</v>
      </c>
      <c r="R2971" t="s">
        <v>60</v>
      </c>
      <c r="W2971">
        <v>0</v>
      </c>
      <c r="X2971">
        <v>0</v>
      </c>
      <c r="AE2971">
        <v>0</v>
      </c>
      <c r="AF2971">
        <v>0</v>
      </c>
      <c r="AI2971" t="s">
        <v>108</v>
      </c>
      <c r="AJ2971" t="s">
        <v>52</v>
      </c>
      <c r="AK2971" t="s">
        <v>52</v>
      </c>
      <c r="AL2971" t="str">
        <f>HYPERLINK("https://pbs.twimg.com/media/D9sAXHUX4AA6vJs.jpg")</f>
        <v>https://pbs.twimg.com/media/D9sAXHUX4AA6vJs.jpg</v>
      </c>
      <c r="AM2971" t="s">
        <v>52</v>
      </c>
      <c r="AN2971" t="s">
        <v>53</v>
      </c>
    </row>
    <row r="2972" spans="1:40">
      <c r="A2972" t="s">
        <v>8081</v>
      </c>
      <c r="B2972" t="s">
        <v>9649</v>
      </c>
      <c r="C2972" t="s">
        <v>9653</v>
      </c>
      <c r="D2972" t="s">
        <v>52</v>
      </c>
      <c r="E2972" t="s">
        <v>9654</v>
      </c>
      <c r="F2972" t="s">
        <v>71</v>
      </c>
      <c r="G2972" t="str">
        <f>HYPERLINK("https://twitter.com/1139341734348034050/status/1142919519490510848")</f>
        <v>https://twitter.com/1139341734348034050/status/1142919519490510848</v>
      </c>
      <c r="H2972" t="s">
        <v>46</v>
      </c>
      <c r="I2972" t="s">
        <v>9655</v>
      </c>
      <c r="J2972" t="str">
        <f>HYPERLINK("http://twitter.com/Calipsis1")</f>
        <v>http://twitter.com/Calipsis1</v>
      </c>
      <c r="K2972">
        <v>16</v>
      </c>
      <c r="N2972" t="s">
        <v>65</v>
      </c>
      <c r="R2972" t="s">
        <v>60</v>
      </c>
      <c r="W2972">
        <v>0</v>
      </c>
      <c r="X2972">
        <v>0</v>
      </c>
      <c r="AE2972">
        <v>0</v>
      </c>
      <c r="AF2972">
        <v>0</v>
      </c>
      <c r="AI2972" t="s">
        <v>108</v>
      </c>
      <c r="AJ2972" t="s">
        <v>52</v>
      </c>
      <c r="AK2972" t="s">
        <v>52</v>
      </c>
      <c r="AL2972" t="str">
        <f>HYPERLINK("https://pbs.twimg.com/ext_tw_video_thumb/1141360066962100224/pu/img/5_tGc4hLFQwcD07b.jpg")</f>
        <v>https://pbs.twimg.com/ext_tw_video_thumb/1141360066962100224/pu/img/5_tGc4hLFQwcD07b.jpg</v>
      </c>
      <c r="AM2972" t="s">
        <v>52</v>
      </c>
      <c r="AN2972" t="s">
        <v>53</v>
      </c>
    </row>
    <row r="2973" spans="1:40">
      <c r="A2973" t="s">
        <v>8081</v>
      </c>
      <c r="B2973" t="s">
        <v>3991</v>
      </c>
      <c r="C2973" t="s">
        <v>9653</v>
      </c>
      <c r="D2973" t="s">
        <v>52</v>
      </c>
      <c r="E2973" t="s">
        <v>1194</v>
      </c>
      <c r="F2973" t="s">
        <v>131</v>
      </c>
      <c r="G2973" t="str">
        <f>HYPERLINK("https://twitter.com/1275338113/status/1142919485571129348")</f>
        <v>https://twitter.com/1275338113/status/1142919485571129348</v>
      </c>
      <c r="H2973" t="s">
        <v>46</v>
      </c>
      <c r="I2973" t="s">
        <v>9656</v>
      </c>
      <c r="J2973" t="str">
        <f>HYPERLINK("http://twitter.com/itsgloomanddoom")</f>
        <v>http://twitter.com/itsgloomanddoom</v>
      </c>
      <c r="K2973">
        <v>100</v>
      </c>
      <c r="N2973" t="s">
        <v>65</v>
      </c>
      <c r="R2973" t="s">
        <v>60</v>
      </c>
      <c r="S2973" t="s">
        <v>51</v>
      </c>
      <c r="T2973" t="s">
        <v>66</v>
      </c>
      <c r="U2973" t="s">
        <v>67</v>
      </c>
      <c r="W2973">
        <v>0</v>
      </c>
      <c r="X2973">
        <v>0</v>
      </c>
      <c r="AE2973">
        <v>0</v>
      </c>
      <c r="AI2973" t="s">
        <v>52</v>
      </c>
      <c r="AJ2973" t="s">
        <v>1196</v>
      </c>
      <c r="AK2973" t="s">
        <v>52</v>
      </c>
      <c r="AL2973" t="str">
        <f>HYPERLINK("https://pbs.twimg.com/media/D9xgk2YXkAAd2ql.jpg")</f>
        <v>https://pbs.twimg.com/media/D9xgk2YXkAAd2ql.jpg</v>
      </c>
      <c r="AM2973" t="s">
        <v>52</v>
      </c>
      <c r="AN2973" t="s">
        <v>53</v>
      </c>
    </row>
    <row r="2974" spans="1:40">
      <c r="A2974" t="s">
        <v>8081</v>
      </c>
      <c r="B2974" t="s">
        <v>3991</v>
      </c>
      <c r="C2974" t="s">
        <v>9594</v>
      </c>
      <c r="D2974" t="s">
        <v>52</v>
      </c>
      <c r="E2974" t="s">
        <v>1194</v>
      </c>
      <c r="F2974" t="s">
        <v>131</v>
      </c>
      <c r="G2974" t="str">
        <f>HYPERLINK("https://twitter.com/927612661105381376/status/1142919455405686785")</f>
        <v>https://twitter.com/927612661105381376/status/1142919455405686785</v>
      </c>
      <c r="H2974" t="s">
        <v>46</v>
      </c>
      <c r="I2974" t="s">
        <v>9657</v>
      </c>
      <c r="J2974" t="str">
        <f>HYPERLINK("http://twitter.com/francoahrc")</f>
        <v>http://twitter.com/francoahrc</v>
      </c>
      <c r="K2974">
        <v>188</v>
      </c>
      <c r="L2974" t="s">
        <v>48</v>
      </c>
      <c r="N2974" t="s">
        <v>65</v>
      </c>
      <c r="R2974" t="s">
        <v>60</v>
      </c>
      <c r="S2974" t="s">
        <v>210</v>
      </c>
      <c r="T2974" t="s">
        <v>9658</v>
      </c>
      <c r="U2974" t="s">
        <v>9659</v>
      </c>
      <c r="W2974">
        <v>0</v>
      </c>
      <c r="X2974">
        <v>0</v>
      </c>
      <c r="AE2974">
        <v>0</v>
      </c>
      <c r="AI2974" t="s">
        <v>52</v>
      </c>
      <c r="AJ2974" t="s">
        <v>1196</v>
      </c>
      <c r="AK2974" t="s">
        <v>52</v>
      </c>
      <c r="AL2974" t="str">
        <f>HYPERLINK("https://pbs.twimg.com/media/D9xgk2YXkAAd2ql.jpg")</f>
        <v>https://pbs.twimg.com/media/D9xgk2YXkAAd2ql.jpg</v>
      </c>
      <c r="AM2974" t="s">
        <v>52</v>
      </c>
      <c r="AN2974" t="s">
        <v>53</v>
      </c>
    </row>
    <row r="2975" spans="1:40">
      <c r="A2975" t="s">
        <v>8081</v>
      </c>
      <c r="B2975" t="s">
        <v>3991</v>
      </c>
      <c r="C2975" t="s">
        <v>9622</v>
      </c>
      <c r="D2975" t="s">
        <v>52</v>
      </c>
      <c r="E2975" t="s">
        <v>9660</v>
      </c>
      <c r="F2975" t="s">
        <v>71</v>
      </c>
      <c r="G2975" t="str">
        <f>HYPERLINK("https://twitter.com/1676659362/status/1142919392017211393")</f>
        <v>https://twitter.com/1676659362/status/1142919392017211393</v>
      </c>
      <c r="H2975" t="s">
        <v>46</v>
      </c>
      <c r="I2975" t="s">
        <v>9661</v>
      </c>
      <c r="J2975" t="str">
        <f>HYPERLINK("http://twitter.com/EricSlime")</f>
        <v>http://twitter.com/EricSlime</v>
      </c>
      <c r="K2975">
        <v>7284</v>
      </c>
      <c r="L2975" t="s">
        <v>48</v>
      </c>
      <c r="N2975" t="s">
        <v>65</v>
      </c>
      <c r="R2975" t="s">
        <v>60</v>
      </c>
      <c r="S2975" t="s">
        <v>51</v>
      </c>
      <c r="T2975" t="s">
        <v>84</v>
      </c>
      <c r="U2975" t="s">
        <v>85</v>
      </c>
      <c r="W2975">
        <v>1</v>
      </c>
      <c r="X2975">
        <v>1</v>
      </c>
      <c r="AE2975">
        <v>1</v>
      </c>
      <c r="AF2975">
        <v>0</v>
      </c>
      <c r="AM2975" t="s">
        <v>52</v>
      </c>
      <c r="AN2975" t="s">
        <v>53</v>
      </c>
    </row>
    <row r="2976" spans="1:40">
      <c r="A2976" t="s">
        <v>8081</v>
      </c>
      <c r="B2976" t="s">
        <v>3991</v>
      </c>
      <c r="C2976" t="s">
        <v>9622</v>
      </c>
      <c r="D2976" t="s">
        <v>52</v>
      </c>
      <c r="E2976" t="s">
        <v>1194</v>
      </c>
      <c r="F2976" t="s">
        <v>131</v>
      </c>
      <c r="G2976" t="str">
        <f>HYPERLINK("https://twitter.com/2363520598/status/1142919385142714368")</f>
        <v>https://twitter.com/2363520598/status/1142919385142714368</v>
      </c>
      <c r="H2976" t="s">
        <v>46</v>
      </c>
      <c r="I2976" t="s">
        <v>155</v>
      </c>
      <c r="J2976" t="str">
        <f>HYPERLINK("http://twitter.com/DrunkToadM")</f>
        <v>http://twitter.com/DrunkToadM</v>
      </c>
      <c r="K2976">
        <v>50</v>
      </c>
      <c r="L2976" t="s">
        <v>48</v>
      </c>
      <c r="N2976" t="s">
        <v>65</v>
      </c>
      <c r="R2976" t="s">
        <v>60</v>
      </c>
      <c r="S2976" t="s">
        <v>97</v>
      </c>
      <c r="T2976" t="s">
        <v>177</v>
      </c>
      <c r="U2976" t="s">
        <v>6858</v>
      </c>
      <c r="W2976">
        <v>0</v>
      </c>
      <c r="X2976">
        <v>0</v>
      </c>
      <c r="AE2976">
        <v>0</v>
      </c>
      <c r="AI2976" t="s">
        <v>52</v>
      </c>
      <c r="AJ2976" t="s">
        <v>1196</v>
      </c>
      <c r="AK2976" t="s">
        <v>52</v>
      </c>
      <c r="AL2976" t="str">
        <f>HYPERLINK("https://pbs.twimg.com/media/D9xgk2YXkAAd2ql.jpg")</f>
        <v>https://pbs.twimg.com/media/D9xgk2YXkAAd2ql.jpg</v>
      </c>
      <c r="AM2976" t="s">
        <v>52</v>
      </c>
      <c r="AN2976" t="s">
        <v>53</v>
      </c>
    </row>
    <row r="2977" spans="1:40">
      <c r="A2977" t="s">
        <v>8081</v>
      </c>
      <c r="B2977" t="s">
        <v>3991</v>
      </c>
      <c r="C2977" t="s">
        <v>9603</v>
      </c>
      <c r="D2977" t="s">
        <v>52</v>
      </c>
      <c r="E2977" t="s">
        <v>3749</v>
      </c>
      <c r="F2977" t="s">
        <v>71</v>
      </c>
      <c r="G2977" t="str">
        <f>HYPERLINK("https://twitter.com/272128094/status/1142919326422503429")</f>
        <v>https://twitter.com/272128094/status/1142919326422503429</v>
      </c>
      <c r="H2977" t="s">
        <v>46</v>
      </c>
      <c r="I2977" t="s">
        <v>9662</v>
      </c>
      <c r="J2977" t="str">
        <f>HYPERLINK("http://twitter.com/rjae180")</f>
        <v>http://twitter.com/rjae180</v>
      </c>
      <c r="K2977">
        <v>4151</v>
      </c>
      <c r="N2977" t="s">
        <v>65</v>
      </c>
      <c r="R2977" t="s">
        <v>60</v>
      </c>
      <c r="S2977" t="s">
        <v>97</v>
      </c>
      <c r="T2977" t="s">
        <v>177</v>
      </c>
      <c r="U2977" t="s">
        <v>361</v>
      </c>
      <c r="W2977">
        <v>0</v>
      </c>
      <c r="X2977">
        <v>0</v>
      </c>
      <c r="AE2977">
        <v>0</v>
      </c>
      <c r="AF2977">
        <v>0</v>
      </c>
      <c r="AI2977" t="s">
        <v>108</v>
      </c>
      <c r="AJ2977" t="s">
        <v>52</v>
      </c>
      <c r="AK2977" t="s">
        <v>52</v>
      </c>
      <c r="AL2977" t="str">
        <f>HYPERLINK("https://pbs.twimg.com/media/D9sAXHUX4AA6vJs.jpg")</f>
        <v>https://pbs.twimg.com/media/D9sAXHUX4AA6vJs.jpg</v>
      </c>
      <c r="AM2977" t="s">
        <v>52</v>
      </c>
      <c r="AN2977" t="s">
        <v>53</v>
      </c>
    </row>
    <row r="2978" spans="1:40">
      <c r="A2978" t="s">
        <v>8081</v>
      </c>
      <c r="B2978" t="s">
        <v>3991</v>
      </c>
      <c r="C2978" t="s">
        <v>9663</v>
      </c>
      <c r="D2978" t="s">
        <v>52</v>
      </c>
      <c r="E2978" t="s">
        <v>1194</v>
      </c>
      <c r="F2978" t="s">
        <v>131</v>
      </c>
      <c r="G2978" t="str">
        <f>HYPERLINK("https://twitter.com/119344920/status/1142919301076328449")</f>
        <v>https://twitter.com/119344920/status/1142919301076328449</v>
      </c>
      <c r="H2978" t="s">
        <v>46</v>
      </c>
      <c r="I2978" t="s">
        <v>9664</v>
      </c>
      <c r="J2978" t="str">
        <f>HYPERLINK("http://twitter.com/YoungNeko14")</f>
        <v>http://twitter.com/YoungNeko14</v>
      </c>
      <c r="K2978">
        <v>50</v>
      </c>
      <c r="N2978" t="s">
        <v>65</v>
      </c>
      <c r="R2978" t="s">
        <v>60</v>
      </c>
      <c r="S2978" t="s">
        <v>387</v>
      </c>
      <c r="T2978" t="s">
        <v>953</v>
      </c>
      <c r="U2978" t="s">
        <v>9665</v>
      </c>
      <c r="W2978">
        <v>0</v>
      </c>
      <c r="X2978">
        <v>0</v>
      </c>
      <c r="AE2978">
        <v>0</v>
      </c>
      <c r="AI2978" t="s">
        <v>52</v>
      </c>
      <c r="AJ2978" t="s">
        <v>1196</v>
      </c>
      <c r="AK2978" t="s">
        <v>52</v>
      </c>
      <c r="AL2978" t="str">
        <f>HYPERLINK("https://pbs.twimg.com/media/D9xgk2YXkAAd2ql.jpg")</f>
        <v>https://pbs.twimg.com/media/D9xgk2YXkAAd2ql.jpg</v>
      </c>
      <c r="AM2978" t="s">
        <v>52</v>
      </c>
      <c r="AN2978" t="s">
        <v>53</v>
      </c>
    </row>
    <row r="2979" spans="1:40">
      <c r="A2979" t="s">
        <v>8081</v>
      </c>
      <c r="B2979" t="s">
        <v>3994</v>
      </c>
      <c r="C2979" t="s">
        <v>9629</v>
      </c>
      <c r="D2979" t="s">
        <v>52</v>
      </c>
      <c r="E2979" t="s">
        <v>4803</v>
      </c>
      <c r="F2979" t="s">
        <v>45</v>
      </c>
      <c r="G2979" t="str">
        <f>HYPERLINK("https://twitter.com/2196844920/status/1142919248840417280")</f>
        <v>https://twitter.com/2196844920/status/1142919248840417280</v>
      </c>
      <c r="H2979" t="s">
        <v>46</v>
      </c>
      <c r="I2979" t="s">
        <v>9666</v>
      </c>
      <c r="J2979" t="str">
        <f>HYPERLINK("http://twitter.com/abriiparedes")</f>
        <v>http://twitter.com/abriiparedes</v>
      </c>
      <c r="K2979">
        <v>1842</v>
      </c>
      <c r="N2979" t="s">
        <v>65</v>
      </c>
      <c r="R2979" t="s">
        <v>60</v>
      </c>
      <c r="S2979" t="s">
        <v>701</v>
      </c>
      <c r="T2979" t="s">
        <v>2321</v>
      </c>
      <c r="U2979" t="s">
        <v>9667</v>
      </c>
      <c r="W2979">
        <v>7</v>
      </c>
      <c r="X2979">
        <v>7</v>
      </c>
      <c r="AE2979">
        <v>0</v>
      </c>
      <c r="AF2979">
        <v>6</v>
      </c>
      <c r="AM2979" t="s">
        <v>52</v>
      </c>
      <c r="AN2979" t="s">
        <v>53</v>
      </c>
    </row>
    <row r="2980" spans="1:40">
      <c r="A2980" t="s">
        <v>8081</v>
      </c>
      <c r="B2980" t="s">
        <v>3994</v>
      </c>
      <c r="C2980" t="s">
        <v>9625</v>
      </c>
      <c r="D2980" t="s">
        <v>52</v>
      </c>
      <c r="E2980" t="s">
        <v>9654</v>
      </c>
      <c r="F2980" t="s">
        <v>71</v>
      </c>
      <c r="G2980" t="str">
        <f>HYPERLINK("https://twitter.com/1104170645309542400/status/1142919175867904000")</f>
        <v>https://twitter.com/1104170645309542400/status/1142919175867904000</v>
      </c>
      <c r="H2980" t="s">
        <v>46</v>
      </c>
      <c r="I2980" t="s">
        <v>9668</v>
      </c>
      <c r="J2980" t="str">
        <f>HYPERLINK("http://twitter.com/Kenedywolf1")</f>
        <v>http://twitter.com/Kenedywolf1</v>
      </c>
      <c r="K2980">
        <v>84</v>
      </c>
      <c r="N2980" t="s">
        <v>65</v>
      </c>
      <c r="R2980" t="s">
        <v>60</v>
      </c>
      <c r="W2980">
        <v>0</v>
      </c>
      <c r="X2980">
        <v>0</v>
      </c>
      <c r="AE2980">
        <v>0</v>
      </c>
      <c r="AF2980">
        <v>0</v>
      </c>
      <c r="AI2980" t="s">
        <v>108</v>
      </c>
      <c r="AJ2980" t="s">
        <v>52</v>
      </c>
      <c r="AK2980" t="s">
        <v>52</v>
      </c>
      <c r="AL2980" t="str">
        <f>HYPERLINK("https://pbs.twimg.com/ext_tw_video_thumb/1141360066962100224/pu/img/5_tGc4hLFQwcD07b.jpg")</f>
        <v>https://pbs.twimg.com/ext_tw_video_thumb/1141360066962100224/pu/img/5_tGc4hLFQwcD07b.jpg</v>
      </c>
      <c r="AM2980" t="s">
        <v>52</v>
      </c>
      <c r="AN2980" t="s">
        <v>53</v>
      </c>
    </row>
    <row r="2981" spans="1:40">
      <c r="A2981" t="s">
        <v>8081</v>
      </c>
      <c r="B2981" t="s">
        <v>3994</v>
      </c>
      <c r="C2981" t="s">
        <v>9669</v>
      </c>
      <c r="D2981" t="s">
        <v>52</v>
      </c>
      <c r="E2981" t="s">
        <v>9670</v>
      </c>
      <c r="F2981" t="s">
        <v>71</v>
      </c>
      <c r="G2981" t="str">
        <f>HYPERLINK("https://twitter.com/980849629616115712/status/1142919078904045569")</f>
        <v>https://twitter.com/980849629616115712/status/1142919078904045569</v>
      </c>
      <c r="H2981" t="s">
        <v>46</v>
      </c>
      <c r="I2981" t="s">
        <v>9671</v>
      </c>
      <c r="J2981" t="str">
        <f>HYPERLINK("http://twitter.com/Waden_w")</f>
        <v>http://twitter.com/Waden_w</v>
      </c>
      <c r="K2981">
        <v>180</v>
      </c>
      <c r="N2981" t="s">
        <v>65</v>
      </c>
      <c r="R2981" t="s">
        <v>60</v>
      </c>
      <c r="S2981" t="s">
        <v>1071</v>
      </c>
      <c r="T2981" t="s">
        <v>3751</v>
      </c>
      <c r="U2981" t="s">
        <v>3752</v>
      </c>
      <c r="W2981">
        <v>0</v>
      </c>
      <c r="X2981">
        <v>0</v>
      </c>
      <c r="AE2981">
        <v>0</v>
      </c>
      <c r="AF2981">
        <v>0</v>
      </c>
      <c r="AI2981" t="s">
        <v>108</v>
      </c>
      <c r="AJ2981" t="s">
        <v>52</v>
      </c>
      <c r="AK2981" t="s">
        <v>52</v>
      </c>
      <c r="AL2981" t="str">
        <f>HYPERLINK("https://pbs.twimg.com/media/D9sAXHUX4AA6vJs.jpg")</f>
        <v>https://pbs.twimg.com/media/D9sAXHUX4AA6vJs.jpg</v>
      </c>
      <c r="AM2981" t="s">
        <v>52</v>
      </c>
      <c r="AN2981" t="s">
        <v>53</v>
      </c>
    </row>
    <row r="2982" spans="1:40">
      <c r="A2982" t="s">
        <v>8081</v>
      </c>
      <c r="B2982" t="s">
        <v>3994</v>
      </c>
      <c r="C2982" t="s">
        <v>9672</v>
      </c>
      <c r="D2982" t="s">
        <v>52</v>
      </c>
      <c r="E2982" t="s">
        <v>4514</v>
      </c>
      <c r="F2982" t="s">
        <v>71</v>
      </c>
      <c r="G2982" t="str">
        <f>HYPERLINK("https://twitter.com/271244383/status/1142919041092333570")</f>
        <v>https://twitter.com/271244383/status/1142919041092333570</v>
      </c>
      <c r="H2982" t="s">
        <v>46</v>
      </c>
      <c r="I2982" t="s">
        <v>9673</v>
      </c>
      <c r="J2982" t="str">
        <f>HYPERLINK("http://twitter.com/prcowboys")</f>
        <v>http://twitter.com/prcowboys</v>
      </c>
      <c r="K2982">
        <v>5061</v>
      </c>
      <c r="N2982" t="s">
        <v>65</v>
      </c>
      <c r="R2982" t="s">
        <v>60</v>
      </c>
      <c r="S2982" t="s">
        <v>51</v>
      </c>
      <c r="T2982" t="s">
        <v>2200</v>
      </c>
      <c r="W2982">
        <v>0</v>
      </c>
      <c r="X2982">
        <v>0</v>
      </c>
      <c r="AE2982">
        <v>0</v>
      </c>
      <c r="AF2982">
        <v>0</v>
      </c>
      <c r="AI2982" t="s">
        <v>108</v>
      </c>
      <c r="AJ2982" t="s">
        <v>52</v>
      </c>
      <c r="AK2982" t="s">
        <v>52</v>
      </c>
      <c r="AL2982" t="str">
        <f>HYPERLINK("https://pbs.twimg.com/tweet_video_thumb/D9hvNNzXUAATAS3.jpg")</f>
        <v>https://pbs.twimg.com/tweet_video_thumb/D9hvNNzXUAATAS3.jpg</v>
      </c>
      <c r="AM2982" t="s">
        <v>52</v>
      </c>
      <c r="AN2982" t="s">
        <v>53</v>
      </c>
    </row>
    <row r="2983" spans="1:40">
      <c r="A2983" t="s">
        <v>8081</v>
      </c>
      <c r="B2983" t="s">
        <v>4000</v>
      </c>
      <c r="C2983" t="s">
        <v>9674</v>
      </c>
      <c r="D2983" t="s">
        <v>52</v>
      </c>
      <c r="E2983" t="s">
        <v>1194</v>
      </c>
      <c r="F2983" t="s">
        <v>131</v>
      </c>
      <c r="G2983" t="str">
        <f>HYPERLINK("https://twitter.com/1035313290115784706/status/1142918928831848449")</f>
        <v>https://twitter.com/1035313290115784706/status/1142918928831848449</v>
      </c>
      <c r="H2983" t="s">
        <v>46</v>
      </c>
      <c r="I2983" t="s">
        <v>9675</v>
      </c>
      <c r="J2983" t="str">
        <f>HYPERLINK("http://twitter.com/lioinir")</f>
        <v>http://twitter.com/lioinir</v>
      </c>
      <c r="K2983">
        <v>48</v>
      </c>
      <c r="N2983" t="s">
        <v>65</v>
      </c>
      <c r="R2983" t="s">
        <v>60</v>
      </c>
      <c r="S2983" t="s">
        <v>5196</v>
      </c>
      <c r="T2983" t="s">
        <v>5197</v>
      </c>
      <c r="U2983" t="s">
        <v>9676</v>
      </c>
      <c r="W2983">
        <v>0</v>
      </c>
      <c r="X2983">
        <v>0</v>
      </c>
      <c r="AE2983">
        <v>0</v>
      </c>
      <c r="AI2983" t="s">
        <v>52</v>
      </c>
      <c r="AJ2983" t="s">
        <v>1196</v>
      </c>
      <c r="AK2983" t="s">
        <v>52</v>
      </c>
      <c r="AL2983" t="str">
        <f>HYPERLINK("https://pbs.twimg.com/media/D9xgk2YXkAAd2ql.jpg")</f>
        <v>https://pbs.twimg.com/media/D9xgk2YXkAAd2ql.jpg</v>
      </c>
      <c r="AM2983" t="s">
        <v>52</v>
      </c>
      <c r="AN2983" t="s">
        <v>53</v>
      </c>
    </row>
    <row r="2984" spans="1:40">
      <c r="A2984" t="s">
        <v>8081</v>
      </c>
      <c r="B2984" t="s">
        <v>4000</v>
      </c>
      <c r="C2984" t="s">
        <v>9674</v>
      </c>
      <c r="D2984" t="s">
        <v>52</v>
      </c>
      <c r="E2984" t="s">
        <v>1194</v>
      </c>
      <c r="F2984" t="s">
        <v>131</v>
      </c>
      <c r="G2984" t="str">
        <f>HYPERLINK("https://twitter.com/3165881664/status/1142918912876654598")</f>
        <v>https://twitter.com/3165881664/status/1142918912876654598</v>
      </c>
      <c r="H2984" t="s">
        <v>46</v>
      </c>
      <c r="I2984" t="s">
        <v>9677</v>
      </c>
      <c r="J2984" t="str">
        <f>HYPERLINK("http://twitter.com/99andrea_n99")</f>
        <v>http://twitter.com/99andrea_n99</v>
      </c>
      <c r="K2984">
        <v>305</v>
      </c>
      <c r="N2984" t="s">
        <v>65</v>
      </c>
      <c r="R2984" t="s">
        <v>60</v>
      </c>
      <c r="S2984" t="s">
        <v>51</v>
      </c>
      <c r="T2984" t="s">
        <v>4349</v>
      </c>
      <c r="W2984">
        <v>0</v>
      </c>
      <c r="X2984">
        <v>0</v>
      </c>
      <c r="AE2984">
        <v>0</v>
      </c>
      <c r="AI2984" t="s">
        <v>52</v>
      </c>
      <c r="AJ2984" t="s">
        <v>1196</v>
      </c>
      <c r="AK2984" t="s">
        <v>52</v>
      </c>
      <c r="AL2984" t="str">
        <f>HYPERLINK("https://pbs.twimg.com/media/D9xgk2YXkAAd2ql.jpg")</f>
        <v>https://pbs.twimg.com/media/D9xgk2YXkAAd2ql.jpg</v>
      </c>
      <c r="AM2984" t="s">
        <v>52</v>
      </c>
      <c r="AN2984" t="s">
        <v>53</v>
      </c>
    </row>
    <row r="2985" spans="1:40">
      <c r="A2985" t="s">
        <v>8081</v>
      </c>
      <c r="B2985" t="s">
        <v>4000</v>
      </c>
      <c r="C2985" t="s">
        <v>9674</v>
      </c>
      <c r="D2985" t="s">
        <v>52</v>
      </c>
      <c r="E2985" t="s">
        <v>3749</v>
      </c>
      <c r="F2985" t="s">
        <v>71</v>
      </c>
      <c r="G2985" t="str">
        <f>HYPERLINK("https://twitter.com/3380198685/status/1142918900591595522")</f>
        <v>https://twitter.com/3380198685/status/1142918900591595522</v>
      </c>
      <c r="H2985" t="s">
        <v>46</v>
      </c>
      <c r="I2985" t="s">
        <v>9678</v>
      </c>
      <c r="J2985" t="str">
        <f>HYPERLINK("http://twitter.com/BukhoFiphaza")</f>
        <v>http://twitter.com/BukhoFiphaza</v>
      </c>
      <c r="K2985">
        <v>699</v>
      </c>
      <c r="N2985" t="s">
        <v>65</v>
      </c>
      <c r="R2985" t="s">
        <v>60</v>
      </c>
      <c r="S2985" t="s">
        <v>1071</v>
      </c>
      <c r="T2985" t="s">
        <v>1072</v>
      </c>
      <c r="U2985" t="s">
        <v>6826</v>
      </c>
      <c r="W2985">
        <v>0</v>
      </c>
      <c r="X2985">
        <v>0</v>
      </c>
      <c r="AE2985">
        <v>0</v>
      </c>
      <c r="AF2985">
        <v>0</v>
      </c>
      <c r="AI2985" t="s">
        <v>108</v>
      </c>
      <c r="AJ2985" t="s">
        <v>52</v>
      </c>
      <c r="AK2985" t="s">
        <v>52</v>
      </c>
      <c r="AL2985" t="str">
        <f>HYPERLINK("https://pbs.twimg.com/media/D9sAXHUX4AA6vJs.jpg")</f>
        <v>https://pbs.twimg.com/media/D9sAXHUX4AA6vJs.jpg</v>
      </c>
      <c r="AM2985" t="s">
        <v>52</v>
      </c>
      <c r="AN2985" t="s">
        <v>53</v>
      </c>
    </row>
    <row r="2986" spans="1:40">
      <c r="A2986" t="s">
        <v>8081</v>
      </c>
      <c r="B2986" t="s">
        <v>4000</v>
      </c>
      <c r="C2986" t="s">
        <v>9674</v>
      </c>
      <c r="D2986" t="s">
        <v>52</v>
      </c>
      <c r="E2986" t="s">
        <v>9679</v>
      </c>
      <c r="F2986" t="s">
        <v>45</v>
      </c>
      <c r="G2986" t="str">
        <f>HYPERLINK("https://twitter.com/522812197/status/1142918891175337984")</f>
        <v>https://twitter.com/522812197/status/1142918891175337984</v>
      </c>
      <c r="H2986" t="s">
        <v>46</v>
      </c>
      <c r="I2986" t="s">
        <v>9680</v>
      </c>
      <c r="J2986" t="str">
        <f>HYPERLINK("http://twitter.com/sobrasdeamor")</f>
        <v>http://twitter.com/sobrasdeamor</v>
      </c>
      <c r="K2986">
        <v>677</v>
      </c>
      <c r="N2986" t="s">
        <v>65</v>
      </c>
      <c r="R2986" t="s">
        <v>60</v>
      </c>
      <c r="S2986" t="s">
        <v>142</v>
      </c>
      <c r="T2986" t="s">
        <v>1200</v>
      </c>
      <c r="U2986" t="s">
        <v>1201</v>
      </c>
      <c r="W2986">
        <v>0</v>
      </c>
      <c r="X2986">
        <v>0</v>
      </c>
      <c r="AE2986">
        <v>1</v>
      </c>
      <c r="AF2986">
        <v>0</v>
      </c>
      <c r="AM2986" t="s">
        <v>52</v>
      </c>
      <c r="AN2986" t="s">
        <v>53</v>
      </c>
    </row>
    <row r="2987" spans="1:40">
      <c r="A2987" t="s">
        <v>8081</v>
      </c>
      <c r="B2987" t="s">
        <v>4000</v>
      </c>
      <c r="C2987" t="s">
        <v>9642</v>
      </c>
      <c r="D2987" t="s">
        <v>52</v>
      </c>
      <c r="E2987" t="s">
        <v>1194</v>
      </c>
      <c r="F2987" t="s">
        <v>131</v>
      </c>
      <c r="G2987" t="str">
        <f>HYPERLINK("https://twitter.com/2298306229/status/1142918869050384385")</f>
        <v>https://twitter.com/2298306229/status/1142918869050384385</v>
      </c>
      <c r="H2987" t="s">
        <v>46</v>
      </c>
      <c r="I2987" t="s">
        <v>9681</v>
      </c>
      <c r="J2987" t="str">
        <f>HYPERLINK("http://twitter.com/daoquon")</f>
        <v>http://twitter.com/daoquon</v>
      </c>
      <c r="K2987">
        <v>352</v>
      </c>
      <c r="N2987" t="s">
        <v>65</v>
      </c>
      <c r="R2987" t="s">
        <v>60</v>
      </c>
      <c r="W2987">
        <v>0</v>
      </c>
      <c r="X2987">
        <v>0</v>
      </c>
      <c r="AE2987">
        <v>0</v>
      </c>
      <c r="AI2987" t="s">
        <v>52</v>
      </c>
      <c r="AJ2987" t="s">
        <v>1196</v>
      </c>
      <c r="AK2987" t="s">
        <v>52</v>
      </c>
      <c r="AL2987" t="str">
        <f>HYPERLINK("https://pbs.twimg.com/media/D9xgk2YXkAAd2ql.jpg")</f>
        <v>https://pbs.twimg.com/media/D9xgk2YXkAAd2ql.jpg</v>
      </c>
      <c r="AM2987" t="s">
        <v>52</v>
      </c>
      <c r="AN2987" t="s">
        <v>53</v>
      </c>
    </row>
    <row r="2988" spans="1:40">
      <c r="A2988" t="s">
        <v>8081</v>
      </c>
      <c r="B2988" t="s">
        <v>4000</v>
      </c>
      <c r="C2988" t="s">
        <v>9642</v>
      </c>
      <c r="D2988" t="s">
        <v>52</v>
      </c>
      <c r="E2988" t="s">
        <v>9654</v>
      </c>
      <c r="F2988" t="s">
        <v>71</v>
      </c>
      <c r="G2988" t="str">
        <f>HYPERLINK("https://twitter.com/1051573629601898498/status/1142918863106871296")</f>
        <v>https://twitter.com/1051573629601898498/status/1142918863106871296</v>
      </c>
      <c r="H2988" t="s">
        <v>46</v>
      </c>
      <c r="I2988" t="s">
        <v>9682</v>
      </c>
      <c r="J2988" t="str">
        <f>HYPERLINK("http://twitter.com/devilwera18")</f>
        <v>http://twitter.com/devilwera18</v>
      </c>
      <c r="K2988">
        <v>1441</v>
      </c>
      <c r="N2988" t="s">
        <v>65</v>
      </c>
      <c r="R2988" t="s">
        <v>60</v>
      </c>
      <c r="S2988" t="s">
        <v>142</v>
      </c>
      <c r="T2988" t="s">
        <v>9683</v>
      </c>
      <c r="U2988" t="s">
        <v>9684</v>
      </c>
      <c r="W2988">
        <v>0</v>
      </c>
      <c r="X2988">
        <v>0</v>
      </c>
      <c r="AE2988">
        <v>0</v>
      </c>
      <c r="AF2988">
        <v>0</v>
      </c>
      <c r="AI2988" t="s">
        <v>108</v>
      </c>
      <c r="AJ2988" t="s">
        <v>52</v>
      </c>
      <c r="AK2988" t="s">
        <v>52</v>
      </c>
      <c r="AL2988" t="str">
        <f>HYPERLINK("https://pbs.twimg.com/ext_tw_video_thumb/1141360066962100224/pu/img/5_tGc4hLFQwcD07b.jpg")</f>
        <v>https://pbs.twimg.com/ext_tw_video_thumb/1141360066962100224/pu/img/5_tGc4hLFQwcD07b.jpg</v>
      </c>
      <c r="AM2988" t="s">
        <v>52</v>
      </c>
      <c r="AN2988" t="s">
        <v>53</v>
      </c>
    </row>
    <row r="2989" spans="1:40">
      <c r="A2989" t="s">
        <v>8081</v>
      </c>
      <c r="B2989" t="s">
        <v>4000</v>
      </c>
      <c r="C2989" t="s">
        <v>9685</v>
      </c>
      <c r="D2989" t="s">
        <v>52</v>
      </c>
      <c r="E2989" t="s">
        <v>1194</v>
      </c>
      <c r="F2989" t="s">
        <v>131</v>
      </c>
      <c r="G2989" t="str">
        <f>HYPERLINK("https://twitter.com/2849046410/status/1142918809138765824")</f>
        <v>https://twitter.com/2849046410/status/1142918809138765824</v>
      </c>
      <c r="H2989" t="s">
        <v>46</v>
      </c>
      <c r="I2989" t="s">
        <v>9686</v>
      </c>
      <c r="J2989" t="str">
        <f>HYPERLINK("http://twitter.com/ellyshahira")</f>
        <v>http://twitter.com/ellyshahira</v>
      </c>
      <c r="K2989">
        <v>104</v>
      </c>
      <c r="N2989" t="s">
        <v>65</v>
      </c>
      <c r="R2989" t="s">
        <v>60</v>
      </c>
      <c r="W2989">
        <v>0</v>
      </c>
      <c r="X2989">
        <v>0</v>
      </c>
      <c r="AE2989">
        <v>0</v>
      </c>
      <c r="AI2989" t="s">
        <v>52</v>
      </c>
      <c r="AJ2989" t="s">
        <v>1196</v>
      </c>
      <c r="AK2989" t="s">
        <v>52</v>
      </c>
      <c r="AL2989" t="str">
        <f>HYPERLINK("https://pbs.twimg.com/media/D9xgk2YXkAAd2ql.jpg")</f>
        <v>https://pbs.twimg.com/media/D9xgk2YXkAAd2ql.jpg</v>
      </c>
      <c r="AM2989" t="s">
        <v>52</v>
      </c>
      <c r="AN2989" t="s">
        <v>53</v>
      </c>
    </row>
    <row r="2990" spans="1:40">
      <c r="A2990" t="s">
        <v>8081</v>
      </c>
      <c r="B2990" t="s">
        <v>4010</v>
      </c>
      <c r="C2990" t="s">
        <v>9687</v>
      </c>
      <c r="D2990" t="s">
        <v>9688</v>
      </c>
      <c r="E2990" t="s">
        <v>9689</v>
      </c>
      <c r="F2990" t="s">
        <v>95</v>
      </c>
      <c r="G2990" t="str">
        <f>HYPERLINK("https://www.youtube.com/watch?v=HwX4pMZ3W2I&amp;lc=UgwmqcCqN18Ifetc4Zh4AaABAg")</f>
        <v>https://www.youtube.com/watch?v=HwX4pMZ3W2I&amp;lc=UgwmqcCqN18Ifetc4Zh4AaABAg</v>
      </c>
      <c r="H2990" t="s">
        <v>46</v>
      </c>
      <c r="I2990" t="s">
        <v>9690</v>
      </c>
      <c r="J2990" t="str">
        <f>HYPERLINK("https://www.youtube.com/channel/UCXacbpN-NiHBsFOklTRW3iA")</f>
        <v>https://www.youtube.com/channel/UCXacbpN-NiHBsFOklTRW3iA</v>
      </c>
      <c r="K2990">
        <v>126</v>
      </c>
      <c r="N2990" t="s">
        <v>116</v>
      </c>
      <c r="O2990" t="s">
        <v>9691</v>
      </c>
      <c r="P2990" t="str">
        <f>HYPERLINK("https://www.youtube.com/channel/UC_nEHeUEVNY5ZYLRWg8KoZQ")</f>
        <v>https://www.youtube.com/channel/UC_nEHeUEVNY5ZYLRWg8KoZQ</v>
      </c>
      <c r="Q2990">
        <v>2323400</v>
      </c>
      <c r="R2990" t="s">
        <v>60</v>
      </c>
      <c r="S2990" t="s">
        <v>774</v>
      </c>
      <c r="W2990">
        <v>89</v>
      </c>
      <c r="X2990">
        <v>89</v>
      </c>
      <c r="AE2990">
        <v>0</v>
      </c>
      <c r="AM2990" t="s">
        <v>52</v>
      </c>
      <c r="AN2990" t="s">
        <v>53</v>
      </c>
    </row>
    <row r="2991" spans="1:40">
      <c r="A2991" t="s">
        <v>8081</v>
      </c>
      <c r="B2991" t="s">
        <v>4010</v>
      </c>
      <c r="C2991" t="s">
        <v>9692</v>
      </c>
      <c r="D2991" t="s">
        <v>52</v>
      </c>
      <c r="E2991" t="s">
        <v>9654</v>
      </c>
      <c r="F2991" t="s">
        <v>71</v>
      </c>
      <c r="G2991" t="str">
        <f>HYPERLINK("https://twitter.com/1131801096119361538/status/1142918608621920261")</f>
        <v>https://twitter.com/1131801096119361538/status/1142918608621920261</v>
      </c>
      <c r="H2991" t="s">
        <v>46</v>
      </c>
      <c r="I2991" t="s">
        <v>9693</v>
      </c>
      <c r="J2991" t="str">
        <f>HYPERLINK("http://twitter.com/Mia79295443")</f>
        <v>http://twitter.com/Mia79295443</v>
      </c>
      <c r="K2991">
        <v>21</v>
      </c>
      <c r="N2991" t="s">
        <v>65</v>
      </c>
      <c r="R2991" t="s">
        <v>60</v>
      </c>
      <c r="W2991">
        <v>0</v>
      </c>
      <c r="X2991">
        <v>0</v>
      </c>
      <c r="AE2991">
        <v>0</v>
      </c>
      <c r="AF2991">
        <v>0</v>
      </c>
      <c r="AI2991" t="s">
        <v>108</v>
      </c>
      <c r="AJ2991" t="s">
        <v>52</v>
      </c>
      <c r="AK2991" t="s">
        <v>52</v>
      </c>
      <c r="AL2991" t="str">
        <f>HYPERLINK("https://pbs.twimg.com/ext_tw_video_thumb/1141360066962100224/pu/img/5_tGc4hLFQwcD07b.jpg")</f>
        <v>https://pbs.twimg.com/ext_tw_video_thumb/1141360066962100224/pu/img/5_tGc4hLFQwcD07b.jpg</v>
      </c>
      <c r="AM2991" t="s">
        <v>52</v>
      </c>
      <c r="AN2991" t="s">
        <v>53</v>
      </c>
    </row>
    <row r="2992" spans="1:40">
      <c r="A2992" t="s">
        <v>8081</v>
      </c>
      <c r="B2992" t="s">
        <v>4010</v>
      </c>
      <c r="C2992" t="s">
        <v>9692</v>
      </c>
      <c r="D2992" t="s">
        <v>52</v>
      </c>
      <c r="E2992" t="s">
        <v>9694</v>
      </c>
      <c r="F2992" t="s">
        <v>45</v>
      </c>
      <c r="G2992" t="str">
        <f>HYPERLINK("https://twitter.com/19686089/status/1142918600417796096")</f>
        <v>https://twitter.com/19686089/status/1142918600417796096</v>
      </c>
      <c r="H2992" t="s">
        <v>46</v>
      </c>
      <c r="I2992" t="s">
        <v>9695</v>
      </c>
      <c r="J2992" t="str">
        <f>HYPERLINK("http://twitter.com/c_keen")</f>
        <v>http://twitter.com/c_keen</v>
      </c>
      <c r="K2992">
        <v>946</v>
      </c>
      <c r="N2992" t="s">
        <v>65</v>
      </c>
      <c r="R2992" t="s">
        <v>60</v>
      </c>
      <c r="S2992" t="s">
        <v>51</v>
      </c>
      <c r="T2992" t="s">
        <v>152</v>
      </c>
      <c r="U2992" t="s">
        <v>236</v>
      </c>
      <c r="W2992">
        <v>1</v>
      </c>
      <c r="X2992">
        <v>1</v>
      </c>
      <c r="AE2992">
        <v>1</v>
      </c>
      <c r="AF2992">
        <v>1</v>
      </c>
      <c r="AM2992" t="s">
        <v>52</v>
      </c>
      <c r="AN2992" t="s">
        <v>53</v>
      </c>
    </row>
    <row r="2993" spans="1:40">
      <c r="A2993" t="s">
        <v>8081</v>
      </c>
      <c r="B2993" t="s">
        <v>4010</v>
      </c>
      <c r="C2993" t="s">
        <v>9696</v>
      </c>
      <c r="D2993" t="s">
        <v>52</v>
      </c>
      <c r="E2993" t="s">
        <v>1194</v>
      </c>
      <c r="F2993" t="s">
        <v>131</v>
      </c>
      <c r="G2993" t="str">
        <f>HYPERLINK("https://twitter.com/24793771/status/1142918507694346243")</f>
        <v>https://twitter.com/24793771/status/1142918507694346243</v>
      </c>
      <c r="H2993" t="s">
        <v>46</v>
      </c>
      <c r="I2993" t="s">
        <v>9697</v>
      </c>
      <c r="J2993" t="str">
        <f>HYPERLINK("http://twitter.com/crilleacree")</f>
        <v>http://twitter.com/crilleacree</v>
      </c>
      <c r="K2993">
        <v>292</v>
      </c>
      <c r="N2993" t="s">
        <v>65</v>
      </c>
      <c r="R2993" t="s">
        <v>60</v>
      </c>
      <c r="W2993">
        <v>0</v>
      </c>
      <c r="X2993">
        <v>0</v>
      </c>
      <c r="AE2993">
        <v>0</v>
      </c>
      <c r="AI2993" t="s">
        <v>52</v>
      </c>
      <c r="AJ2993" t="s">
        <v>1196</v>
      </c>
      <c r="AK2993" t="s">
        <v>52</v>
      </c>
      <c r="AL2993" t="str">
        <f>HYPERLINK("https://pbs.twimg.com/media/D9xgk2YXkAAd2ql.jpg")</f>
        <v>https://pbs.twimg.com/media/D9xgk2YXkAAd2ql.jpg</v>
      </c>
      <c r="AM2993" t="s">
        <v>52</v>
      </c>
      <c r="AN2993" t="s">
        <v>53</v>
      </c>
    </row>
    <row r="2994" spans="1:40">
      <c r="A2994" t="s">
        <v>8081</v>
      </c>
      <c r="B2994" t="s">
        <v>4015</v>
      </c>
      <c r="C2994" t="s">
        <v>9696</v>
      </c>
      <c r="D2994" t="s">
        <v>52</v>
      </c>
      <c r="E2994" t="s">
        <v>1194</v>
      </c>
      <c r="F2994" t="s">
        <v>131</v>
      </c>
      <c r="G2994" t="str">
        <f>HYPERLINK("https://twitter.com/2939909540/status/1142918492141826048")</f>
        <v>https://twitter.com/2939909540/status/1142918492141826048</v>
      </c>
      <c r="H2994" t="s">
        <v>46</v>
      </c>
      <c r="I2994" t="s">
        <v>9698</v>
      </c>
      <c r="J2994" t="str">
        <f>HYPERLINK("http://twitter.com/_meegannnn")</f>
        <v>http://twitter.com/_meegannnn</v>
      </c>
      <c r="K2994">
        <v>568</v>
      </c>
      <c r="N2994" t="s">
        <v>65</v>
      </c>
      <c r="R2994" t="s">
        <v>60</v>
      </c>
      <c r="W2994">
        <v>0</v>
      </c>
      <c r="X2994">
        <v>0</v>
      </c>
      <c r="AE2994">
        <v>0</v>
      </c>
      <c r="AI2994" t="s">
        <v>52</v>
      </c>
      <c r="AJ2994" t="s">
        <v>1196</v>
      </c>
      <c r="AK2994" t="s">
        <v>52</v>
      </c>
      <c r="AL2994" t="str">
        <f>HYPERLINK("https://pbs.twimg.com/media/D9xgk2YXkAAd2ql.jpg")</f>
        <v>https://pbs.twimg.com/media/D9xgk2YXkAAd2ql.jpg</v>
      </c>
      <c r="AM2994" t="s">
        <v>52</v>
      </c>
      <c r="AN2994" t="s">
        <v>53</v>
      </c>
    </row>
    <row r="2995" spans="1:40">
      <c r="A2995" t="s">
        <v>8081</v>
      </c>
      <c r="B2995" t="s">
        <v>4015</v>
      </c>
      <c r="C2995" t="s">
        <v>9699</v>
      </c>
      <c r="D2995" t="s">
        <v>52</v>
      </c>
      <c r="E2995" t="s">
        <v>7118</v>
      </c>
      <c r="F2995" t="s">
        <v>71</v>
      </c>
      <c r="G2995" t="str">
        <f>HYPERLINK("https://twitter.com/845273066/status/1142918418846367745")</f>
        <v>https://twitter.com/845273066/status/1142918418846367745</v>
      </c>
      <c r="H2995" t="s">
        <v>46</v>
      </c>
      <c r="I2995" t="s">
        <v>9700</v>
      </c>
      <c r="J2995" t="str">
        <f>HYPERLINK("http://twitter.com/QamaMatebz")</f>
        <v>http://twitter.com/QamaMatebz</v>
      </c>
      <c r="K2995">
        <v>212</v>
      </c>
      <c r="N2995" t="s">
        <v>65</v>
      </c>
      <c r="R2995" t="s">
        <v>60</v>
      </c>
      <c r="S2995" t="s">
        <v>1071</v>
      </c>
      <c r="T2995" t="s">
        <v>6398</v>
      </c>
      <c r="U2995" t="s">
        <v>9701</v>
      </c>
      <c r="W2995">
        <v>0</v>
      </c>
      <c r="X2995">
        <v>0</v>
      </c>
      <c r="AE2995">
        <v>0</v>
      </c>
      <c r="AF2995">
        <v>0</v>
      </c>
      <c r="AI2995" t="s">
        <v>108</v>
      </c>
      <c r="AJ2995" t="s">
        <v>52</v>
      </c>
      <c r="AK2995" t="s">
        <v>52</v>
      </c>
      <c r="AL2995" t="str">
        <f>HYPERLINK("https://pbs.twimg.com/media/D9sAXHUX4AA6vJs.jpg")</f>
        <v>https://pbs.twimg.com/media/D9sAXHUX4AA6vJs.jpg</v>
      </c>
      <c r="AM2995" t="s">
        <v>52</v>
      </c>
      <c r="AN2995" t="s">
        <v>53</v>
      </c>
    </row>
    <row r="2996" spans="1:40">
      <c r="A2996" t="s">
        <v>8081</v>
      </c>
      <c r="B2996" t="s">
        <v>4015</v>
      </c>
      <c r="C2996" t="s">
        <v>9702</v>
      </c>
      <c r="D2996" t="s">
        <v>52</v>
      </c>
      <c r="E2996" t="s">
        <v>7118</v>
      </c>
      <c r="F2996" t="s">
        <v>71</v>
      </c>
      <c r="G2996" t="str">
        <f>HYPERLINK("https://twitter.com/233249619/status/1142918394452283392")</f>
        <v>https://twitter.com/233249619/status/1142918394452283392</v>
      </c>
      <c r="H2996" t="s">
        <v>46</v>
      </c>
      <c r="I2996" t="s">
        <v>9703</v>
      </c>
      <c r="J2996" t="str">
        <f>HYPERLINK("http://twitter.com/sledgyhova")</f>
        <v>http://twitter.com/sledgyhova</v>
      </c>
      <c r="K2996">
        <v>956</v>
      </c>
      <c r="N2996" t="s">
        <v>65</v>
      </c>
      <c r="R2996" t="s">
        <v>60</v>
      </c>
      <c r="W2996">
        <v>0</v>
      </c>
      <c r="X2996">
        <v>0</v>
      </c>
      <c r="AE2996">
        <v>0</v>
      </c>
      <c r="AF2996">
        <v>0</v>
      </c>
      <c r="AI2996" t="s">
        <v>108</v>
      </c>
      <c r="AJ2996" t="s">
        <v>52</v>
      </c>
      <c r="AK2996" t="s">
        <v>52</v>
      </c>
      <c r="AL2996" t="str">
        <f>HYPERLINK("https://pbs.twimg.com/media/D9sAXHUX4AA6vJs.jpg")</f>
        <v>https://pbs.twimg.com/media/D9sAXHUX4AA6vJs.jpg</v>
      </c>
      <c r="AM2996" t="s">
        <v>52</v>
      </c>
      <c r="AN2996" t="s">
        <v>53</v>
      </c>
    </row>
    <row r="2997" spans="1:40">
      <c r="A2997" t="s">
        <v>8081</v>
      </c>
      <c r="B2997" t="s">
        <v>4015</v>
      </c>
      <c r="C2997" t="s">
        <v>9702</v>
      </c>
      <c r="D2997" t="s">
        <v>52</v>
      </c>
      <c r="E2997" t="s">
        <v>9704</v>
      </c>
      <c r="F2997" t="s">
        <v>95</v>
      </c>
      <c r="G2997" t="str">
        <f>HYPERLINK("https://twitter.com/249884454/status/1142918355655045120")</f>
        <v>https://twitter.com/249884454/status/1142918355655045120</v>
      </c>
      <c r="H2997" t="s">
        <v>46</v>
      </c>
      <c r="I2997" t="s">
        <v>9705</v>
      </c>
      <c r="J2997" t="str">
        <f>HYPERLINK("http://twitter.com/acomputergeek85")</f>
        <v>http://twitter.com/acomputergeek85</v>
      </c>
      <c r="K2997">
        <v>175</v>
      </c>
      <c r="L2997" t="s">
        <v>48</v>
      </c>
      <c r="N2997" t="s">
        <v>65</v>
      </c>
      <c r="R2997" t="s">
        <v>60</v>
      </c>
      <c r="S2997" t="s">
        <v>51</v>
      </c>
      <c r="T2997" t="s">
        <v>263</v>
      </c>
      <c r="U2997" t="s">
        <v>352</v>
      </c>
      <c r="W2997">
        <v>0</v>
      </c>
      <c r="X2997">
        <v>0</v>
      </c>
      <c r="AE2997">
        <v>0</v>
      </c>
      <c r="AF2997">
        <v>0</v>
      </c>
      <c r="AM2997" t="s">
        <v>52</v>
      </c>
      <c r="AN2997" t="s">
        <v>53</v>
      </c>
    </row>
    <row r="2998" spans="1:40">
      <c r="A2998" t="s">
        <v>8081</v>
      </c>
      <c r="B2998" t="s">
        <v>4015</v>
      </c>
      <c r="C2998" t="s">
        <v>9687</v>
      </c>
      <c r="D2998" t="s">
        <v>52</v>
      </c>
      <c r="E2998" t="s">
        <v>1194</v>
      </c>
      <c r="F2998" t="s">
        <v>131</v>
      </c>
      <c r="G2998" t="str">
        <f>HYPERLINK("https://twitter.com/867511040870940673/status/1142918337392984065")</f>
        <v>https://twitter.com/867511040870940673/status/1142918337392984065</v>
      </c>
      <c r="H2998" t="s">
        <v>46</v>
      </c>
      <c r="I2998" t="s">
        <v>52</v>
      </c>
      <c r="J2998" t="str">
        <f>HYPERLINK("http://twitter.com/giovvanna__")</f>
        <v>http://twitter.com/giovvanna__</v>
      </c>
      <c r="K2998">
        <v>59</v>
      </c>
      <c r="N2998" t="s">
        <v>65</v>
      </c>
      <c r="R2998" t="s">
        <v>60</v>
      </c>
      <c r="W2998">
        <v>0</v>
      </c>
      <c r="X2998">
        <v>0</v>
      </c>
      <c r="AE2998">
        <v>0</v>
      </c>
      <c r="AI2998" t="s">
        <v>52</v>
      </c>
      <c r="AJ2998" t="s">
        <v>1196</v>
      </c>
      <c r="AK2998" t="s">
        <v>52</v>
      </c>
      <c r="AL2998" t="str">
        <f>HYPERLINK("https://pbs.twimg.com/media/D9xgk2YXkAAd2ql.jpg")</f>
        <v>https://pbs.twimg.com/media/D9xgk2YXkAAd2ql.jpg</v>
      </c>
      <c r="AM2998" t="s">
        <v>52</v>
      </c>
      <c r="AN2998" t="s">
        <v>53</v>
      </c>
    </row>
    <row r="2999" spans="1:40">
      <c r="A2999" t="s">
        <v>8081</v>
      </c>
      <c r="B2999" t="s">
        <v>4015</v>
      </c>
      <c r="C2999" t="s">
        <v>9687</v>
      </c>
      <c r="D2999" t="s">
        <v>52</v>
      </c>
      <c r="E2999" t="s">
        <v>1194</v>
      </c>
      <c r="F2999" t="s">
        <v>131</v>
      </c>
      <c r="G2999" t="str">
        <f>HYPERLINK("https://twitter.com/3115449329/status/1142918334587047937")</f>
        <v>https://twitter.com/3115449329/status/1142918334587047937</v>
      </c>
      <c r="H2999" t="s">
        <v>46</v>
      </c>
      <c r="I2999" t="s">
        <v>52</v>
      </c>
      <c r="J2999" t="str">
        <f>HYPERLINK("http://twitter.com/chaewonaes")</f>
        <v>http://twitter.com/chaewonaes</v>
      </c>
      <c r="K2999">
        <v>389</v>
      </c>
      <c r="N2999" t="s">
        <v>65</v>
      </c>
      <c r="R2999" t="s">
        <v>60</v>
      </c>
      <c r="W2999">
        <v>0</v>
      </c>
      <c r="X2999">
        <v>0</v>
      </c>
      <c r="AE2999">
        <v>0</v>
      </c>
      <c r="AI2999" t="s">
        <v>52</v>
      </c>
      <c r="AJ2999" t="s">
        <v>1196</v>
      </c>
      <c r="AK2999" t="s">
        <v>52</v>
      </c>
      <c r="AL2999" t="str">
        <f>HYPERLINK("https://pbs.twimg.com/media/D9xgk2YXkAAd2ql.jpg")</f>
        <v>https://pbs.twimg.com/media/D9xgk2YXkAAd2ql.jpg</v>
      </c>
      <c r="AM2999" t="s">
        <v>52</v>
      </c>
      <c r="AN2999" t="s">
        <v>53</v>
      </c>
    </row>
    <row r="3000" spans="1:40">
      <c r="A3000" t="s">
        <v>8081</v>
      </c>
      <c r="B3000" t="s">
        <v>4015</v>
      </c>
      <c r="C3000" t="s">
        <v>9687</v>
      </c>
      <c r="D3000" t="s">
        <v>52</v>
      </c>
      <c r="E3000" t="s">
        <v>526</v>
      </c>
      <c r="F3000" t="s">
        <v>131</v>
      </c>
      <c r="G3000" t="str">
        <f>HYPERLINK("https://twitter.com/4886732553/status/1142918330442903552")</f>
        <v>https://twitter.com/4886732553/status/1142918330442903552</v>
      </c>
      <c r="H3000" t="s">
        <v>46</v>
      </c>
      <c r="I3000" t="s">
        <v>9706</v>
      </c>
      <c r="J3000" t="str">
        <f>HYPERLINK("http://twitter.com/AlanRamonAlvar1")</f>
        <v>http://twitter.com/AlanRamonAlvar1</v>
      </c>
      <c r="K3000">
        <v>250</v>
      </c>
      <c r="L3000" t="s">
        <v>48</v>
      </c>
      <c r="N3000" t="s">
        <v>65</v>
      </c>
      <c r="R3000" t="s">
        <v>60</v>
      </c>
      <c r="W3000">
        <v>0</v>
      </c>
      <c r="X3000">
        <v>0</v>
      </c>
      <c r="AE3000">
        <v>0</v>
      </c>
      <c r="AI3000" t="s">
        <v>108</v>
      </c>
      <c r="AJ3000" t="s">
        <v>52</v>
      </c>
      <c r="AK3000" t="s">
        <v>52</v>
      </c>
      <c r="AL3000" t="str">
        <f>HYPERLINK("https://pbs.twimg.com/ext_tw_video_thumb/1141360066962100224/pu/img/5_tGc4hLFQwcD07b.jpg")</f>
        <v>https://pbs.twimg.com/ext_tw_video_thumb/1141360066962100224/pu/img/5_tGc4hLFQwcD07b.jpg</v>
      </c>
      <c r="AM3000" t="s">
        <v>52</v>
      </c>
      <c r="AN3000" t="s">
        <v>53</v>
      </c>
    </row>
    <row r="3001" spans="1:40">
      <c r="A3001" t="s">
        <v>8081</v>
      </c>
      <c r="B3001" t="s">
        <v>4015</v>
      </c>
      <c r="C3001" t="s">
        <v>9687</v>
      </c>
      <c r="D3001" t="s">
        <v>9688</v>
      </c>
      <c r="E3001" t="s">
        <v>9707</v>
      </c>
      <c r="F3001" t="s">
        <v>95</v>
      </c>
      <c r="G3001" t="str">
        <f>HYPERLINK("https://www.youtube.com/watch?v=HwX4pMZ3W2I&amp;lc=Ugz7AAbPsfWX4ohUYZp4AaABAg")</f>
        <v>https://www.youtube.com/watch?v=HwX4pMZ3W2I&amp;lc=Ugz7AAbPsfWX4ohUYZp4AaABAg</v>
      </c>
      <c r="H3001" t="s">
        <v>46</v>
      </c>
      <c r="I3001" t="s">
        <v>9708</v>
      </c>
      <c r="J3001" t="str">
        <f>HYPERLINK("https://www.youtube.com/channel/UCMgNwmQk7Xy9tw0mxpXkmug")</f>
        <v>https://www.youtube.com/channel/UCMgNwmQk7Xy9tw0mxpXkmug</v>
      </c>
      <c r="K3001">
        <v>1</v>
      </c>
      <c r="N3001" t="s">
        <v>116</v>
      </c>
      <c r="O3001" t="s">
        <v>9691</v>
      </c>
      <c r="P3001" t="str">
        <f>HYPERLINK("https://www.youtube.com/channel/UC_nEHeUEVNY5ZYLRWg8KoZQ")</f>
        <v>https://www.youtube.com/channel/UC_nEHeUEVNY5ZYLRWg8KoZQ</v>
      </c>
      <c r="Q3001">
        <v>2323400</v>
      </c>
      <c r="R3001" t="s">
        <v>60</v>
      </c>
      <c r="S3001" t="s">
        <v>774</v>
      </c>
      <c r="W3001">
        <v>1</v>
      </c>
      <c r="X3001">
        <v>1</v>
      </c>
      <c r="AE3001">
        <v>0</v>
      </c>
      <c r="AM3001" t="s">
        <v>52</v>
      </c>
      <c r="AN3001" t="s">
        <v>53</v>
      </c>
    </row>
    <row r="3002" spans="1:40">
      <c r="A3002" t="s">
        <v>8081</v>
      </c>
      <c r="B3002" t="s">
        <v>4019</v>
      </c>
      <c r="C3002" t="s">
        <v>9622</v>
      </c>
      <c r="D3002" t="s">
        <v>52</v>
      </c>
      <c r="E3002" t="s">
        <v>9709</v>
      </c>
      <c r="F3002" t="s">
        <v>45</v>
      </c>
      <c r="G3002" t="str">
        <f>HYPERLINK("https://www.instagram.com/p/BzEY3nKlhUj")</f>
        <v>https://www.instagram.com/p/BzEY3nKlhUj</v>
      </c>
      <c r="H3002" t="s">
        <v>46</v>
      </c>
      <c r="I3002" t="s">
        <v>9710</v>
      </c>
      <c r="J3002" t="str">
        <f>HYPERLINK("http://instagram.com/famship101")</f>
        <v>http://instagram.com/famship101</v>
      </c>
      <c r="K3002">
        <v>18</v>
      </c>
      <c r="N3002" t="s">
        <v>59</v>
      </c>
      <c r="O3002" t="s">
        <v>9710</v>
      </c>
      <c r="P3002" t="str">
        <f>HYPERLINK("http://instagram.com/famship101")</f>
        <v>http://instagram.com/famship101</v>
      </c>
      <c r="Q3002">
        <v>18</v>
      </c>
      <c r="R3002" t="s">
        <v>60</v>
      </c>
      <c r="W3002">
        <v>10</v>
      </c>
      <c r="X3002">
        <v>10</v>
      </c>
      <c r="AE3002">
        <v>1</v>
      </c>
      <c r="AI3002" t="s">
        <v>52</v>
      </c>
      <c r="AJ3002" t="s">
        <v>2277</v>
      </c>
      <c r="AK3002" t="s">
        <v>680</v>
      </c>
      <c r="AL3002" t="str">
        <f>HYPERLINK("https://www.instagram.com/p/BzEY3nKlhUj/media/?size=l")</f>
        <v>https://www.instagram.com/p/BzEY3nKlhUj/media/?size=l</v>
      </c>
      <c r="AM3002" t="s">
        <v>52</v>
      </c>
      <c r="AN3002" t="s">
        <v>53</v>
      </c>
    </row>
    <row r="3003" spans="1:40">
      <c r="A3003" t="s">
        <v>8081</v>
      </c>
      <c r="B3003" t="s">
        <v>4019</v>
      </c>
      <c r="C3003" t="s">
        <v>9696</v>
      </c>
      <c r="D3003" t="s">
        <v>52</v>
      </c>
      <c r="E3003" t="s">
        <v>130</v>
      </c>
      <c r="F3003" t="s">
        <v>131</v>
      </c>
      <c r="G3003" t="str">
        <f>HYPERLINK("https://twitter.com/29412864/status/1142918040977321986")</f>
        <v>https://twitter.com/29412864/status/1142918040977321986</v>
      </c>
      <c r="H3003" t="s">
        <v>46</v>
      </c>
      <c r="I3003" t="s">
        <v>9711</v>
      </c>
      <c r="J3003" t="str">
        <f>HYPERLINK("http://twitter.com/pphil10")</f>
        <v>http://twitter.com/pphil10</v>
      </c>
      <c r="K3003">
        <v>856</v>
      </c>
      <c r="N3003" t="s">
        <v>65</v>
      </c>
      <c r="R3003" t="s">
        <v>60</v>
      </c>
      <c r="W3003">
        <v>0</v>
      </c>
      <c r="X3003">
        <v>0</v>
      </c>
      <c r="AE3003">
        <v>0</v>
      </c>
      <c r="AI3003" t="s">
        <v>108</v>
      </c>
      <c r="AJ3003" t="s">
        <v>52</v>
      </c>
      <c r="AK3003" t="s">
        <v>52</v>
      </c>
      <c r="AL3003" t="str">
        <f>HYPERLINK("https://pbs.twimg.com/media/D9XTkLWW4AAOYnJ.jpg")</f>
        <v>https://pbs.twimg.com/media/D9XTkLWW4AAOYnJ.jpg</v>
      </c>
      <c r="AM3003" t="s">
        <v>52</v>
      </c>
      <c r="AN3003" t="s">
        <v>53</v>
      </c>
    </row>
    <row r="3004" spans="1:40">
      <c r="A3004" t="s">
        <v>8081</v>
      </c>
      <c r="B3004" t="s">
        <v>4026</v>
      </c>
      <c r="C3004" t="s">
        <v>9685</v>
      </c>
      <c r="D3004" t="s">
        <v>52</v>
      </c>
      <c r="E3004" t="s">
        <v>9712</v>
      </c>
      <c r="F3004" t="s">
        <v>45</v>
      </c>
      <c r="G3004" t="str">
        <f>HYPERLINK("https://www.instagram.com/p/BzEYyzdpJqQ")</f>
        <v>https://www.instagram.com/p/BzEYyzdpJqQ</v>
      </c>
      <c r="H3004" t="s">
        <v>46</v>
      </c>
      <c r="I3004" t="s">
        <v>9713</v>
      </c>
      <c r="J3004" t="str">
        <f>HYPERLINK("http://instagram.com/p4p4.d")</f>
        <v>http://instagram.com/p4p4.d</v>
      </c>
      <c r="K3004">
        <v>96</v>
      </c>
      <c r="N3004" t="s">
        <v>59</v>
      </c>
      <c r="O3004" t="s">
        <v>9713</v>
      </c>
      <c r="P3004" t="str">
        <f>HYPERLINK("http://instagram.com/p4p4.d")</f>
        <v>http://instagram.com/p4p4.d</v>
      </c>
      <c r="Q3004">
        <v>96</v>
      </c>
      <c r="R3004" t="s">
        <v>60</v>
      </c>
      <c r="W3004">
        <v>7</v>
      </c>
      <c r="X3004">
        <v>7</v>
      </c>
      <c r="AE3004">
        <v>0</v>
      </c>
      <c r="AI3004" t="s">
        <v>108</v>
      </c>
      <c r="AJ3004" t="s">
        <v>52</v>
      </c>
      <c r="AK3004" t="s">
        <v>52</v>
      </c>
      <c r="AL3004" t="str">
        <f>HYPERLINK("https://www.instagram.com/p/BzEYyzdpJqQ/media/?size=l")</f>
        <v>https://www.instagram.com/p/BzEYyzdpJqQ/media/?size=l</v>
      </c>
      <c r="AM3004" t="s">
        <v>52</v>
      </c>
      <c r="AN3004" t="s">
        <v>53</v>
      </c>
    </row>
    <row r="3005" spans="1:40">
      <c r="A3005" t="s">
        <v>8081</v>
      </c>
      <c r="B3005" t="s">
        <v>4026</v>
      </c>
      <c r="C3005" t="s">
        <v>9687</v>
      </c>
      <c r="D3005" t="s">
        <v>52</v>
      </c>
      <c r="E3005" t="s">
        <v>9654</v>
      </c>
      <c r="F3005" t="s">
        <v>71</v>
      </c>
      <c r="G3005" t="str">
        <f>HYPERLINK("https://twitter.com/975563352587022336/status/1142917932231680000")</f>
        <v>https://twitter.com/975563352587022336/status/1142917932231680000</v>
      </c>
      <c r="H3005" t="s">
        <v>46</v>
      </c>
      <c r="I3005" t="s">
        <v>9714</v>
      </c>
      <c r="J3005" t="str">
        <f>HYPERLINK("http://twitter.com/Azukithaaar")</f>
        <v>http://twitter.com/Azukithaaar</v>
      </c>
      <c r="K3005">
        <v>171</v>
      </c>
      <c r="N3005" t="s">
        <v>65</v>
      </c>
      <c r="R3005" t="s">
        <v>60</v>
      </c>
      <c r="W3005">
        <v>0</v>
      </c>
      <c r="X3005">
        <v>0</v>
      </c>
      <c r="AE3005">
        <v>0</v>
      </c>
      <c r="AF3005">
        <v>0</v>
      </c>
      <c r="AI3005" t="s">
        <v>108</v>
      </c>
      <c r="AJ3005" t="s">
        <v>52</v>
      </c>
      <c r="AK3005" t="s">
        <v>52</v>
      </c>
      <c r="AL3005" t="str">
        <f>HYPERLINK("https://pbs.twimg.com/ext_tw_video_thumb/1141360066962100224/pu/img/5_tGc4hLFQwcD07b.jpg")</f>
        <v>https://pbs.twimg.com/ext_tw_video_thumb/1141360066962100224/pu/img/5_tGc4hLFQwcD07b.jpg</v>
      </c>
      <c r="AM3005" t="s">
        <v>52</v>
      </c>
      <c r="AN3005" t="s">
        <v>53</v>
      </c>
    </row>
    <row r="3006" spans="1:40">
      <c r="A3006" t="s">
        <v>8081</v>
      </c>
      <c r="B3006" t="s">
        <v>4026</v>
      </c>
      <c r="C3006" t="s">
        <v>3745</v>
      </c>
      <c r="D3006" t="s">
        <v>52</v>
      </c>
      <c r="E3006" t="s">
        <v>9715</v>
      </c>
      <c r="F3006" t="s">
        <v>45</v>
      </c>
      <c r="G3006" t="str">
        <f>HYPERLINK("https://www.facebook.com/218233544856567/posts/2576769399002958")</f>
        <v>https://www.facebook.com/218233544856567/posts/2576769399002958</v>
      </c>
      <c r="H3006" t="s">
        <v>46</v>
      </c>
      <c r="I3006" t="s">
        <v>9716</v>
      </c>
      <c r="J3006" t="str">
        <f>HYPERLINK("https://www.facebook.com/218233544856567")</f>
        <v>https://www.facebook.com/218233544856567</v>
      </c>
      <c r="K3006">
        <v>8807</v>
      </c>
      <c r="L3006" t="s">
        <v>651</v>
      </c>
      <c r="N3006" t="s">
        <v>1792</v>
      </c>
      <c r="O3006" t="s">
        <v>9716</v>
      </c>
      <c r="P3006" t="str">
        <f>HYPERLINK("https://www.facebook.com/218233544856567")</f>
        <v>https://www.facebook.com/218233544856567</v>
      </c>
      <c r="Q3006">
        <v>8807</v>
      </c>
      <c r="R3006" t="s">
        <v>60</v>
      </c>
      <c r="S3006" t="s">
        <v>51</v>
      </c>
      <c r="W3006">
        <v>7</v>
      </c>
      <c r="X3006">
        <v>5</v>
      </c>
      <c r="Y3006">
        <v>1</v>
      </c>
      <c r="Z3006">
        <v>0</v>
      </c>
      <c r="AA3006">
        <v>0</v>
      </c>
      <c r="AB3006">
        <v>0</v>
      </c>
      <c r="AC3006">
        <v>1</v>
      </c>
      <c r="AE3006">
        <v>0</v>
      </c>
      <c r="AF3006">
        <v>3</v>
      </c>
      <c r="AI3006" t="s">
        <v>108</v>
      </c>
      <c r="AJ3006" t="s">
        <v>52</v>
      </c>
      <c r="AK3006" t="s">
        <v>52</v>
      </c>
      <c r="AL3006" t="str">
        <f>HYPERLINK("https://scontent.xx.fbcdn.net/v/t1.0-9/s720x720/64951872_2576769362336295_8266661994292051968_o.jpg?_nc_cat=110&amp;_nc_oc=AQl8s-FQNX_uWla09GLKJMphBMzf_4o15fvoZNaZs39IWaaYXt7-UT9st0rVmVKuTSU&amp;_nc_ht=scontent.xx&amp;oh=f0de95ee2c1838aeb302a319ea86c0cc&amp;oe=5D78FF5C")</f>
        <v>https://scontent.xx.fbcdn.net/v/t1.0-9/s720x720/64951872_2576769362336295_8266661994292051968_o.jpg?_nc_cat=110&amp;_nc_oc=AQl8s-FQNX_uWla09GLKJMphBMzf_4o15fvoZNaZs39IWaaYXt7-UT9st0rVmVKuTSU&amp;_nc_ht=scontent.xx&amp;oh=f0de95ee2c1838aeb302a319ea86c0cc&amp;oe=5D78FF5C</v>
      </c>
      <c r="AM3006" t="s">
        <v>52</v>
      </c>
      <c r="AN3006" t="s">
        <v>53</v>
      </c>
    </row>
    <row r="3007" spans="1:40">
      <c r="A3007" t="s">
        <v>8081</v>
      </c>
      <c r="B3007" t="s">
        <v>4026</v>
      </c>
      <c r="C3007" t="s">
        <v>9687</v>
      </c>
      <c r="D3007" t="s">
        <v>9717</v>
      </c>
      <c r="E3007" t="s">
        <v>9718</v>
      </c>
      <c r="F3007" t="s">
        <v>95</v>
      </c>
      <c r="G3007" t="str">
        <f>HYPERLINK("https://www.youtube.com/watch?v=HTpklPGskbk&amp;lc=UgzNAR-GKFBbAdtZUpB4AaABAg")</f>
        <v>https://www.youtube.com/watch?v=HTpklPGskbk&amp;lc=UgzNAR-GKFBbAdtZUpB4AaABAg</v>
      </c>
      <c r="H3007" t="s">
        <v>215</v>
      </c>
      <c r="I3007" t="s">
        <v>9719</v>
      </c>
      <c r="J3007" t="str">
        <f>HYPERLINK("https://www.youtube.com/channel/UCIIMYHZrPMDuOTrpEUsV6Pg")</f>
        <v>https://www.youtube.com/channel/UCIIMYHZrPMDuOTrpEUsV6Pg</v>
      </c>
      <c r="K3007">
        <v>40</v>
      </c>
      <c r="N3007" t="s">
        <v>116</v>
      </c>
      <c r="O3007" t="s">
        <v>9720</v>
      </c>
      <c r="P3007" t="str">
        <f>HYPERLINK("https://www.youtube.com/channel/UCOmft0xZVFp0G8-3Ii4mf_w")</f>
        <v>https://www.youtube.com/channel/UCOmft0xZVFp0G8-3Ii4mf_w</v>
      </c>
      <c r="Q3007">
        <v>2892</v>
      </c>
      <c r="R3007" t="s">
        <v>60</v>
      </c>
      <c r="S3007" t="s">
        <v>51</v>
      </c>
      <c r="W3007">
        <v>20</v>
      </c>
      <c r="X3007">
        <v>20</v>
      </c>
      <c r="AE3007">
        <v>1</v>
      </c>
      <c r="AM3007" t="s">
        <v>52</v>
      </c>
      <c r="AN3007" t="s">
        <v>53</v>
      </c>
    </row>
    <row r="3008" spans="1:40">
      <c r="A3008" t="s">
        <v>8081</v>
      </c>
      <c r="B3008" t="s">
        <v>4060</v>
      </c>
      <c r="C3008" t="s">
        <v>9721</v>
      </c>
      <c r="D3008" t="s">
        <v>52</v>
      </c>
      <c r="E3008" t="s">
        <v>9722</v>
      </c>
      <c r="F3008" t="s">
        <v>45</v>
      </c>
      <c r="G3008" t="str">
        <f>HYPERLINK("https://www.instagram.com/p/BzEYJ40FcbY")</f>
        <v>https://www.instagram.com/p/BzEYJ40FcbY</v>
      </c>
      <c r="H3008" t="s">
        <v>46</v>
      </c>
      <c r="I3008" t="s">
        <v>9723</v>
      </c>
      <c r="J3008" t="str">
        <f>HYPERLINK("http://instagram.com/becswift81")</f>
        <v>http://instagram.com/becswift81</v>
      </c>
      <c r="K3008">
        <v>438</v>
      </c>
      <c r="L3008" t="s">
        <v>58</v>
      </c>
      <c r="N3008" t="s">
        <v>59</v>
      </c>
      <c r="O3008" t="s">
        <v>9723</v>
      </c>
      <c r="P3008" t="str">
        <f>HYPERLINK("http://instagram.com/becswift81")</f>
        <v>http://instagram.com/becswift81</v>
      </c>
      <c r="Q3008">
        <v>438</v>
      </c>
      <c r="R3008" t="s">
        <v>60</v>
      </c>
      <c r="W3008">
        <v>5</v>
      </c>
      <c r="X3008">
        <v>5</v>
      </c>
      <c r="AE3008">
        <v>0</v>
      </c>
      <c r="AI3008" t="s">
        <v>52</v>
      </c>
      <c r="AJ3008" t="s">
        <v>52</v>
      </c>
      <c r="AK3008" t="s">
        <v>9724</v>
      </c>
      <c r="AL3008" t="str">
        <f>HYPERLINK("https://www.instagram.com/p/BzEYJ40FcbY/media/?size=l")</f>
        <v>https://www.instagram.com/p/BzEYJ40FcbY/media/?size=l</v>
      </c>
      <c r="AM3008" t="s">
        <v>52</v>
      </c>
      <c r="AN3008" t="s">
        <v>53</v>
      </c>
    </row>
    <row r="3009" spans="1:40">
      <c r="A3009" t="s">
        <v>8081</v>
      </c>
      <c r="B3009" t="s">
        <v>9725</v>
      </c>
      <c r="C3009" t="s">
        <v>9726</v>
      </c>
      <c r="D3009" t="s">
        <v>52</v>
      </c>
      <c r="E3009" t="s">
        <v>3749</v>
      </c>
      <c r="F3009" t="s">
        <v>71</v>
      </c>
      <c r="G3009" t="str">
        <f>HYPERLINK("https://twitter.com/805147857154179072/status/1142916328644382724")</f>
        <v>https://twitter.com/805147857154179072/status/1142916328644382724</v>
      </c>
      <c r="H3009" t="s">
        <v>46</v>
      </c>
      <c r="I3009" t="s">
        <v>9727</v>
      </c>
      <c r="J3009" t="str">
        <f>HYPERLINK("http://twitter.com/EMPBilly73")</f>
        <v>http://twitter.com/EMPBilly73</v>
      </c>
      <c r="K3009">
        <v>268</v>
      </c>
      <c r="N3009" t="s">
        <v>65</v>
      </c>
      <c r="R3009" t="s">
        <v>60</v>
      </c>
      <c r="S3009" t="s">
        <v>97</v>
      </c>
      <c r="T3009" t="s">
        <v>177</v>
      </c>
      <c r="W3009">
        <v>0</v>
      </c>
      <c r="X3009">
        <v>0</v>
      </c>
      <c r="AE3009">
        <v>0</v>
      </c>
      <c r="AF3009">
        <v>0</v>
      </c>
      <c r="AI3009" t="s">
        <v>108</v>
      </c>
      <c r="AJ3009" t="s">
        <v>52</v>
      </c>
      <c r="AK3009" t="s">
        <v>52</v>
      </c>
      <c r="AL3009" t="str">
        <f>HYPERLINK("https://pbs.twimg.com/media/D9sAXHUX4AA6vJs.jpg")</f>
        <v>https://pbs.twimg.com/media/D9sAXHUX4AA6vJs.jpg</v>
      </c>
      <c r="AM3009" t="s">
        <v>52</v>
      </c>
      <c r="AN3009" t="s">
        <v>53</v>
      </c>
    </row>
    <row r="3010" spans="1:40">
      <c r="A3010" t="s">
        <v>8081</v>
      </c>
      <c r="B3010" t="s">
        <v>9725</v>
      </c>
      <c r="C3010" t="s">
        <v>9699</v>
      </c>
      <c r="D3010" t="s">
        <v>9728</v>
      </c>
      <c r="E3010" t="s">
        <v>9729</v>
      </c>
      <c r="F3010" t="s">
        <v>45</v>
      </c>
      <c r="G3010" t="str">
        <f>HYPERLINK("https://www.youtube.com/watch?v=cwbMjk4nw6Q")</f>
        <v>https://www.youtube.com/watch?v=cwbMjk4nw6Q</v>
      </c>
      <c r="H3010" t="s">
        <v>46</v>
      </c>
      <c r="I3010" t="s">
        <v>9730</v>
      </c>
      <c r="J3010" t="str">
        <f>HYPERLINK("https://www.youtube.com/channel/UCARxWjZ0SvmVzHlV0UFBevw")</f>
        <v>https://www.youtube.com/channel/UCARxWjZ0SvmVzHlV0UFBevw</v>
      </c>
      <c r="K3010">
        <v>98</v>
      </c>
      <c r="N3010" t="s">
        <v>116</v>
      </c>
      <c r="O3010" t="s">
        <v>9730</v>
      </c>
      <c r="P3010" t="str">
        <f>HYPERLINK("https://www.youtube.com/channel/UCARxWjZ0SvmVzHlV0UFBevw")</f>
        <v>https://www.youtube.com/channel/UCARxWjZ0SvmVzHlV0UFBevw</v>
      </c>
      <c r="Q3010">
        <v>98</v>
      </c>
      <c r="R3010" t="s">
        <v>60</v>
      </c>
      <c r="W3010">
        <v>2</v>
      </c>
      <c r="X3010">
        <v>2</v>
      </c>
      <c r="AD3010">
        <v>0</v>
      </c>
      <c r="AE3010">
        <v>1</v>
      </c>
      <c r="AG3010">
        <v>17</v>
      </c>
      <c r="AI3010" t="s">
        <v>52</v>
      </c>
      <c r="AJ3010" t="s">
        <v>52</v>
      </c>
      <c r="AK3010" t="s">
        <v>52</v>
      </c>
      <c r="AL3010" t="str">
        <f>HYPERLINK("https://i.ytimg.com/vi/cwbMjk4nw6Q/sddefault.jpg")</f>
        <v>https://i.ytimg.com/vi/cwbMjk4nw6Q/sddefault.jpg</v>
      </c>
      <c r="AM3010" t="s">
        <v>52</v>
      </c>
      <c r="AN3010" t="s">
        <v>53</v>
      </c>
    </row>
    <row r="3011" spans="1:40">
      <c r="A3011" t="s">
        <v>8081</v>
      </c>
      <c r="B3011" t="s">
        <v>9731</v>
      </c>
      <c r="C3011" t="s">
        <v>9732</v>
      </c>
      <c r="D3011" t="s">
        <v>52</v>
      </c>
      <c r="E3011" t="s">
        <v>9733</v>
      </c>
      <c r="F3011" t="s">
        <v>71</v>
      </c>
      <c r="G3011" t="str">
        <f>HYPERLINK("https://twitter.com/1554060422/status/1142916233106460673")</f>
        <v>https://twitter.com/1554060422/status/1142916233106460673</v>
      </c>
      <c r="H3011" t="s">
        <v>46</v>
      </c>
      <c r="I3011" t="s">
        <v>9734</v>
      </c>
      <c r="J3011" t="str">
        <f>HYPERLINK("http://twitter.com/swatchmorgie")</f>
        <v>http://twitter.com/swatchmorgie</v>
      </c>
      <c r="K3011">
        <v>862</v>
      </c>
      <c r="N3011" t="s">
        <v>65</v>
      </c>
      <c r="R3011" t="s">
        <v>60</v>
      </c>
      <c r="S3011" t="s">
        <v>51</v>
      </c>
      <c r="T3011" t="s">
        <v>73</v>
      </c>
      <c r="U3011" t="s">
        <v>2965</v>
      </c>
      <c r="W3011">
        <v>1</v>
      </c>
      <c r="X3011">
        <v>1</v>
      </c>
      <c r="AE3011">
        <v>0</v>
      </c>
      <c r="AF3011">
        <v>0</v>
      </c>
      <c r="AM3011" t="s">
        <v>52</v>
      </c>
      <c r="AN3011" t="s">
        <v>53</v>
      </c>
    </row>
    <row r="3012" spans="1:40">
      <c r="A3012" t="s">
        <v>8081</v>
      </c>
      <c r="B3012" t="s">
        <v>9731</v>
      </c>
      <c r="C3012" t="s">
        <v>9732</v>
      </c>
      <c r="D3012" t="s">
        <v>52</v>
      </c>
      <c r="E3012" t="s">
        <v>1194</v>
      </c>
      <c r="F3012" t="s">
        <v>131</v>
      </c>
      <c r="G3012" t="str">
        <f>HYPERLINK("https://twitter.com/186188353/status/1142916217327575042")</f>
        <v>https://twitter.com/186188353/status/1142916217327575042</v>
      </c>
      <c r="H3012" t="s">
        <v>46</v>
      </c>
      <c r="I3012" t="s">
        <v>9735</v>
      </c>
      <c r="J3012" t="str">
        <f>HYPERLINK("http://twitter.com/Araujooao")</f>
        <v>http://twitter.com/Araujooao</v>
      </c>
      <c r="K3012">
        <v>261</v>
      </c>
      <c r="L3012" t="s">
        <v>48</v>
      </c>
      <c r="N3012" t="s">
        <v>65</v>
      </c>
      <c r="R3012" t="s">
        <v>60</v>
      </c>
      <c r="S3012" t="s">
        <v>432</v>
      </c>
      <c r="T3012" t="s">
        <v>9736</v>
      </c>
      <c r="U3012" t="s">
        <v>9737</v>
      </c>
      <c r="W3012">
        <v>0</v>
      </c>
      <c r="X3012">
        <v>0</v>
      </c>
      <c r="AE3012">
        <v>0</v>
      </c>
      <c r="AI3012" t="s">
        <v>52</v>
      </c>
      <c r="AJ3012" t="s">
        <v>1196</v>
      </c>
      <c r="AK3012" t="s">
        <v>52</v>
      </c>
      <c r="AL3012" t="str">
        <f>HYPERLINK("https://pbs.twimg.com/media/D9xgk2YXkAAd2ql.jpg")</f>
        <v>https://pbs.twimg.com/media/D9xgk2YXkAAd2ql.jpg</v>
      </c>
      <c r="AM3012" t="s">
        <v>52</v>
      </c>
      <c r="AN3012" t="s">
        <v>53</v>
      </c>
    </row>
    <row r="3013" spans="1:40">
      <c r="A3013" t="s">
        <v>8081</v>
      </c>
      <c r="B3013" t="s">
        <v>9731</v>
      </c>
      <c r="C3013" t="s">
        <v>9738</v>
      </c>
      <c r="D3013" t="s">
        <v>52</v>
      </c>
      <c r="E3013" t="s">
        <v>1194</v>
      </c>
      <c r="F3013" t="s">
        <v>131</v>
      </c>
      <c r="G3013" t="str">
        <f>HYPERLINK("https://twitter.com/2621630297/status/1142916193021517825")</f>
        <v>https://twitter.com/2621630297/status/1142916193021517825</v>
      </c>
      <c r="H3013" t="s">
        <v>46</v>
      </c>
      <c r="I3013" t="s">
        <v>9739</v>
      </c>
      <c r="J3013" t="str">
        <f>HYPERLINK("http://twitter.com/faygohomestuck")</f>
        <v>http://twitter.com/faygohomestuck</v>
      </c>
      <c r="K3013">
        <v>54</v>
      </c>
      <c r="N3013" t="s">
        <v>65</v>
      </c>
      <c r="R3013" t="s">
        <v>60</v>
      </c>
      <c r="W3013">
        <v>0</v>
      </c>
      <c r="X3013">
        <v>0</v>
      </c>
      <c r="AE3013">
        <v>0</v>
      </c>
      <c r="AI3013" t="s">
        <v>52</v>
      </c>
      <c r="AJ3013" t="s">
        <v>1196</v>
      </c>
      <c r="AK3013" t="s">
        <v>52</v>
      </c>
      <c r="AL3013" t="str">
        <f>HYPERLINK("https://pbs.twimg.com/media/D9xgk2YXkAAd2ql.jpg")</f>
        <v>https://pbs.twimg.com/media/D9xgk2YXkAAd2ql.jpg</v>
      </c>
      <c r="AM3013" t="s">
        <v>52</v>
      </c>
      <c r="AN3013" t="s">
        <v>53</v>
      </c>
    </row>
    <row r="3014" spans="1:40">
      <c r="A3014" t="s">
        <v>8081</v>
      </c>
      <c r="B3014" t="s">
        <v>9731</v>
      </c>
      <c r="C3014" t="s">
        <v>9740</v>
      </c>
      <c r="D3014" t="s">
        <v>52</v>
      </c>
      <c r="E3014" t="s">
        <v>1194</v>
      </c>
      <c r="F3014" t="s">
        <v>131</v>
      </c>
      <c r="G3014" t="str">
        <f>HYPERLINK("https://twitter.com/1290217219/status/1142916081654390795")</f>
        <v>https://twitter.com/1290217219/status/1142916081654390795</v>
      </c>
      <c r="H3014" t="s">
        <v>46</v>
      </c>
      <c r="I3014" t="s">
        <v>9741</v>
      </c>
      <c r="J3014" t="str">
        <f>HYPERLINK("http://twitter.com/BurgesFranco")</f>
        <v>http://twitter.com/BurgesFranco</v>
      </c>
      <c r="K3014">
        <v>638</v>
      </c>
      <c r="N3014" t="s">
        <v>65</v>
      </c>
      <c r="R3014" t="s">
        <v>60</v>
      </c>
      <c r="S3014" t="s">
        <v>701</v>
      </c>
      <c r="T3014" t="s">
        <v>3356</v>
      </c>
      <c r="U3014" t="s">
        <v>9742</v>
      </c>
      <c r="W3014">
        <v>0</v>
      </c>
      <c r="X3014">
        <v>0</v>
      </c>
      <c r="AE3014">
        <v>0</v>
      </c>
      <c r="AI3014" t="s">
        <v>52</v>
      </c>
      <c r="AJ3014" t="s">
        <v>1196</v>
      </c>
      <c r="AK3014" t="s">
        <v>52</v>
      </c>
      <c r="AL3014" t="str">
        <f>HYPERLINK("https://pbs.twimg.com/media/D9xgk2YXkAAd2ql.jpg")</f>
        <v>https://pbs.twimg.com/media/D9xgk2YXkAAd2ql.jpg</v>
      </c>
      <c r="AM3014" t="s">
        <v>52</v>
      </c>
      <c r="AN3014" t="s">
        <v>53</v>
      </c>
    </row>
    <row r="3015" spans="1:40">
      <c r="A3015" t="s">
        <v>8081</v>
      </c>
      <c r="B3015" t="s">
        <v>4076</v>
      </c>
      <c r="C3015" t="s">
        <v>9738</v>
      </c>
      <c r="D3015" t="s">
        <v>52</v>
      </c>
      <c r="E3015" t="s">
        <v>9743</v>
      </c>
      <c r="F3015" t="s">
        <v>45</v>
      </c>
      <c r="G3015" t="str">
        <f>HYPERLINK("https://twitter.com/3118595646/status/1142915436687704065")</f>
        <v>https://twitter.com/3118595646/status/1142915436687704065</v>
      </c>
      <c r="H3015" t="s">
        <v>91</v>
      </c>
      <c r="I3015" t="s">
        <v>9744</v>
      </c>
      <c r="J3015" t="str">
        <f>HYPERLINK("http://twitter.com/kabalguy")</f>
        <v>http://twitter.com/kabalguy</v>
      </c>
      <c r="K3015">
        <v>715</v>
      </c>
      <c r="N3015" t="s">
        <v>65</v>
      </c>
      <c r="R3015" t="s">
        <v>60</v>
      </c>
      <c r="S3015" t="s">
        <v>444</v>
      </c>
      <c r="T3015" t="s">
        <v>3183</v>
      </c>
      <c r="U3015" t="s">
        <v>9241</v>
      </c>
      <c r="W3015">
        <v>0</v>
      </c>
      <c r="X3015">
        <v>0</v>
      </c>
      <c r="AE3015">
        <v>0</v>
      </c>
      <c r="AF3015">
        <v>0</v>
      </c>
      <c r="AM3015" t="s">
        <v>52</v>
      </c>
      <c r="AN3015" t="s">
        <v>53</v>
      </c>
    </row>
    <row r="3016" spans="1:40">
      <c r="A3016" t="s">
        <v>8081</v>
      </c>
      <c r="B3016" t="s">
        <v>4111</v>
      </c>
      <c r="C3016" t="s">
        <v>9740</v>
      </c>
      <c r="D3016" t="s">
        <v>52</v>
      </c>
      <c r="E3016" t="s">
        <v>130</v>
      </c>
      <c r="F3016" t="s">
        <v>131</v>
      </c>
      <c r="G3016" t="str">
        <f>HYPERLINK("https://twitter.com/160877152/status/1142914359708004353")</f>
        <v>https://twitter.com/160877152/status/1142914359708004353</v>
      </c>
      <c r="H3016" t="s">
        <v>46</v>
      </c>
      <c r="I3016" t="s">
        <v>9745</v>
      </c>
      <c r="J3016" t="str">
        <f>HYPERLINK("http://twitter.com/ke1009")</f>
        <v>http://twitter.com/ke1009</v>
      </c>
      <c r="K3016">
        <v>343</v>
      </c>
      <c r="N3016" t="s">
        <v>65</v>
      </c>
      <c r="R3016" t="s">
        <v>60</v>
      </c>
      <c r="W3016">
        <v>0</v>
      </c>
      <c r="X3016">
        <v>0</v>
      </c>
      <c r="AE3016">
        <v>0</v>
      </c>
      <c r="AI3016" t="s">
        <v>108</v>
      </c>
      <c r="AJ3016" t="s">
        <v>52</v>
      </c>
      <c r="AK3016" t="s">
        <v>52</v>
      </c>
      <c r="AL3016" t="str">
        <f>HYPERLINK("https://pbs.twimg.com/media/D9XTkLWW4AAOYnJ.jpg")</f>
        <v>https://pbs.twimg.com/media/D9XTkLWW4AAOYnJ.jpg</v>
      </c>
      <c r="AM3016" t="s">
        <v>52</v>
      </c>
      <c r="AN3016" t="s">
        <v>53</v>
      </c>
    </row>
    <row r="3017" spans="1:40">
      <c r="A3017" t="s">
        <v>8081</v>
      </c>
      <c r="B3017" t="s">
        <v>4111</v>
      </c>
      <c r="C3017" t="s">
        <v>9746</v>
      </c>
      <c r="D3017" t="s">
        <v>52</v>
      </c>
      <c r="E3017" t="s">
        <v>9747</v>
      </c>
      <c r="F3017" t="s">
        <v>95</v>
      </c>
      <c r="G3017" t="str">
        <f>HYPERLINK("https://twitter.com/853148059/status/1142914270881099776")</f>
        <v>https://twitter.com/853148059/status/1142914270881099776</v>
      </c>
      <c r="H3017" t="s">
        <v>46</v>
      </c>
      <c r="I3017" t="s">
        <v>9748</v>
      </c>
      <c r="J3017" t="str">
        <f>HYPERLINK("http://twitter.com/JohnJGaulJr")</f>
        <v>http://twitter.com/JohnJGaulJr</v>
      </c>
      <c r="K3017">
        <v>43</v>
      </c>
      <c r="L3017" t="s">
        <v>48</v>
      </c>
      <c r="N3017" t="s">
        <v>65</v>
      </c>
      <c r="R3017" t="s">
        <v>60</v>
      </c>
      <c r="S3017" t="s">
        <v>51</v>
      </c>
      <c r="T3017" t="s">
        <v>380</v>
      </c>
      <c r="U3017" t="s">
        <v>9749</v>
      </c>
      <c r="W3017">
        <v>17</v>
      </c>
      <c r="X3017">
        <v>17</v>
      </c>
      <c r="AE3017">
        <v>1</v>
      </c>
      <c r="AF3017">
        <v>0</v>
      </c>
      <c r="AM3017" t="s">
        <v>52</v>
      </c>
      <c r="AN3017" t="s">
        <v>53</v>
      </c>
    </row>
    <row r="3018" spans="1:40">
      <c r="A3018" t="s">
        <v>8081</v>
      </c>
      <c r="B3018" t="s">
        <v>4111</v>
      </c>
      <c r="C3018" t="s">
        <v>9750</v>
      </c>
      <c r="D3018" t="s">
        <v>52</v>
      </c>
      <c r="E3018" t="s">
        <v>9751</v>
      </c>
      <c r="F3018" t="s">
        <v>95</v>
      </c>
      <c r="G3018" t="str">
        <f>HYPERLINK("https://twitter.com/717303436585385985/status/1142914248244432897")</f>
        <v>https://twitter.com/717303436585385985/status/1142914248244432897</v>
      </c>
      <c r="H3018" t="s">
        <v>46</v>
      </c>
      <c r="I3018" t="s">
        <v>9752</v>
      </c>
      <c r="J3018" t="str">
        <f>HYPERLINK("http://twitter.com/rammycore")</f>
        <v>http://twitter.com/rammycore</v>
      </c>
      <c r="K3018">
        <v>507</v>
      </c>
      <c r="L3018" t="s">
        <v>58</v>
      </c>
      <c r="N3018" t="s">
        <v>65</v>
      </c>
      <c r="R3018" t="s">
        <v>60</v>
      </c>
      <c r="S3018" t="s">
        <v>97</v>
      </c>
      <c r="T3018" t="s">
        <v>177</v>
      </c>
      <c r="U3018" t="s">
        <v>9753</v>
      </c>
      <c r="W3018">
        <v>0</v>
      </c>
      <c r="X3018">
        <v>0</v>
      </c>
      <c r="AE3018">
        <v>1</v>
      </c>
      <c r="AF3018">
        <v>0</v>
      </c>
      <c r="AM3018" t="s">
        <v>52</v>
      </c>
      <c r="AN3018" t="s">
        <v>53</v>
      </c>
    </row>
    <row r="3019" spans="1:40">
      <c r="A3019" t="s">
        <v>8081</v>
      </c>
      <c r="B3019" t="s">
        <v>4111</v>
      </c>
      <c r="C3019" t="s">
        <v>9750</v>
      </c>
      <c r="D3019" t="s">
        <v>52</v>
      </c>
      <c r="E3019" t="s">
        <v>1194</v>
      </c>
      <c r="F3019" t="s">
        <v>131</v>
      </c>
      <c r="G3019" t="str">
        <f>HYPERLINK("https://twitter.com/423090259/status/1142914234122153987")</f>
        <v>https://twitter.com/423090259/status/1142914234122153987</v>
      </c>
      <c r="H3019" t="s">
        <v>46</v>
      </c>
      <c r="I3019" t="s">
        <v>9754</v>
      </c>
      <c r="J3019" t="str">
        <f>HYPERLINK("http://twitter.com/AmzH24")</f>
        <v>http://twitter.com/AmzH24</v>
      </c>
      <c r="K3019">
        <v>203</v>
      </c>
      <c r="N3019" t="s">
        <v>65</v>
      </c>
      <c r="R3019" t="s">
        <v>60</v>
      </c>
      <c r="W3019">
        <v>0</v>
      </c>
      <c r="X3019">
        <v>0</v>
      </c>
      <c r="AE3019">
        <v>0</v>
      </c>
      <c r="AI3019" t="s">
        <v>52</v>
      </c>
      <c r="AJ3019" t="s">
        <v>1196</v>
      </c>
      <c r="AK3019" t="s">
        <v>52</v>
      </c>
      <c r="AL3019" t="str">
        <f>HYPERLINK("https://pbs.twimg.com/media/D9xgk2YXkAAd2ql.jpg")</f>
        <v>https://pbs.twimg.com/media/D9xgk2YXkAAd2ql.jpg</v>
      </c>
      <c r="AM3019" t="s">
        <v>52</v>
      </c>
      <c r="AN3019" t="s">
        <v>53</v>
      </c>
    </row>
    <row r="3020" spans="1:40">
      <c r="A3020" t="s">
        <v>8081</v>
      </c>
      <c r="B3020" t="s">
        <v>4118</v>
      </c>
      <c r="C3020" t="s">
        <v>9755</v>
      </c>
      <c r="D3020" t="s">
        <v>52</v>
      </c>
      <c r="E3020" t="s">
        <v>1194</v>
      </c>
      <c r="F3020" t="s">
        <v>131</v>
      </c>
      <c r="G3020" t="str">
        <f>HYPERLINK("https://twitter.com/460020625/status/1142914117641990144")</f>
        <v>https://twitter.com/460020625/status/1142914117641990144</v>
      </c>
      <c r="H3020" t="s">
        <v>46</v>
      </c>
      <c r="I3020" t="s">
        <v>9756</v>
      </c>
      <c r="J3020" t="str">
        <f>HYPERLINK("http://twitter.com/crewseetoe")</f>
        <v>http://twitter.com/crewseetoe</v>
      </c>
      <c r="K3020">
        <v>164</v>
      </c>
      <c r="N3020" t="s">
        <v>65</v>
      </c>
      <c r="R3020" t="s">
        <v>60</v>
      </c>
      <c r="S3020" t="s">
        <v>51</v>
      </c>
      <c r="T3020" t="s">
        <v>173</v>
      </c>
      <c r="U3020" t="s">
        <v>1625</v>
      </c>
      <c r="W3020">
        <v>0</v>
      </c>
      <c r="X3020">
        <v>0</v>
      </c>
      <c r="AE3020">
        <v>0</v>
      </c>
      <c r="AI3020" t="s">
        <v>52</v>
      </c>
      <c r="AJ3020" t="s">
        <v>1196</v>
      </c>
      <c r="AK3020" t="s">
        <v>52</v>
      </c>
      <c r="AL3020" t="str">
        <f>HYPERLINK("https://pbs.twimg.com/media/D9xgk2YXkAAd2ql.jpg")</f>
        <v>https://pbs.twimg.com/media/D9xgk2YXkAAd2ql.jpg</v>
      </c>
      <c r="AM3020" t="s">
        <v>52</v>
      </c>
      <c r="AN3020" t="s">
        <v>53</v>
      </c>
    </row>
    <row r="3021" spans="1:40">
      <c r="A3021" t="s">
        <v>8081</v>
      </c>
      <c r="B3021" t="s">
        <v>4118</v>
      </c>
      <c r="C3021" t="s">
        <v>9755</v>
      </c>
      <c r="D3021" t="s">
        <v>52</v>
      </c>
      <c r="E3021" t="s">
        <v>1194</v>
      </c>
      <c r="F3021" t="s">
        <v>131</v>
      </c>
      <c r="G3021" t="str">
        <f>HYPERLINK("https://twitter.com/363183729/status/1142914090945245184")</f>
        <v>https://twitter.com/363183729/status/1142914090945245184</v>
      </c>
      <c r="H3021" t="s">
        <v>46</v>
      </c>
      <c r="I3021" t="s">
        <v>9757</v>
      </c>
      <c r="J3021" t="str">
        <f>HYPERLINK("http://twitter.com/mal_laatsch")</f>
        <v>http://twitter.com/mal_laatsch</v>
      </c>
      <c r="K3021">
        <v>895</v>
      </c>
      <c r="L3021" t="s">
        <v>58</v>
      </c>
      <c r="N3021" t="s">
        <v>65</v>
      </c>
      <c r="R3021" t="s">
        <v>60</v>
      </c>
      <c r="W3021">
        <v>0</v>
      </c>
      <c r="X3021">
        <v>0</v>
      </c>
      <c r="AE3021">
        <v>0</v>
      </c>
      <c r="AI3021" t="s">
        <v>52</v>
      </c>
      <c r="AJ3021" t="s">
        <v>1196</v>
      </c>
      <c r="AK3021" t="s">
        <v>52</v>
      </c>
      <c r="AL3021" t="str">
        <f>HYPERLINK("https://pbs.twimg.com/media/D9xgk2YXkAAd2ql.jpg")</f>
        <v>https://pbs.twimg.com/media/D9xgk2YXkAAd2ql.jpg</v>
      </c>
      <c r="AM3021" t="s">
        <v>52</v>
      </c>
      <c r="AN3021" t="s">
        <v>53</v>
      </c>
    </row>
    <row r="3022" spans="1:40">
      <c r="A3022" t="s">
        <v>8081</v>
      </c>
      <c r="B3022" t="s">
        <v>4129</v>
      </c>
      <c r="C3022" t="s">
        <v>9758</v>
      </c>
      <c r="D3022" t="s">
        <v>9759</v>
      </c>
      <c r="E3022" t="s">
        <v>9760</v>
      </c>
      <c r="F3022" t="s">
        <v>95</v>
      </c>
      <c r="G3022" t="str">
        <f>HYPERLINK("https://www.youtube.com/watch?v=eoc-XUB7_tQ&amp;lc=UgyaguAtUJHTX7i6aK94AaABAg")</f>
        <v>https://www.youtube.com/watch?v=eoc-XUB7_tQ&amp;lc=UgyaguAtUJHTX7i6aK94AaABAg</v>
      </c>
      <c r="H3022" t="s">
        <v>46</v>
      </c>
      <c r="I3022" t="s">
        <v>9761</v>
      </c>
      <c r="J3022" t="str">
        <f>HYPERLINK("https://www.youtube.com/channel/UCOCfmwNY_Jn7AcclX7utjHg")</f>
        <v>https://www.youtube.com/channel/UCOCfmwNY_Jn7AcclX7utjHg</v>
      </c>
      <c r="K3022">
        <v>0</v>
      </c>
      <c r="L3022" t="s">
        <v>58</v>
      </c>
      <c r="N3022" t="s">
        <v>116</v>
      </c>
      <c r="O3022" t="s">
        <v>9762</v>
      </c>
      <c r="P3022" t="str">
        <f>HYPERLINK("https://www.youtube.com/channel/UCAc-yX63ImMA6P5yCcgi1qA")</f>
        <v>https://www.youtube.com/channel/UCAc-yX63ImMA6P5yCcgi1qA</v>
      </c>
      <c r="Q3022">
        <v>1460172</v>
      </c>
      <c r="R3022" t="s">
        <v>60</v>
      </c>
      <c r="S3022" t="s">
        <v>51</v>
      </c>
      <c r="W3022">
        <v>0</v>
      </c>
      <c r="X3022">
        <v>0</v>
      </c>
      <c r="AE3022">
        <v>0</v>
      </c>
      <c r="AM3022" t="s">
        <v>52</v>
      </c>
      <c r="AN3022" t="s">
        <v>53</v>
      </c>
    </row>
    <row r="3023" spans="1:40">
      <c r="A3023" t="s">
        <v>8081</v>
      </c>
      <c r="B3023" t="s">
        <v>4129</v>
      </c>
      <c r="C3023" t="s">
        <v>6896</v>
      </c>
      <c r="D3023" t="s">
        <v>9763</v>
      </c>
      <c r="E3023" t="s">
        <v>9764</v>
      </c>
      <c r="F3023" t="s">
        <v>45</v>
      </c>
      <c r="G3023" t="str">
        <f>HYPERLINK("http://www.scandinavianhomestaging.com/doritos-meaning.html")</f>
        <v>http://www.scandinavianhomestaging.com/doritos-meaning.html</v>
      </c>
      <c r="H3023" t="s">
        <v>46</v>
      </c>
      <c r="N3023" t="s">
        <v>7165</v>
      </c>
      <c r="R3023" t="s">
        <v>50</v>
      </c>
      <c r="S3023" t="s">
        <v>51</v>
      </c>
      <c r="AM3023" t="s">
        <v>52</v>
      </c>
      <c r="AN3023" t="s">
        <v>53</v>
      </c>
    </row>
    <row r="3024" spans="1:40">
      <c r="A3024" t="s">
        <v>8081</v>
      </c>
      <c r="B3024" t="s">
        <v>4141</v>
      </c>
      <c r="C3024" t="s">
        <v>9758</v>
      </c>
      <c r="D3024" t="s">
        <v>9765</v>
      </c>
      <c r="E3024" t="s">
        <v>9766</v>
      </c>
      <c r="F3024" t="s">
        <v>95</v>
      </c>
      <c r="G3024" t="str">
        <f>HYPERLINK("https://www.youtube.com/watch?v=1d-P8s2QLtk&amp;lc=UgwtLoEX5u3Sg88CgJ94AaABAg")</f>
        <v>https://www.youtube.com/watch?v=1d-P8s2QLtk&amp;lc=UgwtLoEX5u3Sg88CgJ94AaABAg</v>
      </c>
      <c r="H3024" t="s">
        <v>46</v>
      </c>
      <c r="I3024" t="s">
        <v>9767</v>
      </c>
      <c r="J3024" t="str">
        <f>HYPERLINK("https://www.youtube.com/channel/UCaReJKDnBkqRRTsfW_hy3yQ")</f>
        <v>https://www.youtube.com/channel/UCaReJKDnBkqRRTsfW_hy3yQ</v>
      </c>
      <c r="K3024">
        <v>41</v>
      </c>
      <c r="N3024" t="s">
        <v>116</v>
      </c>
      <c r="O3024" t="s">
        <v>9768</v>
      </c>
      <c r="P3024" t="str">
        <f>HYPERLINK("https://www.youtube.com/channel/UCOABUYHiAujthsPZ62A2Ngg")</f>
        <v>https://www.youtube.com/channel/UCOABUYHiAujthsPZ62A2Ngg</v>
      </c>
      <c r="Q3024">
        <v>28</v>
      </c>
      <c r="R3024" t="s">
        <v>60</v>
      </c>
      <c r="S3024" t="s">
        <v>51</v>
      </c>
      <c r="W3024">
        <v>1</v>
      </c>
      <c r="X3024">
        <v>1</v>
      </c>
      <c r="AE3024">
        <v>0</v>
      </c>
      <c r="AM3024" t="s">
        <v>52</v>
      </c>
      <c r="AN3024" t="s">
        <v>53</v>
      </c>
    </row>
    <row r="3025" spans="1:40">
      <c r="A3025" t="s">
        <v>8081</v>
      </c>
      <c r="B3025" t="s">
        <v>4141</v>
      </c>
      <c r="C3025" t="s">
        <v>9769</v>
      </c>
      <c r="D3025" t="s">
        <v>52</v>
      </c>
      <c r="E3025" t="s">
        <v>9770</v>
      </c>
      <c r="F3025" t="s">
        <v>45</v>
      </c>
      <c r="G3025" t="str">
        <f>HYPERLINK("https://twitter.com/3331815987/status/1142912496375947264")</f>
        <v>https://twitter.com/3331815987/status/1142912496375947264</v>
      </c>
      <c r="H3025" t="s">
        <v>46</v>
      </c>
      <c r="I3025" t="s">
        <v>9771</v>
      </c>
      <c r="J3025" t="str">
        <f>HYPERLINK("http://twitter.com/martinaaviani")</f>
        <v>http://twitter.com/martinaaviani</v>
      </c>
      <c r="K3025">
        <v>802</v>
      </c>
      <c r="N3025" t="s">
        <v>65</v>
      </c>
      <c r="R3025" t="s">
        <v>60</v>
      </c>
      <c r="W3025">
        <v>1</v>
      </c>
      <c r="X3025">
        <v>1</v>
      </c>
      <c r="AE3025">
        <v>1</v>
      </c>
      <c r="AF3025">
        <v>0</v>
      </c>
      <c r="AM3025" t="s">
        <v>52</v>
      </c>
      <c r="AN3025" t="s">
        <v>53</v>
      </c>
    </row>
    <row r="3026" spans="1:40">
      <c r="A3026" t="s">
        <v>8081</v>
      </c>
      <c r="B3026" t="s">
        <v>9772</v>
      </c>
      <c r="C3026" t="s">
        <v>8025</v>
      </c>
      <c r="D3026" t="s">
        <v>52</v>
      </c>
      <c r="E3026" t="s">
        <v>9773</v>
      </c>
      <c r="F3026" t="s">
        <v>45</v>
      </c>
      <c r="G3026" t="str">
        <f>HYPERLINK("https://telegram.me/hackplayers/169095")</f>
        <v>https://telegram.me/hackplayers/169095</v>
      </c>
      <c r="H3026" t="s">
        <v>46</v>
      </c>
      <c r="I3026" t="s">
        <v>9774</v>
      </c>
      <c r="J3026" t="str">
        <f>HYPERLINK("https://telegram.me/dr_zaiuss")</f>
        <v>https://telegram.me/dr_zaiuss</v>
      </c>
      <c r="N3026" t="s">
        <v>4242</v>
      </c>
      <c r="O3026" t="s">
        <v>9775</v>
      </c>
      <c r="P3026" t="str">
        <f>HYPERLINK("https://telegram.me/hackplayers")</f>
        <v>https://telegram.me/hackplayers</v>
      </c>
      <c r="Q3026">
        <v>3181</v>
      </c>
      <c r="R3026" t="s">
        <v>4244</v>
      </c>
      <c r="AM3026" t="s">
        <v>52</v>
      </c>
      <c r="AN3026" t="s">
        <v>53</v>
      </c>
    </row>
    <row r="3027" spans="1:40">
      <c r="A3027" t="s">
        <v>8081</v>
      </c>
      <c r="B3027" t="s">
        <v>9772</v>
      </c>
      <c r="C3027" t="s">
        <v>9776</v>
      </c>
      <c r="D3027" t="s">
        <v>52</v>
      </c>
      <c r="E3027" t="s">
        <v>9777</v>
      </c>
      <c r="F3027" t="s">
        <v>45</v>
      </c>
      <c r="G3027" t="str">
        <f>HYPERLINK("https://twitter.com/984244620316954624/status/1142912405908926464")</f>
        <v>https://twitter.com/984244620316954624/status/1142912405908926464</v>
      </c>
      <c r="H3027" t="s">
        <v>46</v>
      </c>
      <c r="I3027" t="s">
        <v>9778</v>
      </c>
      <c r="J3027" t="str">
        <f>HYPERLINK("http://twitter.com/BeyondTheBun")</f>
        <v>http://twitter.com/BeyondTheBun</v>
      </c>
      <c r="K3027">
        <v>12</v>
      </c>
      <c r="L3027" t="s">
        <v>48</v>
      </c>
      <c r="N3027" t="s">
        <v>65</v>
      </c>
      <c r="R3027" t="s">
        <v>60</v>
      </c>
      <c r="S3027" t="s">
        <v>51</v>
      </c>
      <c r="W3027">
        <v>0</v>
      </c>
      <c r="X3027">
        <v>0</v>
      </c>
      <c r="AE3027">
        <v>0</v>
      </c>
      <c r="AF3027">
        <v>0</v>
      </c>
      <c r="AM3027" t="s">
        <v>52</v>
      </c>
      <c r="AN3027" t="s">
        <v>53</v>
      </c>
    </row>
    <row r="3028" spans="1:40">
      <c r="A3028" t="s">
        <v>8081</v>
      </c>
      <c r="B3028" t="s">
        <v>9772</v>
      </c>
      <c r="C3028" t="s">
        <v>9779</v>
      </c>
      <c r="D3028" t="s">
        <v>52</v>
      </c>
      <c r="E3028" t="s">
        <v>1194</v>
      </c>
      <c r="F3028" t="s">
        <v>131</v>
      </c>
      <c r="G3028" t="str">
        <f>HYPERLINK("https://twitter.com/1087525668953489408/status/1142912355225014273")</f>
        <v>https://twitter.com/1087525668953489408/status/1142912355225014273</v>
      </c>
      <c r="H3028" t="s">
        <v>46</v>
      </c>
      <c r="I3028" t="s">
        <v>9780</v>
      </c>
      <c r="J3028" t="str">
        <f>HYPERLINK("http://twitter.com/GOLFleHAMPTON")</f>
        <v>http://twitter.com/GOLFleHAMPTON</v>
      </c>
      <c r="K3028">
        <v>89</v>
      </c>
      <c r="L3028" t="s">
        <v>58</v>
      </c>
      <c r="N3028" t="s">
        <v>65</v>
      </c>
      <c r="R3028" t="s">
        <v>60</v>
      </c>
      <c r="W3028">
        <v>0</v>
      </c>
      <c r="X3028">
        <v>0</v>
      </c>
      <c r="AE3028">
        <v>0</v>
      </c>
      <c r="AI3028" t="s">
        <v>52</v>
      </c>
      <c r="AJ3028" t="s">
        <v>1196</v>
      </c>
      <c r="AK3028" t="s">
        <v>52</v>
      </c>
      <c r="AL3028" t="str">
        <f>HYPERLINK("https://pbs.twimg.com/media/D9xgk2YXkAAd2ql.jpg")</f>
        <v>https://pbs.twimg.com/media/D9xgk2YXkAAd2ql.jpg</v>
      </c>
      <c r="AM3028" t="s">
        <v>52</v>
      </c>
      <c r="AN3028" t="s">
        <v>53</v>
      </c>
    </row>
    <row r="3029" spans="1:40">
      <c r="A3029" t="s">
        <v>8081</v>
      </c>
      <c r="B3029" t="s">
        <v>9772</v>
      </c>
      <c r="C3029" t="s">
        <v>9779</v>
      </c>
      <c r="D3029" t="s">
        <v>52</v>
      </c>
      <c r="E3029" t="s">
        <v>1194</v>
      </c>
      <c r="F3029" t="s">
        <v>131</v>
      </c>
      <c r="G3029" t="str">
        <f>HYPERLINK("https://twitter.com/306508947/status/1142912355854143488")</f>
        <v>https://twitter.com/306508947/status/1142912355854143488</v>
      </c>
      <c r="H3029" t="s">
        <v>46</v>
      </c>
      <c r="I3029" t="s">
        <v>9781</v>
      </c>
      <c r="J3029" t="str">
        <f>HYPERLINK("http://twitter.com/OrobasArt")</f>
        <v>http://twitter.com/OrobasArt</v>
      </c>
      <c r="K3029">
        <v>54</v>
      </c>
      <c r="N3029" t="s">
        <v>65</v>
      </c>
      <c r="R3029" t="s">
        <v>60</v>
      </c>
      <c r="S3029" t="s">
        <v>51</v>
      </c>
      <c r="T3029" t="s">
        <v>73</v>
      </c>
      <c r="W3029">
        <v>0</v>
      </c>
      <c r="X3029">
        <v>0</v>
      </c>
      <c r="AE3029">
        <v>0</v>
      </c>
      <c r="AI3029" t="s">
        <v>52</v>
      </c>
      <c r="AJ3029" t="s">
        <v>1196</v>
      </c>
      <c r="AK3029" t="s">
        <v>52</v>
      </c>
      <c r="AL3029" t="str">
        <f>HYPERLINK("https://pbs.twimg.com/media/D9xgk2YXkAAd2ql.jpg")</f>
        <v>https://pbs.twimg.com/media/D9xgk2YXkAAd2ql.jpg</v>
      </c>
      <c r="AM3029" t="s">
        <v>52</v>
      </c>
      <c r="AN3029" t="s">
        <v>53</v>
      </c>
    </row>
    <row r="3030" spans="1:40">
      <c r="A3030" t="s">
        <v>8081</v>
      </c>
      <c r="B3030" t="s">
        <v>9772</v>
      </c>
      <c r="C3030" t="s">
        <v>8025</v>
      </c>
      <c r="D3030" t="s">
        <v>52</v>
      </c>
      <c r="E3030" t="s">
        <v>9782</v>
      </c>
      <c r="F3030" t="s">
        <v>45</v>
      </c>
      <c r="G3030" t="str">
        <f>HYPERLINK("https://telegram.me/hackplayers/169094")</f>
        <v>https://telegram.me/hackplayers/169094</v>
      </c>
      <c r="H3030" t="s">
        <v>46</v>
      </c>
      <c r="I3030" t="s">
        <v>9783</v>
      </c>
      <c r="J3030" t="str">
        <f>HYPERLINK("https://telegram.me/dukeofyork")</f>
        <v>https://telegram.me/dukeofyork</v>
      </c>
      <c r="L3030" t="s">
        <v>48</v>
      </c>
      <c r="N3030" t="s">
        <v>4242</v>
      </c>
      <c r="O3030" t="s">
        <v>9775</v>
      </c>
      <c r="P3030" t="str">
        <f>HYPERLINK("https://telegram.me/hackplayers")</f>
        <v>https://telegram.me/hackplayers</v>
      </c>
      <c r="Q3030">
        <v>3181</v>
      </c>
      <c r="R3030" t="s">
        <v>4244</v>
      </c>
      <c r="AM3030" t="s">
        <v>52</v>
      </c>
      <c r="AN3030" t="s">
        <v>53</v>
      </c>
    </row>
    <row r="3031" spans="1:40">
      <c r="A3031" t="s">
        <v>8081</v>
      </c>
      <c r="B3031" t="s">
        <v>9772</v>
      </c>
      <c r="C3031" t="s">
        <v>9784</v>
      </c>
      <c r="D3031" t="s">
        <v>52</v>
      </c>
      <c r="E3031" t="s">
        <v>9785</v>
      </c>
      <c r="F3031" t="s">
        <v>95</v>
      </c>
      <c r="G3031" t="str">
        <f>HYPERLINK("https://twitter.com/121841511/status/1142912259544555520")</f>
        <v>https://twitter.com/121841511/status/1142912259544555520</v>
      </c>
      <c r="H3031" t="s">
        <v>46</v>
      </c>
      <c r="I3031" t="s">
        <v>9786</v>
      </c>
      <c r="J3031" t="str">
        <f>HYPERLINK("http://twitter.com/laakerss")</f>
        <v>http://twitter.com/laakerss</v>
      </c>
      <c r="K3031">
        <v>1971</v>
      </c>
      <c r="N3031" t="s">
        <v>65</v>
      </c>
      <c r="R3031" t="s">
        <v>60</v>
      </c>
      <c r="S3031" t="s">
        <v>592</v>
      </c>
      <c r="T3031" t="s">
        <v>7352</v>
      </c>
      <c r="U3031" t="s">
        <v>7352</v>
      </c>
      <c r="W3031">
        <v>1</v>
      </c>
      <c r="X3031">
        <v>1</v>
      </c>
      <c r="AE3031">
        <v>1</v>
      </c>
      <c r="AF3031">
        <v>0</v>
      </c>
      <c r="AM3031" t="s">
        <v>52</v>
      </c>
      <c r="AN3031" t="s">
        <v>53</v>
      </c>
    </row>
    <row r="3032" spans="1:40">
      <c r="A3032" t="s">
        <v>8081</v>
      </c>
      <c r="B3032" t="s">
        <v>9772</v>
      </c>
      <c r="C3032" t="s">
        <v>9758</v>
      </c>
      <c r="D3032" t="s">
        <v>9765</v>
      </c>
      <c r="E3032" t="s">
        <v>9787</v>
      </c>
      <c r="F3032" t="s">
        <v>45</v>
      </c>
      <c r="G3032" t="str">
        <f>HYPERLINK("https://www.youtube.com/watch?v=1d-P8s2QLtk")</f>
        <v>https://www.youtube.com/watch?v=1d-P8s2QLtk</v>
      </c>
      <c r="H3032" t="s">
        <v>46</v>
      </c>
      <c r="I3032" t="s">
        <v>9768</v>
      </c>
      <c r="J3032" t="str">
        <f>HYPERLINK("https://www.youtube.com/channel/UCOABUYHiAujthsPZ62A2Ngg")</f>
        <v>https://www.youtube.com/channel/UCOABUYHiAujthsPZ62A2Ngg</v>
      </c>
      <c r="K3032">
        <v>28</v>
      </c>
      <c r="N3032" t="s">
        <v>116</v>
      </c>
      <c r="O3032" t="s">
        <v>9768</v>
      </c>
      <c r="P3032" t="str">
        <f>HYPERLINK("https://www.youtube.com/channel/UCOABUYHiAujthsPZ62A2Ngg")</f>
        <v>https://www.youtube.com/channel/UCOABUYHiAujthsPZ62A2Ngg</v>
      </c>
      <c r="Q3032">
        <v>28</v>
      </c>
      <c r="R3032" t="s">
        <v>60</v>
      </c>
      <c r="S3032" t="s">
        <v>51</v>
      </c>
      <c r="W3032">
        <v>3</v>
      </c>
      <c r="X3032">
        <v>3</v>
      </c>
      <c r="AD3032">
        <v>0</v>
      </c>
      <c r="AE3032">
        <v>5</v>
      </c>
      <c r="AG3032">
        <v>15</v>
      </c>
      <c r="AI3032" t="s">
        <v>52</v>
      </c>
      <c r="AJ3032" t="s">
        <v>52</v>
      </c>
      <c r="AK3032" t="s">
        <v>52</v>
      </c>
      <c r="AL3032" t="str">
        <f>HYPERLINK("https://i.ytimg.com/vi/1d-P8s2QLtk/hqdefault.jpg")</f>
        <v>https://i.ytimg.com/vi/1d-P8s2QLtk/hqdefault.jpg</v>
      </c>
      <c r="AM3032" t="s">
        <v>52</v>
      </c>
      <c r="AN3032" t="s">
        <v>53</v>
      </c>
    </row>
    <row r="3033" spans="1:40">
      <c r="A3033" t="s">
        <v>8081</v>
      </c>
      <c r="B3033" t="s">
        <v>4171</v>
      </c>
      <c r="C3033" t="s">
        <v>9784</v>
      </c>
      <c r="D3033" t="s">
        <v>52</v>
      </c>
      <c r="E3033" t="s">
        <v>9788</v>
      </c>
      <c r="F3033" t="s">
        <v>95</v>
      </c>
      <c r="G3033" t="str">
        <f>HYPERLINK("https://twitter.com/953759424950210560/status/1142910956525228032")</f>
        <v>https://twitter.com/953759424950210560/status/1142910956525228032</v>
      </c>
      <c r="H3033" t="s">
        <v>215</v>
      </c>
      <c r="I3033" t="s">
        <v>9789</v>
      </c>
      <c r="J3033" t="str">
        <f>HYPERLINK("http://twitter.com/BoxerOrwell")</f>
        <v>http://twitter.com/BoxerOrwell</v>
      </c>
      <c r="K3033">
        <v>215</v>
      </c>
      <c r="N3033" t="s">
        <v>65</v>
      </c>
      <c r="R3033" t="s">
        <v>60</v>
      </c>
      <c r="S3033" t="s">
        <v>51</v>
      </c>
      <c r="W3033">
        <v>1</v>
      </c>
      <c r="X3033">
        <v>1</v>
      </c>
      <c r="AE3033">
        <v>1</v>
      </c>
      <c r="AF3033">
        <v>0</v>
      </c>
      <c r="AM3033" t="s">
        <v>52</v>
      </c>
      <c r="AN3033" t="s">
        <v>53</v>
      </c>
    </row>
    <row r="3034" spans="1:40">
      <c r="A3034" t="s">
        <v>8081</v>
      </c>
      <c r="B3034" t="s">
        <v>9790</v>
      </c>
      <c r="C3034" t="s">
        <v>9791</v>
      </c>
      <c r="D3034" t="s">
        <v>52</v>
      </c>
      <c r="E3034" t="s">
        <v>1411</v>
      </c>
      <c r="F3034" t="s">
        <v>45</v>
      </c>
      <c r="G3034" t="str">
        <f>HYPERLINK("https://www.instagram.com/p/BzEVc9GBdUX")</f>
        <v>https://www.instagram.com/p/BzEVc9GBdUX</v>
      </c>
      <c r="H3034" t="s">
        <v>46</v>
      </c>
      <c r="I3034" t="s">
        <v>9792</v>
      </c>
      <c r="J3034" t="str">
        <f>HYPERLINK("http://instagram.com/stargazifn")</f>
        <v>http://instagram.com/stargazifn</v>
      </c>
      <c r="K3034">
        <v>248</v>
      </c>
      <c r="L3034" t="s">
        <v>651</v>
      </c>
      <c r="N3034" t="s">
        <v>59</v>
      </c>
      <c r="O3034" t="s">
        <v>9792</v>
      </c>
      <c r="P3034" t="str">
        <f>HYPERLINK("http://instagram.com/stargazifn")</f>
        <v>http://instagram.com/stargazifn</v>
      </c>
      <c r="Q3034">
        <v>248</v>
      </c>
      <c r="R3034" t="s">
        <v>60</v>
      </c>
      <c r="W3034">
        <v>25</v>
      </c>
      <c r="X3034">
        <v>25</v>
      </c>
      <c r="AE3034">
        <v>14</v>
      </c>
      <c r="AI3034" t="s">
        <v>52</v>
      </c>
      <c r="AJ3034" t="s">
        <v>52</v>
      </c>
      <c r="AK3034" t="s">
        <v>9793</v>
      </c>
      <c r="AL3034" t="str">
        <f>HYPERLINK("https://www.instagram.com/p/BzEVc9GBdUX/media/?size=l")</f>
        <v>https://www.instagram.com/p/BzEVc9GBdUX/media/?size=l</v>
      </c>
      <c r="AM3034" t="s">
        <v>52</v>
      </c>
      <c r="AN3034" t="s">
        <v>53</v>
      </c>
    </row>
    <row r="3035" spans="1:40">
      <c r="A3035" t="s">
        <v>8081</v>
      </c>
      <c r="B3035" t="s">
        <v>4184</v>
      </c>
      <c r="C3035" t="s">
        <v>7614</v>
      </c>
      <c r="D3035" t="s">
        <v>52</v>
      </c>
      <c r="E3035" t="s">
        <v>9794</v>
      </c>
      <c r="F3035" t="s">
        <v>45</v>
      </c>
      <c r="G3035" t="str">
        <f>HYPERLINK("https://www.instagram.com/p/BzEVWT2HkXl")</f>
        <v>https://www.instagram.com/p/BzEVWT2HkXl</v>
      </c>
      <c r="H3035" t="s">
        <v>46</v>
      </c>
      <c r="I3035" t="s">
        <v>7520</v>
      </c>
      <c r="J3035" t="str">
        <f>HYPERLINK("http://instagram.com/glossypeachesx")</f>
        <v>http://instagram.com/glossypeachesx</v>
      </c>
      <c r="K3035">
        <v>72</v>
      </c>
      <c r="N3035" t="s">
        <v>59</v>
      </c>
      <c r="O3035" t="s">
        <v>7520</v>
      </c>
      <c r="P3035" t="str">
        <f>HYPERLINK("http://instagram.com/glossypeachesx")</f>
        <v>http://instagram.com/glossypeachesx</v>
      </c>
      <c r="Q3035">
        <v>72</v>
      </c>
      <c r="R3035" t="s">
        <v>60</v>
      </c>
      <c r="W3035">
        <v>7</v>
      </c>
      <c r="X3035">
        <v>7</v>
      </c>
      <c r="AE3035">
        <v>4</v>
      </c>
      <c r="AI3035" t="s">
        <v>108</v>
      </c>
      <c r="AJ3035" t="s">
        <v>52</v>
      </c>
      <c r="AK3035" t="s">
        <v>52</v>
      </c>
      <c r="AL3035" t="str">
        <f>HYPERLINK("https://www.instagram.com/p/BzEVWT2HkXl/media/?size=l")</f>
        <v>https://www.instagram.com/p/BzEVWT2HkXl/media/?size=l</v>
      </c>
      <c r="AM3035" t="s">
        <v>52</v>
      </c>
      <c r="AN3035" t="s">
        <v>53</v>
      </c>
    </row>
    <row r="3036" spans="1:40">
      <c r="A3036" t="s">
        <v>8081</v>
      </c>
      <c r="B3036" t="s">
        <v>4200</v>
      </c>
      <c r="C3036" t="s">
        <v>9795</v>
      </c>
      <c r="D3036" t="s">
        <v>52</v>
      </c>
      <c r="E3036" t="s">
        <v>1194</v>
      </c>
      <c r="F3036" t="s">
        <v>131</v>
      </c>
      <c r="G3036" t="str">
        <f>HYPERLINK("https://twitter.com/1084412013965651968/status/1142909922327371778")</f>
        <v>https://twitter.com/1084412013965651968/status/1142909922327371778</v>
      </c>
      <c r="H3036" t="s">
        <v>46</v>
      </c>
      <c r="I3036" t="s">
        <v>9796</v>
      </c>
      <c r="J3036" t="str">
        <f>HYPERLINK("http://twitter.com/JappaMala")</f>
        <v>http://twitter.com/JappaMala</v>
      </c>
      <c r="K3036">
        <v>36</v>
      </c>
      <c r="N3036" t="s">
        <v>65</v>
      </c>
      <c r="R3036" t="s">
        <v>60</v>
      </c>
      <c r="S3036" t="s">
        <v>51</v>
      </c>
      <c r="T3036" t="s">
        <v>66</v>
      </c>
      <c r="U3036" t="s">
        <v>9797</v>
      </c>
      <c r="W3036">
        <v>0</v>
      </c>
      <c r="X3036">
        <v>0</v>
      </c>
      <c r="AE3036">
        <v>0</v>
      </c>
      <c r="AI3036" t="s">
        <v>52</v>
      </c>
      <c r="AJ3036" t="s">
        <v>1196</v>
      </c>
      <c r="AK3036" t="s">
        <v>52</v>
      </c>
      <c r="AL3036" t="str">
        <f>HYPERLINK("https://pbs.twimg.com/media/D9xgk2YXkAAd2ql.jpg")</f>
        <v>https://pbs.twimg.com/media/D9xgk2YXkAAd2ql.jpg</v>
      </c>
      <c r="AM3036" t="s">
        <v>52</v>
      </c>
      <c r="AN3036" t="s">
        <v>53</v>
      </c>
    </row>
    <row r="3037" spans="1:40">
      <c r="A3037" t="s">
        <v>8081</v>
      </c>
      <c r="B3037" t="s">
        <v>4200</v>
      </c>
      <c r="C3037" t="s">
        <v>9798</v>
      </c>
      <c r="D3037" t="s">
        <v>52</v>
      </c>
      <c r="E3037" t="s">
        <v>1194</v>
      </c>
      <c r="F3037" t="s">
        <v>131</v>
      </c>
      <c r="G3037" t="str">
        <f>HYPERLINK("https://twitter.com/1059176914231926791/status/1142909869395185667")</f>
        <v>https://twitter.com/1059176914231926791/status/1142909869395185667</v>
      </c>
      <c r="H3037" t="s">
        <v>46</v>
      </c>
      <c r="I3037" t="s">
        <v>9799</v>
      </c>
      <c r="J3037" t="str">
        <f>HYPERLINK("http://twitter.com/savannahxcash")</f>
        <v>http://twitter.com/savannahxcash</v>
      </c>
      <c r="K3037">
        <v>48</v>
      </c>
      <c r="L3037" t="s">
        <v>58</v>
      </c>
      <c r="N3037" t="s">
        <v>65</v>
      </c>
      <c r="R3037" t="s">
        <v>60</v>
      </c>
      <c r="W3037">
        <v>0</v>
      </c>
      <c r="X3037">
        <v>0</v>
      </c>
      <c r="AE3037">
        <v>0</v>
      </c>
      <c r="AI3037" t="s">
        <v>52</v>
      </c>
      <c r="AJ3037" t="s">
        <v>1196</v>
      </c>
      <c r="AK3037" t="s">
        <v>52</v>
      </c>
      <c r="AL3037" t="str">
        <f>HYPERLINK("https://pbs.twimg.com/media/D9xgk2YXkAAd2ql.jpg")</f>
        <v>https://pbs.twimg.com/media/D9xgk2YXkAAd2ql.jpg</v>
      </c>
      <c r="AM3037" t="s">
        <v>52</v>
      </c>
      <c r="AN3037" t="s">
        <v>53</v>
      </c>
    </row>
    <row r="3038" spans="1:40">
      <c r="A3038" t="s">
        <v>8081</v>
      </c>
      <c r="B3038" t="s">
        <v>4200</v>
      </c>
      <c r="C3038" t="s">
        <v>9800</v>
      </c>
      <c r="D3038" t="s">
        <v>52</v>
      </c>
      <c r="E3038" t="s">
        <v>1194</v>
      </c>
      <c r="F3038" t="s">
        <v>131</v>
      </c>
      <c r="G3038" t="str">
        <f>HYPERLINK("https://twitter.com/767375704812126208/status/1142909794925338626")</f>
        <v>https://twitter.com/767375704812126208/status/1142909794925338626</v>
      </c>
      <c r="H3038" t="s">
        <v>46</v>
      </c>
      <c r="I3038" t="s">
        <v>9801</v>
      </c>
      <c r="J3038" t="str">
        <f>HYPERLINK("http://twitter.com/annloves1412")</f>
        <v>http://twitter.com/annloves1412</v>
      </c>
      <c r="K3038">
        <v>274</v>
      </c>
      <c r="N3038" t="s">
        <v>65</v>
      </c>
      <c r="R3038" t="s">
        <v>60</v>
      </c>
      <c r="W3038">
        <v>0</v>
      </c>
      <c r="X3038">
        <v>0</v>
      </c>
      <c r="AE3038">
        <v>0</v>
      </c>
      <c r="AI3038" t="s">
        <v>52</v>
      </c>
      <c r="AJ3038" t="s">
        <v>1196</v>
      </c>
      <c r="AK3038" t="s">
        <v>52</v>
      </c>
      <c r="AL3038" t="str">
        <f>HYPERLINK("https://pbs.twimg.com/media/D9xgk2YXkAAd2ql.jpg")</f>
        <v>https://pbs.twimg.com/media/D9xgk2YXkAAd2ql.jpg</v>
      </c>
      <c r="AM3038" t="s">
        <v>52</v>
      </c>
      <c r="AN3038" t="s">
        <v>53</v>
      </c>
    </row>
    <row r="3039" spans="1:40">
      <c r="A3039" t="s">
        <v>8081</v>
      </c>
      <c r="B3039" t="s">
        <v>4200</v>
      </c>
      <c r="C3039" t="s">
        <v>9800</v>
      </c>
      <c r="D3039" t="s">
        <v>52</v>
      </c>
      <c r="E3039" t="s">
        <v>1194</v>
      </c>
      <c r="F3039" t="s">
        <v>131</v>
      </c>
      <c r="G3039" t="str">
        <f>HYPERLINK("https://twitter.com/3280806110/status/1142909779305730049")</f>
        <v>https://twitter.com/3280806110/status/1142909779305730049</v>
      </c>
      <c r="H3039" t="s">
        <v>46</v>
      </c>
      <c r="I3039" t="s">
        <v>9802</v>
      </c>
      <c r="J3039" t="str">
        <f>HYPERLINK("http://twitter.com/jillian_eveee")</f>
        <v>http://twitter.com/jillian_eveee</v>
      </c>
      <c r="K3039">
        <v>14</v>
      </c>
      <c r="N3039" t="s">
        <v>65</v>
      </c>
      <c r="R3039" t="s">
        <v>60</v>
      </c>
      <c r="S3039" t="s">
        <v>1403</v>
      </c>
      <c r="T3039" t="s">
        <v>3958</v>
      </c>
      <c r="U3039" t="s">
        <v>9803</v>
      </c>
      <c r="W3039">
        <v>0</v>
      </c>
      <c r="X3039">
        <v>0</v>
      </c>
      <c r="AE3039">
        <v>0</v>
      </c>
      <c r="AI3039" t="s">
        <v>52</v>
      </c>
      <c r="AJ3039" t="s">
        <v>1196</v>
      </c>
      <c r="AK3039" t="s">
        <v>52</v>
      </c>
      <c r="AL3039" t="str">
        <f>HYPERLINK("https://pbs.twimg.com/media/D9xgk2YXkAAd2ql.jpg")</f>
        <v>https://pbs.twimg.com/media/D9xgk2YXkAAd2ql.jpg</v>
      </c>
      <c r="AM3039" t="s">
        <v>52</v>
      </c>
      <c r="AN3039" t="s">
        <v>53</v>
      </c>
    </row>
    <row r="3040" spans="1:40">
      <c r="A3040" t="s">
        <v>8081</v>
      </c>
      <c r="B3040" t="s">
        <v>4200</v>
      </c>
      <c r="C3040" t="s">
        <v>9804</v>
      </c>
      <c r="D3040" t="s">
        <v>52</v>
      </c>
      <c r="E3040" t="s">
        <v>1389</v>
      </c>
      <c r="F3040" t="s">
        <v>131</v>
      </c>
      <c r="G3040" t="str">
        <f>HYPERLINK("https://twitter.com/1063951637285400576/status/1142909733390733312")</f>
        <v>https://twitter.com/1063951637285400576/status/1142909733390733312</v>
      </c>
      <c r="H3040" t="s">
        <v>46</v>
      </c>
      <c r="I3040" t="s">
        <v>9805</v>
      </c>
      <c r="J3040" t="str">
        <f>HYPERLINK("http://twitter.com/Carmen80320076")</f>
        <v>http://twitter.com/Carmen80320076</v>
      </c>
      <c r="K3040">
        <v>2464</v>
      </c>
      <c r="N3040" t="s">
        <v>65</v>
      </c>
      <c r="R3040" t="s">
        <v>60</v>
      </c>
      <c r="S3040" t="s">
        <v>51</v>
      </c>
      <c r="T3040" t="s">
        <v>84</v>
      </c>
      <c r="U3040" t="s">
        <v>85</v>
      </c>
      <c r="W3040">
        <v>0</v>
      </c>
      <c r="X3040">
        <v>0</v>
      </c>
      <c r="AE3040">
        <v>0</v>
      </c>
      <c r="AI3040" t="s">
        <v>52</v>
      </c>
      <c r="AJ3040" t="s">
        <v>1196</v>
      </c>
      <c r="AK3040" t="s">
        <v>52</v>
      </c>
      <c r="AL3040" t="str">
        <f>HYPERLINK("https://pbs.twimg.com/media/D9xgk2YXkAAd2ql.jpg")</f>
        <v>https://pbs.twimg.com/media/D9xgk2YXkAAd2ql.jpg</v>
      </c>
      <c r="AM3040" t="s">
        <v>52</v>
      </c>
      <c r="AN3040" t="s">
        <v>53</v>
      </c>
    </row>
    <row r="3041" spans="1:40">
      <c r="A3041" t="s">
        <v>8081</v>
      </c>
      <c r="B3041" t="s">
        <v>4200</v>
      </c>
      <c r="C3041" t="s">
        <v>9806</v>
      </c>
      <c r="D3041" t="s">
        <v>52</v>
      </c>
      <c r="E3041" t="s">
        <v>9807</v>
      </c>
      <c r="F3041" t="s">
        <v>71</v>
      </c>
      <c r="G3041" t="str">
        <f>HYPERLINK("https://twitter.com/10649482/status/1142909704554856448")</f>
        <v>https://twitter.com/10649482/status/1142909704554856448</v>
      </c>
      <c r="H3041" t="s">
        <v>46</v>
      </c>
      <c r="I3041" t="s">
        <v>9808</v>
      </c>
      <c r="J3041" t="str">
        <f>HYPERLINK("http://twitter.com/AndrewB_Realtor")</f>
        <v>http://twitter.com/AndrewB_Realtor</v>
      </c>
      <c r="K3041">
        <v>851</v>
      </c>
      <c r="L3041" t="s">
        <v>48</v>
      </c>
      <c r="N3041" t="s">
        <v>65</v>
      </c>
      <c r="R3041" t="s">
        <v>60</v>
      </c>
      <c r="S3041" t="s">
        <v>51</v>
      </c>
      <c r="T3041" t="s">
        <v>137</v>
      </c>
      <c r="U3041" t="s">
        <v>9809</v>
      </c>
      <c r="W3041">
        <v>0</v>
      </c>
      <c r="X3041">
        <v>0</v>
      </c>
      <c r="AE3041">
        <v>0</v>
      </c>
      <c r="AF3041">
        <v>0</v>
      </c>
      <c r="AI3041" t="s">
        <v>108</v>
      </c>
      <c r="AJ3041" t="s">
        <v>52</v>
      </c>
      <c r="AK3041" t="s">
        <v>52</v>
      </c>
      <c r="AL3041" t="str">
        <f>HYPERLINK("https://pbs.twimg.com/tweet_video_thumb/D9cjm2HUYAAJ9R9.jpg")</f>
        <v>https://pbs.twimg.com/tweet_video_thumb/D9cjm2HUYAAJ9R9.jpg</v>
      </c>
      <c r="AM3041" t="s">
        <v>52</v>
      </c>
      <c r="AN3041" t="s">
        <v>53</v>
      </c>
    </row>
    <row r="3042" spans="1:40">
      <c r="A3042" t="s">
        <v>8081</v>
      </c>
      <c r="B3042" t="s">
        <v>4200</v>
      </c>
      <c r="C3042" t="s">
        <v>9806</v>
      </c>
      <c r="D3042" t="s">
        <v>52</v>
      </c>
      <c r="E3042" t="s">
        <v>526</v>
      </c>
      <c r="F3042" t="s">
        <v>131</v>
      </c>
      <c r="G3042" t="str">
        <f>HYPERLINK("https://twitter.com/799040032539557890/status/1142909695323201536")</f>
        <v>https://twitter.com/799040032539557890/status/1142909695323201536</v>
      </c>
      <c r="H3042" t="s">
        <v>46</v>
      </c>
      <c r="I3042" t="s">
        <v>9810</v>
      </c>
      <c r="J3042" t="str">
        <f>HYPERLINK("http://twitter.com/XxmonseramxX")</f>
        <v>http://twitter.com/XxmonseramxX</v>
      </c>
      <c r="K3042">
        <v>141</v>
      </c>
      <c r="N3042" t="s">
        <v>65</v>
      </c>
      <c r="R3042" t="s">
        <v>60</v>
      </c>
      <c r="W3042">
        <v>0</v>
      </c>
      <c r="X3042">
        <v>0</v>
      </c>
      <c r="AE3042">
        <v>0</v>
      </c>
      <c r="AI3042" t="s">
        <v>108</v>
      </c>
      <c r="AJ3042" t="s">
        <v>52</v>
      </c>
      <c r="AK3042" t="s">
        <v>52</v>
      </c>
      <c r="AL3042" t="str">
        <f>HYPERLINK("https://pbs.twimg.com/ext_tw_video_thumb/1141360066962100224/pu/img/5_tGc4hLFQwcD07b.jpg")</f>
        <v>https://pbs.twimg.com/ext_tw_video_thumb/1141360066962100224/pu/img/5_tGc4hLFQwcD07b.jpg</v>
      </c>
      <c r="AM3042" t="s">
        <v>52</v>
      </c>
      <c r="AN3042" t="s">
        <v>53</v>
      </c>
    </row>
    <row r="3043" spans="1:40">
      <c r="A3043" t="s">
        <v>8081</v>
      </c>
      <c r="B3043" t="s">
        <v>4200</v>
      </c>
      <c r="C3043" t="s">
        <v>9806</v>
      </c>
      <c r="D3043" t="s">
        <v>52</v>
      </c>
      <c r="E3043" t="s">
        <v>3749</v>
      </c>
      <c r="F3043" t="s">
        <v>71</v>
      </c>
      <c r="G3043" t="str">
        <f>HYPERLINK("https://twitter.com/882073808601055232/status/1142909696208179201")</f>
        <v>https://twitter.com/882073808601055232/status/1142909696208179201</v>
      </c>
      <c r="H3043" t="s">
        <v>46</v>
      </c>
      <c r="I3043" t="s">
        <v>9811</v>
      </c>
      <c r="J3043" t="str">
        <f>HYPERLINK("http://twitter.com/superboysrcool")</f>
        <v>http://twitter.com/superboysrcool</v>
      </c>
      <c r="K3043">
        <v>185</v>
      </c>
      <c r="N3043" t="s">
        <v>65</v>
      </c>
      <c r="R3043" t="s">
        <v>60</v>
      </c>
      <c r="S3043" t="s">
        <v>1521</v>
      </c>
      <c r="T3043" t="s">
        <v>9812</v>
      </c>
      <c r="U3043" t="s">
        <v>9813</v>
      </c>
      <c r="W3043">
        <v>0</v>
      </c>
      <c r="X3043">
        <v>0</v>
      </c>
      <c r="AE3043">
        <v>0</v>
      </c>
      <c r="AF3043">
        <v>0</v>
      </c>
      <c r="AI3043" t="s">
        <v>108</v>
      </c>
      <c r="AJ3043" t="s">
        <v>52</v>
      </c>
      <c r="AK3043" t="s">
        <v>52</v>
      </c>
      <c r="AL3043" t="str">
        <f>HYPERLINK("https://pbs.twimg.com/media/D9sAXHUX4AA6vJs.jpg")</f>
        <v>https://pbs.twimg.com/media/D9sAXHUX4AA6vJs.jpg</v>
      </c>
      <c r="AM3043" t="s">
        <v>52</v>
      </c>
      <c r="AN3043" t="s">
        <v>53</v>
      </c>
    </row>
    <row r="3044" spans="1:40">
      <c r="A3044" t="s">
        <v>8081</v>
      </c>
      <c r="B3044" t="s">
        <v>4210</v>
      </c>
      <c r="C3044" t="s">
        <v>9806</v>
      </c>
      <c r="D3044" t="s">
        <v>52</v>
      </c>
      <c r="E3044" t="s">
        <v>9814</v>
      </c>
      <c r="F3044" t="s">
        <v>95</v>
      </c>
      <c r="G3044" t="str">
        <f>HYPERLINK("https://twitter.com/2508201/status/1142909687362404353")</f>
        <v>https://twitter.com/2508201/status/1142909687362404353</v>
      </c>
      <c r="H3044" t="s">
        <v>46</v>
      </c>
      <c r="I3044" t="s">
        <v>9815</v>
      </c>
      <c r="J3044" t="str">
        <f>HYPERLINK("http://twitter.com/edlinkiii")</f>
        <v>http://twitter.com/edlinkiii</v>
      </c>
      <c r="K3044">
        <v>504</v>
      </c>
      <c r="L3044" t="s">
        <v>48</v>
      </c>
      <c r="N3044" t="s">
        <v>65</v>
      </c>
      <c r="R3044" t="s">
        <v>60</v>
      </c>
      <c r="S3044" t="s">
        <v>51</v>
      </c>
      <c r="T3044" t="s">
        <v>66</v>
      </c>
      <c r="W3044">
        <v>1</v>
      </c>
      <c r="X3044">
        <v>1</v>
      </c>
      <c r="AE3044">
        <v>0</v>
      </c>
      <c r="AF3044">
        <v>0</v>
      </c>
      <c r="AM3044" t="s">
        <v>52</v>
      </c>
      <c r="AN3044" t="s">
        <v>53</v>
      </c>
    </row>
    <row r="3045" spans="1:40">
      <c r="A3045" t="s">
        <v>8081</v>
      </c>
      <c r="B3045" t="s">
        <v>4210</v>
      </c>
      <c r="C3045" t="s">
        <v>9816</v>
      </c>
      <c r="D3045" t="s">
        <v>52</v>
      </c>
      <c r="E3045" t="s">
        <v>9817</v>
      </c>
      <c r="F3045" t="s">
        <v>45</v>
      </c>
      <c r="G3045" t="str">
        <f>HYPERLINK("https://twitter.com/146296540/status/1142909646774132737")</f>
        <v>https://twitter.com/146296540/status/1142909646774132737</v>
      </c>
      <c r="H3045" t="s">
        <v>46</v>
      </c>
      <c r="I3045" t="s">
        <v>9818</v>
      </c>
      <c r="J3045" t="str">
        <f>HYPERLINK("http://twitter.com/brielley_")</f>
        <v>http://twitter.com/brielley_</v>
      </c>
      <c r="K3045">
        <v>2712</v>
      </c>
      <c r="N3045" t="s">
        <v>65</v>
      </c>
      <c r="R3045" t="s">
        <v>60</v>
      </c>
      <c r="S3045" t="s">
        <v>51</v>
      </c>
      <c r="T3045" t="s">
        <v>1669</v>
      </c>
      <c r="U3045" t="s">
        <v>2664</v>
      </c>
      <c r="W3045">
        <v>0</v>
      </c>
      <c r="X3045">
        <v>0</v>
      </c>
      <c r="AE3045">
        <v>1</v>
      </c>
      <c r="AF3045">
        <v>0</v>
      </c>
      <c r="AM3045" t="s">
        <v>52</v>
      </c>
      <c r="AN3045" t="s">
        <v>53</v>
      </c>
    </row>
    <row r="3046" spans="1:40">
      <c r="A3046" t="s">
        <v>8081</v>
      </c>
      <c r="B3046" t="s">
        <v>4210</v>
      </c>
      <c r="C3046" t="s">
        <v>9819</v>
      </c>
      <c r="D3046" t="s">
        <v>52</v>
      </c>
      <c r="E3046" t="s">
        <v>1194</v>
      </c>
      <c r="F3046" t="s">
        <v>131</v>
      </c>
      <c r="G3046" t="str">
        <f>HYPERLINK("https://twitter.com/1014715799334875136/status/1142909616403013632")</f>
        <v>https://twitter.com/1014715799334875136/status/1142909616403013632</v>
      </c>
      <c r="H3046" t="s">
        <v>46</v>
      </c>
      <c r="I3046" t="s">
        <v>9820</v>
      </c>
      <c r="J3046" t="str">
        <f>HYPERLINK("http://twitter.com/akidfrom03")</f>
        <v>http://twitter.com/akidfrom03</v>
      </c>
      <c r="K3046">
        <v>63</v>
      </c>
      <c r="L3046" t="s">
        <v>58</v>
      </c>
      <c r="N3046" t="s">
        <v>65</v>
      </c>
      <c r="R3046" t="s">
        <v>60</v>
      </c>
      <c r="W3046">
        <v>0</v>
      </c>
      <c r="X3046">
        <v>0</v>
      </c>
      <c r="AE3046">
        <v>0</v>
      </c>
      <c r="AI3046" t="s">
        <v>52</v>
      </c>
      <c r="AJ3046" t="s">
        <v>1196</v>
      </c>
      <c r="AK3046" t="s">
        <v>52</v>
      </c>
      <c r="AL3046" t="str">
        <f>HYPERLINK("https://pbs.twimg.com/media/D9xgk2YXkAAd2ql.jpg")</f>
        <v>https://pbs.twimg.com/media/D9xgk2YXkAAd2ql.jpg</v>
      </c>
      <c r="AM3046" t="s">
        <v>52</v>
      </c>
      <c r="AN3046" t="s">
        <v>53</v>
      </c>
    </row>
    <row r="3047" spans="1:40">
      <c r="A3047" t="s">
        <v>8081</v>
      </c>
      <c r="B3047" t="s">
        <v>4210</v>
      </c>
      <c r="C3047" t="s">
        <v>9821</v>
      </c>
      <c r="D3047" t="s">
        <v>52</v>
      </c>
      <c r="E3047" t="s">
        <v>9822</v>
      </c>
      <c r="F3047" t="s">
        <v>45</v>
      </c>
      <c r="G3047" t="str">
        <f>HYPERLINK("https://twitter.com/2261952008/status/1142909588770942976")</f>
        <v>https://twitter.com/2261952008/status/1142909588770942976</v>
      </c>
      <c r="H3047" t="s">
        <v>46</v>
      </c>
      <c r="I3047" t="s">
        <v>9823</v>
      </c>
      <c r="J3047" t="str">
        <f>HYPERLINK("http://twitter.com/RealBrandonW")</f>
        <v>http://twitter.com/RealBrandonW</v>
      </c>
      <c r="K3047">
        <v>986</v>
      </c>
      <c r="L3047" t="s">
        <v>48</v>
      </c>
      <c r="N3047" t="s">
        <v>65</v>
      </c>
      <c r="R3047" t="s">
        <v>60</v>
      </c>
      <c r="S3047" t="s">
        <v>51</v>
      </c>
      <c r="T3047" t="s">
        <v>4265</v>
      </c>
      <c r="U3047" t="s">
        <v>9824</v>
      </c>
      <c r="W3047">
        <v>0</v>
      </c>
      <c r="X3047">
        <v>0</v>
      </c>
      <c r="AE3047">
        <v>0</v>
      </c>
      <c r="AF3047">
        <v>0</v>
      </c>
      <c r="AM3047" t="s">
        <v>52</v>
      </c>
      <c r="AN3047" t="s">
        <v>53</v>
      </c>
    </row>
    <row r="3048" spans="1:40">
      <c r="A3048" t="s">
        <v>8081</v>
      </c>
      <c r="B3048" t="s">
        <v>4210</v>
      </c>
      <c r="C3048" t="s">
        <v>9821</v>
      </c>
      <c r="D3048" t="s">
        <v>52</v>
      </c>
      <c r="E3048" t="s">
        <v>1194</v>
      </c>
      <c r="F3048" t="s">
        <v>131</v>
      </c>
      <c r="G3048" t="str">
        <f>HYPERLINK("https://twitter.com/465845520/status/1142909561067769856")</f>
        <v>https://twitter.com/465845520/status/1142909561067769856</v>
      </c>
      <c r="H3048" t="s">
        <v>46</v>
      </c>
      <c r="I3048" t="s">
        <v>9825</v>
      </c>
      <c r="J3048" t="str">
        <f>HYPERLINK("http://twitter.com/JessicaToncz")</f>
        <v>http://twitter.com/JessicaToncz</v>
      </c>
      <c r="K3048">
        <v>249</v>
      </c>
      <c r="N3048" t="s">
        <v>65</v>
      </c>
      <c r="R3048" t="s">
        <v>60</v>
      </c>
      <c r="S3048" t="s">
        <v>7287</v>
      </c>
      <c r="U3048" t="s">
        <v>9826</v>
      </c>
      <c r="W3048">
        <v>0</v>
      </c>
      <c r="X3048">
        <v>0</v>
      </c>
      <c r="AE3048">
        <v>0</v>
      </c>
      <c r="AI3048" t="s">
        <v>52</v>
      </c>
      <c r="AJ3048" t="s">
        <v>1196</v>
      </c>
      <c r="AK3048" t="s">
        <v>52</v>
      </c>
      <c r="AL3048" t="str">
        <f>HYPERLINK("https://pbs.twimg.com/media/D9xgk2YXkAAd2ql.jpg")</f>
        <v>https://pbs.twimg.com/media/D9xgk2YXkAAd2ql.jpg</v>
      </c>
      <c r="AM3048" t="s">
        <v>52</v>
      </c>
      <c r="AN3048" t="s">
        <v>53</v>
      </c>
    </row>
    <row r="3049" spans="1:40">
      <c r="A3049" t="s">
        <v>8081</v>
      </c>
      <c r="B3049" t="s">
        <v>4212</v>
      </c>
      <c r="C3049" t="s">
        <v>9791</v>
      </c>
      <c r="D3049" t="s">
        <v>9827</v>
      </c>
      <c r="E3049" t="s">
        <v>9827</v>
      </c>
      <c r="F3049" t="s">
        <v>45</v>
      </c>
      <c r="G3049" t="str">
        <f>HYPERLINK("https://www.youtube.com/watch?v=34lZ1MP7pto")</f>
        <v>https://www.youtube.com/watch?v=34lZ1MP7pto</v>
      </c>
      <c r="H3049" t="s">
        <v>46</v>
      </c>
      <c r="I3049" t="s">
        <v>9828</v>
      </c>
      <c r="J3049" t="str">
        <f>HYPERLINK("https://www.youtube.com/channel/UCfdFvrnYHN9EEAmPSZ0gC3A")</f>
        <v>https://www.youtube.com/channel/UCfdFvrnYHN9EEAmPSZ0gC3A</v>
      </c>
      <c r="K3049">
        <v>3</v>
      </c>
      <c r="N3049" t="s">
        <v>116</v>
      </c>
      <c r="O3049" t="s">
        <v>9828</v>
      </c>
      <c r="P3049" t="str">
        <f>HYPERLINK("https://www.youtube.com/channel/UCfdFvrnYHN9EEAmPSZ0gC3A")</f>
        <v>https://www.youtube.com/channel/UCfdFvrnYHN9EEAmPSZ0gC3A</v>
      </c>
      <c r="Q3049">
        <v>3</v>
      </c>
      <c r="R3049" t="s">
        <v>60</v>
      </c>
      <c r="W3049">
        <v>1</v>
      </c>
      <c r="X3049">
        <v>1</v>
      </c>
      <c r="AD3049">
        <v>0</v>
      </c>
      <c r="AE3049">
        <v>0</v>
      </c>
      <c r="AG3049">
        <v>3</v>
      </c>
      <c r="AI3049" t="s">
        <v>52</v>
      </c>
      <c r="AJ3049" t="s">
        <v>52</v>
      </c>
      <c r="AK3049" t="s">
        <v>52</v>
      </c>
      <c r="AL3049" t="str">
        <f>HYPERLINK("https://i.ytimg.com/vi/34lZ1MP7pto/maxresdefault.jpg")</f>
        <v>https://i.ytimg.com/vi/34lZ1MP7pto/maxresdefault.jpg</v>
      </c>
      <c r="AM3049" t="s">
        <v>52</v>
      </c>
      <c r="AN3049" t="s">
        <v>53</v>
      </c>
    </row>
    <row r="3050" spans="1:40">
      <c r="A3050" t="s">
        <v>8081</v>
      </c>
      <c r="B3050" t="s">
        <v>4212</v>
      </c>
      <c r="C3050" t="s">
        <v>9806</v>
      </c>
      <c r="D3050" t="s">
        <v>52</v>
      </c>
      <c r="E3050" t="s">
        <v>9829</v>
      </c>
      <c r="F3050" t="s">
        <v>71</v>
      </c>
      <c r="G3050" t="str">
        <f>HYPERLINK("https://twitter.com/900823086328680449/status/1142909241398845442")</f>
        <v>https://twitter.com/900823086328680449/status/1142909241398845442</v>
      </c>
      <c r="H3050" t="s">
        <v>46</v>
      </c>
      <c r="I3050" t="s">
        <v>9830</v>
      </c>
      <c r="J3050" t="str">
        <f>HYPERLINK("http://twitter.com/lerato_falasie")</f>
        <v>http://twitter.com/lerato_falasie</v>
      </c>
      <c r="K3050">
        <v>246</v>
      </c>
      <c r="N3050" t="s">
        <v>65</v>
      </c>
      <c r="R3050" t="s">
        <v>60</v>
      </c>
      <c r="S3050" t="s">
        <v>1071</v>
      </c>
      <c r="T3050" t="s">
        <v>1072</v>
      </c>
      <c r="U3050" t="s">
        <v>1073</v>
      </c>
      <c r="W3050">
        <v>0</v>
      </c>
      <c r="X3050">
        <v>0</v>
      </c>
      <c r="AE3050">
        <v>0</v>
      </c>
      <c r="AF3050">
        <v>0</v>
      </c>
      <c r="AM3050" t="s">
        <v>52</v>
      </c>
      <c r="AN3050" t="s">
        <v>53</v>
      </c>
    </row>
    <row r="3051" spans="1:40">
      <c r="A3051" t="s">
        <v>8081</v>
      </c>
      <c r="B3051" t="s">
        <v>4221</v>
      </c>
      <c r="C3051" t="s">
        <v>9831</v>
      </c>
      <c r="D3051" t="s">
        <v>9832</v>
      </c>
      <c r="E3051" t="s">
        <v>9833</v>
      </c>
      <c r="F3051" t="s">
        <v>45</v>
      </c>
      <c r="G3051" t="str">
        <f>HYPERLINK("https://forums.battlefield.com/en-us/discussion/189823/bfv-there-shouldve-been-casual-mode-and-hardcore-mode/p2#Comment_1562244")</f>
        <v>https://forums.battlefield.com/en-us/discussion/189823/bfv-there-shouldve-been-casual-mode-and-hardcore-mode/p2#Comment_1562244</v>
      </c>
      <c r="H3051" t="s">
        <v>46</v>
      </c>
      <c r="I3051" t="s">
        <v>9834</v>
      </c>
      <c r="J3051" t="str">
        <f>HYPERLINK("https://forums.battlefield.com/en-us/discussion/189823/bfv-there-shouldve-been-casual-mode-and-hardcore-mode/p2#Comment_1562244")</f>
        <v>https://forums.battlefield.com/en-us/discussion/189823/bfv-there-shouldve-been-casual-mode-and-hardcore-mode/p2#Comment_1562244</v>
      </c>
      <c r="N3051" t="s">
        <v>3237</v>
      </c>
      <c r="O3051" t="s">
        <v>3238</v>
      </c>
      <c r="P3051" t="str">
        <f>HYPERLINK("https://forums.battlefield.com/en-us/categories/battlefield-v-general-discussion")</f>
        <v>https://forums.battlefield.com/en-us/categories/battlefield-v-general-discussion</v>
      </c>
      <c r="R3051" t="s">
        <v>516</v>
      </c>
      <c r="S3051" t="s">
        <v>51</v>
      </c>
      <c r="AM3051" t="s">
        <v>52</v>
      </c>
      <c r="AN3051" t="s">
        <v>53</v>
      </c>
    </row>
    <row r="3052" spans="1:40">
      <c r="A3052" t="s">
        <v>8081</v>
      </c>
      <c r="B3052" t="s">
        <v>4229</v>
      </c>
      <c r="C3052" t="s">
        <v>3329</v>
      </c>
      <c r="D3052" t="s">
        <v>9835</v>
      </c>
      <c r="E3052" t="s">
        <v>9836</v>
      </c>
      <c r="F3052" t="s">
        <v>45</v>
      </c>
      <c r="G3052" t="str">
        <f>HYPERLINK("https://www.reddit.com/r/DuggarsSnark/comments/c3t262/the_reimers_are_fundies_in_the_comments_the/?sort=new#thing_t1_erv69w7")</f>
        <v>https://www.reddit.com/r/DuggarsSnark/comments/c3t262/the_reimers_are_fundies_in_the_comments_the/?sort=new#thing_t1_erv69w7</v>
      </c>
      <c r="H3052" t="s">
        <v>215</v>
      </c>
      <c r="I3052" t="s">
        <v>9837</v>
      </c>
      <c r="J3052" t="str">
        <f>HYPERLINK("https://www.reddit.com/r/DuggarsSnark/comments/c3t262/the_reimers_are_fundies_in_the_comments_the/?sort=new#thing_t1_erv69w7")</f>
        <v>https://www.reddit.com/r/DuggarsSnark/comments/c3t262/the_reimers_are_fundies_in_the_comments_the/?sort=new#thing_t1_erv69w7</v>
      </c>
      <c r="N3052" t="s">
        <v>545</v>
      </c>
      <c r="O3052" t="s">
        <v>52</v>
      </c>
      <c r="P3052" t="str">
        <f>HYPERLINK("https://www.reddit.com/r/DuggarsSnark/")</f>
        <v>https://www.reddit.com/r/DuggarsSnark/</v>
      </c>
      <c r="R3052" t="s">
        <v>516</v>
      </c>
      <c r="S3052" t="s">
        <v>51</v>
      </c>
      <c r="AM3052" t="s">
        <v>52</v>
      </c>
      <c r="AN3052" t="s">
        <v>53</v>
      </c>
    </row>
    <row r="3053" spans="1:40">
      <c r="A3053" t="s">
        <v>8081</v>
      </c>
      <c r="B3053" t="s">
        <v>4245</v>
      </c>
      <c r="C3053" t="s">
        <v>9838</v>
      </c>
      <c r="D3053" t="s">
        <v>52</v>
      </c>
      <c r="E3053" t="s">
        <v>1194</v>
      </c>
      <c r="F3053" t="s">
        <v>131</v>
      </c>
      <c r="G3053" t="str">
        <f>HYPERLINK("https://twitter.com/130260869/status/1142907843546361856")</f>
        <v>https://twitter.com/130260869/status/1142907843546361856</v>
      </c>
      <c r="H3053" t="s">
        <v>46</v>
      </c>
      <c r="I3053" t="s">
        <v>9839</v>
      </c>
      <c r="J3053" t="str">
        <f>HYPERLINK("http://twitter.com/Saul_7_7_")</f>
        <v>http://twitter.com/Saul_7_7_</v>
      </c>
      <c r="K3053">
        <v>163</v>
      </c>
      <c r="L3053" t="s">
        <v>58</v>
      </c>
      <c r="N3053" t="s">
        <v>65</v>
      </c>
      <c r="R3053" t="s">
        <v>60</v>
      </c>
      <c r="S3053" t="s">
        <v>6414</v>
      </c>
      <c r="T3053" t="s">
        <v>9840</v>
      </c>
      <c r="U3053" t="s">
        <v>9841</v>
      </c>
      <c r="W3053">
        <v>0</v>
      </c>
      <c r="X3053">
        <v>0</v>
      </c>
      <c r="AE3053">
        <v>0</v>
      </c>
      <c r="AI3053" t="s">
        <v>52</v>
      </c>
      <c r="AJ3053" t="s">
        <v>1196</v>
      </c>
      <c r="AK3053" t="s">
        <v>52</v>
      </c>
      <c r="AL3053" t="str">
        <f>HYPERLINK("https://pbs.twimg.com/media/D9xgk2YXkAAd2ql.jpg")</f>
        <v>https://pbs.twimg.com/media/D9xgk2YXkAAd2ql.jpg</v>
      </c>
      <c r="AM3053" t="s">
        <v>52</v>
      </c>
      <c r="AN3053" t="s">
        <v>53</v>
      </c>
    </row>
    <row r="3054" spans="1:40">
      <c r="A3054" t="s">
        <v>8081</v>
      </c>
      <c r="B3054" t="s">
        <v>4245</v>
      </c>
      <c r="C3054" t="s">
        <v>9838</v>
      </c>
      <c r="D3054" t="s">
        <v>52</v>
      </c>
      <c r="E3054" t="s">
        <v>1194</v>
      </c>
      <c r="F3054" t="s">
        <v>131</v>
      </c>
      <c r="G3054" t="str">
        <f>HYPERLINK("https://twitter.com/990011371164225537/status/1142907837649231872")</f>
        <v>https://twitter.com/990011371164225537/status/1142907837649231872</v>
      </c>
      <c r="H3054" t="s">
        <v>46</v>
      </c>
      <c r="I3054" t="s">
        <v>9842</v>
      </c>
      <c r="J3054" t="str">
        <f>HYPERLINK("http://twitter.com/BlueMoonlight09")</f>
        <v>http://twitter.com/BlueMoonlight09</v>
      </c>
      <c r="K3054">
        <v>6</v>
      </c>
      <c r="N3054" t="s">
        <v>65</v>
      </c>
      <c r="R3054" t="s">
        <v>60</v>
      </c>
      <c r="W3054">
        <v>0</v>
      </c>
      <c r="X3054">
        <v>0</v>
      </c>
      <c r="AE3054">
        <v>0</v>
      </c>
      <c r="AI3054" t="s">
        <v>52</v>
      </c>
      <c r="AJ3054" t="s">
        <v>1196</v>
      </c>
      <c r="AK3054" t="s">
        <v>52</v>
      </c>
      <c r="AL3054" t="str">
        <f>HYPERLINK("https://pbs.twimg.com/media/D9xgk2YXkAAd2ql.jpg")</f>
        <v>https://pbs.twimg.com/media/D9xgk2YXkAAd2ql.jpg</v>
      </c>
      <c r="AM3054" t="s">
        <v>52</v>
      </c>
      <c r="AN3054" t="s">
        <v>53</v>
      </c>
    </row>
    <row r="3055" spans="1:40">
      <c r="A3055" t="s">
        <v>8081</v>
      </c>
      <c r="B3055" t="s">
        <v>4245</v>
      </c>
      <c r="C3055" t="s">
        <v>9843</v>
      </c>
      <c r="D3055" t="s">
        <v>52</v>
      </c>
      <c r="E3055" t="s">
        <v>1194</v>
      </c>
      <c r="F3055" t="s">
        <v>131</v>
      </c>
      <c r="G3055" t="str">
        <f>HYPERLINK("https://twitter.com/404447568/status/1142907768187301897")</f>
        <v>https://twitter.com/404447568/status/1142907768187301897</v>
      </c>
      <c r="H3055" t="s">
        <v>46</v>
      </c>
      <c r="I3055" t="s">
        <v>9844</v>
      </c>
      <c r="J3055" t="str">
        <f>HYPERLINK("http://twitter.com/LaurenZemanek")</f>
        <v>http://twitter.com/LaurenZemanek</v>
      </c>
      <c r="K3055">
        <v>402</v>
      </c>
      <c r="N3055" t="s">
        <v>65</v>
      </c>
      <c r="R3055" t="s">
        <v>60</v>
      </c>
      <c r="S3055" t="s">
        <v>51</v>
      </c>
      <c r="T3055" t="s">
        <v>678</v>
      </c>
      <c r="U3055" t="s">
        <v>9612</v>
      </c>
      <c r="W3055">
        <v>0</v>
      </c>
      <c r="X3055">
        <v>0</v>
      </c>
      <c r="AE3055">
        <v>0</v>
      </c>
      <c r="AI3055" t="s">
        <v>52</v>
      </c>
      <c r="AJ3055" t="s">
        <v>1196</v>
      </c>
      <c r="AK3055" t="s">
        <v>52</v>
      </c>
      <c r="AL3055" t="str">
        <f>HYPERLINK("https://pbs.twimg.com/media/D9xgk2YXkAAd2ql.jpg")</f>
        <v>https://pbs.twimg.com/media/D9xgk2YXkAAd2ql.jpg</v>
      </c>
      <c r="AM3055" t="s">
        <v>52</v>
      </c>
      <c r="AN3055" t="s">
        <v>53</v>
      </c>
    </row>
    <row r="3056" spans="1:40">
      <c r="A3056" t="s">
        <v>8081</v>
      </c>
      <c r="B3056" t="s">
        <v>4245</v>
      </c>
      <c r="C3056" t="s">
        <v>9845</v>
      </c>
      <c r="D3056" t="s">
        <v>52</v>
      </c>
      <c r="E3056" t="s">
        <v>1194</v>
      </c>
      <c r="F3056" t="s">
        <v>131</v>
      </c>
      <c r="G3056" t="str">
        <f>HYPERLINK("https://twitter.com/925467642055475200/status/1142907762982047745")</f>
        <v>https://twitter.com/925467642055475200/status/1142907762982047745</v>
      </c>
      <c r="H3056" t="s">
        <v>46</v>
      </c>
      <c r="I3056" t="s">
        <v>9846</v>
      </c>
      <c r="J3056" t="str">
        <f>HYPERLINK("http://twitter.com/o0fresita0o")</f>
        <v>http://twitter.com/o0fresita0o</v>
      </c>
      <c r="K3056">
        <v>226</v>
      </c>
      <c r="N3056" t="s">
        <v>65</v>
      </c>
      <c r="R3056" t="s">
        <v>60</v>
      </c>
      <c r="S3056" t="s">
        <v>51</v>
      </c>
      <c r="T3056" t="s">
        <v>173</v>
      </c>
      <c r="W3056">
        <v>0</v>
      </c>
      <c r="X3056">
        <v>0</v>
      </c>
      <c r="AE3056">
        <v>0</v>
      </c>
      <c r="AI3056" t="s">
        <v>52</v>
      </c>
      <c r="AJ3056" t="s">
        <v>1196</v>
      </c>
      <c r="AK3056" t="s">
        <v>52</v>
      </c>
      <c r="AL3056" t="str">
        <f>HYPERLINK("https://pbs.twimg.com/media/D9xgk2YXkAAd2ql.jpg")</f>
        <v>https://pbs.twimg.com/media/D9xgk2YXkAAd2ql.jpg</v>
      </c>
      <c r="AM3056" t="s">
        <v>52</v>
      </c>
      <c r="AN3056" t="s">
        <v>53</v>
      </c>
    </row>
    <row r="3057" spans="1:40">
      <c r="A3057" t="s">
        <v>8081</v>
      </c>
      <c r="B3057" t="s">
        <v>4245</v>
      </c>
      <c r="C3057" t="s">
        <v>9845</v>
      </c>
      <c r="D3057" t="s">
        <v>52</v>
      </c>
      <c r="E3057" t="s">
        <v>9847</v>
      </c>
      <c r="F3057" t="s">
        <v>95</v>
      </c>
      <c r="G3057" t="str">
        <f>HYPERLINK("https://twitter.com/37071762/status/1142907754996047872")</f>
        <v>https://twitter.com/37071762/status/1142907754996047872</v>
      </c>
      <c r="H3057" t="s">
        <v>46</v>
      </c>
      <c r="I3057" t="s">
        <v>9848</v>
      </c>
      <c r="J3057" t="str">
        <f>HYPERLINK("http://twitter.com/DanRoller1")</f>
        <v>http://twitter.com/DanRoller1</v>
      </c>
      <c r="K3057">
        <v>342</v>
      </c>
      <c r="N3057" t="s">
        <v>65</v>
      </c>
      <c r="R3057" t="s">
        <v>60</v>
      </c>
      <c r="W3057">
        <v>0</v>
      </c>
      <c r="X3057">
        <v>0</v>
      </c>
      <c r="AE3057">
        <v>0</v>
      </c>
      <c r="AF3057">
        <v>0</v>
      </c>
      <c r="AM3057" t="s">
        <v>52</v>
      </c>
      <c r="AN3057" t="s">
        <v>53</v>
      </c>
    </row>
    <row r="3058" spans="1:40">
      <c r="A3058" t="s">
        <v>8081</v>
      </c>
      <c r="B3058" t="s">
        <v>4245</v>
      </c>
      <c r="C3058" t="s">
        <v>9845</v>
      </c>
      <c r="D3058" t="s">
        <v>52</v>
      </c>
      <c r="E3058" t="s">
        <v>9849</v>
      </c>
      <c r="F3058" t="s">
        <v>71</v>
      </c>
      <c r="G3058" t="str">
        <f>HYPERLINK("https://twitter.com/233261603/status/1142907737241726976")</f>
        <v>https://twitter.com/233261603/status/1142907737241726976</v>
      </c>
      <c r="H3058" t="s">
        <v>46</v>
      </c>
      <c r="I3058" t="s">
        <v>9850</v>
      </c>
      <c r="J3058" t="str">
        <f>HYPERLINK("http://twitter.com/advance1973")</f>
        <v>http://twitter.com/advance1973</v>
      </c>
      <c r="K3058">
        <v>299</v>
      </c>
      <c r="L3058" t="s">
        <v>48</v>
      </c>
      <c r="N3058" t="s">
        <v>65</v>
      </c>
      <c r="R3058" t="s">
        <v>60</v>
      </c>
      <c r="W3058">
        <v>0</v>
      </c>
      <c r="X3058">
        <v>0</v>
      </c>
      <c r="AE3058">
        <v>0</v>
      </c>
      <c r="AF3058">
        <v>0</v>
      </c>
      <c r="AI3058" t="s">
        <v>108</v>
      </c>
      <c r="AJ3058" t="s">
        <v>52</v>
      </c>
      <c r="AK3058" t="s">
        <v>52</v>
      </c>
      <c r="AL3058" t="str">
        <f>HYPERLINK("https://pbs.twimg.com/media/D9XTkLWW4AAOYnJ.jpg")</f>
        <v>https://pbs.twimg.com/media/D9XTkLWW4AAOYnJ.jpg</v>
      </c>
      <c r="AM3058" t="s">
        <v>52</v>
      </c>
      <c r="AN3058" t="s">
        <v>53</v>
      </c>
    </row>
    <row r="3059" spans="1:40">
      <c r="A3059" t="s">
        <v>8081</v>
      </c>
      <c r="B3059" t="s">
        <v>4245</v>
      </c>
      <c r="C3059" t="s">
        <v>9845</v>
      </c>
      <c r="D3059" t="s">
        <v>52</v>
      </c>
      <c r="E3059" t="s">
        <v>1194</v>
      </c>
      <c r="F3059" t="s">
        <v>131</v>
      </c>
      <c r="G3059" t="str">
        <f>HYPERLINK("https://twitter.com/924716814797557761/status/1142907737371750400")</f>
        <v>https://twitter.com/924716814797557761/status/1142907737371750400</v>
      </c>
      <c r="H3059" t="s">
        <v>46</v>
      </c>
      <c r="I3059" t="s">
        <v>9851</v>
      </c>
      <c r="J3059" t="str">
        <f>HYPERLINK("http://twitter.com/Conorxroy")</f>
        <v>http://twitter.com/Conorxroy</v>
      </c>
      <c r="K3059">
        <v>219</v>
      </c>
      <c r="L3059" t="s">
        <v>48</v>
      </c>
      <c r="N3059" t="s">
        <v>65</v>
      </c>
      <c r="R3059" t="s">
        <v>60</v>
      </c>
      <c r="S3059" t="s">
        <v>97</v>
      </c>
      <c r="T3059" t="s">
        <v>177</v>
      </c>
      <c r="U3059" t="s">
        <v>9852</v>
      </c>
      <c r="W3059">
        <v>0</v>
      </c>
      <c r="X3059">
        <v>0</v>
      </c>
      <c r="AE3059">
        <v>0</v>
      </c>
      <c r="AI3059" t="s">
        <v>52</v>
      </c>
      <c r="AJ3059" t="s">
        <v>1196</v>
      </c>
      <c r="AK3059" t="s">
        <v>52</v>
      </c>
      <c r="AL3059" t="str">
        <f>HYPERLINK("https://pbs.twimg.com/media/D9xgk2YXkAAd2ql.jpg")</f>
        <v>https://pbs.twimg.com/media/D9xgk2YXkAAd2ql.jpg</v>
      </c>
      <c r="AM3059" t="s">
        <v>52</v>
      </c>
      <c r="AN3059" t="s">
        <v>53</v>
      </c>
    </row>
    <row r="3060" spans="1:40">
      <c r="A3060" t="s">
        <v>8081</v>
      </c>
      <c r="B3060" t="s">
        <v>4245</v>
      </c>
      <c r="C3060" t="s">
        <v>9853</v>
      </c>
      <c r="D3060" t="s">
        <v>52</v>
      </c>
      <c r="E3060" t="s">
        <v>9854</v>
      </c>
      <c r="F3060" t="s">
        <v>131</v>
      </c>
      <c r="G3060" t="str">
        <f>HYPERLINK("https://twitter.com/3289453684/status/1142907700705202177")</f>
        <v>https://twitter.com/3289453684/status/1142907700705202177</v>
      </c>
      <c r="H3060" t="s">
        <v>215</v>
      </c>
      <c r="I3060" t="s">
        <v>9855</v>
      </c>
      <c r="J3060" t="str">
        <f>HYPERLINK("http://twitter.com/EByzio")</f>
        <v>http://twitter.com/EByzio</v>
      </c>
      <c r="K3060">
        <v>17125</v>
      </c>
      <c r="L3060" t="s">
        <v>58</v>
      </c>
      <c r="N3060" t="s">
        <v>65</v>
      </c>
      <c r="R3060" t="s">
        <v>60</v>
      </c>
      <c r="W3060">
        <v>0</v>
      </c>
      <c r="X3060">
        <v>0</v>
      </c>
      <c r="AE3060">
        <v>0</v>
      </c>
      <c r="AI3060" t="s">
        <v>52</v>
      </c>
      <c r="AJ3060" t="s">
        <v>52</v>
      </c>
      <c r="AK3060" t="s">
        <v>110</v>
      </c>
      <c r="AL3060" t="str">
        <f>HYPERLINK("https://pbs.twimg.com/ext_tw_video_thumb/1142646022713118720/pu/img/mITRfwP1eYqQ_wvd.jpg")</f>
        <v>https://pbs.twimg.com/ext_tw_video_thumb/1142646022713118720/pu/img/mITRfwP1eYqQ_wvd.jpg</v>
      </c>
      <c r="AM3060" t="s">
        <v>52</v>
      </c>
      <c r="AN3060" t="s">
        <v>53</v>
      </c>
    </row>
    <row r="3061" spans="1:40">
      <c r="A3061" t="s">
        <v>8081</v>
      </c>
      <c r="B3061" t="s">
        <v>4245</v>
      </c>
      <c r="C3061" t="s">
        <v>9853</v>
      </c>
      <c r="D3061" t="s">
        <v>52</v>
      </c>
      <c r="E3061" t="s">
        <v>1194</v>
      </c>
      <c r="F3061" t="s">
        <v>131</v>
      </c>
      <c r="G3061" t="str">
        <f>HYPERLINK("https://twitter.com/770660832812216320/status/1142907697228124160")</f>
        <v>https://twitter.com/770660832812216320/status/1142907697228124160</v>
      </c>
      <c r="H3061" t="s">
        <v>46</v>
      </c>
      <c r="I3061" t="s">
        <v>9856</v>
      </c>
      <c r="J3061" t="str">
        <f>HYPERLINK("http://twitter.com/trammell_seth")</f>
        <v>http://twitter.com/trammell_seth</v>
      </c>
      <c r="K3061">
        <v>35</v>
      </c>
      <c r="L3061" t="s">
        <v>48</v>
      </c>
      <c r="N3061" t="s">
        <v>65</v>
      </c>
      <c r="R3061" t="s">
        <v>60</v>
      </c>
      <c r="W3061">
        <v>0</v>
      </c>
      <c r="X3061">
        <v>0</v>
      </c>
      <c r="AE3061">
        <v>0</v>
      </c>
      <c r="AI3061" t="s">
        <v>52</v>
      </c>
      <c r="AJ3061" t="s">
        <v>1196</v>
      </c>
      <c r="AK3061" t="s">
        <v>52</v>
      </c>
      <c r="AL3061" t="str">
        <f>HYPERLINK("https://pbs.twimg.com/media/D9xgk2YXkAAd2ql.jpg")</f>
        <v>https://pbs.twimg.com/media/D9xgk2YXkAAd2ql.jpg</v>
      </c>
      <c r="AM3061" t="s">
        <v>52</v>
      </c>
      <c r="AN3061" t="s">
        <v>53</v>
      </c>
    </row>
    <row r="3062" spans="1:40">
      <c r="A3062" t="s">
        <v>8081</v>
      </c>
      <c r="B3062" t="s">
        <v>4245</v>
      </c>
      <c r="C3062" t="s">
        <v>9853</v>
      </c>
      <c r="D3062" t="s">
        <v>52</v>
      </c>
      <c r="E3062" t="s">
        <v>9857</v>
      </c>
      <c r="F3062" t="s">
        <v>131</v>
      </c>
      <c r="G3062" t="str">
        <f>HYPERLINK("https://twitter.com/3289453684/status/1142907686322880517")</f>
        <v>https://twitter.com/3289453684/status/1142907686322880517</v>
      </c>
      <c r="H3062" t="s">
        <v>46</v>
      </c>
      <c r="I3062" t="s">
        <v>9855</v>
      </c>
      <c r="J3062" t="str">
        <f>HYPERLINK("http://twitter.com/EByzio")</f>
        <v>http://twitter.com/EByzio</v>
      </c>
      <c r="K3062">
        <v>17125</v>
      </c>
      <c r="L3062" t="s">
        <v>58</v>
      </c>
      <c r="N3062" t="s">
        <v>65</v>
      </c>
      <c r="R3062" t="s">
        <v>60</v>
      </c>
      <c r="W3062">
        <v>0</v>
      </c>
      <c r="X3062">
        <v>0</v>
      </c>
      <c r="AE3062">
        <v>0</v>
      </c>
      <c r="AI3062" t="s">
        <v>52</v>
      </c>
      <c r="AJ3062" t="s">
        <v>9858</v>
      </c>
      <c r="AK3062" t="s">
        <v>9859</v>
      </c>
      <c r="AL3062" t="str">
        <f>HYPERLINK("https://pbs.twimg.com/tweet_video_thumb/D9tMNmiWkAAYn5I.jpg")</f>
        <v>https://pbs.twimg.com/tweet_video_thumb/D9tMNmiWkAAYn5I.jpg</v>
      </c>
      <c r="AM3062" t="s">
        <v>52</v>
      </c>
      <c r="AN3062" t="s">
        <v>53</v>
      </c>
    </row>
    <row r="3063" spans="1:40">
      <c r="A3063" t="s">
        <v>8081</v>
      </c>
      <c r="B3063" t="s">
        <v>4248</v>
      </c>
      <c r="C3063" t="s">
        <v>9860</v>
      </c>
      <c r="D3063" t="s">
        <v>52</v>
      </c>
      <c r="E3063" t="s">
        <v>1194</v>
      </c>
      <c r="F3063" t="s">
        <v>131</v>
      </c>
      <c r="G3063" t="str">
        <f>HYPERLINK("https://twitter.com/736407162545537024/status/1142907669726056454")</f>
        <v>https://twitter.com/736407162545537024/status/1142907669726056454</v>
      </c>
      <c r="H3063" t="s">
        <v>46</v>
      </c>
      <c r="I3063" t="s">
        <v>9861</v>
      </c>
      <c r="J3063" t="str">
        <f>HYPERLINK("http://twitter.com/AshlynEustice")</f>
        <v>http://twitter.com/AshlynEustice</v>
      </c>
      <c r="K3063">
        <v>146</v>
      </c>
      <c r="N3063" t="s">
        <v>65</v>
      </c>
      <c r="R3063" t="s">
        <v>60</v>
      </c>
      <c r="S3063" t="s">
        <v>51</v>
      </c>
      <c r="T3063" t="s">
        <v>3267</v>
      </c>
      <c r="U3063" t="s">
        <v>9862</v>
      </c>
      <c r="W3063">
        <v>0</v>
      </c>
      <c r="X3063">
        <v>0</v>
      </c>
      <c r="AE3063">
        <v>0</v>
      </c>
      <c r="AI3063" t="s">
        <v>52</v>
      </c>
      <c r="AJ3063" t="s">
        <v>1196</v>
      </c>
      <c r="AK3063" t="s">
        <v>52</v>
      </c>
      <c r="AL3063" t="str">
        <f>HYPERLINK("https://pbs.twimg.com/media/D9xgk2YXkAAd2ql.jpg")</f>
        <v>https://pbs.twimg.com/media/D9xgk2YXkAAd2ql.jpg</v>
      </c>
      <c r="AM3063" t="s">
        <v>52</v>
      </c>
      <c r="AN3063" t="s">
        <v>53</v>
      </c>
    </row>
    <row r="3064" spans="1:40">
      <c r="A3064" t="s">
        <v>8081</v>
      </c>
      <c r="B3064" t="s">
        <v>4248</v>
      </c>
      <c r="C3064" t="s">
        <v>9863</v>
      </c>
      <c r="D3064" t="s">
        <v>52</v>
      </c>
      <c r="E3064" t="s">
        <v>1194</v>
      </c>
      <c r="F3064" t="s">
        <v>131</v>
      </c>
      <c r="G3064" t="str">
        <f>HYPERLINK("https://twitter.com/372066301/status/1142907612473769984")</f>
        <v>https://twitter.com/372066301/status/1142907612473769984</v>
      </c>
      <c r="H3064" t="s">
        <v>46</v>
      </c>
      <c r="I3064" t="s">
        <v>9864</v>
      </c>
      <c r="J3064" t="str">
        <f>HYPERLINK("http://twitter.com/FedericoPrieto_")</f>
        <v>http://twitter.com/FedericoPrieto_</v>
      </c>
      <c r="K3064">
        <v>532</v>
      </c>
      <c r="N3064" t="s">
        <v>65</v>
      </c>
      <c r="R3064" t="s">
        <v>60</v>
      </c>
      <c r="W3064">
        <v>0</v>
      </c>
      <c r="X3064">
        <v>0</v>
      </c>
      <c r="AE3064">
        <v>0</v>
      </c>
      <c r="AI3064" t="s">
        <v>52</v>
      </c>
      <c r="AJ3064" t="s">
        <v>1196</v>
      </c>
      <c r="AK3064" t="s">
        <v>52</v>
      </c>
      <c r="AL3064" t="str">
        <f>HYPERLINK("https://pbs.twimg.com/media/D9xgk2YXkAAd2ql.jpg")</f>
        <v>https://pbs.twimg.com/media/D9xgk2YXkAAd2ql.jpg</v>
      </c>
      <c r="AM3064" t="s">
        <v>52</v>
      </c>
      <c r="AN3064" t="s">
        <v>53</v>
      </c>
    </row>
    <row r="3065" spans="1:40">
      <c r="A3065" t="s">
        <v>8081</v>
      </c>
      <c r="B3065" t="s">
        <v>4248</v>
      </c>
      <c r="C3065" t="s">
        <v>9863</v>
      </c>
      <c r="D3065" t="s">
        <v>52</v>
      </c>
      <c r="E3065" t="s">
        <v>9865</v>
      </c>
      <c r="F3065" t="s">
        <v>95</v>
      </c>
      <c r="G3065" t="str">
        <f>HYPERLINK("https://twitter.com/774679458766651393/status/1142907600465518592")</f>
        <v>https://twitter.com/774679458766651393/status/1142907600465518592</v>
      </c>
      <c r="H3065" t="s">
        <v>46</v>
      </c>
      <c r="I3065" t="s">
        <v>9866</v>
      </c>
      <c r="J3065" t="str">
        <f>HYPERLINK("http://twitter.com/SandraGannon8")</f>
        <v>http://twitter.com/SandraGannon8</v>
      </c>
      <c r="K3065">
        <v>782</v>
      </c>
      <c r="N3065" t="s">
        <v>65</v>
      </c>
      <c r="R3065" t="s">
        <v>60</v>
      </c>
      <c r="S3065" t="s">
        <v>51</v>
      </c>
      <c r="T3065" t="s">
        <v>263</v>
      </c>
      <c r="U3065" t="s">
        <v>9867</v>
      </c>
      <c r="W3065">
        <v>2</v>
      </c>
      <c r="X3065">
        <v>2</v>
      </c>
      <c r="AE3065">
        <v>0</v>
      </c>
      <c r="AF3065">
        <v>0</v>
      </c>
      <c r="AM3065" t="s">
        <v>52</v>
      </c>
      <c r="AN3065" t="s">
        <v>53</v>
      </c>
    </row>
    <row r="3066" spans="1:40">
      <c r="A3066" t="s">
        <v>8081</v>
      </c>
      <c r="B3066" t="s">
        <v>4252</v>
      </c>
      <c r="C3066" t="s">
        <v>9860</v>
      </c>
      <c r="D3066" t="s">
        <v>52</v>
      </c>
      <c r="E3066" t="s">
        <v>9868</v>
      </c>
      <c r="F3066" t="s">
        <v>71</v>
      </c>
      <c r="G3066" t="str">
        <f>HYPERLINK("https://twitter.com/349700865/status/1142907316888645638")</f>
        <v>https://twitter.com/349700865/status/1142907316888645638</v>
      </c>
      <c r="H3066" t="s">
        <v>215</v>
      </c>
      <c r="I3066" t="s">
        <v>9869</v>
      </c>
      <c r="J3066" t="str">
        <f>HYPERLINK("http://twitter.com/ProphyTheGreat")</f>
        <v>http://twitter.com/ProphyTheGreat</v>
      </c>
      <c r="K3066">
        <v>1526</v>
      </c>
      <c r="N3066" t="s">
        <v>65</v>
      </c>
      <c r="R3066" t="s">
        <v>60</v>
      </c>
      <c r="S3066" t="s">
        <v>1071</v>
      </c>
      <c r="W3066">
        <v>0</v>
      </c>
      <c r="X3066">
        <v>0</v>
      </c>
      <c r="AE3066">
        <v>0</v>
      </c>
      <c r="AF3066">
        <v>0</v>
      </c>
      <c r="AM3066" t="s">
        <v>52</v>
      </c>
      <c r="AN3066" t="s">
        <v>53</v>
      </c>
    </row>
    <row r="3067" spans="1:40">
      <c r="A3067" t="s">
        <v>8081</v>
      </c>
      <c r="B3067" t="s">
        <v>4258</v>
      </c>
      <c r="C3067" t="s">
        <v>8110</v>
      </c>
      <c r="D3067" t="s">
        <v>52</v>
      </c>
      <c r="E3067" t="s">
        <v>9870</v>
      </c>
      <c r="F3067" t="s">
        <v>45</v>
      </c>
      <c r="G3067" t="str">
        <f>HYPERLINK("https://www.facebook.com/272643646141238/posts/2781934065212171")</f>
        <v>https://www.facebook.com/272643646141238/posts/2781934065212171</v>
      </c>
      <c r="H3067" t="s">
        <v>46</v>
      </c>
      <c r="I3067" t="s">
        <v>9871</v>
      </c>
      <c r="J3067" t="str">
        <f>HYPERLINK("https://www.facebook.com/272643646141238")</f>
        <v>https://www.facebook.com/272643646141238</v>
      </c>
      <c r="K3067">
        <v>19900</v>
      </c>
      <c r="L3067" t="s">
        <v>651</v>
      </c>
      <c r="N3067" t="s">
        <v>1792</v>
      </c>
      <c r="O3067" t="s">
        <v>9871</v>
      </c>
      <c r="P3067" t="str">
        <f>HYPERLINK("https://www.facebook.com/272643646141238")</f>
        <v>https://www.facebook.com/272643646141238</v>
      </c>
      <c r="Q3067">
        <v>19900</v>
      </c>
      <c r="R3067" t="s">
        <v>60</v>
      </c>
      <c r="W3067">
        <v>173</v>
      </c>
      <c r="X3067">
        <v>15</v>
      </c>
      <c r="Y3067">
        <v>23</v>
      </c>
      <c r="Z3067">
        <v>0</v>
      </c>
      <c r="AA3067">
        <v>0</v>
      </c>
      <c r="AB3067">
        <v>134</v>
      </c>
      <c r="AC3067">
        <v>1</v>
      </c>
      <c r="AE3067">
        <v>39</v>
      </c>
      <c r="AF3067">
        <v>48</v>
      </c>
      <c r="AI3067" t="s">
        <v>52</v>
      </c>
      <c r="AJ3067" t="s">
        <v>985</v>
      </c>
      <c r="AK3067" t="s">
        <v>612</v>
      </c>
      <c r="AL3067" t="str">
        <f>HYPERLINK("https://scontent.xx.fbcdn.net/v/t1.0-9/65150955_2781931178545793_695351322571964416_n.jpg?_nc_cat=101&amp;_nc_oc=AQlGe9LgsEjKFjy-g0qkYEoXCdVDLaTSRLHP4OD5CqYVczKMF5b_LyVmQqBLj6pBjHA&amp;_nc_ht=scontent.xx&amp;oh=3e245ff3bf62162c3808656ca8976e72&amp;oe=5D901C45")</f>
        <v>https://scontent.xx.fbcdn.net/v/t1.0-9/65150955_2781931178545793_695351322571964416_n.jpg?_nc_cat=101&amp;_nc_oc=AQlGe9LgsEjKFjy-g0qkYEoXCdVDLaTSRLHP4OD5CqYVczKMF5b_LyVmQqBLj6pBjHA&amp;_nc_ht=scontent.xx&amp;oh=3e245ff3bf62162c3808656ca8976e72&amp;oe=5D901C45</v>
      </c>
      <c r="AM3067" t="s">
        <v>52</v>
      </c>
      <c r="AN3067" t="s">
        <v>53</v>
      </c>
    </row>
    <row r="3068" spans="1:40">
      <c r="A3068" t="s">
        <v>8081</v>
      </c>
      <c r="B3068" t="s">
        <v>9872</v>
      </c>
      <c r="C3068" t="s">
        <v>6940</v>
      </c>
      <c r="D3068" t="s">
        <v>8722</v>
      </c>
      <c r="E3068" t="s">
        <v>9873</v>
      </c>
      <c r="F3068" t="s">
        <v>45</v>
      </c>
      <c r="G3068" t="str">
        <f>HYPERLINK("https://forums.battlefield.com/en-us/discussion/188825/which-one-is-it-i-cant-see-anyone-in-bf-v-or-spotting-was-easy-mode-glad-it-is-gone/p10#Comment_1562241")</f>
        <v>https://forums.battlefield.com/en-us/discussion/188825/which-one-is-it-i-cant-see-anyone-in-bf-v-or-spotting-was-easy-mode-glad-it-is-gone/p10#Comment_1562241</v>
      </c>
      <c r="H3068" t="s">
        <v>215</v>
      </c>
      <c r="I3068" t="s">
        <v>9874</v>
      </c>
      <c r="J3068" t="str">
        <f>HYPERLINK("https://forums.battlefield.com/en-us/discussion/188825/which-one-is-it-i-cant-see-anyone-in-bf-v-or-spotting-was-easy-mode-glad-it-is-gone/p10#Comment_1562241")</f>
        <v>https://forums.battlefield.com/en-us/discussion/188825/which-one-is-it-i-cant-see-anyone-in-bf-v-or-spotting-was-easy-mode-glad-it-is-gone/p10#Comment_1562241</v>
      </c>
      <c r="N3068" t="s">
        <v>3237</v>
      </c>
      <c r="O3068" t="s">
        <v>3238</v>
      </c>
      <c r="P3068" t="str">
        <f>HYPERLINK("https://forums.battlefield.com/en-us/categories/battlefield-v-general-discussion")</f>
        <v>https://forums.battlefield.com/en-us/categories/battlefield-v-general-discussion</v>
      </c>
      <c r="R3068" t="s">
        <v>516</v>
      </c>
      <c r="S3068" t="s">
        <v>51</v>
      </c>
      <c r="AM3068" t="s">
        <v>52</v>
      </c>
      <c r="AN3068" t="s">
        <v>53</v>
      </c>
    </row>
    <row r="3069" spans="1:40">
      <c r="A3069" t="s">
        <v>8081</v>
      </c>
      <c r="B3069" t="s">
        <v>4261</v>
      </c>
      <c r="C3069" t="s">
        <v>7614</v>
      </c>
      <c r="D3069" t="s">
        <v>52</v>
      </c>
      <c r="E3069" t="s">
        <v>9875</v>
      </c>
      <c r="F3069" t="s">
        <v>45</v>
      </c>
      <c r="G3069" t="str">
        <f>HYPERLINK("https://www.instagram.com/p/BzETpNBBXde")</f>
        <v>https://www.instagram.com/p/BzETpNBBXde</v>
      </c>
      <c r="H3069" t="s">
        <v>91</v>
      </c>
      <c r="I3069" t="s">
        <v>9876</v>
      </c>
      <c r="J3069" t="str">
        <f>HYPERLINK("http://instagram.com/lonewolf5995")</f>
        <v>http://instagram.com/lonewolf5995</v>
      </c>
      <c r="K3069">
        <v>83</v>
      </c>
      <c r="N3069" t="s">
        <v>59</v>
      </c>
      <c r="O3069" t="s">
        <v>9876</v>
      </c>
      <c r="P3069" t="str">
        <f>HYPERLINK("http://instagram.com/lonewolf5995")</f>
        <v>http://instagram.com/lonewolf5995</v>
      </c>
      <c r="Q3069">
        <v>83</v>
      </c>
      <c r="R3069" t="s">
        <v>60</v>
      </c>
      <c r="W3069">
        <v>8</v>
      </c>
      <c r="X3069">
        <v>8</v>
      </c>
      <c r="AE3069">
        <v>0</v>
      </c>
      <c r="AI3069" t="s">
        <v>108</v>
      </c>
      <c r="AJ3069" t="s">
        <v>52</v>
      </c>
      <c r="AK3069" t="s">
        <v>9877</v>
      </c>
      <c r="AL3069" t="str">
        <f>HYPERLINK("https://www.instagram.com/p/BzETpNBBXde/media/?size=l")</f>
        <v>https://www.instagram.com/p/BzETpNBBXde/media/?size=l</v>
      </c>
      <c r="AM3069" t="s">
        <v>52</v>
      </c>
      <c r="AN3069" t="s">
        <v>53</v>
      </c>
    </row>
    <row r="3070" spans="1:40">
      <c r="A3070" t="s">
        <v>8081</v>
      </c>
      <c r="B3070" t="s">
        <v>4261</v>
      </c>
      <c r="C3070" t="s">
        <v>9878</v>
      </c>
      <c r="D3070" t="s">
        <v>52</v>
      </c>
      <c r="E3070" t="s">
        <v>9879</v>
      </c>
      <c r="F3070" t="s">
        <v>45</v>
      </c>
      <c r="G3070" t="str">
        <f>HYPERLINK("https://www.instagram.com/p/BzETlGiDaKm")</f>
        <v>https://www.instagram.com/p/BzETlGiDaKm</v>
      </c>
      <c r="H3070" t="s">
        <v>46</v>
      </c>
      <c r="I3070" t="s">
        <v>52</v>
      </c>
      <c r="J3070" t="str">
        <f>HYPERLINK("http://instagram.com/_sarah_mule_")</f>
        <v>http://instagram.com/_sarah_mule_</v>
      </c>
      <c r="K3070">
        <v>110</v>
      </c>
      <c r="N3070" t="s">
        <v>59</v>
      </c>
      <c r="O3070" t="s">
        <v>52</v>
      </c>
      <c r="P3070" t="str">
        <f>HYPERLINK("http://instagram.com/_sarah_mule_")</f>
        <v>http://instagram.com/_sarah_mule_</v>
      </c>
      <c r="Q3070">
        <v>110</v>
      </c>
      <c r="R3070" t="s">
        <v>60</v>
      </c>
      <c r="W3070">
        <v>14</v>
      </c>
      <c r="X3070">
        <v>14</v>
      </c>
      <c r="AE3070">
        <v>0</v>
      </c>
      <c r="AI3070" t="s">
        <v>52</v>
      </c>
      <c r="AJ3070" t="s">
        <v>9880</v>
      </c>
      <c r="AK3070" t="s">
        <v>7251</v>
      </c>
      <c r="AL3070" t="str">
        <f>HYPERLINK("https://www.instagram.com/p/BzETlGiDaKm/media/?size=l")</f>
        <v>https://www.instagram.com/p/BzETlGiDaKm/media/?size=l</v>
      </c>
      <c r="AM3070" t="s">
        <v>52</v>
      </c>
      <c r="AN3070" t="s">
        <v>53</v>
      </c>
    </row>
    <row r="3071" spans="1:40">
      <c r="A3071" t="s">
        <v>8081</v>
      </c>
      <c r="B3071" t="s">
        <v>4279</v>
      </c>
      <c r="C3071" t="s">
        <v>9863</v>
      </c>
      <c r="D3071" t="s">
        <v>52</v>
      </c>
      <c r="E3071" t="s">
        <v>9881</v>
      </c>
      <c r="F3071" t="s">
        <v>45</v>
      </c>
      <c r="G3071" t="str">
        <f>HYPERLINK("https://twitter.com/3059623168/status/1142906115224530944")</f>
        <v>https://twitter.com/3059623168/status/1142906115224530944</v>
      </c>
      <c r="H3071" t="s">
        <v>46</v>
      </c>
      <c r="I3071" t="s">
        <v>2550</v>
      </c>
      <c r="J3071" t="str">
        <f>HYPERLINK("http://twitter.com/MLGJAC3")</f>
        <v>http://twitter.com/MLGJAC3</v>
      </c>
      <c r="K3071">
        <v>59</v>
      </c>
      <c r="N3071" t="s">
        <v>65</v>
      </c>
      <c r="R3071" t="s">
        <v>60</v>
      </c>
      <c r="W3071">
        <v>0</v>
      </c>
      <c r="X3071">
        <v>0</v>
      </c>
      <c r="AE3071">
        <v>0</v>
      </c>
      <c r="AF3071">
        <v>0</v>
      </c>
      <c r="AM3071" t="s">
        <v>52</v>
      </c>
      <c r="AN3071" t="s">
        <v>53</v>
      </c>
    </row>
    <row r="3072" spans="1:40">
      <c r="A3072" t="s">
        <v>8081</v>
      </c>
      <c r="B3072" t="s">
        <v>4279</v>
      </c>
      <c r="C3072" t="s">
        <v>9882</v>
      </c>
      <c r="D3072" t="s">
        <v>52</v>
      </c>
      <c r="E3072" t="s">
        <v>9883</v>
      </c>
      <c r="F3072" t="s">
        <v>95</v>
      </c>
      <c r="G3072" t="str">
        <f>HYPERLINK("https://twitter.com/103817397/status/1142906062317727744")</f>
        <v>https://twitter.com/103817397/status/1142906062317727744</v>
      </c>
      <c r="H3072" t="s">
        <v>46</v>
      </c>
      <c r="I3072" t="s">
        <v>9884</v>
      </c>
      <c r="J3072" t="str">
        <f>HYPERLINK("http://twitter.com/slgibbs1")</f>
        <v>http://twitter.com/slgibbs1</v>
      </c>
      <c r="K3072">
        <v>34</v>
      </c>
      <c r="L3072" t="s">
        <v>58</v>
      </c>
      <c r="N3072" t="s">
        <v>65</v>
      </c>
      <c r="R3072" t="s">
        <v>60</v>
      </c>
      <c r="S3072" t="s">
        <v>51</v>
      </c>
      <c r="T3072" t="s">
        <v>73</v>
      </c>
      <c r="U3072" t="s">
        <v>9885</v>
      </c>
      <c r="W3072">
        <v>0</v>
      </c>
      <c r="X3072">
        <v>0</v>
      </c>
      <c r="AE3072">
        <v>0</v>
      </c>
      <c r="AF3072">
        <v>0</v>
      </c>
      <c r="AM3072" t="s">
        <v>52</v>
      </c>
      <c r="AN3072" t="s">
        <v>53</v>
      </c>
    </row>
    <row r="3073" spans="1:40">
      <c r="A3073" t="s">
        <v>8081</v>
      </c>
      <c r="B3073" t="s">
        <v>4282</v>
      </c>
      <c r="C3073" t="s">
        <v>9886</v>
      </c>
      <c r="D3073" t="s">
        <v>52</v>
      </c>
      <c r="E3073" t="s">
        <v>5927</v>
      </c>
      <c r="F3073" t="s">
        <v>131</v>
      </c>
      <c r="G3073" t="str">
        <f>HYPERLINK("https://twitter.com/2377785144/status/1142905791449587713")</f>
        <v>https://twitter.com/2377785144/status/1142905791449587713</v>
      </c>
      <c r="H3073" t="s">
        <v>46</v>
      </c>
      <c r="I3073" t="s">
        <v>9887</v>
      </c>
      <c r="J3073" t="str">
        <f>HYPERLINK("http://twitter.com/_suspencer")</f>
        <v>http://twitter.com/_suspencer</v>
      </c>
      <c r="K3073">
        <v>163</v>
      </c>
      <c r="N3073" t="s">
        <v>65</v>
      </c>
      <c r="R3073" t="s">
        <v>60</v>
      </c>
      <c r="S3073" t="s">
        <v>51</v>
      </c>
      <c r="T3073" t="s">
        <v>152</v>
      </c>
      <c r="U3073" t="s">
        <v>9888</v>
      </c>
      <c r="W3073">
        <v>0</v>
      </c>
      <c r="X3073">
        <v>0</v>
      </c>
      <c r="AE3073">
        <v>0</v>
      </c>
      <c r="AM3073" t="s">
        <v>52</v>
      </c>
      <c r="AN3073" t="s">
        <v>53</v>
      </c>
    </row>
    <row r="3074" spans="1:40">
      <c r="A3074" t="s">
        <v>8081</v>
      </c>
      <c r="B3074" t="s">
        <v>4282</v>
      </c>
      <c r="C3074" t="s">
        <v>9882</v>
      </c>
      <c r="D3074" t="s">
        <v>52</v>
      </c>
      <c r="E3074" t="s">
        <v>1194</v>
      </c>
      <c r="F3074" t="s">
        <v>131</v>
      </c>
      <c r="G3074" t="str">
        <f>HYPERLINK("https://twitter.com/1783393170/status/1142905765252030468")</f>
        <v>https://twitter.com/1783393170/status/1142905765252030468</v>
      </c>
      <c r="H3074" t="s">
        <v>46</v>
      </c>
      <c r="I3074" t="s">
        <v>9889</v>
      </c>
      <c r="J3074" t="str">
        <f>HYPERLINK("http://twitter.com/hayley_brock30")</f>
        <v>http://twitter.com/hayley_brock30</v>
      </c>
      <c r="K3074">
        <v>167</v>
      </c>
      <c r="L3074" t="s">
        <v>58</v>
      </c>
      <c r="N3074" t="s">
        <v>65</v>
      </c>
      <c r="R3074" t="s">
        <v>60</v>
      </c>
      <c r="W3074">
        <v>0</v>
      </c>
      <c r="X3074">
        <v>0</v>
      </c>
      <c r="AE3074">
        <v>0</v>
      </c>
      <c r="AI3074" t="s">
        <v>52</v>
      </c>
      <c r="AJ3074" t="s">
        <v>1196</v>
      </c>
      <c r="AK3074" t="s">
        <v>52</v>
      </c>
      <c r="AL3074" t="str">
        <f>HYPERLINK("https://pbs.twimg.com/media/D9xgk2YXkAAd2ql.jpg")</f>
        <v>https://pbs.twimg.com/media/D9xgk2YXkAAd2ql.jpg</v>
      </c>
      <c r="AM3074" t="s">
        <v>52</v>
      </c>
      <c r="AN3074" t="s">
        <v>53</v>
      </c>
    </row>
    <row r="3075" spans="1:40">
      <c r="A3075" t="s">
        <v>8081</v>
      </c>
      <c r="B3075" t="s">
        <v>4282</v>
      </c>
      <c r="C3075" t="s">
        <v>9886</v>
      </c>
      <c r="D3075" t="s">
        <v>52</v>
      </c>
      <c r="E3075" t="s">
        <v>1194</v>
      </c>
      <c r="F3075" t="s">
        <v>131</v>
      </c>
      <c r="G3075" t="str">
        <f>HYPERLINK("https://twitter.com/963524319610630146/status/1142905729814269952")</f>
        <v>https://twitter.com/963524319610630146/status/1142905729814269952</v>
      </c>
      <c r="H3075" t="s">
        <v>46</v>
      </c>
      <c r="I3075" t="s">
        <v>9890</v>
      </c>
      <c r="J3075" t="str">
        <f>HYPERLINK("http://twitter.com/CCoffeeCat")</f>
        <v>http://twitter.com/CCoffeeCat</v>
      </c>
      <c r="K3075">
        <v>53</v>
      </c>
      <c r="N3075" t="s">
        <v>65</v>
      </c>
      <c r="R3075" t="s">
        <v>60</v>
      </c>
      <c r="W3075">
        <v>0</v>
      </c>
      <c r="X3075">
        <v>0</v>
      </c>
      <c r="AE3075">
        <v>0</v>
      </c>
      <c r="AI3075" t="s">
        <v>52</v>
      </c>
      <c r="AJ3075" t="s">
        <v>1196</v>
      </c>
      <c r="AK3075" t="s">
        <v>52</v>
      </c>
      <c r="AL3075" t="str">
        <f>HYPERLINK("https://pbs.twimg.com/media/D9xgk2YXkAAd2ql.jpg")</f>
        <v>https://pbs.twimg.com/media/D9xgk2YXkAAd2ql.jpg</v>
      </c>
      <c r="AM3075" t="s">
        <v>52</v>
      </c>
      <c r="AN3075" t="s">
        <v>53</v>
      </c>
    </row>
    <row r="3076" spans="1:40">
      <c r="A3076" t="s">
        <v>8081</v>
      </c>
      <c r="B3076" t="s">
        <v>4282</v>
      </c>
      <c r="C3076" t="s">
        <v>9891</v>
      </c>
      <c r="D3076" t="s">
        <v>52</v>
      </c>
      <c r="E3076" t="s">
        <v>9892</v>
      </c>
      <c r="F3076" t="s">
        <v>45</v>
      </c>
      <c r="G3076" t="str">
        <f>HYPERLINK("https://twitter.com/1036016132157829120/status/1142905692665384960")</f>
        <v>https://twitter.com/1036016132157829120/status/1142905692665384960</v>
      </c>
      <c r="H3076" t="s">
        <v>46</v>
      </c>
      <c r="I3076" t="s">
        <v>9893</v>
      </c>
      <c r="J3076" t="str">
        <f>HYPERLINK("http://twitter.com/Agosludu1")</f>
        <v>http://twitter.com/Agosludu1</v>
      </c>
      <c r="K3076">
        <v>92</v>
      </c>
      <c r="N3076" t="s">
        <v>65</v>
      </c>
      <c r="R3076" t="s">
        <v>60</v>
      </c>
      <c r="S3076" t="s">
        <v>1403</v>
      </c>
      <c r="T3076" t="s">
        <v>9894</v>
      </c>
      <c r="U3076" t="s">
        <v>9895</v>
      </c>
      <c r="W3076">
        <v>3</v>
      </c>
      <c r="X3076">
        <v>3</v>
      </c>
      <c r="AE3076">
        <v>0</v>
      </c>
      <c r="AF3076">
        <v>1</v>
      </c>
      <c r="AM3076" t="s">
        <v>52</v>
      </c>
      <c r="AN3076" t="s">
        <v>53</v>
      </c>
    </row>
    <row r="3077" spans="1:40">
      <c r="A3077" t="s">
        <v>8081</v>
      </c>
      <c r="B3077" t="s">
        <v>4282</v>
      </c>
      <c r="C3077" t="s">
        <v>9896</v>
      </c>
      <c r="D3077" t="s">
        <v>9897</v>
      </c>
      <c r="E3077" t="s">
        <v>9898</v>
      </c>
      <c r="F3077" t="s">
        <v>45</v>
      </c>
      <c r="G3077" t="str">
        <f>HYPERLINK("http://wikipediajapan.org/index.php?title=Clip_In_Extensions_3579&amp;diff=6117270&amp;oldid=0")</f>
        <v>http://wikipediajapan.org/index.php?title=Clip_In_Extensions_3579&amp;diff=6117270&amp;oldid=0</v>
      </c>
      <c r="H3077" t="s">
        <v>46</v>
      </c>
      <c r="I3077" t="s">
        <v>9899</v>
      </c>
      <c r="J3077" t="str">
        <f>HYPERLINK("http://wikipediajapan.org/index.php?title=Clip_In_Extensions_3579&amp;diff=6117270&amp;oldid=0")</f>
        <v>http://wikipediajapan.org/index.php?title=Clip_In_Extensions_3579&amp;diff=6117270&amp;oldid=0</v>
      </c>
      <c r="N3077" t="s">
        <v>9900</v>
      </c>
      <c r="R3077" t="s">
        <v>50</v>
      </c>
      <c r="S3077" t="s">
        <v>8494</v>
      </c>
      <c r="AM3077" t="s">
        <v>52</v>
      </c>
      <c r="AN3077" t="s">
        <v>53</v>
      </c>
    </row>
    <row r="3078" spans="1:40">
      <c r="A3078" t="s">
        <v>8081</v>
      </c>
      <c r="B3078" t="s">
        <v>9901</v>
      </c>
      <c r="C3078" t="s">
        <v>9891</v>
      </c>
      <c r="D3078" t="s">
        <v>52</v>
      </c>
      <c r="E3078" t="s">
        <v>9902</v>
      </c>
      <c r="F3078" t="s">
        <v>45</v>
      </c>
      <c r="G3078" t="str">
        <f>HYPERLINK("https://twitter.com/965344454453420033/status/1142905654014877696")</f>
        <v>https://twitter.com/965344454453420033/status/1142905654014877696</v>
      </c>
      <c r="H3078" t="s">
        <v>46</v>
      </c>
      <c r="I3078" t="s">
        <v>9903</v>
      </c>
      <c r="J3078" t="str">
        <f>HYPERLINK("http://twitter.com/babyscynical")</f>
        <v>http://twitter.com/babyscynical</v>
      </c>
      <c r="K3078">
        <v>296</v>
      </c>
      <c r="L3078" t="s">
        <v>58</v>
      </c>
      <c r="N3078" t="s">
        <v>65</v>
      </c>
      <c r="R3078" t="s">
        <v>60</v>
      </c>
      <c r="S3078" t="s">
        <v>97</v>
      </c>
      <c r="T3078" t="s">
        <v>177</v>
      </c>
      <c r="U3078" t="s">
        <v>361</v>
      </c>
      <c r="W3078">
        <v>1</v>
      </c>
      <c r="X3078">
        <v>1</v>
      </c>
      <c r="AE3078">
        <v>0</v>
      </c>
      <c r="AF3078">
        <v>0</v>
      </c>
      <c r="AM3078" t="s">
        <v>52</v>
      </c>
      <c r="AN3078" t="s">
        <v>53</v>
      </c>
    </row>
    <row r="3079" spans="1:40">
      <c r="A3079" t="s">
        <v>8081</v>
      </c>
      <c r="B3079" t="s">
        <v>9901</v>
      </c>
      <c r="C3079" t="s">
        <v>9878</v>
      </c>
      <c r="D3079" t="s">
        <v>52</v>
      </c>
      <c r="E3079" t="s">
        <v>1194</v>
      </c>
      <c r="F3079" t="s">
        <v>131</v>
      </c>
      <c r="G3079" t="str">
        <f>HYPERLINK("https://twitter.com/3534258681/status/1142905633898926082")</f>
        <v>https://twitter.com/3534258681/status/1142905633898926082</v>
      </c>
      <c r="H3079" t="s">
        <v>46</v>
      </c>
      <c r="I3079" t="s">
        <v>9904</v>
      </c>
      <c r="J3079" t="str">
        <f>HYPERLINK("http://twitter.com/elputomonty")</f>
        <v>http://twitter.com/elputomonty</v>
      </c>
      <c r="K3079">
        <v>153</v>
      </c>
      <c r="L3079" t="s">
        <v>48</v>
      </c>
      <c r="N3079" t="s">
        <v>65</v>
      </c>
      <c r="R3079" t="s">
        <v>60</v>
      </c>
      <c r="W3079">
        <v>0</v>
      </c>
      <c r="X3079">
        <v>0</v>
      </c>
      <c r="AE3079">
        <v>0</v>
      </c>
      <c r="AI3079" t="s">
        <v>52</v>
      </c>
      <c r="AJ3079" t="s">
        <v>1196</v>
      </c>
      <c r="AK3079" t="s">
        <v>52</v>
      </c>
      <c r="AL3079" t="str">
        <f>HYPERLINK("https://pbs.twimg.com/media/D9xgk2YXkAAd2ql.jpg")</f>
        <v>https://pbs.twimg.com/media/D9xgk2YXkAAd2ql.jpg</v>
      </c>
      <c r="AM3079" t="s">
        <v>52</v>
      </c>
      <c r="AN3079" t="s">
        <v>53</v>
      </c>
    </row>
    <row r="3080" spans="1:40">
      <c r="A3080" t="s">
        <v>8081</v>
      </c>
      <c r="B3080" t="s">
        <v>9901</v>
      </c>
      <c r="C3080" t="s">
        <v>9878</v>
      </c>
      <c r="D3080" t="s">
        <v>52</v>
      </c>
      <c r="E3080" t="s">
        <v>1194</v>
      </c>
      <c r="F3080" t="s">
        <v>131</v>
      </c>
      <c r="G3080" t="str">
        <f>HYPERLINK("https://twitter.com/1112575646218285056/status/1142905626902900741")</f>
        <v>https://twitter.com/1112575646218285056/status/1142905626902900741</v>
      </c>
      <c r="H3080" t="s">
        <v>46</v>
      </c>
      <c r="I3080" t="s">
        <v>9905</v>
      </c>
      <c r="J3080" t="str">
        <f>HYPERLINK("http://twitter.com/chromnomolus")</f>
        <v>http://twitter.com/chromnomolus</v>
      </c>
      <c r="K3080">
        <v>73</v>
      </c>
      <c r="N3080" t="s">
        <v>65</v>
      </c>
      <c r="R3080" t="s">
        <v>60</v>
      </c>
      <c r="S3080" t="s">
        <v>387</v>
      </c>
      <c r="T3080" t="s">
        <v>388</v>
      </c>
      <c r="U3080" t="s">
        <v>3352</v>
      </c>
      <c r="W3080">
        <v>0</v>
      </c>
      <c r="X3080">
        <v>0</v>
      </c>
      <c r="AE3080">
        <v>0</v>
      </c>
      <c r="AI3080" t="s">
        <v>52</v>
      </c>
      <c r="AJ3080" t="s">
        <v>1196</v>
      </c>
      <c r="AK3080" t="s">
        <v>52</v>
      </c>
      <c r="AL3080" t="str">
        <f>HYPERLINK("https://pbs.twimg.com/media/D9xgk2YXkAAd2ql.jpg")</f>
        <v>https://pbs.twimg.com/media/D9xgk2YXkAAd2ql.jpg</v>
      </c>
      <c r="AM3080" t="s">
        <v>52</v>
      </c>
      <c r="AN3080" t="s">
        <v>53</v>
      </c>
    </row>
    <row r="3081" spans="1:40">
      <c r="A3081" t="s">
        <v>8081</v>
      </c>
      <c r="B3081" t="s">
        <v>9901</v>
      </c>
      <c r="C3081" t="s">
        <v>9878</v>
      </c>
      <c r="D3081" t="s">
        <v>52</v>
      </c>
      <c r="E3081" t="s">
        <v>1194</v>
      </c>
      <c r="F3081" t="s">
        <v>131</v>
      </c>
      <c r="G3081" t="str">
        <f>HYPERLINK("https://twitter.com/2869599455/status/1142905624998625280")</f>
        <v>https://twitter.com/2869599455/status/1142905624998625280</v>
      </c>
      <c r="H3081" t="s">
        <v>46</v>
      </c>
      <c r="I3081" t="s">
        <v>9906</v>
      </c>
      <c r="J3081" t="str">
        <f>HYPERLINK("http://twitter.com/Wikidabeaciones")</f>
        <v>http://twitter.com/Wikidabeaciones</v>
      </c>
      <c r="K3081">
        <v>379</v>
      </c>
      <c r="N3081" t="s">
        <v>65</v>
      </c>
      <c r="R3081" t="s">
        <v>60</v>
      </c>
      <c r="S3081" t="s">
        <v>142</v>
      </c>
      <c r="T3081" t="s">
        <v>6782</v>
      </c>
      <c r="U3081" t="s">
        <v>9907</v>
      </c>
      <c r="W3081">
        <v>0</v>
      </c>
      <c r="X3081">
        <v>0</v>
      </c>
      <c r="AE3081">
        <v>0</v>
      </c>
      <c r="AI3081" t="s">
        <v>52</v>
      </c>
      <c r="AJ3081" t="s">
        <v>1196</v>
      </c>
      <c r="AK3081" t="s">
        <v>52</v>
      </c>
      <c r="AL3081" t="str">
        <f>HYPERLINK("https://pbs.twimg.com/media/D9xgk2YXkAAd2ql.jpg")</f>
        <v>https://pbs.twimg.com/media/D9xgk2YXkAAd2ql.jpg</v>
      </c>
      <c r="AM3081" t="s">
        <v>52</v>
      </c>
      <c r="AN3081" t="s">
        <v>53</v>
      </c>
    </row>
    <row r="3082" spans="1:40">
      <c r="A3082" t="s">
        <v>8081</v>
      </c>
      <c r="B3082" t="s">
        <v>9901</v>
      </c>
      <c r="C3082" t="s">
        <v>9908</v>
      </c>
      <c r="D3082" t="s">
        <v>52</v>
      </c>
      <c r="E3082" t="s">
        <v>9909</v>
      </c>
      <c r="F3082" t="s">
        <v>131</v>
      </c>
      <c r="G3082" t="str">
        <f>HYPERLINK("https://twitter.com/1124452805442506754/status/1142905615158632448")</f>
        <v>https://twitter.com/1124452805442506754/status/1142905615158632448</v>
      </c>
      <c r="H3082" t="s">
        <v>46</v>
      </c>
      <c r="I3082" t="s">
        <v>9910</v>
      </c>
      <c r="J3082" t="str">
        <f>HYPERLINK("http://twitter.com/AnneBondoni")</f>
        <v>http://twitter.com/AnneBondoni</v>
      </c>
      <c r="K3082">
        <v>103</v>
      </c>
      <c r="L3082" t="s">
        <v>58</v>
      </c>
      <c r="N3082" t="s">
        <v>65</v>
      </c>
      <c r="R3082" t="s">
        <v>60</v>
      </c>
      <c r="W3082">
        <v>0</v>
      </c>
      <c r="X3082">
        <v>0</v>
      </c>
      <c r="AE3082">
        <v>0</v>
      </c>
      <c r="AM3082" t="s">
        <v>52</v>
      </c>
      <c r="AN3082" t="s">
        <v>53</v>
      </c>
    </row>
    <row r="3083" spans="1:40">
      <c r="A3083" t="s">
        <v>8081</v>
      </c>
      <c r="B3083" t="s">
        <v>9901</v>
      </c>
      <c r="C3083" t="s">
        <v>9911</v>
      </c>
      <c r="D3083" t="s">
        <v>52</v>
      </c>
      <c r="E3083" t="s">
        <v>3749</v>
      </c>
      <c r="F3083" t="s">
        <v>71</v>
      </c>
      <c r="G3083" t="str">
        <f>HYPERLINK("https://twitter.com/76011756/status/1142905578152484865")</f>
        <v>https://twitter.com/76011756/status/1142905578152484865</v>
      </c>
      <c r="H3083" t="s">
        <v>46</v>
      </c>
      <c r="I3083" t="s">
        <v>9912</v>
      </c>
      <c r="J3083" t="str">
        <f>HYPERLINK("http://twitter.com/JackDevero")</f>
        <v>http://twitter.com/JackDevero</v>
      </c>
      <c r="K3083">
        <v>40753</v>
      </c>
      <c r="N3083" t="s">
        <v>65</v>
      </c>
      <c r="R3083" t="s">
        <v>60</v>
      </c>
      <c r="S3083" t="s">
        <v>1071</v>
      </c>
      <c r="T3083" t="s">
        <v>1072</v>
      </c>
      <c r="U3083" t="s">
        <v>7388</v>
      </c>
      <c r="W3083">
        <v>0</v>
      </c>
      <c r="X3083">
        <v>0</v>
      </c>
      <c r="AE3083">
        <v>0</v>
      </c>
      <c r="AF3083">
        <v>0</v>
      </c>
      <c r="AI3083" t="s">
        <v>108</v>
      </c>
      <c r="AJ3083" t="s">
        <v>52</v>
      </c>
      <c r="AK3083" t="s">
        <v>52</v>
      </c>
      <c r="AL3083" t="str">
        <f>HYPERLINK("https://pbs.twimg.com/media/D9sAXHUX4AA6vJs.jpg")</f>
        <v>https://pbs.twimg.com/media/D9sAXHUX4AA6vJs.jpg</v>
      </c>
      <c r="AM3083" t="s">
        <v>52</v>
      </c>
      <c r="AN3083" t="s">
        <v>53</v>
      </c>
    </row>
    <row r="3084" spans="1:40">
      <c r="A3084" t="s">
        <v>8081</v>
      </c>
      <c r="B3084" t="s">
        <v>9901</v>
      </c>
      <c r="C3084" t="s">
        <v>9913</v>
      </c>
      <c r="D3084" t="s">
        <v>52</v>
      </c>
      <c r="E3084" t="s">
        <v>9914</v>
      </c>
      <c r="F3084" t="s">
        <v>45</v>
      </c>
      <c r="G3084" t="str">
        <f>HYPERLINK("https://twitter.com/1142674194422853633/status/1142905534623801344")</f>
        <v>https://twitter.com/1142674194422853633/status/1142905534623801344</v>
      </c>
      <c r="H3084" t="s">
        <v>46</v>
      </c>
      <c r="I3084" t="s">
        <v>9915</v>
      </c>
      <c r="J3084" t="str">
        <f>HYPERLINK("http://twitter.com/SaladBitch2")</f>
        <v>http://twitter.com/SaladBitch2</v>
      </c>
      <c r="K3084">
        <v>0</v>
      </c>
      <c r="N3084" t="s">
        <v>65</v>
      </c>
      <c r="R3084" t="s">
        <v>60</v>
      </c>
      <c r="W3084">
        <v>2</v>
      </c>
      <c r="X3084">
        <v>2</v>
      </c>
      <c r="AE3084">
        <v>0</v>
      </c>
      <c r="AF3084">
        <v>0</v>
      </c>
      <c r="AM3084" t="s">
        <v>52</v>
      </c>
      <c r="AN3084" t="s">
        <v>53</v>
      </c>
    </row>
    <row r="3085" spans="1:40">
      <c r="A3085" t="s">
        <v>8081</v>
      </c>
      <c r="B3085" t="s">
        <v>9901</v>
      </c>
      <c r="C3085" t="s">
        <v>9913</v>
      </c>
      <c r="D3085" t="s">
        <v>52</v>
      </c>
      <c r="E3085" t="s">
        <v>9916</v>
      </c>
      <c r="F3085" t="s">
        <v>71</v>
      </c>
      <c r="G3085" t="str">
        <f>HYPERLINK("https://twitter.com/36584375/status/1142905522120744960")</f>
        <v>https://twitter.com/36584375/status/1142905522120744960</v>
      </c>
      <c r="H3085" t="s">
        <v>215</v>
      </c>
      <c r="I3085" t="s">
        <v>9917</v>
      </c>
      <c r="J3085" t="str">
        <f>HYPERLINK("http://twitter.com/layaXIIXII")</f>
        <v>http://twitter.com/layaXIIXII</v>
      </c>
      <c r="K3085">
        <v>1139</v>
      </c>
      <c r="N3085" t="s">
        <v>65</v>
      </c>
      <c r="R3085" t="s">
        <v>60</v>
      </c>
      <c r="S3085" t="s">
        <v>1530</v>
      </c>
      <c r="T3085" t="s">
        <v>9918</v>
      </c>
      <c r="U3085" t="s">
        <v>9919</v>
      </c>
      <c r="W3085">
        <v>0</v>
      </c>
      <c r="X3085">
        <v>0</v>
      </c>
      <c r="AE3085">
        <v>0</v>
      </c>
      <c r="AF3085">
        <v>0</v>
      </c>
      <c r="AM3085" t="s">
        <v>52</v>
      </c>
      <c r="AN3085" t="s">
        <v>53</v>
      </c>
    </row>
    <row r="3086" spans="1:40">
      <c r="A3086" t="s">
        <v>8081</v>
      </c>
      <c r="B3086" t="s">
        <v>9901</v>
      </c>
      <c r="C3086" t="s">
        <v>9913</v>
      </c>
      <c r="D3086" t="s">
        <v>52</v>
      </c>
      <c r="E3086" t="s">
        <v>9920</v>
      </c>
      <c r="F3086" t="s">
        <v>45</v>
      </c>
      <c r="G3086" t="str">
        <f>HYPERLINK("https://twitter.com/242152332/status/1142905521441296384")</f>
        <v>https://twitter.com/242152332/status/1142905521441296384</v>
      </c>
      <c r="H3086" t="s">
        <v>46</v>
      </c>
      <c r="I3086" t="s">
        <v>9921</v>
      </c>
      <c r="J3086" t="str">
        <f>HYPERLINK("http://twitter.com/IamMadi_SON")</f>
        <v>http://twitter.com/IamMadi_SON</v>
      </c>
      <c r="K3086">
        <v>260</v>
      </c>
      <c r="N3086" t="s">
        <v>65</v>
      </c>
      <c r="R3086" t="s">
        <v>60</v>
      </c>
      <c r="S3086" t="s">
        <v>51</v>
      </c>
      <c r="T3086" t="s">
        <v>380</v>
      </c>
      <c r="U3086" t="s">
        <v>380</v>
      </c>
      <c r="W3086">
        <v>3</v>
      </c>
      <c r="X3086">
        <v>3</v>
      </c>
      <c r="AE3086">
        <v>0</v>
      </c>
      <c r="AF3086">
        <v>0</v>
      </c>
      <c r="AM3086" t="s">
        <v>52</v>
      </c>
      <c r="AN3086" t="s">
        <v>53</v>
      </c>
    </row>
    <row r="3087" spans="1:40">
      <c r="A3087" t="s">
        <v>8081</v>
      </c>
      <c r="B3087" t="s">
        <v>9901</v>
      </c>
      <c r="C3087" t="s">
        <v>9922</v>
      </c>
      <c r="D3087" t="s">
        <v>52</v>
      </c>
      <c r="E3087" t="s">
        <v>9327</v>
      </c>
      <c r="F3087" t="s">
        <v>95</v>
      </c>
      <c r="G3087" t="str">
        <f>HYPERLINK("https://twitter.com/1134158355935588354/status/1142905473072451584")</f>
        <v>https://twitter.com/1134158355935588354/status/1142905473072451584</v>
      </c>
      <c r="H3087" t="s">
        <v>46</v>
      </c>
      <c r="I3087" t="s">
        <v>9923</v>
      </c>
      <c r="J3087" t="str">
        <f>HYPERLINK("http://twitter.com/Megatron1974841")</f>
        <v>http://twitter.com/Megatron1974841</v>
      </c>
      <c r="K3087">
        <v>63</v>
      </c>
      <c r="N3087" t="s">
        <v>65</v>
      </c>
      <c r="R3087" t="s">
        <v>60</v>
      </c>
      <c r="S3087" t="s">
        <v>51</v>
      </c>
      <c r="T3087" t="s">
        <v>2420</v>
      </c>
      <c r="U3087" t="s">
        <v>2421</v>
      </c>
      <c r="W3087">
        <v>0</v>
      </c>
      <c r="X3087">
        <v>0</v>
      </c>
      <c r="AE3087">
        <v>0</v>
      </c>
      <c r="AF3087">
        <v>0</v>
      </c>
      <c r="AM3087" t="s">
        <v>52</v>
      </c>
      <c r="AN3087" t="s">
        <v>53</v>
      </c>
    </row>
    <row r="3088" spans="1:40">
      <c r="A3088" t="s">
        <v>8081</v>
      </c>
      <c r="B3088" t="s">
        <v>9901</v>
      </c>
      <c r="C3088" t="s">
        <v>9924</v>
      </c>
      <c r="D3088" t="s">
        <v>52</v>
      </c>
      <c r="E3088" t="s">
        <v>9925</v>
      </c>
      <c r="F3088" t="s">
        <v>131</v>
      </c>
      <c r="G3088" t="str">
        <f>HYPERLINK("https://twitter.com/1173342804/status/1142905469914234885")</f>
        <v>https://twitter.com/1173342804/status/1142905469914234885</v>
      </c>
      <c r="H3088" t="s">
        <v>46</v>
      </c>
      <c r="I3088" t="s">
        <v>9926</v>
      </c>
      <c r="J3088" t="str">
        <f>HYPERLINK("http://twitter.com/pey10rae")</f>
        <v>http://twitter.com/pey10rae</v>
      </c>
      <c r="K3088">
        <v>1521</v>
      </c>
      <c r="N3088" t="s">
        <v>65</v>
      </c>
      <c r="R3088" t="s">
        <v>60</v>
      </c>
      <c r="W3088">
        <v>0</v>
      </c>
      <c r="X3088">
        <v>0</v>
      </c>
      <c r="AE3088">
        <v>0</v>
      </c>
      <c r="AM3088" t="s">
        <v>52</v>
      </c>
      <c r="AN3088" t="s">
        <v>53</v>
      </c>
    </row>
    <row r="3089" spans="1:40">
      <c r="A3089" t="s">
        <v>8081</v>
      </c>
      <c r="B3089" t="s">
        <v>9901</v>
      </c>
      <c r="C3089" t="s">
        <v>9924</v>
      </c>
      <c r="D3089" t="s">
        <v>52</v>
      </c>
      <c r="E3089" t="s">
        <v>8551</v>
      </c>
      <c r="F3089" t="s">
        <v>71</v>
      </c>
      <c r="G3089" t="str">
        <f>HYPERLINK("https://twitter.com/554324552/status/1142905456555384832")</f>
        <v>https://twitter.com/554324552/status/1142905456555384832</v>
      </c>
      <c r="H3089" t="s">
        <v>46</v>
      </c>
      <c r="I3089" t="s">
        <v>9927</v>
      </c>
      <c r="J3089" t="str">
        <f>HYPERLINK("http://twitter.com/Tendai_zw")</f>
        <v>http://twitter.com/Tendai_zw</v>
      </c>
      <c r="K3089">
        <v>14436</v>
      </c>
      <c r="N3089" t="s">
        <v>65</v>
      </c>
      <c r="R3089" t="s">
        <v>60</v>
      </c>
      <c r="W3089">
        <v>0</v>
      </c>
      <c r="X3089">
        <v>0</v>
      </c>
      <c r="AE3089">
        <v>0</v>
      </c>
      <c r="AF3089">
        <v>0</v>
      </c>
      <c r="AI3089" t="s">
        <v>108</v>
      </c>
      <c r="AJ3089" t="s">
        <v>52</v>
      </c>
      <c r="AK3089" t="s">
        <v>52</v>
      </c>
      <c r="AL3089" t="str">
        <f>HYPERLINK("https://pbs.twimg.com/media/D9sAXHUX4AA6vJs.jpg")</f>
        <v>https://pbs.twimg.com/media/D9sAXHUX4AA6vJs.jpg</v>
      </c>
      <c r="AM3089" t="s">
        <v>52</v>
      </c>
      <c r="AN3089" t="s">
        <v>53</v>
      </c>
    </row>
    <row r="3090" spans="1:40">
      <c r="A3090" t="s">
        <v>8081</v>
      </c>
      <c r="B3090" t="s">
        <v>9901</v>
      </c>
      <c r="C3090" t="s">
        <v>6896</v>
      </c>
      <c r="D3090" t="s">
        <v>9928</v>
      </c>
      <c r="E3090" t="s">
        <v>9929</v>
      </c>
      <c r="F3090" t="s">
        <v>45</v>
      </c>
      <c r="G3090" t="str">
        <f>HYPERLINK("https://apkhook.com/doritos-facts.html")</f>
        <v>https://apkhook.com/doritos-facts.html</v>
      </c>
      <c r="H3090" t="s">
        <v>46</v>
      </c>
      <c r="N3090" t="s">
        <v>1633</v>
      </c>
      <c r="R3090" t="s">
        <v>50</v>
      </c>
      <c r="S3090" t="s">
        <v>51</v>
      </c>
      <c r="AM3090" t="s">
        <v>52</v>
      </c>
      <c r="AN3090" t="s">
        <v>53</v>
      </c>
    </row>
    <row r="3091" spans="1:40">
      <c r="A3091" t="s">
        <v>8081</v>
      </c>
      <c r="B3091" t="s">
        <v>4287</v>
      </c>
      <c r="C3091" t="s">
        <v>9930</v>
      </c>
      <c r="D3091" t="s">
        <v>52</v>
      </c>
      <c r="E3091" t="s">
        <v>5927</v>
      </c>
      <c r="F3091" t="s">
        <v>131</v>
      </c>
      <c r="G3091" t="str">
        <f>HYPERLINK("https://twitter.com/2373186800/status/1142905415669145600")</f>
        <v>https://twitter.com/2373186800/status/1142905415669145600</v>
      </c>
      <c r="H3091" t="s">
        <v>46</v>
      </c>
      <c r="I3091" t="s">
        <v>9931</v>
      </c>
      <c r="J3091" t="str">
        <f>HYPERLINK("http://twitter.com/cheesydepp")</f>
        <v>http://twitter.com/cheesydepp</v>
      </c>
      <c r="K3091">
        <v>65</v>
      </c>
      <c r="N3091" t="s">
        <v>65</v>
      </c>
      <c r="R3091" t="s">
        <v>60</v>
      </c>
      <c r="W3091">
        <v>0</v>
      </c>
      <c r="X3091">
        <v>0</v>
      </c>
      <c r="AE3091">
        <v>0</v>
      </c>
      <c r="AM3091" t="s">
        <v>52</v>
      </c>
      <c r="AN3091" t="s">
        <v>53</v>
      </c>
    </row>
    <row r="3092" spans="1:40">
      <c r="A3092" t="s">
        <v>8081</v>
      </c>
      <c r="B3092" t="s">
        <v>4301</v>
      </c>
      <c r="C3092" t="s">
        <v>9878</v>
      </c>
      <c r="D3092" t="s">
        <v>52</v>
      </c>
      <c r="E3092" t="s">
        <v>9932</v>
      </c>
      <c r="F3092" t="s">
        <v>45</v>
      </c>
      <c r="G3092" t="str">
        <f>HYPERLINK("https://twitter.com/201773268/status/1142905144561922048")</f>
        <v>https://twitter.com/201773268/status/1142905144561922048</v>
      </c>
      <c r="H3092" t="s">
        <v>46</v>
      </c>
      <c r="I3092" t="s">
        <v>9933</v>
      </c>
      <c r="J3092" t="str">
        <f>HYPERLINK("http://twitter.com/affxion")</f>
        <v>http://twitter.com/affxion</v>
      </c>
      <c r="K3092">
        <v>219</v>
      </c>
      <c r="N3092" t="s">
        <v>65</v>
      </c>
      <c r="R3092" t="s">
        <v>60</v>
      </c>
      <c r="S3092" t="s">
        <v>1350</v>
      </c>
      <c r="T3092" t="s">
        <v>4616</v>
      </c>
      <c r="U3092" t="s">
        <v>4617</v>
      </c>
      <c r="W3092">
        <v>9</v>
      </c>
      <c r="X3092">
        <v>9</v>
      </c>
      <c r="AE3092">
        <v>1</v>
      </c>
      <c r="AF3092">
        <v>0</v>
      </c>
      <c r="AM3092" t="s">
        <v>52</v>
      </c>
      <c r="AN3092" t="s">
        <v>53</v>
      </c>
    </row>
    <row r="3093" spans="1:40">
      <c r="A3093" t="s">
        <v>8081</v>
      </c>
      <c r="B3093" t="s">
        <v>9934</v>
      </c>
      <c r="C3093" t="s">
        <v>9886</v>
      </c>
      <c r="D3093" t="s">
        <v>52</v>
      </c>
      <c r="E3093" t="s">
        <v>9935</v>
      </c>
      <c r="F3093" t="s">
        <v>45</v>
      </c>
      <c r="G3093" t="str">
        <f>HYPERLINK("https://www.instagram.com/p/BzES1pJniBH")</f>
        <v>https://www.instagram.com/p/BzES1pJniBH</v>
      </c>
      <c r="H3093" t="s">
        <v>46</v>
      </c>
      <c r="I3093" t="s">
        <v>9936</v>
      </c>
      <c r="J3093" t="str">
        <f>HYPERLINK("http://instagram.com/awkward_autumn_")</f>
        <v>http://instagram.com/awkward_autumn_</v>
      </c>
      <c r="K3093">
        <v>1824</v>
      </c>
      <c r="N3093" t="s">
        <v>59</v>
      </c>
      <c r="O3093" t="s">
        <v>9936</v>
      </c>
      <c r="P3093" t="str">
        <f>HYPERLINK("http://instagram.com/awkward_autumn_")</f>
        <v>http://instagram.com/awkward_autumn_</v>
      </c>
      <c r="Q3093">
        <v>1824</v>
      </c>
      <c r="R3093" t="s">
        <v>60</v>
      </c>
      <c r="W3093">
        <v>109</v>
      </c>
      <c r="X3093">
        <v>109</v>
      </c>
      <c r="AE3093">
        <v>1</v>
      </c>
      <c r="AI3093" t="s">
        <v>108</v>
      </c>
      <c r="AJ3093" t="s">
        <v>3626</v>
      </c>
      <c r="AK3093" t="s">
        <v>52</v>
      </c>
      <c r="AL3093" t="str">
        <f>HYPERLINK("https://www.instagram.com/p/BzES1pJniBH/media/?size=l")</f>
        <v>https://www.instagram.com/p/BzES1pJniBH/media/?size=l</v>
      </c>
      <c r="AM3093" t="s">
        <v>52</v>
      </c>
      <c r="AN3093" t="s">
        <v>53</v>
      </c>
    </row>
    <row r="3094" spans="1:40">
      <c r="A3094" t="s">
        <v>8081</v>
      </c>
      <c r="B3094" t="s">
        <v>9934</v>
      </c>
      <c r="C3094" t="s">
        <v>9937</v>
      </c>
      <c r="D3094" t="s">
        <v>52</v>
      </c>
      <c r="E3094" t="s">
        <v>9938</v>
      </c>
      <c r="F3094" t="s">
        <v>131</v>
      </c>
      <c r="G3094" t="str">
        <f>HYPERLINK("https://twitter.com/1041423055162167297/status/1142904713786134529")</f>
        <v>https://twitter.com/1041423055162167297/status/1142904713786134529</v>
      </c>
      <c r="H3094" t="s">
        <v>46</v>
      </c>
      <c r="I3094" t="s">
        <v>9939</v>
      </c>
      <c r="J3094" t="str">
        <f>HYPERLINK("http://twitter.com/Ga2_5mith")</f>
        <v>http://twitter.com/Ga2_5mith</v>
      </c>
      <c r="K3094">
        <v>43</v>
      </c>
      <c r="L3094" t="s">
        <v>48</v>
      </c>
      <c r="N3094" t="s">
        <v>65</v>
      </c>
      <c r="R3094" t="s">
        <v>60</v>
      </c>
      <c r="W3094">
        <v>0</v>
      </c>
      <c r="X3094">
        <v>0</v>
      </c>
      <c r="AE3094">
        <v>0</v>
      </c>
      <c r="AM3094" t="s">
        <v>52</v>
      </c>
      <c r="AN3094" t="s">
        <v>53</v>
      </c>
    </row>
    <row r="3095" spans="1:40">
      <c r="A3095" t="s">
        <v>8081</v>
      </c>
      <c r="B3095" t="s">
        <v>4307</v>
      </c>
      <c r="C3095" t="s">
        <v>9940</v>
      </c>
      <c r="D3095" t="s">
        <v>52</v>
      </c>
      <c r="E3095" t="s">
        <v>9941</v>
      </c>
      <c r="F3095" t="s">
        <v>71</v>
      </c>
      <c r="G3095" t="str">
        <f>HYPERLINK("https://twitter.com/1332235867/status/1142904412530184192")</f>
        <v>https://twitter.com/1332235867/status/1142904412530184192</v>
      </c>
      <c r="H3095" t="s">
        <v>46</v>
      </c>
      <c r="I3095" t="s">
        <v>9942</v>
      </c>
      <c r="J3095" t="str">
        <f>HYPERLINK("http://twitter.com/nate0209")</f>
        <v>http://twitter.com/nate0209</v>
      </c>
      <c r="K3095">
        <v>387</v>
      </c>
      <c r="N3095" t="s">
        <v>65</v>
      </c>
      <c r="R3095" t="s">
        <v>60</v>
      </c>
      <c r="W3095">
        <v>1</v>
      </c>
      <c r="X3095">
        <v>1</v>
      </c>
      <c r="AE3095">
        <v>0</v>
      </c>
      <c r="AF3095">
        <v>0</v>
      </c>
      <c r="AI3095" t="s">
        <v>108</v>
      </c>
      <c r="AJ3095" t="s">
        <v>52</v>
      </c>
      <c r="AK3095" t="s">
        <v>52</v>
      </c>
      <c r="AL3095" t="str">
        <f>HYPERLINK("https://pbs.twimg.com/tweet_video_thumb/D9hvNNzXUAATAS3.jpg")</f>
        <v>https://pbs.twimg.com/tweet_video_thumb/D9hvNNzXUAATAS3.jpg</v>
      </c>
      <c r="AM3095" t="s">
        <v>52</v>
      </c>
      <c r="AN3095" t="s">
        <v>53</v>
      </c>
    </row>
    <row r="3096" spans="1:40">
      <c r="A3096" t="s">
        <v>8081</v>
      </c>
      <c r="B3096" t="s">
        <v>4319</v>
      </c>
      <c r="C3096" t="s">
        <v>9943</v>
      </c>
      <c r="D3096" t="s">
        <v>52</v>
      </c>
      <c r="E3096" t="s">
        <v>9944</v>
      </c>
      <c r="F3096" t="s">
        <v>131</v>
      </c>
      <c r="G3096" t="str">
        <f>HYPERLINK("https://twitter.com/287938457/status/1142904262021828609")</f>
        <v>https://twitter.com/287938457/status/1142904262021828609</v>
      </c>
      <c r="H3096" t="s">
        <v>46</v>
      </c>
      <c r="I3096" t="s">
        <v>9945</v>
      </c>
      <c r="J3096" t="str">
        <f>HYPERLINK("http://twitter.com/317slim")</f>
        <v>http://twitter.com/317slim</v>
      </c>
      <c r="K3096">
        <v>9702</v>
      </c>
      <c r="N3096" t="s">
        <v>65</v>
      </c>
      <c r="R3096" t="s">
        <v>60</v>
      </c>
      <c r="W3096">
        <v>0</v>
      </c>
      <c r="X3096">
        <v>0</v>
      </c>
      <c r="AE3096">
        <v>0</v>
      </c>
      <c r="AI3096" t="s">
        <v>9946</v>
      </c>
      <c r="AJ3096" t="s">
        <v>52</v>
      </c>
      <c r="AK3096" t="s">
        <v>9947</v>
      </c>
      <c r="AL3096" t="str">
        <f>HYPERLINK("https://pbs.twimg.com/media/D9xn68GXsAAp368.jpg")</f>
        <v>https://pbs.twimg.com/media/D9xn68GXsAAp368.jpg</v>
      </c>
      <c r="AM3096" t="s">
        <v>52</v>
      </c>
      <c r="AN3096" t="s">
        <v>53</v>
      </c>
    </row>
    <row r="3097" spans="1:40">
      <c r="A3097" t="s">
        <v>8081</v>
      </c>
      <c r="B3097" t="s">
        <v>4323</v>
      </c>
      <c r="C3097" t="s">
        <v>9943</v>
      </c>
      <c r="D3097" t="s">
        <v>52</v>
      </c>
      <c r="E3097" t="s">
        <v>9948</v>
      </c>
      <c r="F3097" t="s">
        <v>95</v>
      </c>
      <c r="G3097" t="str">
        <f>HYPERLINK("https://twitter.com/3148455791/status/1142904148867911680")</f>
        <v>https://twitter.com/3148455791/status/1142904148867911680</v>
      </c>
      <c r="H3097" t="s">
        <v>46</v>
      </c>
      <c r="I3097" t="s">
        <v>9949</v>
      </c>
      <c r="J3097" t="str">
        <f>HYPERLINK("http://twitter.com/h_kenwrick")</f>
        <v>http://twitter.com/h_kenwrick</v>
      </c>
      <c r="K3097">
        <v>4</v>
      </c>
      <c r="L3097" t="s">
        <v>48</v>
      </c>
      <c r="N3097" t="s">
        <v>65</v>
      </c>
      <c r="R3097" t="s">
        <v>60</v>
      </c>
      <c r="W3097">
        <v>0</v>
      </c>
      <c r="X3097">
        <v>0</v>
      </c>
      <c r="AE3097">
        <v>0</v>
      </c>
      <c r="AF3097">
        <v>0</v>
      </c>
      <c r="AM3097" t="s">
        <v>52</v>
      </c>
      <c r="AN3097" t="s">
        <v>53</v>
      </c>
    </row>
    <row r="3098" spans="1:40">
      <c r="A3098" t="s">
        <v>8081</v>
      </c>
      <c r="B3098" t="s">
        <v>4327</v>
      </c>
      <c r="C3098" t="s">
        <v>9878</v>
      </c>
      <c r="D3098" t="s">
        <v>9950</v>
      </c>
      <c r="E3098" t="s">
        <v>9951</v>
      </c>
      <c r="F3098" t="s">
        <v>45</v>
      </c>
      <c r="G3098" t="str">
        <f>HYPERLINK("https://www.youtube.com/watch?v=HsAn545B-lE")</f>
        <v>https://www.youtube.com/watch?v=HsAn545B-lE</v>
      </c>
      <c r="H3098" t="s">
        <v>46</v>
      </c>
      <c r="I3098" t="s">
        <v>9952</v>
      </c>
      <c r="J3098" t="str">
        <f>HYPERLINK("https://www.youtube.com/channel/UCOnxDqmOYCdcYwzfYit4aUQ")</f>
        <v>https://www.youtube.com/channel/UCOnxDqmOYCdcYwzfYit4aUQ</v>
      </c>
      <c r="K3098">
        <v>26</v>
      </c>
      <c r="L3098" t="s">
        <v>48</v>
      </c>
      <c r="N3098" t="s">
        <v>116</v>
      </c>
      <c r="O3098" t="s">
        <v>9952</v>
      </c>
      <c r="P3098" t="str">
        <f>HYPERLINK("https://www.youtube.com/channel/UCOnxDqmOYCdcYwzfYit4aUQ")</f>
        <v>https://www.youtube.com/channel/UCOnxDqmOYCdcYwzfYit4aUQ</v>
      </c>
      <c r="Q3098">
        <v>26</v>
      </c>
      <c r="R3098" t="s">
        <v>60</v>
      </c>
      <c r="S3098" t="s">
        <v>51</v>
      </c>
      <c r="W3098">
        <v>0</v>
      </c>
      <c r="X3098">
        <v>0</v>
      </c>
      <c r="AD3098">
        <v>0</v>
      </c>
      <c r="AE3098">
        <v>0</v>
      </c>
      <c r="AG3098">
        <v>17</v>
      </c>
      <c r="AI3098" t="s">
        <v>52</v>
      </c>
      <c r="AJ3098" t="s">
        <v>52</v>
      </c>
      <c r="AK3098" t="s">
        <v>52</v>
      </c>
      <c r="AL3098" t="str">
        <f>HYPERLINK("https://i.ytimg.com/vi/HsAn545B-lE/maxresdefault.jpg")</f>
        <v>https://i.ytimg.com/vi/HsAn545B-lE/maxresdefault.jpg</v>
      </c>
      <c r="AM3098" t="s">
        <v>52</v>
      </c>
      <c r="AN3098" t="s">
        <v>53</v>
      </c>
    </row>
    <row r="3099" spans="1:40">
      <c r="A3099" t="s">
        <v>8081</v>
      </c>
      <c r="B3099" t="s">
        <v>4327</v>
      </c>
      <c r="C3099" t="s">
        <v>9924</v>
      </c>
      <c r="D3099" t="s">
        <v>52</v>
      </c>
      <c r="E3099" t="s">
        <v>130</v>
      </c>
      <c r="F3099" t="s">
        <v>131</v>
      </c>
      <c r="G3099" t="str">
        <f>HYPERLINK("https://twitter.com/1594604395/status/1142903688576585730")</f>
        <v>https://twitter.com/1594604395/status/1142903688576585730</v>
      </c>
      <c r="H3099" t="s">
        <v>46</v>
      </c>
      <c r="I3099" t="s">
        <v>9953</v>
      </c>
      <c r="J3099" t="str">
        <f>HYPERLINK("http://twitter.com/katy_bulcock")</f>
        <v>http://twitter.com/katy_bulcock</v>
      </c>
      <c r="K3099">
        <v>414</v>
      </c>
      <c r="L3099" t="s">
        <v>58</v>
      </c>
      <c r="N3099" t="s">
        <v>65</v>
      </c>
      <c r="R3099" t="s">
        <v>60</v>
      </c>
      <c r="W3099">
        <v>0</v>
      </c>
      <c r="X3099">
        <v>0</v>
      </c>
      <c r="AE3099">
        <v>0</v>
      </c>
      <c r="AI3099" t="s">
        <v>108</v>
      </c>
      <c r="AJ3099" t="s">
        <v>52</v>
      </c>
      <c r="AK3099" t="s">
        <v>52</v>
      </c>
      <c r="AL3099" t="str">
        <f>HYPERLINK("https://pbs.twimg.com/media/D9XTkLWW4AAOYnJ.jpg")</f>
        <v>https://pbs.twimg.com/media/D9XTkLWW4AAOYnJ.jpg</v>
      </c>
      <c r="AM3099" t="s">
        <v>52</v>
      </c>
      <c r="AN3099" t="s">
        <v>53</v>
      </c>
    </row>
    <row r="3100" spans="1:40">
      <c r="A3100" t="s">
        <v>8081</v>
      </c>
      <c r="B3100" t="s">
        <v>9954</v>
      </c>
      <c r="C3100" t="s">
        <v>9955</v>
      </c>
      <c r="D3100" t="s">
        <v>52</v>
      </c>
      <c r="E3100" t="s">
        <v>9956</v>
      </c>
      <c r="F3100" t="s">
        <v>45</v>
      </c>
      <c r="G3100" t="str">
        <f>HYPERLINK("https://www.instagram.com/p/BzERLiJH2D2")</f>
        <v>https://www.instagram.com/p/BzERLiJH2D2</v>
      </c>
      <c r="H3100" t="s">
        <v>46</v>
      </c>
      <c r="I3100" t="s">
        <v>9957</v>
      </c>
      <c r="J3100" t="str">
        <f>HYPERLINK("http://instagram.com/thereallistspammmm")</f>
        <v>http://instagram.com/thereallistspammmm</v>
      </c>
      <c r="K3100">
        <v>155</v>
      </c>
      <c r="N3100" t="s">
        <v>59</v>
      </c>
      <c r="O3100" t="s">
        <v>9957</v>
      </c>
      <c r="P3100" t="str">
        <f>HYPERLINK("http://instagram.com/thereallistspammmm")</f>
        <v>http://instagram.com/thereallistspammmm</v>
      </c>
      <c r="Q3100">
        <v>155</v>
      </c>
      <c r="R3100" t="s">
        <v>60</v>
      </c>
      <c r="S3100" t="s">
        <v>51</v>
      </c>
      <c r="T3100" t="s">
        <v>1669</v>
      </c>
      <c r="U3100" t="s">
        <v>9958</v>
      </c>
      <c r="W3100">
        <v>1</v>
      </c>
      <c r="X3100">
        <v>1</v>
      </c>
      <c r="AE3100">
        <v>0</v>
      </c>
      <c r="AG3100">
        <v>14</v>
      </c>
      <c r="AI3100" t="s">
        <v>108</v>
      </c>
      <c r="AJ3100" t="s">
        <v>942</v>
      </c>
      <c r="AK3100" t="s">
        <v>52</v>
      </c>
      <c r="AL3100" t="str">
        <f>HYPERLINK("https://www.instagram.com/p/BzERLiJH2D2/media/?size=l")</f>
        <v>https://www.instagram.com/p/BzERLiJH2D2/media/?size=l</v>
      </c>
      <c r="AM3100" t="s">
        <v>52</v>
      </c>
      <c r="AN3100" t="s">
        <v>53</v>
      </c>
    </row>
    <row r="3101" spans="1:40">
      <c r="A3101" t="s">
        <v>8081</v>
      </c>
      <c r="B3101" t="s">
        <v>9954</v>
      </c>
      <c r="C3101" t="s">
        <v>9922</v>
      </c>
      <c r="D3101" t="s">
        <v>52</v>
      </c>
      <c r="E3101" t="s">
        <v>9959</v>
      </c>
      <c r="F3101" t="s">
        <v>45</v>
      </c>
      <c r="G3101" t="str">
        <f>HYPERLINK("https://www.instagram.com/p/BzERBB1H8Eo")</f>
        <v>https://www.instagram.com/p/BzERBB1H8Eo</v>
      </c>
      <c r="H3101" t="s">
        <v>46</v>
      </c>
      <c r="I3101" t="s">
        <v>9960</v>
      </c>
      <c r="J3101" t="str">
        <f>HYPERLINK("http://instagram.com/irritatedzlp")</f>
        <v>http://instagram.com/irritatedzlp</v>
      </c>
      <c r="K3101">
        <v>578</v>
      </c>
      <c r="N3101" t="s">
        <v>59</v>
      </c>
      <c r="O3101" t="s">
        <v>9960</v>
      </c>
      <c r="P3101" t="str">
        <f>HYPERLINK("http://instagram.com/irritatedzlp")</f>
        <v>http://instagram.com/irritatedzlp</v>
      </c>
      <c r="Q3101">
        <v>578</v>
      </c>
      <c r="R3101" t="s">
        <v>60</v>
      </c>
      <c r="W3101">
        <v>50</v>
      </c>
      <c r="X3101">
        <v>50</v>
      </c>
      <c r="AE3101">
        <v>27</v>
      </c>
      <c r="AG3101">
        <v>100</v>
      </c>
      <c r="AI3101" t="s">
        <v>52</v>
      </c>
      <c r="AJ3101" t="s">
        <v>52</v>
      </c>
      <c r="AK3101" t="s">
        <v>52</v>
      </c>
      <c r="AL3101" t="str">
        <f>HYPERLINK("https://www.instagram.com/p/BzERBB1H8Eo/media/?size=l")</f>
        <v>https://www.instagram.com/p/BzERBB1H8Eo/media/?size=l</v>
      </c>
      <c r="AM3101" t="s">
        <v>52</v>
      </c>
      <c r="AN3101" t="s">
        <v>53</v>
      </c>
    </row>
    <row r="3102" spans="1:40">
      <c r="A3102" t="s">
        <v>8081</v>
      </c>
      <c r="B3102" t="s">
        <v>4336</v>
      </c>
      <c r="C3102" t="s">
        <v>9961</v>
      </c>
      <c r="D3102" t="s">
        <v>52</v>
      </c>
      <c r="E3102" t="s">
        <v>9938</v>
      </c>
      <c r="F3102" t="s">
        <v>45</v>
      </c>
      <c r="G3102" t="str">
        <f>HYPERLINK("https://twitter.com/1121376742793461760/status/1142903109741621249")</f>
        <v>https://twitter.com/1121376742793461760/status/1142903109741621249</v>
      </c>
      <c r="H3102" t="s">
        <v>46</v>
      </c>
      <c r="I3102" t="s">
        <v>9962</v>
      </c>
      <c r="J3102" t="str">
        <f>HYPERLINK("http://twitter.com/Snowden98Tom")</f>
        <v>http://twitter.com/Snowden98Tom</v>
      </c>
      <c r="K3102">
        <v>36</v>
      </c>
      <c r="N3102" t="s">
        <v>65</v>
      </c>
      <c r="R3102" t="s">
        <v>60</v>
      </c>
      <c r="W3102">
        <v>7</v>
      </c>
      <c r="X3102">
        <v>7</v>
      </c>
      <c r="AE3102">
        <v>0</v>
      </c>
      <c r="AF3102">
        <v>1</v>
      </c>
      <c r="AM3102" t="s">
        <v>52</v>
      </c>
      <c r="AN3102" t="s">
        <v>53</v>
      </c>
    </row>
    <row r="3103" spans="1:40">
      <c r="A3103" t="s">
        <v>8081</v>
      </c>
      <c r="B3103" t="s">
        <v>4336</v>
      </c>
      <c r="C3103" t="s">
        <v>9963</v>
      </c>
      <c r="D3103" t="s">
        <v>52</v>
      </c>
      <c r="E3103" t="s">
        <v>9964</v>
      </c>
      <c r="F3103" t="s">
        <v>71</v>
      </c>
      <c r="G3103" t="str">
        <f>HYPERLINK("https://twitter.com/1873567129/status/1142902962844504066")</f>
        <v>https://twitter.com/1873567129/status/1142902962844504066</v>
      </c>
      <c r="H3103" t="s">
        <v>46</v>
      </c>
      <c r="I3103" t="s">
        <v>9965</v>
      </c>
      <c r="J3103" t="str">
        <f>HYPERLINK("http://twitter.com/_aneesa21")</f>
        <v>http://twitter.com/_aneesa21</v>
      </c>
      <c r="K3103">
        <v>614</v>
      </c>
      <c r="N3103" t="s">
        <v>65</v>
      </c>
      <c r="R3103" t="s">
        <v>60</v>
      </c>
      <c r="W3103">
        <v>0</v>
      </c>
      <c r="X3103">
        <v>0</v>
      </c>
      <c r="AE3103">
        <v>0</v>
      </c>
      <c r="AF3103">
        <v>0</v>
      </c>
      <c r="AM3103" t="s">
        <v>52</v>
      </c>
      <c r="AN3103" t="s">
        <v>53</v>
      </c>
    </row>
    <row r="3104" spans="1:40">
      <c r="A3104" t="s">
        <v>8081</v>
      </c>
      <c r="B3104" t="s">
        <v>4340</v>
      </c>
      <c r="C3104" t="s">
        <v>9961</v>
      </c>
      <c r="D3104" t="s">
        <v>52</v>
      </c>
      <c r="E3104" t="s">
        <v>9966</v>
      </c>
      <c r="F3104" t="s">
        <v>45</v>
      </c>
      <c r="G3104" t="str">
        <f>HYPERLINK("https://www.instagram.com/p/BzER1Z2JjXQ")</f>
        <v>https://www.instagram.com/p/BzER1Z2JjXQ</v>
      </c>
      <c r="H3104" t="s">
        <v>46</v>
      </c>
      <c r="I3104" t="s">
        <v>9967</v>
      </c>
      <c r="J3104" t="str">
        <f>HYPERLINK("http://instagram.com/rotis_and_yoga")</f>
        <v>http://instagram.com/rotis_and_yoga</v>
      </c>
      <c r="K3104">
        <v>36</v>
      </c>
      <c r="N3104" t="s">
        <v>59</v>
      </c>
      <c r="O3104" t="s">
        <v>9967</v>
      </c>
      <c r="P3104" t="str">
        <f>HYPERLINK("http://instagram.com/rotis_and_yoga")</f>
        <v>http://instagram.com/rotis_and_yoga</v>
      </c>
      <c r="Q3104">
        <v>36</v>
      </c>
      <c r="R3104" t="s">
        <v>60</v>
      </c>
      <c r="W3104">
        <v>18</v>
      </c>
      <c r="X3104">
        <v>18</v>
      </c>
      <c r="AE3104">
        <v>0</v>
      </c>
      <c r="AI3104" t="s">
        <v>52</v>
      </c>
      <c r="AJ3104" t="s">
        <v>52</v>
      </c>
      <c r="AK3104" t="s">
        <v>52</v>
      </c>
      <c r="AL3104" t="str">
        <f>HYPERLINK("https://www.instagram.com/p/BzER1Z2JjXQ/media/?size=l")</f>
        <v>https://www.instagram.com/p/BzER1Z2JjXQ/media/?size=l</v>
      </c>
      <c r="AM3104" t="s">
        <v>52</v>
      </c>
      <c r="AN3104" t="s">
        <v>53</v>
      </c>
    </row>
    <row r="3105" spans="1:40">
      <c r="A3105" t="s">
        <v>8081</v>
      </c>
      <c r="B3105" t="s">
        <v>4340</v>
      </c>
      <c r="C3105" t="s">
        <v>9968</v>
      </c>
      <c r="D3105" t="s">
        <v>52</v>
      </c>
      <c r="E3105" t="s">
        <v>9944</v>
      </c>
      <c r="F3105" t="s">
        <v>45</v>
      </c>
      <c r="G3105" t="str">
        <f>HYPERLINK("https://twitter.com/18823758/status/1142902669889232898")</f>
        <v>https://twitter.com/18823758/status/1142902669889232898</v>
      </c>
      <c r="H3105" t="s">
        <v>46</v>
      </c>
      <c r="I3105" t="s">
        <v>9969</v>
      </c>
      <c r="J3105" t="str">
        <f>HYPERLINK("http://twitter.com/BSO")</f>
        <v>http://twitter.com/BSO</v>
      </c>
      <c r="K3105">
        <v>95826</v>
      </c>
      <c r="L3105" t="s">
        <v>48</v>
      </c>
      <c r="N3105" t="s">
        <v>65</v>
      </c>
      <c r="R3105" t="s">
        <v>60</v>
      </c>
      <c r="S3105" t="s">
        <v>51</v>
      </c>
      <c r="T3105" t="s">
        <v>173</v>
      </c>
      <c r="U3105" t="s">
        <v>1214</v>
      </c>
      <c r="W3105">
        <v>4</v>
      </c>
      <c r="X3105">
        <v>4</v>
      </c>
      <c r="AE3105">
        <v>1</v>
      </c>
      <c r="AF3105">
        <v>1</v>
      </c>
      <c r="AI3105" t="s">
        <v>9946</v>
      </c>
      <c r="AJ3105" t="s">
        <v>52</v>
      </c>
      <c r="AK3105" t="s">
        <v>9947</v>
      </c>
      <c r="AL3105" t="str">
        <f>HYPERLINK("https://pbs.twimg.com/media/D9xn68GXsAAp368.jpg")</f>
        <v>https://pbs.twimg.com/media/D9xn68GXsAAp368.jpg</v>
      </c>
      <c r="AM3105" t="s">
        <v>52</v>
      </c>
      <c r="AN3105" t="s">
        <v>53</v>
      </c>
    </row>
    <row r="3106" spans="1:40">
      <c r="A3106" t="s">
        <v>8081</v>
      </c>
      <c r="B3106" t="s">
        <v>4351</v>
      </c>
      <c r="C3106" t="s">
        <v>9940</v>
      </c>
      <c r="D3106" t="s">
        <v>52</v>
      </c>
      <c r="E3106" t="s">
        <v>9970</v>
      </c>
      <c r="F3106" t="s">
        <v>95</v>
      </c>
      <c r="G3106" t="str">
        <f>HYPERLINK("https://twitter.com/2360042682/status/1142902385376780288")</f>
        <v>https://twitter.com/2360042682/status/1142902385376780288</v>
      </c>
      <c r="H3106" t="s">
        <v>46</v>
      </c>
      <c r="I3106" t="s">
        <v>9971</v>
      </c>
      <c r="J3106" t="str">
        <f>HYPERLINK("http://twitter.com/ford_tweets")</f>
        <v>http://twitter.com/ford_tweets</v>
      </c>
      <c r="K3106">
        <v>479</v>
      </c>
      <c r="N3106" t="s">
        <v>65</v>
      </c>
      <c r="R3106" t="s">
        <v>60</v>
      </c>
      <c r="S3106" t="s">
        <v>51</v>
      </c>
      <c r="T3106" t="s">
        <v>173</v>
      </c>
      <c r="U3106" t="s">
        <v>1214</v>
      </c>
      <c r="W3106">
        <v>0</v>
      </c>
      <c r="X3106">
        <v>0</v>
      </c>
      <c r="AE3106">
        <v>0</v>
      </c>
      <c r="AF3106">
        <v>0</v>
      </c>
      <c r="AM3106" t="s">
        <v>52</v>
      </c>
      <c r="AN3106" t="s">
        <v>53</v>
      </c>
    </row>
    <row r="3107" spans="1:40">
      <c r="A3107" t="s">
        <v>8081</v>
      </c>
      <c r="B3107" t="s">
        <v>4351</v>
      </c>
      <c r="C3107" t="s">
        <v>9940</v>
      </c>
      <c r="D3107" t="s">
        <v>52</v>
      </c>
      <c r="E3107" t="s">
        <v>1389</v>
      </c>
      <c r="F3107" t="s">
        <v>131</v>
      </c>
      <c r="G3107" t="str">
        <f>HYPERLINK("https://twitter.com/878188423441502208/status/1142902385507000320")</f>
        <v>https://twitter.com/878188423441502208/status/1142902385507000320</v>
      </c>
      <c r="H3107" t="s">
        <v>46</v>
      </c>
      <c r="I3107" t="s">
        <v>9972</v>
      </c>
      <c r="J3107" t="str">
        <f>HYPERLINK("http://twitter.com/ArtsyDartsy")</f>
        <v>http://twitter.com/ArtsyDartsy</v>
      </c>
      <c r="K3107">
        <v>367</v>
      </c>
      <c r="N3107" t="s">
        <v>65</v>
      </c>
      <c r="R3107" t="s">
        <v>60</v>
      </c>
      <c r="S3107" t="s">
        <v>444</v>
      </c>
      <c r="T3107" t="s">
        <v>3183</v>
      </c>
      <c r="U3107" t="s">
        <v>9973</v>
      </c>
      <c r="W3107">
        <v>0</v>
      </c>
      <c r="X3107">
        <v>0</v>
      </c>
      <c r="AE3107">
        <v>0</v>
      </c>
      <c r="AI3107" t="s">
        <v>52</v>
      </c>
      <c r="AJ3107" t="s">
        <v>1196</v>
      </c>
      <c r="AK3107" t="s">
        <v>52</v>
      </c>
      <c r="AL3107" t="str">
        <f>HYPERLINK("https://pbs.twimg.com/media/D9xgk2YXkAAd2ql.jpg")</f>
        <v>https://pbs.twimg.com/media/D9xgk2YXkAAd2ql.jpg</v>
      </c>
      <c r="AM3107" t="s">
        <v>52</v>
      </c>
      <c r="AN3107" t="s">
        <v>53</v>
      </c>
    </row>
    <row r="3108" spans="1:40">
      <c r="A3108" t="s">
        <v>8081</v>
      </c>
      <c r="B3108" t="s">
        <v>4351</v>
      </c>
      <c r="C3108" t="s">
        <v>9943</v>
      </c>
      <c r="D3108" t="s">
        <v>52</v>
      </c>
      <c r="E3108" t="s">
        <v>9974</v>
      </c>
      <c r="F3108" t="s">
        <v>45</v>
      </c>
      <c r="G3108" t="str">
        <f>HYPERLINK("https://twitter.com/1031010959312277505/status/1142902374887043074")</f>
        <v>https://twitter.com/1031010959312277505/status/1142902374887043074</v>
      </c>
      <c r="H3108" t="s">
        <v>46</v>
      </c>
      <c r="I3108" t="s">
        <v>9975</v>
      </c>
      <c r="J3108" t="str">
        <f>HYPERLINK("http://twitter.com/_elysicn")</f>
        <v>http://twitter.com/_elysicn</v>
      </c>
      <c r="K3108">
        <v>74</v>
      </c>
      <c r="N3108" t="s">
        <v>65</v>
      </c>
      <c r="R3108" t="s">
        <v>60</v>
      </c>
      <c r="W3108">
        <v>0</v>
      </c>
      <c r="X3108">
        <v>0</v>
      </c>
      <c r="AE3108">
        <v>0</v>
      </c>
      <c r="AF3108">
        <v>0</v>
      </c>
      <c r="AM3108" t="s">
        <v>52</v>
      </c>
      <c r="AN3108" t="s">
        <v>53</v>
      </c>
    </row>
    <row r="3109" spans="1:40">
      <c r="A3109" t="s">
        <v>8081</v>
      </c>
      <c r="B3109" t="s">
        <v>4351</v>
      </c>
      <c r="C3109" t="s">
        <v>9976</v>
      </c>
      <c r="D3109" t="s">
        <v>52</v>
      </c>
      <c r="E3109" t="s">
        <v>6428</v>
      </c>
      <c r="F3109" t="s">
        <v>131</v>
      </c>
      <c r="G3109" t="str">
        <f>HYPERLINK("https://twitter.com/1092111439551229954/status/1142902323489980416")</f>
        <v>https://twitter.com/1092111439551229954/status/1142902323489980416</v>
      </c>
      <c r="H3109" t="s">
        <v>46</v>
      </c>
      <c r="I3109" t="s">
        <v>9977</v>
      </c>
      <c r="J3109" t="str">
        <f>HYPERLINK("http://twitter.com/ThirteenDoors")</f>
        <v>http://twitter.com/ThirteenDoors</v>
      </c>
      <c r="K3109">
        <v>757</v>
      </c>
      <c r="N3109" t="s">
        <v>65</v>
      </c>
      <c r="R3109" t="s">
        <v>60</v>
      </c>
      <c r="S3109" t="s">
        <v>51</v>
      </c>
      <c r="T3109" t="s">
        <v>66</v>
      </c>
      <c r="U3109" t="s">
        <v>9978</v>
      </c>
      <c r="W3109">
        <v>0</v>
      </c>
      <c r="X3109">
        <v>0</v>
      </c>
      <c r="AE3109">
        <v>0</v>
      </c>
      <c r="AM3109" t="s">
        <v>52</v>
      </c>
      <c r="AN3109" t="s">
        <v>53</v>
      </c>
    </row>
    <row r="3110" spans="1:40">
      <c r="A3110" t="s">
        <v>8081</v>
      </c>
      <c r="B3110" t="s">
        <v>4351</v>
      </c>
      <c r="C3110" t="s">
        <v>9911</v>
      </c>
      <c r="D3110" t="s">
        <v>52</v>
      </c>
      <c r="E3110" t="s">
        <v>9979</v>
      </c>
      <c r="F3110" t="s">
        <v>45</v>
      </c>
      <c r="G3110" t="str">
        <f>HYPERLINK("https://www.instagram.com/p/BzERjF5A-I5")</f>
        <v>https://www.instagram.com/p/BzERjF5A-I5</v>
      </c>
      <c r="H3110" t="s">
        <v>46</v>
      </c>
      <c r="I3110" t="s">
        <v>4477</v>
      </c>
      <c r="J3110" t="str">
        <f>HYPERLINK("http://instagram.com/rktkz")</f>
        <v>http://instagram.com/rktkz</v>
      </c>
      <c r="K3110">
        <v>6108</v>
      </c>
      <c r="N3110" t="s">
        <v>59</v>
      </c>
      <c r="O3110" t="s">
        <v>4477</v>
      </c>
      <c r="P3110" t="str">
        <f>HYPERLINK("http://instagram.com/rktkz")</f>
        <v>http://instagram.com/rktkz</v>
      </c>
      <c r="Q3110">
        <v>6108</v>
      </c>
      <c r="R3110" t="s">
        <v>60</v>
      </c>
      <c r="W3110">
        <v>95</v>
      </c>
      <c r="X3110">
        <v>95</v>
      </c>
      <c r="AE3110">
        <v>2</v>
      </c>
      <c r="AG3110">
        <v>357</v>
      </c>
      <c r="AI3110" t="s">
        <v>52</v>
      </c>
      <c r="AJ3110" t="s">
        <v>52</v>
      </c>
      <c r="AK3110" t="s">
        <v>52</v>
      </c>
      <c r="AL3110" t="str">
        <f>HYPERLINK("https://www.instagram.com/p/BzERjF5A-I5/media/?size=l")</f>
        <v>https://www.instagram.com/p/BzERjF5A-I5/media/?size=l</v>
      </c>
      <c r="AM3110" t="s">
        <v>52</v>
      </c>
      <c r="AN3110" t="s">
        <v>53</v>
      </c>
    </row>
    <row r="3111" spans="1:40">
      <c r="A3111" t="s">
        <v>8081</v>
      </c>
      <c r="B3111" t="s">
        <v>4351</v>
      </c>
      <c r="C3111" t="s">
        <v>9976</v>
      </c>
      <c r="D3111" t="s">
        <v>52</v>
      </c>
      <c r="E3111" t="s">
        <v>1194</v>
      </c>
      <c r="F3111" t="s">
        <v>131</v>
      </c>
      <c r="G3111" t="str">
        <f>HYPERLINK("https://twitter.com/290874597/status/1142902301310541826")</f>
        <v>https://twitter.com/290874597/status/1142902301310541826</v>
      </c>
      <c r="H3111" t="s">
        <v>46</v>
      </c>
      <c r="I3111" t="s">
        <v>9980</v>
      </c>
      <c r="J3111" t="str">
        <f>HYPERLINK("http://twitter.com/Niqqo_Lami")</f>
        <v>http://twitter.com/Niqqo_Lami</v>
      </c>
      <c r="K3111">
        <v>79</v>
      </c>
      <c r="L3111" t="s">
        <v>48</v>
      </c>
      <c r="N3111" t="s">
        <v>65</v>
      </c>
      <c r="R3111" t="s">
        <v>60</v>
      </c>
      <c r="W3111">
        <v>0</v>
      </c>
      <c r="X3111">
        <v>0</v>
      </c>
      <c r="AE3111">
        <v>0</v>
      </c>
      <c r="AI3111" t="s">
        <v>52</v>
      </c>
      <c r="AJ3111" t="s">
        <v>1196</v>
      </c>
      <c r="AK3111" t="s">
        <v>52</v>
      </c>
      <c r="AL3111" t="str">
        <f>HYPERLINK("https://pbs.twimg.com/media/D9xgk2YXkAAd2ql.jpg")</f>
        <v>https://pbs.twimg.com/media/D9xgk2YXkAAd2ql.jpg</v>
      </c>
      <c r="AM3111" t="s">
        <v>52</v>
      </c>
      <c r="AN3111" t="s">
        <v>53</v>
      </c>
    </row>
    <row r="3112" spans="1:40">
      <c r="A3112" t="s">
        <v>8081</v>
      </c>
      <c r="B3112" t="s">
        <v>4351</v>
      </c>
      <c r="C3112" t="s">
        <v>9981</v>
      </c>
      <c r="D3112" t="s">
        <v>52</v>
      </c>
      <c r="E3112" t="s">
        <v>3749</v>
      </c>
      <c r="F3112" t="s">
        <v>71</v>
      </c>
      <c r="G3112" t="str">
        <f>HYPERLINK("https://twitter.com/1035536265259745280/status/1142902266657234949")</f>
        <v>https://twitter.com/1035536265259745280/status/1142902266657234949</v>
      </c>
      <c r="H3112" t="s">
        <v>46</v>
      </c>
      <c r="I3112" t="s">
        <v>9982</v>
      </c>
      <c r="J3112" t="str">
        <f>HYPERLINK("http://twitter.com/cmoney_318")</f>
        <v>http://twitter.com/cmoney_318</v>
      </c>
      <c r="K3112">
        <v>203</v>
      </c>
      <c r="N3112" t="s">
        <v>65</v>
      </c>
      <c r="R3112" t="s">
        <v>60</v>
      </c>
      <c r="S3112" t="s">
        <v>51</v>
      </c>
      <c r="T3112" t="s">
        <v>1785</v>
      </c>
      <c r="U3112" t="s">
        <v>9983</v>
      </c>
      <c r="W3112">
        <v>0</v>
      </c>
      <c r="X3112">
        <v>0</v>
      </c>
      <c r="AE3112">
        <v>0</v>
      </c>
      <c r="AF3112">
        <v>0</v>
      </c>
      <c r="AI3112" t="s">
        <v>108</v>
      </c>
      <c r="AJ3112" t="s">
        <v>52</v>
      </c>
      <c r="AK3112" t="s">
        <v>52</v>
      </c>
      <c r="AL3112" t="str">
        <f>HYPERLINK("https://pbs.twimg.com/media/D9sAXHUX4AA6vJs.jpg")</f>
        <v>https://pbs.twimg.com/media/D9sAXHUX4AA6vJs.jpg</v>
      </c>
      <c r="AM3112" t="s">
        <v>52</v>
      </c>
      <c r="AN3112" t="s">
        <v>53</v>
      </c>
    </row>
    <row r="3113" spans="1:40">
      <c r="A3113" t="s">
        <v>8081</v>
      </c>
      <c r="B3113" t="s">
        <v>4351</v>
      </c>
      <c r="C3113" t="s">
        <v>9981</v>
      </c>
      <c r="D3113" t="s">
        <v>52</v>
      </c>
      <c r="E3113" t="s">
        <v>130</v>
      </c>
      <c r="F3113" t="s">
        <v>131</v>
      </c>
      <c r="G3113" t="str">
        <f>HYPERLINK("https://twitter.com/1084417711/status/1142902259375849472")</f>
        <v>https://twitter.com/1084417711/status/1142902259375849472</v>
      </c>
      <c r="H3113" t="s">
        <v>46</v>
      </c>
      <c r="I3113" t="s">
        <v>9984</v>
      </c>
      <c r="J3113" t="str">
        <f>HYPERLINK("http://twitter.com/lynfordthecrab")</f>
        <v>http://twitter.com/lynfordthecrab</v>
      </c>
      <c r="K3113">
        <v>683</v>
      </c>
      <c r="N3113" t="s">
        <v>65</v>
      </c>
      <c r="R3113" t="s">
        <v>60</v>
      </c>
      <c r="S3113" t="s">
        <v>97</v>
      </c>
      <c r="T3113" t="s">
        <v>177</v>
      </c>
      <c r="U3113" t="s">
        <v>6516</v>
      </c>
      <c r="W3113">
        <v>0</v>
      </c>
      <c r="X3113">
        <v>0</v>
      </c>
      <c r="AE3113">
        <v>0</v>
      </c>
      <c r="AI3113" t="s">
        <v>108</v>
      </c>
      <c r="AJ3113" t="s">
        <v>52</v>
      </c>
      <c r="AK3113" t="s">
        <v>52</v>
      </c>
      <c r="AL3113" t="str">
        <f>HYPERLINK("https://pbs.twimg.com/media/D9XTkLWW4AAOYnJ.jpg")</f>
        <v>https://pbs.twimg.com/media/D9XTkLWW4AAOYnJ.jpg</v>
      </c>
      <c r="AM3113" t="s">
        <v>52</v>
      </c>
      <c r="AN3113" t="s">
        <v>53</v>
      </c>
    </row>
    <row r="3114" spans="1:40">
      <c r="A3114" t="s">
        <v>8081</v>
      </c>
      <c r="B3114" t="s">
        <v>4351</v>
      </c>
      <c r="C3114" t="s">
        <v>9963</v>
      </c>
      <c r="D3114" t="s">
        <v>52</v>
      </c>
      <c r="E3114" t="s">
        <v>1194</v>
      </c>
      <c r="F3114" t="s">
        <v>131</v>
      </c>
      <c r="G3114" t="str">
        <f>HYPERLINK("https://twitter.com/969325043959435269/status/1142902249368313857")</f>
        <v>https://twitter.com/969325043959435269/status/1142902249368313857</v>
      </c>
      <c r="H3114" t="s">
        <v>46</v>
      </c>
      <c r="I3114" t="s">
        <v>9985</v>
      </c>
      <c r="J3114" t="str">
        <f>HYPERLINK("http://twitter.com/WhyAmINotBobafe")</f>
        <v>http://twitter.com/WhyAmINotBobafe</v>
      </c>
      <c r="K3114">
        <v>28</v>
      </c>
      <c r="L3114" t="s">
        <v>48</v>
      </c>
      <c r="N3114" t="s">
        <v>65</v>
      </c>
      <c r="R3114" t="s">
        <v>60</v>
      </c>
      <c r="W3114">
        <v>0</v>
      </c>
      <c r="X3114">
        <v>0</v>
      </c>
      <c r="AE3114">
        <v>0</v>
      </c>
      <c r="AI3114" t="s">
        <v>52</v>
      </c>
      <c r="AJ3114" t="s">
        <v>1196</v>
      </c>
      <c r="AK3114" t="s">
        <v>52</v>
      </c>
      <c r="AL3114" t="str">
        <f>HYPERLINK("https://pbs.twimg.com/media/D9xgk2YXkAAd2ql.jpg")</f>
        <v>https://pbs.twimg.com/media/D9xgk2YXkAAd2ql.jpg</v>
      </c>
      <c r="AM3114" t="s">
        <v>52</v>
      </c>
      <c r="AN3114" t="s">
        <v>53</v>
      </c>
    </row>
    <row r="3115" spans="1:40">
      <c r="A3115" t="s">
        <v>8081</v>
      </c>
      <c r="B3115" t="s">
        <v>4351</v>
      </c>
      <c r="C3115" t="s">
        <v>9963</v>
      </c>
      <c r="D3115" t="s">
        <v>52</v>
      </c>
      <c r="E3115" t="s">
        <v>1194</v>
      </c>
      <c r="F3115" t="s">
        <v>131</v>
      </c>
      <c r="G3115" t="str">
        <f>HYPERLINK("https://twitter.com/4202930217/status/1142902243127189504")</f>
        <v>https://twitter.com/4202930217/status/1142902243127189504</v>
      </c>
      <c r="H3115" t="s">
        <v>46</v>
      </c>
      <c r="I3115" t="s">
        <v>52</v>
      </c>
      <c r="J3115" t="str">
        <f>HYPERLINK("http://twitter.com/ViviLangdon")</f>
        <v>http://twitter.com/ViviLangdon</v>
      </c>
      <c r="K3115">
        <v>111</v>
      </c>
      <c r="N3115" t="s">
        <v>65</v>
      </c>
      <c r="R3115" t="s">
        <v>60</v>
      </c>
      <c r="S3115" t="s">
        <v>387</v>
      </c>
      <c r="T3115" t="s">
        <v>9986</v>
      </c>
      <c r="U3115" t="s">
        <v>9987</v>
      </c>
      <c r="W3115">
        <v>0</v>
      </c>
      <c r="X3115">
        <v>0</v>
      </c>
      <c r="AE3115">
        <v>0</v>
      </c>
      <c r="AI3115" t="s">
        <v>52</v>
      </c>
      <c r="AJ3115" t="s">
        <v>1196</v>
      </c>
      <c r="AK3115" t="s">
        <v>52</v>
      </c>
      <c r="AL3115" t="str">
        <f>HYPERLINK("https://pbs.twimg.com/media/D9xgk2YXkAAd2ql.jpg")</f>
        <v>https://pbs.twimg.com/media/D9xgk2YXkAAd2ql.jpg</v>
      </c>
      <c r="AM3115" t="s">
        <v>52</v>
      </c>
      <c r="AN3115" t="s">
        <v>53</v>
      </c>
    </row>
    <row r="3116" spans="1:40">
      <c r="A3116" t="s">
        <v>8081</v>
      </c>
      <c r="B3116" t="s">
        <v>4351</v>
      </c>
      <c r="C3116" t="s">
        <v>9961</v>
      </c>
      <c r="D3116" t="s">
        <v>52</v>
      </c>
      <c r="E3116" t="s">
        <v>1194</v>
      </c>
      <c r="F3116" t="s">
        <v>131</v>
      </c>
      <c r="G3116" t="str">
        <f>HYPERLINK("https://twitter.com/1267940952/status/1142902199141523456")</f>
        <v>https://twitter.com/1267940952/status/1142902199141523456</v>
      </c>
      <c r="H3116" t="s">
        <v>46</v>
      </c>
      <c r="I3116" t="s">
        <v>9988</v>
      </c>
      <c r="J3116" t="str">
        <f>HYPERLINK("http://twitter.com/mighty_joosh")</f>
        <v>http://twitter.com/mighty_joosh</v>
      </c>
      <c r="K3116">
        <v>841</v>
      </c>
      <c r="N3116" t="s">
        <v>65</v>
      </c>
      <c r="R3116" t="s">
        <v>60</v>
      </c>
      <c r="S3116" t="s">
        <v>97</v>
      </c>
      <c r="T3116" t="s">
        <v>177</v>
      </c>
      <c r="U3116" t="s">
        <v>1559</v>
      </c>
      <c r="W3116">
        <v>0</v>
      </c>
      <c r="X3116">
        <v>0</v>
      </c>
      <c r="AE3116">
        <v>0</v>
      </c>
      <c r="AI3116" t="s">
        <v>52</v>
      </c>
      <c r="AJ3116" t="s">
        <v>1196</v>
      </c>
      <c r="AK3116" t="s">
        <v>52</v>
      </c>
      <c r="AL3116" t="str">
        <f>HYPERLINK("https://pbs.twimg.com/media/D9xgk2YXkAAd2ql.jpg")</f>
        <v>https://pbs.twimg.com/media/D9xgk2YXkAAd2ql.jpg</v>
      </c>
      <c r="AM3116" t="s">
        <v>52</v>
      </c>
      <c r="AN3116" t="s">
        <v>53</v>
      </c>
    </row>
    <row r="3117" spans="1:40">
      <c r="A3117" t="s">
        <v>8081</v>
      </c>
      <c r="B3117" t="s">
        <v>4351</v>
      </c>
      <c r="C3117" t="s">
        <v>9961</v>
      </c>
      <c r="D3117" t="s">
        <v>52</v>
      </c>
      <c r="E3117" t="s">
        <v>5927</v>
      </c>
      <c r="F3117" t="s">
        <v>131</v>
      </c>
      <c r="G3117" t="str">
        <f>HYPERLINK("https://twitter.com/805799970/status/1142902195702108160")</f>
        <v>https://twitter.com/805799970/status/1142902195702108160</v>
      </c>
      <c r="H3117" t="s">
        <v>46</v>
      </c>
      <c r="I3117" t="s">
        <v>9989</v>
      </c>
      <c r="J3117" t="str">
        <f>HYPERLINK("http://twitter.com/Chickenoodlez13")</f>
        <v>http://twitter.com/Chickenoodlez13</v>
      </c>
      <c r="K3117">
        <v>23</v>
      </c>
      <c r="L3117" t="s">
        <v>48</v>
      </c>
      <c r="N3117" t="s">
        <v>65</v>
      </c>
      <c r="R3117" t="s">
        <v>60</v>
      </c>
      <c r="W3117">
        <v>0</v>
      </c>
      <c r="X3117">
        <v>0</v>
      </c>
      <c r="AE3117">
        <v>0</v>
      </c>
      <c r="AM3117" t="s">
        <v>52</v>
      </c>
      <c r="AN3117" t="s">
        <v>53</v>
      </c>
    </row>
    <row r="3118" spans="1:40">
      <c r="A3118" t="s">
        <v>8081</v>
      </c>
      <c r="B3118" t="s">
        <v>9990</v>
      </c>
      <c r="C3118" t="s">
        <v>9968</v>
      </c>
      <c r="D3118" t="s">
        <v>52</v>
      </c>
      <c r="E3118" t="s">
        <v>1194</v>
      </c>
      <c r="F3118" t="s">
        <v>131</v>
      </c>
      <c r="G3118" t="str">
        <f>HYPERLINK("https://twitter.com/65547385/status/1142902121890795520")</f>
        <v>https://twitter.com/65547385/status/1142902121890795520</v>
      </c>
      <c r="H3118" t="s">
        <v>46</v>
      </c>
      <c r="I3118" t="s">
        <v>9991</v>
      </c>
      <c r="J3118" t="str">
        <f>HYPERLINK("http://twitter.com/emilyalleee")</f>
        <v>http://twitter.com/emilyalleee</v>
      </c>
      <c r="K3118">
        <v>614</v>
      </c>
      <c r="L3118" t="s">
        <v>58</v>
      </c>
      <c r="N3118" t="s">
        <v>65</v>
      </c>
      <c r="R3118" t="s">
        <v>60</v>
      </c>
      <c r="W3118">
        <v>0</v>
      </c>
      <c r="X3118">
        <v>0</v>
      </c>
      <c r="AE3118">
        <v>0</v>
      </c>
      <c r="AI3118" t="s">
        <v>52</v>
      </c>
      <c r="AJ3118" t="s">
        <v>1196</v>
      </c>
      <c r="AK3118" t="s">
        <v>52</v>
      </c>
      <c r="AL3118" t="str">
        <f>HYPERLINK("https://pbs.twimg.com/media/D9xgk2YXkAAd2ql.jpg")</f>
        <v>https://pbs.twimg.com/media/D9xgk2YXkAAd2ql.jpg</v>
      </c>
      <c r="AM3118" t="s">
        <v>52</v>
      </c>
      <c r="AN3118" t="s">
        <v>53</v>
      </c>
    </row>
    <row r="3119" spans="1:40">
      <c r="A3119" t="s">
        <v>8081</v>
      </c>
      <c r="B3119" t="s">
        <v>4356</v>
      </c>
      <c r="C3119" t="s">
        <v>9961</v>
      </c>
      <c r="D3119" t="s">
        <v>52</v>
      </c>
      <c r="E3119" t="s">
        <v>9992</v>
      </c>
      <c r="F3119" t="s">
        <v>45</v>
      </c>
      <c r="G3119" t="str">
        <f>HYPERLINK("https://www.instagram.com/p/BzERTb3Dh5R")</f>
        <v>https://www.instagram.com/p/BzERTb3Dh5R</v>
      </c>
      <c r="H3119" t="s">
        <v>46</v>
      </c>
      <c r="I3119" t="s">
        <v>9993</v>
      </c>
      <c r="J3119" t="str">
        <f>HYPERLINK("http://instagram.com/realistic.plates")</f>
        <v>http://instagram.com/realistic.plates</v>
      </c>
      <c r="K3119">
        <v>14</v>
      </c>
      <c r="N3119" t="s">
        <v>59</v>
      </c>
      <c r="O3119" t="s">
        <v>9993</v>
      </c>
      <c r="P3119" t="str">
        <f>HYPERLINK("http://instagram.com/realistic.plates")</f>
        <v>http://instagram.com/realistic.plates</v>
      </c>
      <c r="Q3119">
        <v>14</v>
      </c>
      <c r="R3119" t="s">
        <v>60</v>
      </c>
      <c r="W3119">
        <v>24</v>
      </c>
      <c r="X3119">
        <v>24</v>
      </c>
      <c r="AE3119">
        <v>9</v>
      </c>
      <c r="AI3119" t="s">
        <v>52</v>
      </c>
      <c r="AJ3119" t="s">
        <v>9994</v>
      </c>
      <c r="AK3119" t="s">
        <v>52</v>
      </c>
      <c r="AL3119" t="str">
        <f>HYPERLINK("https://www.instagram.com/p/BzERTb3Dh5R/media/?size=l")</f>
        <v>https://www.instagram.com/p/BzERTb3Dh5R/media/?size=l</v>
      </c>
      <c r="AM3119" t="s">
        <v>52</v>
      </c>
      <c r="AN3119" t="s">
        <v>53</v>
      </c>
    </row>
    <row r="3120" spans="1:40">
      <c r="A3120" t="s">
        <v>8081</v>
      </c>
      <c r="B3120" t="s">
        <v>4356</v>
      </c>
      <c r="C3120" t="s">
        <v>9995</v>
      </c>
      <c r="D3120" t="s">
        <v>52</v>
      </c>
      <c r="E3120" t="s">
        <v>130</v>
      </c>
      <c r="F3120" t="s">
        <v>131</v>
      </c>
      <c r="G3120" t="str">
        <f>HYPERLINK("https://twitter.com/33871462/status/1142901478736220163")</f>
        <v>https://twitter.com/33871462/status/1142901478736220163</v>
      </c>
      <c r="H3120" t="s">
        <v>46</v>
      </c>
      <c r="I3120" t="s">
        <v>9996</v>
      </c>
      <c r="J3120" t="str">
        <f>HYPERLINK("http://twitter.com/tonymalonyworth")</f>
        <v>http://twitter.com/tonymalonyworth</v>
      </c>
      <c r="K3120">
        <v>583</v>
      </c>
      <c r="L3120" t="s">
        <v>48</v>
      </c>
      <c r="N3120" t="s">
        <v>65</v>
      </c>
      <c r="R3120" t="s">
        <v>60</v>
      </c>
      <c r="S3120" t="s">
        <v>97</v>
      </c>
      <c r="T3120" t="s">
        <v>177</v>
      </c>
      <c r="U3120" t="s">
        <v>9997</v>
      </c>
      <c r="W3120">
        <v>0</v>
      </c>
      <c r="X3120">
        <v>0</v>
      </c>
      <c r="AE3120">
        <v>0</v>
      </c>
      <c r="AI3120" t="s">
        <v>108</v>
      </c>
      <c r="AJ3120" t="s">
        <v>52</v>
      </c>
      <c r="AK3120" t="s">
        <v>52</v>
      </c>
      <c r="AL3120" t="str">
        <f>HYPERLINK("https://pbs.twimg.com/media/D9XTkLWW4AAOYnJ.jpg")</f>
        <v>https://pbs.twimg.com/media/D9XTkLWW4AAOYnJ.jpg</v>
      </c>
      <c r="AM3120" t="s">
        <v>52</v>
      </c>
      <c r="AN3120" t="s">
        <v>53</v>
      </c>
    </row>
    <row r="3121" spans="1:40">
      <c r="A3121" t="s">
        <v>8081</v>
      </c>
      <c r="B3121" t="s">
        <v>4356</v>
      </c>
      <c r="C3121" t="s">
        <v>9998</v>
      </c>
      <c r="D3121" t="s">
        <v>3569</v>
      </c>
      <c r="E3121" t="s">
        <v>3569</v>
      </c>
      <c r="F3121" t="s">
        <v>45</v>
      </c>
      <c r="G3121" t="str">
        <f>HYPERLINK("https://www.youtube.com/watch?v=-FV7J6k1UjU")</f>
        <v>https://www.youtube.com/watch?v=-FV7J6k1UjU</v>
      </c>
      <c r="H3121" t="s">
        <v>46</v>
      </c>
      <c r="I3121" t="s">
        <v>9999</v>
      </c>
      <c r="J3121" t="str">
        <f>HYPERLINK("https://www.youtube.com/channel/UCEuf4tM_G4Ywih9yet8I-nQ")</f>
        <v>https://www.youtube.com/channel/UCEuf4tM_G4Ywih9yet8I-nQ</v>
      </c>
      <c r="K3121">
        <v>4</v>
      </c>
      <c r="L3121" t="s">
        <v>48</v>
      </c>
      <c r="N3121" t="s">
        <v>116</v>
      </c>
      <c r="O3121" t="s">
        <v>9999</v>
      </c>
      <c r="P3121" t="str">
        <f>HYPERLINK("https://www.youtube.com/channel/UCEuf4tM_G4Ywih9yet8I-nQ")</f>
        <v>https://www.youtube.com/channel/UCEuf4tM_G4Ywih9yet8I-nQ</v>
      </c>
      <c r="Q3121">
        <v>4</v>
      </c>
      <c r="R3121" t="s">
        <v>60</v>
      </c>
      <c r="W3121">
        <v>2</v>
      </c>
      <c r="X3121">
        <v>2</v>
      </c>
      <c r="AD3121">
        <v>0</v>
      </c>
      <c r="AE3121">
        <v>0</v>
      </c>
      <c r="AG3121">
        <v>17</v>
      </c>
      <c r="AI3121" t="s">
        <v>52</v>
      </c>
      <c r="AJ3121" t="s">
        <v>52</v>
      </c>
      <c r="AK3121" t="s">
        <v>3229</v>
      </c>
      <c r="AL3121" t="str">
        <f>HYPERLINK("https://i.ytimg.com/vi/-FV7J6k1UjU/hqdefault.jpg")</f>
        <v>https://i.ytimg.com/vi/-FV7J6k1UjU/hqdefault.jpg</v>
      </c>
      <c r="AM3121" t="s">
        <v>52</v>
      </c>
      <c r="AN3121" t="s">
        <v>53</v>
      </c>
    </row>
    <row r="3122" spans="1:40">
      <c r="A3122" t="s">
        <v>8081</v>
      </c>
      <c r="B3122" t="s">
        <v>4361</v>
      </c>
      <c r="C3122" t="s">
        <v>10000</v>
      </c>
      <c r="D3122" t="s">
        <v>52</v>
      </c>
      <c r="E3122" t="s">
        <v>10001</v>
      </c>
      <c r="F3122" t="s">
        <v>45</v>
      </c>
      <c r="G3122" t="str">
        <f>HYPERLINK("https://www.instagram.com/p/BzERFZ5AFUj")</f>
        <v>https://www.instagram.com/p/BzERFZ5AFUj</v>
      </c>
      <c r="H3122" t="s">
        <v>46</v>
      </c>
      <c r="I3122" t="s">
        <v>4477</v>
      </c>
      <c r="J3122" t="str">
        <f>HYPERLINK("http://instagram.com/rktkz")</f>
        <v>http://instagram.com/rktkz</v>
      </c>
      <c r="K3122">
        <v>6108</v>
      </c>
      <c r="N3122" t="s">
        <v>59</v>
      </c>
      <c r="O3122" t="s">
        <v>4477</v>
      </c>
      <c r="P3122" t="str">
        <f>HYPERLINK("http://instagram.com/rktkz")</f>
        <v>http://instagram.com/rktkz</v>
      </c>
      <c r="Q3122">
        <v>6108</v>
      </c>
      <c r="R3122" t="s">
        <v>60</v>
      </c>
      <c r="W3122">
        <v>283</v>
      </c>
      <c r="X3122">
        <v>283</v>
      </c>
      <c r="AE3122">
        <v>57</v>
      </c>
      <c r="AG3122">
        <v>1374</v>
      </c>
      <c r="AI3122" t="s">
        <v>52</v>
      </c>
      <c r="AJ3122" t="s">
        <v>52</v>
      </c>
      <c r="AK3122" t="s">
        <v>52</v>
      </c>
      <c r="AL3122" t="str">
        <f>HYPERLINK("https://www.instagram.com/p/BzERFZ5AFUj/media/?size=l")</f>
        <v>https://www.instagram.com/p/BzERFZ5AFUj/media/?size=l</v>
      </c>
      <c r="AM3122" t="s">
        <v>52</v>
      </c>
      <c r="AN3122" t="s">
        <v>53</v>
      </c>
    </row>
    <row r="3123" spans="1:40">
      <c r="A3123" t="s">
        <v>8081</v>
      </c>
      <c r="B3123" t="s">
        <v>4361</v>
      </c>
      <c r="C3123" t="s">
        <v>6918</v>
      </c>
      <c r="D3123" t="s">
        <v>3816</v>
      </c>
      <c r="E3123" t="s">
        <v>10002</v>
      </c>
      <c r="F3123" t="s">
        <v>45</v>
      </c>
      <c r="G3123" t="str">
        <f>HYPERLINK("https://cloutwork.com/2019/06/23/from-ice-hockey-to-modeling-the-official-chris-west-interview")</f>
        <v>https://cloutwork.com/2019/06/23/from-ice-hockey-to-modeling-the-official-chris-west-interview</v>
      </c>
      <c r="H3123" t="s">
        <v>46</v>
      </c>
      <c r="I3123" t="s">
        <v>10003</v>
      </c>
      <c r="J3123" t="str">
        <f>HYPERLINK("https://cloutwork.com/2019/06/23/from-ice-hockey-to-modeling-the-official-chris-west-interview/")</f>
        <v>https://cloutwork.com/2019/06/23/from-ice-hockey-to-modeling-the-official-chris-west-interview/</v>
      </c>
      <c r="N3123" t="s">
        <v>10004</v>
      </c>
      <c r="R3123" t="s">
        <v>50</v>
      </c>
      <c r="S3123" t="s">
        <v>51</v>
      </c>
      <c r="AM3123" t="s">
        <v>52</v>
      </c>
      <c r="AN3123" t="s">
        <v>53</v>
      </c>
    </row>
    <row r="3124" spans="1:40">
      <c r="A3124" t="s">
        <v>8081</v>
      </c>
      <c r="B3124" t="s">
        <v>4379</v>
      </c>
      <c r="C3124" t="s">
        <v>6918</v>
      </c>
      <c r="D3124" t="s">
        <v>10005</v>
      </c>
      <c r="E3124" t="s">
        <v>10006</v>
      </c>
      <c r="F3124" t="s">
        <v>45</v>
      </c>
      <c r="G3124" t="str">
        <f>HYPERLINK("https://www.reddit.com/r/WritingPrompts/comments/c45fvy/wpas_pride_month_nears_its_end_the_other_six/?sort=new#thing_t1_erv4272")</f>
        <v>https://www.reddit.com/r/WritingPrompts/comments/c45fvy/wpas_pride_month_nears_its_end_the_other_six/?sort=new#thing_t1_erv4272</v>
      </c>
      <c r="H3124" t="s">
        <v>46</v>
      </c>
      <c r="I3124" t="s">
        <v>10007</v>
      </c>
      <c r="J3124" t="str">
        <f>HYPERLINK("https://www.reddit.com/r/WritingPrompts/comments/c45fvy/wpas_pride_month_nears_its_end_the_other_six/?sort=new#thing_t1_erv4272")</f>
        <v>https://www.reddit.com/r/WritingPrompts/comments/c45fvy/wpas_pride_month_nears_its_end_the_other_six/?sort=new#thing_t1_erv4272</v>
      </c>
      <c r="N3124" t="s">
        <v>545</v>
      </c>
      <c r="O3124" t="s">
        <v>10008</v>
      </c>
      <c r="P3124" t="str">
        <f>HYPERLINK("https://www.reddit.com/r/WritingPrompts/")</f>
        <v>https://www.reddit.com/r/WritingPrompts/</v>
      </c>
      <c r="R3124" t="s">
        <v>516</v>
      </c>
      <c r="S3124" t="s">
        <v>51</v>
      </c>
      <c r="AM3124" t="s">
        <v>52</v>
      </c>
      <c r="AN3124" t="s">
        <v>53</v>
      </c>
    </row>
    <row r="3125" spans="1:40">
      <c r="A3125" t="s">
        <v>8081</v>
      </c>
      <c r="B3125" t="s">
        <v>4385</v>
      </c>
      <c r="C3125" t="s">
        <v>10009</v>
      </c>
      <c r="D3125" t="s">
        <v>10010</v>
      </c>
      <c r="E3125" t="s">
        <v>10011</v>
      </c>
      <c r="F3125" t="s">
        <v>45</v>
      </c>
      <c r="G3125" t="str">
        <f>HYPERLINK("https://cryptocoinstribune.com/apple-aapl-holder-american-economic-planning-group-has-increased-holding-by-413910-harding-loevner-lp-has-decreased-its-holding-in-ecopetrol-s-a-ec-by-547365")</f>
        <v>https://cryptocoinstribune.com/apple-aapl-holder-american-economic-planning-group-has-increased-holding-by-413910-harding-loevner-lp-has-decreased-its-holding-in-ecopetrol-s-a-ec-by-547365</v>
      </c>
      <c r="H3125" t="s">
        <v>46</v>
      </c>
      <c r="I3125" t="s">
        <v>1028</v>
      </c>
      <c r="J3125" t="str">
        <f>HYPERLINK("https://cryptocoinstribune.com")</f>
        <v>https://cryptocoinstribune.com</v>
      </c>
      <c r="N3125" t="s">
        <v>960</v>
      </c>
      <c r="R3125" t="s">
        <v>357</v>
      </c>
      <c r="S3125" t="s">
        <v>51</v>
      </c>
      <c r="AI3125" t="s">
        <v>52</v>
      </c>
      <c r="AJ3125" t="s">
        <v>52</v>
      </c>
      <c r="AK3125" t="s">
        <v>52</v>
      </c>
      <c r="AL3125" t="str">
        <f>HYPERLINK("https://cryptocoinstribune.com/wp-content/uploads/logos/Logos/EC.png")</f>
        <v>https://cryptocoinstribune.com/wp-content/uploads/logos/Logos/EC.png</v>
      </c>
      <c r="AM3125" t="s">
        <v>52</v>
      </c>
      <c r="AN3125" t="s">
        <v>53</v>
      </c>
    </row>
    <row r="3126" spans="1:40">
      <c r="A3126" t="s">
        <v>8081</v>
      </c>
      <c r="B3126" t="s">
        <v>4385</v>
      </c>
      <c r="C3126" t="s">
        <v>10012</v>
      </c>
      <c r="D3126" t="s">
        <v>52</v>
      </c>
      <c r="E3126" t="s">
        <v>1194</v>
      </c>
      <c r="F3126" t="s">
        <v>131</v>
      </c>
      <c r="G3126" t="str">
        <f>HYPERLINK("https://twitter.com/2464952325/status/1142900759157235712")</f>
        <v>https://twitter.com/2464952325/status/1142900759157235712</v>
      </c>
      <c r="H3126" t="s">
        <v>46</v>
      </c>
      <c r="I3126" t="s">
        <v>10013</v>
      </c>
      <c r="J3126" t="str">
        <f>HYPERLINK("http://twitter.com/engagedwhimsi")</f>
        <v>http://twitter.com/engagedwhimsi</v>
      </c>
      <c r="K3126">
        <v>1412</v>
      </c>
      <c r="N3126" t="s">
        <v>65</v>
      </c>
      <c r="R3126" t="s">
        <v>60</v>
      </c>
      <c r="S3126" t="s">
        <v>387</v>
      </c>
      <c r="T3126" t="s">
        <v>2251</v>
      </c>
      <c r="U3126" t="s">
        <v>4106</v>
      </c>
      <c r="W3126">
        <v>0</v>
      </c>
      <c r="X3126">
        <v>0</v>
      </c>
      <c r="AE3126">
        <v>0</v>
      </c>
      <c r="AI3126" t="s">
        <v>52</v>
      </c>
      <c r="AJ3126" t="s">
        <v>1196</v>
      </c>
      <c r="AK3126" t="s">
        <v>52</v>
      </c>
      <c r="AL3126" t="str">
        <f>HYPERLINK("https://pbs.twimg.com/media/D9xgk2YXkAAd2ql.jpg")</f>
        <v>https://pbs.twimg.com/media/D9xgk2YXkAAd2ql.jpg</v>
      </c>
      <c r="AM3126" t="s">
        <v>52</v>
      </c>
      <c r="AN3126" t="s">
        <v>53</v>
      </c>
    </row>
    <row r="3127" spans="1:40">
      <c r="A3127" t="s">
        <v>8081</v>
      </c>
      <c r="B3127" t="s">
        <v>4385</v>
      </c>
      <c r="C3127" t="s">
        <v>10014</v>
      </c>
      <c r="D3127" t="s">
        <v>52</v>
      </c>
      <c r="E3127" t="s">
        <v>3749</v>
      </c>
      <c r="F3127" t="s">
        <v>71</v>
      </c>
      <c r="G3127" t="str">
        <f>HYPERLINK("https://twitter.com/316016373/status/1142900735186800641")</f>
        <v>https://twitter.com/316016373/status/1142900735186800641</v>
      </c>
      <c r="H3127" t="s">
        <v>46</v>
      </c>
      <c r="I3127" t="s">
        <v>10015</v>
      </c>
      <c r="J3127" t="str">
        <f>HYPERLINK("http://twitter.com/sarnele")</f>
        <v>http://twitter.com/sarnele</v>
      </c>
      <c r="K3127">
        <v>720</v>
      </c>
      <c r="N3127" t="s">
        <v>65</v>
      </c>
      <c r="R3127" t="s">
        <v>60</v>
      </c>
      <c r="S3127" t="s">
        <v>1071</v>
      </c>
      <c r="T3127" t="s">
        <v>5506</v>
      </c>
      <c r="U3127" t="s">
        <v>10016</v>
      </c>
      <c r="W3127">
        <v>0</v>
      </c>
      <c r="X3127">
        <v>0</v>
      </c>
      <c r="AE3127">
        <v>0</v>
      </c>
      <c r="AF3127">
        <v>0</v>
      </c>
      <c r="AI3127" t="s">
        <v>108</v>
      </c>
      <c r="AJ3127" t="s">
        <v>52</v>
      </c>
      <c r="AK3127" t="s">
        <v>52</v>
      </c>
      <c r="AL3127" t="str">
        <f>HYPERLINK("https://pbs.twimg.com/media/D9sAXHUX4AA6vJs.jpg")</f>
        <v>https://pbs.twimg.com/media/D9sAXHUX4AA6vJs.jpg</v>
      </c>
      <c r="AM3127" t="s">
        <v>52</v>
      </c>
      <c r="AN3127" t="s">
        <v>53</v>
      </c>
    </row>
    <row r="3128" spans="1:40">
      <c r="A3128" t="s">
        <v>8081</v>
      </c>
      <c r="B3128" t="s">
        <v>4385</v>
      </c>
      <c r="C3128" t="s">
        <v>10017</v>
      </c>
      <c r="D3128" t="s">
        <v>52</v>
      </c>
      <c r="E3128" t="s">
        <v>1194</v>
      </c>
      <c r="F3128" t="s">
        <v>131</v>
      </c>
      <c r="G3128" t="str">
        <f>HYPERLINK("https://twitter.com/388045671/status/1142900682669744128")</f>
        <v>https://twitter.com/388045671/status/1142900682669744128</v>
      </c>
      <c r="H3128" t="s">
        <v>46</v>
      </c>
      <c r="I3128" t="s">
        <v>10018</v>
      </c>
      <c r="J3128" t="str">
        <f>HYPERLINK("http://twitter.com/NecoleeMooree")</f>
        <v>http://twitter.com/NecoleeMooree</v>
      </c>
      <c r="K3128">
        <v>588</v>
      </c>
      <c r="N3128" t="s">
        <v>65</v>
      </c>
      <c r="R3128" t="s">
        <v>60</v>
      </c>
      <c r="S3128" t="s">
        <v>1103</v>
      </c>
      <c r="T3128" t="s">
        <v>1104</v>
      </c>
      <c r="U3128" t="s">
        <v>1105</v>
      </c>
      <c r="W3128">
        <v>0</v>
      </c>
      <c r="X3128">
        <v>0</v>
      </c>
      <c r="AE3128">
        <v>0</v>
      </c>
      <c r="AI3128" t="s">
        <v>52</v>
      </c>
      <c r="AJ3128" t="s">
        <v>1196</v>
      </c>
      <c r="AK3128" t="s">
        <v>52</v>
      </c>
      <c r="AL3128" t="str">
        <f>HYPERLINK("https://pbs.twimg.com/media/D9xgk2YXkAAd2ql.jpg")</f>
        <v>https://pbs.twimg.com/media/D9xgk2YXkAAd2ql.jpg</v>
      </c>
      <c r="AM3128" t="s">
        <v>52</v>
      </c>
      <c r="AN3128" t="s">
        <v>53</v>
      </c>
    </row>
    <row r="3129" spans="1:40">
      <c r="A3129" t="s">
        <v>8081</v>
      </c>
      <c r="B3129" t="s">
        <v>4385</v>
      </c>
      <c r="C3129" t="s">
        <v>10019</v>
      </c>
      <c r="D3129" t="s">
        <v>52</v>
      </c>
      <c r="E3129" t="s">
        <v>1194</v>
      </c>
      <c r="F3129" t="s">
        <v>131</v>
      </c>
      <c r="G3129" t="str">
        <f>HYPERLINK("https://twitter.com/917806786677235712/status/1142900668941897728")</f>
        <v>https://twitter.com/917806786677235712/status/1142900668941897728</v>
      </c>
      <c r="H3129" t="s">
        <v>46</v>
      </c>
      <c r="I3129" t="s">
        <v>10020</v>
      </c>
      <c r="J3129" t="str">
        <f>HYPERLINK("http://twitter.com/ninnagandolfo")</f>
        <v>http://twitter.com/ninnagandolfo</v>
      </c>
      <c r="K3129">
        <v>542</v>
      </c>
      <c r="L3129" t="s">
        <v>58</v>
      </c>
      <c r="N3129" t="s">
        <v>65</v>
      </c>
      <c r="R3129" t="s">
        <v>60</v>
      </c>
      <c r="W3129">
        <v>0</v>
      </c>
      <c r="X3129">
        <v>0</v>
      </c>
      <c r="AE3129">
        <v>0</v>
      </c>
      <c r="AI3129" t="s">
        <v>52</v>
      </c>
      <c r="AJ3129" t="s">
        <v>1196</v>
      </c>
      <c r="AK3129" t="s">
        <v>52</v>
      </c>
      <c r="AL3129" t="str">
        <f>HYPERLINK("https://pbs.twimg.com/media/D9xgk2YXkAAd2ql.jpg")</f>
        <v>https://pbs.twimg.com/media/D9xgk2YXkAAd2ql.jpg</v>
      </c>
      <c r="AM3129" t="s">
        <v>52</v>
      </c>
      <c r="AN3129" t="s">
        <v>53</v>
      </c>
    </row>
    <row r="3130" spans="1:40">
      <c r="A3130" t="s">
        <v>8081</v>
      </c>
      <c r="B3130" t="s">
        <v>4385</v>
      </c>
      <c r="C3130" t="s">
        <v>10019</v>
      </c>
      <c r="D3130" t="s">
        <v>52</v>
      </c>
      <c r="E3130" t="s">
        <v>1194</v>
      </c>
      <c r="F3130" t="s">
        <v>131</v>
      </c>
      <c r="G3130" t="str">
        <f>HYPERLINK("https://twitter.com/1216937718/status/1142900653200723968")</f>
        <v>https://twitter.com/1216937718/status/1142900653200723968</v>
      </c>
      <c r="H3130" t="s">
        <v>46</v>
      </c>
      <c r="I3130" t="s">
        <v>10021</v>
      </c>
      <c r="J3130" t="str">
        <f>HYPERLINK("http://twitter.com/Dinotrizz")</f>
        <v>http://twitter.com/Dinotrizz</v>
      </c>
      <c r="K3130">
        <v>89</v>
      </c>
      <c r="N3130" t="s">
        <v>65</v>
      </c>
      <c r="R3130" t="s">
        <v>60</v>
      </c>
      <c r="W3130">
        <v>0</v>
      </c>
      <c r="X3130">
        <v>0</v>
      </c>
      <c r="AE3130">
        <v>0</v>
      </c>
      <c r="AI3130" t="s">
        <v>52</v>
      </c>
      <c r="AJ3130" t="s">
        <v>1196</v>
      </c>
      <c r="AK3130" t="s">
        <v>52</v>
      </c>
      <c r="AL3130" t="str">
        <f>HYPERLINK("https://pbs.twimg.com/media/D9xgk2YXkAAd2ql.jpg")</f>
        <v>https://pbs.twimg.com/media/D9xgk2YXkAAd2ql.jpg</v>
      </c>
      <c r="AM3130" t="s">
        <v>52</v>
      </c>
      <c r="AN3130" t="s">
        <v>53</v>
      </c>
    </row>
    <row r="3131" spans="1:40">
      <c r="A3131" t="s">
        <v>8081</v>
      </c>
      <c r="B3131" t="s">
        <v>4392</v>
      </c>
      <c r="C3131" t="s">
        <v>10017</v>
      </c>
      <c r="D3131" t="s">
        <v>52</v>
      </c>
      <c r="E3131" t="s">
        <v>10022</v>
      </c>
      <c r="F3131" t="s">
        <v>45</v>
      </c>
      <c r="G3131" t="str">
        <f>HYPERLINK("https://www.instagram.com/p/BzEQtJQAX6u")</f>
        <v>https://www.instagram.com/p/BzEQtJQAX6u</v>
      </c>
      <c r="H3131" t="s">
        <v>46</v>
      </c>
      <c r="I3131" t="s">
        <v>4477</v>
      </c>
      <c r="J3131" t="str">
        <f>HYPERLINK("http://instagram.com/rktkz")</f>
        <v>http://instagram.com/rktkz</v>
      </c>
      <c r="K3131">
        <v>6108</v>
      </c>
      <c r="N3131" t="s">
        <v>59</v>
      </c>
      <c r="O3131" t="s">
        <v>4477</v>
      </c>
      <c r="P3131" t="str">
        <f>HYPERLINK("http://instagram.com/rktkz")</f>
        <v>http://instagram.com/rktkz</v>
      </c>
      <c r="Q3131">
        <v>6108</v>
      </c>
      <c r="R3131" t="s">
        <v>60</v>
      </c>
      <c r="W3131">
        <v>114</v>
      </c>
      <c r="X3131">
        <v>114</v>
      </c>
      <c r="AE3131">
        <v>4</v>
      </c>
      <c r="AG3131">
        <v>489</v>
      </c>
      <c r="AI3131" t="s">
        <v>52</v>
      </c>
      <c r="AJ3131" t="s">
        <v>8086</v>
      </c>
      <c r="AK3131" t="s">
        <v>52</v>
      </c>
      <c r="AL3131" t="str">
        <f>HYPERLINK("https://www.instagram.com/p/BzEQtJQAX6u/media/?size=l")</f>
        <v>https://www.instagram.com/p/BzEQtJQAX6u/media/?size=l</v>
      </c>
      <c r="AM3131" t="s">
        <v>52</v>
      </c>
      <c r="AN3131" t="s">
        <v>53</v>
      </c>
    </row>
    <row r="3132" spans="1:40">
      <c r="A3132" t="s">
        <v>8081</v>
      </c>
      <c r="B3132" t="s">
        <v>4392</v>
      </c>
      <c r="C3132" t="s">
        <v>7217</v>
      </c>
      <c r="D3132" t="s">
        <v>10023</v>
      </c>
      <c r="E3132" t="s">
        <v>10024</v>
      </c>
      <c r="F3132" t="s">
        <v>45</v>
      </c>
      <c r="G3132" t="str">
        <f>HYPERLINK("http://www.scandinavianhomestaging.com/mazda-rx7-stock.html")</f>
        <v>http://www.scandinavianhomestaging.com/mazda-rx7-stock.html</v>
      </c>
      <c r="H3132" t="s">
        <v>46</v>
      </c>
      <c r="N3132" t="s">
        <v>7165</v>
      </c>
      <c r="R3132" t="s">
        <v>50</v>
      </c>
      <c r="S3132" t="s">
        <v>51</v>
      </c>
      <c r="AM3132" t="s">
        <v>52</v>
      </c>
      <c r="AN3132" t="s">
        <v>53</v>
      </c>
    </row>
    <row r="3133" spans="1:40">
      <c r="A3133" t="s">
        <v>8081</v>
      </c>
      <c r="B3133" t="s">
        <v>4402</v>
      </c>
      <c r="C3133" t="s">
        <v>9464</v>
      </c>
      <c r="D3133" t="s">
        <v>52</v>
      </c>
      <c r="E3133" t="s">
        <v>10025</v>
      </c>
      <c r="F3133" t="s">
        <v>45</v>
      </c>
      <c r="G3133" t="str">
        <f>HYPERLINK("https://www.facebook.com/1546984468876706/posts/2406556866252791")</f>
        <v>https://www.facebook.com/1546984468876706/posts/2406556866252791</v>
      </c>
      <c r="H3133" t="s">
        <v>46</v>
      </c>
      <c r="I3133" t="s">
        <v>10026</v>
      </c>
      <c r="J3133" t="str">
        <f>HYPERLINK("https://www.facebook.com/1546984468876706")</f>
        <v>https://www.facebook.com/1546984468876706</v>
      </c>
      <c r="K3133">
        <v>23553</v>
      </c>
      <c r="L3133" t="s">
        <v>651</v>
      </c>
      <c r="N3133" t="s">
        <v>1792</v>
      </c>
      <c r="O3133" t="s">
        <v>10026</v>
      </c>
      <c r="P3133" t="str">
        <f>HYPERLINK("https://www.facebook.com/1546984468876706")</f>
        <v>https://www.facebook.com/1546984468876706</v>
      </c>
      <c r="Q3133">
        <v>23553</v>
      </c>
      <c r="R3133" t="s">
        <v>60</v>
      </c>
      <c r="W3133">
        <v>58</v>
      </c>
      <c r="X3133">
        <v>20</v>
      </c>
      <c r="Y3133">
        <v>2</v>
      </c>
      <c r="Z3133">
        <v>33</v>
      </c>
      <c r="AA3133">
        <v>1</v>
      </c>
      <c r="AB3133">
        <v>2</v>
      </c>
      <c r="AC3133">
        <v>0</v>
      </c>
      <c r="AE3133">
        <v>11</v>
      </c>
      <c r="AF3133">
        <v>50</v>
      </c>
      <c r="AI3133" t="s">
        <v>108</v>
      </c>
      <c r="AJ3133" t="s">
        <v>52</v>
      </c>
      <c r="AK3133" t="s">
        <v>52</v>
      </c>
      <c r="AL3133" t="str">
        <f>HYPERLINK("https://scontent.xx.fbcdn.net/v/t1.0-9/s720x720/65263390_2406556842919460_2417402207746916352_o.jpg?_nc_cat=101&amp;_nc_oc=AQmfirle_IoEAwD1vnHlL6xQjdieE_o_OKZL_RMRayTBoPmy_ofTOh-R4Y03VRejws4&amp;_nc_ht=scontent.xx&amp;oh=30c5525525452baf87195381186805b5&amp;oe=5DBA11DC")</f>
        <v>https://scontent.xx.fbcdn.net/v/t1.0-9/s720x720/65263390_2406556842919460_2417402207746916352_o.jpg?_nc_cat=101&amp;_nc_oc=AQmfirle_IoEAwD1vnHlL6xQjdieE_o_OKZL_RMRayTBoPmy_ofTOh-R4Y03VRejws4&amp;_nc_ht=scontent.xx&amp;oh=30c5525525452baf87195381186805b5&amp;oe=5DBA11DC</v>
      </c>
      <c r="AM3133" t="s">
        <v>52</v>
      </c>
      <c r="AN3133" t="s">
        <v>53</v>
      </c>
    </row>
    <row r="3134" spans="1:40">
      <c r="A3134" t="s">
        <v>8081</v>
      </c>
      <c r="B3134" t="s">
        <v>10027</v>
      </c>
      <c r="C3134" t="s">
        <v>10017</v>
      </c>
      <c r="D3134" t="s">
        <v>52</v>
      </c>
      <c r="E3134" t="s">
        <v>10028</v>
      </c>
      <c r="F3134" t="s">
        <v>45</v>
      </c>
      <c r="G3134" t="str">
        <f>HYPERLINK("https://www.instagram.com/p/BzEQXzYHnKS")</f>
        <v>https://www.instagram.com/p/BzEQXzYHnKS</v>
      </c>
      <c r="H3134" t="s">
        <v>46</v>
      </c>
      <c r="I3134" t="s">
        <v>10029</v>
      </c>
      <c r="J3134" t="str">
        <f>HYPERLINK("http://instagram.com/asian_zzing")</f>
        <v>http://instagram.com/asian_zzing</v>
      </c>
      <c r="K3134">
        <v>4048</v>
      </c>
      <c r="N3134" t="s">
        <v>59</v>
      </c>
      <c r="O3134" t="s">
        <v>10029</v>
      </c>
      <c r="P3134" t="str">
        <f>HYPERLINK("http://instagram.com/asian_zzing")</f>
        <v>http://instagram.com/asian_zzing</v>
      </c>
      <c r="Q3134">
        <v>4048</v>
      </c>
      <c r="R3134" t="s">
        <v>60</v>
      </c>
      <c r="W3134">
        <v>112</v>
      </c>
      <c r="X3134">
        <v>112</v>
      </c>
      <c r="AE3134">
        <v>12</v>
      </c>
      <c r="AI3134" t="s">
        <v>52</v>
      </c>
      <c r="AJ3134" t="s">
        <v>121</v>
      </c>
      <c r="AK3134" t="s">
        <v>52</v>
      </c>
      <c r="AL3134" t="str">
        <f>HYPERLINK("https://www.instagram.com/p/BzEQXzYHnKS/media/?size=l")</f>
        <v>https://www.instagram.com/p/BzEQXzYHnKS/media/?size=l</v>
      </c>
      <c r="AM3134" t="s">
        <v>52</v>
      </c>
      <c r="AN3134" t="s">
        <v>53</v>
      </c>
    </row>
    <row r="3135" spans="1:40">
      <c r="A3135" t="s">
        <v>8081</v>
      </c>
      <c r="B3135" t="s">
        <v>10027</v>
      </c>
      <c r="C3135" t="s">
        <v>10030</v>
      </c>
      <c r="D3135" t="s">
        <v>52</v>
      </c>
      <c r="E3135" t="s">
        <v>10031</v>
      </c>
      <c r="F3135" t="s">
        <v>71</v>
      </c>
      <c r="G3135" t="str">
        <f>HYPERLINK("https://twitter.com/2975154217/status/1142899418980638720")</f>
        <v>https://twitter.com/2975154217/status/1142899418980638720</v>
      </c>
      <c r="H3135" t="s">
        <v>46</v>
      </c>
      <c r="I3135" t="s">
        <v>10032</v>
      </c>
      <c r="J3135" t="str">
        <f>HYPERLINK("http://twitter.com/djogrolyo")</f>
        <v>http://twitter.com/djogrolyo</v>
      </c>
      <c r="K3135">
        <v>11281</v>
      </c>
      <c r="N3135" t="s">
        <v>65</v>
      </c>
      <c r="R3135" t="s">
        <v>60</v>
      </c>
      <c r="S3135" t="s">
        <v>51</v>
      </c>
      <c r="T3135" t="s">
        <v>2923</v>
      </c>
      <c r="U3135" t="s">
        <v>10033</v>
      </c>
      <c r="W3135">
        <v>8</v>
      </c>
      <c r="X3135">
        <v>8</v>
      </c>
      <c r="AE3135">
        <v>2</v>
      </c>
      <c r="AF3135">
        <v>1</v>
      </c>
      <c r="AI3135" t="s">
        <v>52</v>
      </c>
      <c r="AJ3135" t="s">
        <v>2592</v>
      </c>
      <c r="AK3135" t="s">
        <v>52</v>
      </c>
      <c r="AL3135" t="str">
        <f>HYPERLINK("https://pbs.twimg.com/ext_tw_video_thumb/1142259823918010368/pu/img/o3a9pExcTjU62-ui.jpg")</f>
        <v>https://pbs.twimg.com/ext_tw_video_thumb/1142259823918010368/pu/img/o3a9pExcTjU62-ui.jpg</v>
      </c>
      <c r="AM3135" t="s">
        <v>52</v>
      </c>
      <c r="AN3135" t="s">
        <v>53</v>
      </c>
    </row>
    <row r="3136" spans="1:40">
      <c r="A3136" t="s">
        <v>8081</v>
      </c>
      <c r="B3136" t="s">
        <v>4420</v>
      </c>
      <c r="C3136" t="s">
        <v>9961</v>
      </c>
      <c r="D3136" t="s">
        <v>52</v>
      </c>
      <c r="E3136" t="s">
        <v>10034</v>
      </c>
      <c r="F3136" t="s">
        <v>45</v>
      </c>
      <c r="G3136" t="str">
        <f>HYPERLINK("https://www.instagram.com/p/BzEQUUQFzJC")</f>
        <v>https://www.instagram.com/p/BzEQUUQFzJC</v>
      </c>
      <c r="H3136" t="s">
        <v>215</v>
      </c>
      <c r="I3136" t="s">
        <v>10035</v>
      </c>
      <c r="J3136" t="str">
        <f>HYPERLINK("http://instagram.com/meme_stickers_4you")</f>
        <v>http://instagram.com/meme_stickers_4you</v>
      </c>
      <c r="K3136">
        <v>100</v>
      </c>
      <c r="N3136" t="s">
        <v>59</v>
      </c>
      <c r="O3136" t="s">
        <v>10035</v>
      </c>
      <c r="P3136" t="str">
        <f>HYPERLINK("http://instagram.com/meme_stickers_4you")</f>
        <v>http://instagram.com/meme_stickers_4you</v>
      </c>
      <c r="Q3136">
        <v>100</v>
      </c>
      <c r="R3136" t="s">
        <v>60</v>
      </c>
      <c r="W3136">
        <v>8</v>
      </c>
      <c r="X3136">
        <v>8</v>
      </c>
      <c r="AE3136">
        <v>0</v>
      </c>
      <c r="AI3136" t="s">
        <v>108</v>
      </c>
      <c r="AJ3136" t="s">
        <v>4819</v>
      </c>
      <c r="AK3136" t="s">
        <v>52</v>
      </c>
      <c r="AL3136" t="str">
        <f>HYPERLINK("https://www.instagram.com/p/BzEQUUQFzJC/media/?size=l")</f>
        <v>https://www.instagram.com/p/BzEQUUQFzJC/media/?size=l</v>
      </c>
      <c r="AM3136" t="s">
        <v>52</v>
      </c>
      <c r="AN3136" t="s">
        <v>53</v>
      </c>
    </row>
    <row r="3137" spans="1:40">
      <c r="A3137" t="s">
        <v>8081</v>
      </c>
      <c r="B3137" t="s">
        <v>4420</v>
      </c>
      <c r="C3137" t="s">
        <v>9961</v>
      </c>
      <c r="D3137" t="s">
        <v>52</v>
      </c>
      <c r="E3137" t="s">
        <v>10036</v>
      </c>
      <c r="F3137" t="s">
        <v>45</v>
      </c>
      <c r="G3137" t="str">
        <f>HYPERLINK("https://www.instagram.com/p/BzEQTX2nUvW")</f>
        <v>https://www.instagram.com/p/BzEQTX2nUvW</v>
      </c>
      <c r="H3137" t="s">
        <v>46</v>
      </c>
      <c r="I3137" t="s">
        <v>10037</v>
      </c>
      <c r="J3137" t="str">
        <f>HYPERLINK("http://instagram.com/rscuba")</f>
        <v>http://instagram.com/rscuba</v>
      </c>
      <c r="K3137">
        <v>1150</v>
      </c>
      <c r="L3137" t="s">
        <v>48</v>
      </c>
      <c r="N3137" t="s">
        <v>59</v>
      </c>
      <c r="O3137" t="s">
        <v>10037</v>
      </c>
      <c r="P3137" t="str">
        <f>HYPERLINK("http://instagram.com/rscuba")</f>
        <v>http://instagram.com/rscuba</v>
      </c>
      <c r="Q3137">
        <v>1150</v>
      </c>
      <c r="R3137" t="s">
        <v>60</v>
      </c>
      <c r="S3137" t="s">
        <v>432</v>
      </c>
      <c r="T3137" t="s">
        <v>433</v>
      </c>
      <c r="W3137">
        <v>167</v>
      </c>
      <c r="X3137">
        <v>167</v>
      </c>
      <c r="AE3137">
        <v>13</v>
      </c>
      <c r="AI3137" t="s">
        <v>52</v>
      </c>
      <c r="AJ3137" t="s">
        <v>10038</v>
      </c>
      <c r="AK3137" t="s">
        <v>2565</v>
      </c>
      <c r="AL3137" t="str">
        <f>HYPERLINK("https://www.instagram.com/p/BzEQTX2nUvW/media/?size=l")</f>
        <v>https://www.instagram.com/p/BzEQTX2nUvW/media/?size=l</v>
      </c>
      <c r="AM3137" t="s">
        <v>52</v>
      </c>
      <c r="AN3137" t="s">
        <v>53</v>
      </c>
    </row>
    <row r="3138" spans="1:40">
      <c r="A3138" t="s">
        <v>8081</v>
      </c>
      <c r="B3138" t="s">
        <v>4420</v>
      </c>
      <c r="C3138" t="s">
        <v>9968</v>
      </c>
      <c r="D3138" t="s">
        <v>52</v>
      </c>
      <c r="E3138" t="s">
        <v>1194</v>
      </c>
      <c r="F3138" t="s">
        <v>131</v>
      </c>
      <c r="G3138" t="str">
        <f>HYPERLINK("https://twitter.com/2937372277/status/1142899262902005761")</f>
        <v>https://twitter.com/2937372277/status/1142899262902005761</v>
      </c>
      <c r="H3138" t="s">
        <v>46</v>
      </c>
      <c r="I3138" t="s">
        <v>10039</v>
      </c>
      <c r="J3138" t="str">
        <f>HYPERLINK("http://twitter.com/melanaayysobri")</f>
        <v>http://twitter.com/melanaayysobri</v>
      </c>
      <c r="K3138">
        <v>399</v>
      </c>
      <c r="L3138" t="s">
        <v>58</v>
      </c>
      <c r="N3138" t="s">
        <v>65</v>
      </c>
      <c r="R3138" t="s">
        <v>60</v>
      </c>
      <c r="W3138">
        <v>0</v>
      </c>
      <c r="X3138">
        <v>0</v>
      </c>
      <c r="AE3138">
        <v>0</v>
      </c>
      <c r="AI3138" t="s">
        <v>52</v>
      </c>
      <c r="AJ3138" t="s">
        <v>1196</v>
      </c>
      <c r="AK3138" t="s">
        <v>52</v>
      </c>
      <c r="AL3138" t="str">
        <f>HYPERLINK("https://pbs.twimg.com/media/D9xgk2YXkAAd2ql.jpg")</f>
        <v>https://pbs.twimg.com/media/D9xgk2YXkAAd2ql.jpg</v>
      </c>
      <c r="AM3138" t="s">
        <v>52</v>
      </c>
      <c r="AN3138" t="s">
        <v>53</v>
      </c>
    </row>
    <row r="3139" spans="1:40">
      <c r="A3139" t="s">
        <v>8081</v>
      </c>
      <c r="B3139" t="s">
        <v>4420</v>
      </c>
      <c r="C3139" t="s">
        <v>9968</v>
      </c>
      <c r="D3139" t="s">
        <v>52</v>
      </c>
      <c r="E3139" t="s">
        <v>1194</v>
      </c>
      <c r="F3139" t="s">
        <v>131</v>
      </c>
      <c r="G3139" t="str">
        <f>HYPERLINK("https://twitter.com/1711482252/status/1142899259433521153")</f>
        <v>https://twitter.com/1711482252/status/1142899259433521153</v>
      </c>
      <c r="H3139" t="s">
        <v>46</v>
      </c>
      <c r="I3139" t="s">
        <v>10040</v>
      </c>
      <c r="J3139" t="str">
        <f>HYPERLINK("http://twitter.com/SeeEmyliPlay")</f>
        <v>http://twitter.com/SeeEmyliPlay</v>
      </c>
      <c r="K3139">
        <v>500</v>
      </c>
      <c r="N3139" t="s">
        <v>65</v>
      </c>
      <c r="R3139" t="s">
        <v>60</v>
      </c>
      <c r="W3139">
        <v>0</v>
      </c>
      <c r="X3139">
        <v>0</v>
      </c>
      <c r="AE3139">
        <v>0</v>
      </c>
      <c r="AI3139" t="s">
        <v>52</v>
      </c>
      <c r="AJ3139" t="s">
        <v>1196</v>
      </c>
      <c r="AK3139" t="s">
        <v>52</v>
      </c>
      <c r="AL3139" t="str">
        <f>HYPERLINK("https://pbs.twimg.com/media/D9xgk2YXkAAd2ql.jpg")</f>
        <v>https://pbs.twimg.com/media/D9xgk2YXkAAd2ql.jpg</v>
      </c>
      <c r="AM3139" t="s">
        <v>52</v>
      </c>
      <c r="AN3139" t="s">
        <v>53</v>
      </c>
    </row>
    <row r="3140" spans="1:40">
      <c r="A3140" t="s">
        <v>8081</v>
      </c>
      <c r="B3140" t="s">
        <v>4420</v>
      </c>
      <c r="C3140" t="s">
        <v>9998</v>
      </c>
      <c r="D3140" t="s">
        <v>52</v>
      </c>
      <c r="E3140" t="s">
        <v>10041</v>
      </c>
      <c r="F3140" t="s">
        <v>45</v>
      </c>
      <c r="G3140" t="str">
        <f>HYPERLINK("https://www.instagram.com/p/BzEQRhuA5e1")</f>
        <v>https://www.instagram.com/p/BzEQRhuA5e1</v>
      </c>
      <c r="H3140" t="s">
        <v>46</v>
      </c>
      <c r="I3140" t="s">
        <v>10042</v>
      </c>
      <c r="J3140" t="str">
        <f>HYPERLINK("http://instagram.com/evergreensasquatch")</f>
        <v>http://instagram.com/evergreensasquatch</v>
      </c>
      <c r="K3140">
        <v>566</v>
      </c>
      <c r="N3140" t="s">
        <v>59</v>
      </c>
      <c r="O3140" t="s">
        <v>10042</v>
      </c>
      <c r="P3140" t="str">
        <f>HYPERLINK("http://instagram.com/evergreensasquatch")</f>
        <v>http://instagram.com/evergreensasquatch</v>
      </c>
      <c r="Q3140">
        <v>566</v>
      </c>
      <c r="R3140" t="s">
        <v>60</v>
      </c>
      <c r="W3140">
        <v>26</v>
      </c>
      <c r="X3140">
        <v>26</v>
      </c>
      <c r="AE3140">
        <v>4</v>
      </c>
      <c r="AI3140" t="s">
        <v>52</v>
      </c>
      <c r="AJ3140" t="s">
        <v>321</v>
      </c>
      <c r="AK3140" t="s">
        <v>52</v>
      </c>
      <c r="AL3140" t="str">
        <f>HYPERLINK("https://www.instagram.com/p/BzEQRhuA5e1/media/?size=l")</f>
        <v>https://www.instagram.com/p/BzEQRhuA5e1/media/?size=l</v>
      </c>
      <c r="AM3140" t="s">
        <v>52</v>
      </c>
      <c r="AN3140" t="s">
        <v>53</v>
      </c>
    </row>
    <row r="3141" spans="1:40">
      <c r="A3141" t="s">
        <v>8081</v>
      </c>
      <c r="B3141" t="s">
        <v>4420</v>
      </c>
      <c r="C3141" t="s">
        <v>10030</v>
      </c>
      <c r="D3141" t="s">
        <v>52</v>
      </c>
      <c r="E3141" t="s">
        <v>1194</v>
      </c>
      <c r="F3141" t="s">
        <v>131</v>
      </c>
      <c r="G3141" t="str">
        <f>HYPERLINK("https://twitter.com/268672066/status/1142899230362787845")</f>
        <v>https://twitter.com/268672066/status/1142899230362787845</v>
      </c>
      <c r="H3141" t="s">
        <v>46</v>
      </c>
      <c r="I3141" t="s">
        <v>10043</v>
      </c>
      <c r="J3141" t="str">
        <f>HYPERLINK("http://twitter.com/paulations")</f>
        <v>http://twitter.com/paulations</v>
      </c>
      <c r="K3141">
        <v>614</v>
      </c>
      <c r="N3141" t="s">
        <v>65</v>
      </c>
      <c r="R3141" t="s">
        <v>60</v>
      </c>
      <c r="S3141" t="s">
        <v>432</v>
      </c>
      <c r="T3141" t="s">
        <v>4451</v>
      </c>
      <c r="W3141">
        <v>0</v>
      </c>
      <c r="X3141">
        <v>0</v>
      </c>
      <c r="AE3141">
        <v>0</v>
      </c>
      <c r="AI3141" t="s">
        <v>52</v>
      </c>
      <c r="AJ3141" t="s">
        <v>1196</v>
      </c>
      <c r="AK3141" t="s">
        <v>52</v>
      </c>
      <c r="AL3141" t="str">
        <f>HYPERLINK("https://pbs.twimg.com/media/D9xgk2YXkAAd2ql.jpg")</f>
        <v>https://pbs.twimg.com/media/D9xgk2YXkAAd2ql.jpg</v>
      </c>
      <c r="AM3141" t="s">
        <v>52</v>
      </c>
      <c r="AN3141" t="s">
        <v>53</v>
      </c>
    </row>
    <row r="3142" spans="1:40">
      <c r="A3142" t="s">
        <v>8081</v>
      </c>
      <c r="B3142" t="s">
        <v>4420</v>
      </c>
      <c r="C3142" t="s">
        <v>10044</v>
      </c>
      <c r="D3142" t="s">
        <v>52</v>
      </c>
      <c r="E3142" t="s">
        <v>1194</v>
      </c>
      <c r="F3142" t="s">
        <v>131</v>
      </c>
      <c r="G3142" t="str">
        <f>HYPERLINK("https://twitter.com/2607545439/status/1142899220476825600")</f>
        <v>https://twitter.com/2607545439/status/1142899220476825600</v>
      </c>
      <c r="H3142" t="s">
        <v>46</v>
      </c>
      <c r="I3142" t="s">
        <v>391</v>
      </c>
      <c r="J3142" t="str">
        <f>HYPERLINK("http://twitter.com/XallyJasso")</f>
        <v>http://twitter.com/XallyJasso</v>
      </c>
      <c r="K3142">
        <v>325</v>
      </c>
      <c r="N3142" t="s">
        <v>65</v>
      </c>
      <c r="R3142" t="s">
        <v>60</v>
      </c>
      <c r="W3142">
        <v>0</v>
      </c>
      <c r="X3142">
        <v>0</v>
      </c>
      <c r="AE3142">
        <v>0</v>
      </c>
      <c r="AI3142" t="s">
        <v>52</v>
      </c>
      <c r="AJ3142" t="s">
        <v>1196</v>
      </c>
      <c r="AK3142" t="s">
        <v>52</v>
      </c>
      <c r="AL3142" t="str">
        <f>HYPERLINK("https://pbs.twimg.com/media/D9xgk2YXkAAd2ql.jpg")</f>
        <v>https://pbs.twimg.com/media/D9xgk2YXkAAd2ql.jpg</v>
      </c>
      <c r="AM3142" t="s">
        <v>52</v>
      </c>
      <c r="AN3142" t="s">
        <v>53</v>
      </c>
    </row>
    <row r="3143" spans="1:40">
      <c r="A3143" t="s">
        <v>8081</v>
      </c>
      <c r="B3143" t="s">
        <v>4420</v>
      </c>
      <c r="C3143" t="s">
        <v>10044</v>
      </c>
      <c r="D3143" t="s">
        <v>52</v>
      </c>
      <c r="E3143" t="s">
        <v>1194</v>
      </c>
      <c r="F3143" t="s">
        <v>131</v>
      </c>
      <c r="G3143" t="str">
        <f>HYPERLINK("https://twitter.com/2494631694/status/1142899210024554498")</f>
        <v>https://twitter.com/2494631694/status/1142899210024554498</v>
      </c>
      <c r="H3143" t="s">
        <v>46</v>
      </c>
      <c r="I3143" t="s">
        <v>10045</v>
      </c>
      <c r="J3143" t="str">
        <f>HYPERLINK("http://twitter.com/femkeleers")</f>
        <v>http://twitter.com/femkeleers</v>
      </c>
      <c r="K3143">
        <v>200</v>
      </c>
      <c r="N3143" t="s">
        <v>65</v>
      </c>
      <c r="R3143" t="s">
        <v>60</v>
      </c>
      <c r="W3143">
        <v>0</v>
      </c>
      <c r="X3143">
        <v>0</v>
      </c>
      <c r="AE3143">
        <v>0</v>
      </c>
      <c r="AI3143" t="s">
        <v>52</v>
      </c>
      <c r="AJ3143" t="s">
        <v>1196</v>
      </c>
      <c r="AK3143" t="s">
        <v>52</v>
      </c>
      <c r="AL3143" t="str">
        <f>HYPERLINK("https://pbs.twimg.com/media/D9xgk2YXkAAd2ql.jpg")</f>
        <v>https://pbs.twimg.com/media/D9xgk2YXkAAd2ql.jpg</v>
      </c>
      <c r="AM3143" t="s">
        <v>52</v>
      </c>
      <c r="AN3143" t="s">
        <v>53</v>
      </c>
    </row>
    <row r="3144" spans="1:40">
      <c r="A3144" t="s">
        <v>8081</v>
      </c>
      <c r="B3144" t="s">
        <v>4420</v>
      </c>
      <c r="C3144" t="s">
        <v>10044</v>
      </c>
      <c r="D3144" t="s">
        <v>52</v>
      </c>
      <c r="E3144" t="s">
        <v>1194</v>
      </c>
      <c r="F3144" t="s">
        <v>131</v>
      </c>
      <c r="G3144" t="str">
        <f>HYPERLINK("https://twitter.com/270496566/status/1142899206774018049")</f>
        <v>https://twitter.com/270496566/status/1142899206774018049</v>
      </c>
      <c r="H3144" t="s">
        <v>46</v>
      </c>
      <c r="I3144" t="s">
        <v>10046</v>
      </c>
      <c r="J3144" t="str">
        <f>HYPERLINK("http://twitter.com/sadempath")</f>
        <v>http://twitter.com/sadempath</v>
      </c>
      <c r="K3144">
        <v>640</v>
      </c>
      <c r="N3144" t="s">
        <v>65</v>
      </c>
      <c r="R3144" t="s">
        <v>60</v>
      </c>
      <c r="S3144" t="s">
        <v>1947</v>
      </c>
      <c r="T3144" t="s">
        <v>2484</v>
      </c>
      <c r="U3144" t="s">
        <v>2485</v>
      </c>
      <c r="W3144">
        <v>0</v>
      </c>
      <c r="X3144">
        <v>0</v>
      </c>
      <c r="AE3144">
        <v>0</v>
      </c>
      <c r="AI3144" t="s">
        <v>52</v>
      </c>
      <c r="AJ3144" t="s">
        <v>1196</v>
      </c>
      <c r="AK3144" t="s">
        <v>52</v>
      </c>
      <c r="AL3144" t="str">
        <f>HYPERLINK("https://pbs.twimg.com/media/D9xgk2YXkAAd2ql.jpg")</f>
        <v>https://pbs.twimg.com/media/D9xgk2YXkAAd2ql.jpg</v>
      </c>
      <c r="AM3144" t="s">
        <v>52</v>
      </c>
      <c r="AN3144" t="s">
        <v>53</v>
      </c>
    </row>
    <row r="3145" spans="1:40">
      <c r="A3145" t="s">
        <v>8081</v>
      </c>
      <c r="B3145" t="s">
        <v>4420</v>
      </c>
      <c r="C3145" t="s">
        <v>10044</v>
      </c>
      <c r="D3145" t="s">
        <v>52</v>
      </c>
      <c r="E3145" t="s">
        <v>10047</v>
      </c>
      <c r="F3145" t="s">
        <v>95</v>
      </c>
      <c r="G3145" t="str">
        <f>HYPERLINK("https://twitter.com/796265252/status/1142899199278796800")</f>
        <v>https://twitter.com/796265252/status/1142899199278796800</v>
      </c>
      <c r="H3145" t="s">
        <v>46</v>
      </c>
      <c r="I3145" t="s">
        <v>10048</v>
      </c>
      <c r="J3145" t="str">
        <f>HYPERLINK("http://twitter.com/KiaraParma")</f>
        <v>http://twitter.com/KiaraParma</v>
      </c>
      <c r="K3145">
        <v>613</v>
      </c>
      <c r="L3145" t="s">
        <v>58</v>
      </c>
      <c r="N3145" t="s">
        <v>65</v>
      </c>
      <c r="R3145" t="s">
        <v>60</v>
      </c>
      <c r="W3145">
        <v>0</v>
      </c>
      <c r="X3145">
        <v>0</v>
      </c>
      <c r="AE3145">
        <v>1</v>
      </c>
      <c r="AF3145">
        <v>0</v>
      </c>
      <c r="AM3145" t="s">
        <v>52</v>
      </c>
      <c r="AN3145" t="s">
        <v>53</v>
      </c>
    </row>
    <row r="3146" spans="1:40">
      <c r="A3146" t="s">
        <v>8081</v>
      </c>
      <c r="B3146" t="s">
        <v>4420</v>
      </c>
      <c r="C3146" t="s">
        <v>10049</v>
      </c>
      <c r="D3146" t="s">
        <v>52</v>
      </c>
      <c r="E3146" t="s">
        <v>1194</v>
      </c>
      <c r="F3146" t="s">
        <v>131</v>
      </c>
      <c r="G3146" t="str">
        <f>HYPERLINK("https://twitter.com/704762427116822528/status/1142899163056824320")</f>
        <v>https://twitter.com/704762427116822528/status/1142899163056824320</v>
      </c>
      <c r="H3146" t="s">
        <v>46</v>
      </c>
      <c r="I3146" t="s">
        <v>10050</v>
      </c>
      <c r="J3146" t="str">
        <f>HYPERLINK("http://twitter.com/airy_airhead")</f>
        <v>http://twitter.com/airy_airhead</v>
      </c>
      <c r="K3146">
        <v>110</v>
      </c>
      <c r="N3146" t="s">
        <v>65</v>
      </c>
      <c r="R3146" t="s">
        <v>60</v>
      </c>
      <c r="W3146">
        <v>0</v>
      </c>
      <c r="X3146">
        <v>0</v>
      </c>
      <c r="AE3146">
        <v>0</v>
      </c>
      <c r="AI3146" t="s">
        <v>52</v>
      </c>
      <c r="AJ3146" t="s">
        <v>1196</v>
      </c>
      <c r="AK3146" t="s">
        <v>52</v>
      </c>
      <c r="AL3146" t="str">
        <f>HYPERLINK("https://pbs.twimg.com/media/D9xgk2YXkAAd2ql.jpg")</f>
        <v>https://pbs.twimg.com/media/D9xgk2YXkAAd2ql.jpg</v>
      </c>
      <c r="AM3146" t="s">
        <v>52</v>
      </c>
      <c r="AN3146" t="s">
        <v>53</v>
      </c>
    </row>
    <row r="3147" spans="1:40">
      <c r="A3147" t="s">
        <v>8081</v>
      </c>
      <c r="B3147" t="s">
        <v>4420</v>
      </c>
      <c r="C3147" t="s">
        <v>10051</v>
      </c>
      <c r="D3147" t="s">
        <v>52</v>
      </c>
      <c r="E3147" t="s">
        <v>4514</v>
      </c>
      <c r="F3147" t="s">
        <v>71</v>
      </c>
      <c r="G3147" t="str">
        <f>HYPERLINK("https://twitter.com/565250813/status/1142899130785652736")</f>
        <v>https://twitter.com/565250813/status/1142899130785652736</v>
      </c>
      <c r="H3147" t="s">
        <v>46</v>
      </c>
      <c r="I3147" t="s">
        <v>10052</v>
      </c>
      <c r="J3147" t="str">
        <f>HYPERLINK("http://twitter.com/redseoltang")</f>
        <v>http://twitter.com/redseoltang</v>
      </c>
      <c r="K3147">
        <v>525</v>
      </c>
      <c r="N3147" t="s">
        <v>65</v>
      </c>
      <c r="R3147" t="s">
        <v>60</v>
      </c>
      <c r="W3147">
        <v>0</v>
      </c>
      <c r="X3147">
        <v>0</v>
      </c>
      <c r="AE3147">
        <v>0</v>
      </c>
      <c r="AF3147">
        <v>0</v>
      </c>
      <c r="AI3147" t="s">
        <v>108</v>
      </c>
      <c r="AJ3147" t="s">
        <v>52</v>
      </c>
      <c r="AK3147" t="s">
        <v>52</v>
      </c>
      <c r="AL3147" t="str">
        <f>HYPERLINK("https://pbs.twimg.com/tweet_video_thumb/D9hvNNzXUAATAS3.jpg")</f>
        <v>https://pbs.twimg.com/tweet_video_thumb/D9hvNNzXUAATAS3.jpg</v>
      </c>
      <c r="AM3147" t="s">
        <v>52</v>
      </c>
      <c r="AN3147" t="s">
        <v>53</v>
      </c>
    </row>
    <row r="3148" spans="1:40">
      <c r="A3148" t="s">
        <v>8081</v>
      </c>
      <c r="B3148" t="s">
        <v>4433</v>
      </c>
      <c r="C3148" t="s">
        <v>10053</v>
      </c>
      <c r="D3148" t="s">
        <v>52</v>
      </c>
      <c r="E3148" t="s">
        <v>10054</v>
      </c>
      <c r="F3148" t="s">
        <v>95</v>
      </c>
      <c r="G3148" t="str">
        <f>HYPERLINK("https://twitter.com/3186943428/status/1142898474624720898")</f>
        <v>https://twitter.com/3186943428/status/1142898474624720898</v>
      </c>
      <c r="H3148" t="s">
        <v>46</v>
      </c>
      <c r="I3148" t="s">
        <v>10055</v>
      </c>
      <c r="J3148" t="str">
        <f>HYPERLINK("http://twitter.com/Ayygent92")</f>
        <v>http://twitter.com/Ayygent92</v>
      </c>
      <c r="K3148">
        <v>492</v>
      </c>
      <c r="N3148" t="s">
        <v>65</v>
      </c>
      <c r="R3148" t="s">
        <v>60</v>
      </c>
      <c r="S3148" t="s">
        <v>51</v>
      </c>
      <c r="T3148" t="s">
        <v>1661</v>
      </c>
      <c r="U3148" t="s">
        <v>10056</v>
      </c>
      <c r="W3148">
        <v>1</v>
      </c>
      <c r="X3148">
        <v>1</v>
      </c>
      <c r="AE3148">
        <v>0</v>
      </c>
      <c r="AF3148">
        <v>0</v>
      </c>
      <c r="AM3148" t="s">
        <v>52</v>
      </c>
      <c r="AN3148" t="s">
        <v>53</v>
      </c>
    </row>
    <row r="3149" spans="1:40">
      <c r="A3149" t="s">
        <v>8081</v>
      </c>
      <c r="B3149" t="s">
        <v>4433</v>
      </c>
      <c r="C3149" t="s">
        <v>8954</v>
      </c>
      <c r="D3149" t="s">
        <v>10057</v>
      </c>
      <c r="E3149" t="s">
        <v>10058</v>
      </c>
      <c r="F3149" t="s">
        <v>95</v>
      </c>
      <c r="G3149" t="str">
        <f>HYPERLINK("https://telegram.me/PawsAreFuckinGucci/3375")</f>
        <v>https://telegram.me/PawsAreFuckinGucci/3375</v>
      </c>
      <c r="H3149" t="s">
        <v>46</v>
      </c>
      <c r="I3149" t="s">
        <v>10059</v>
      </c>
      <c r="J3149" t="str">
        <f>HYPERLINK("https://telegram.me/loganxxxxx")</f>
        <v>https://telegram.me/loganxxxxx</v>
      </c>
      <c r="N3149" t="s">
        <v>4242</v>
      </c>
      <c r="O3149" t="s">
        <v>10060</v>
      </c>
      <c r="P3149" t="str">
        <f>HYPERLINK("https://telegram.me/pawsarefuckingucci")</f>
        <v>https://telegram.me/pawsarefuckingucci</v>
      </c>
      <c r="Q3149">
        <v>101</v>
      </c>
      <c r="R3149" t="s">
        <v>4244</v>
      </c>
      <c r="AM3149" t="s">
        <v>52</v>
      </c>
      <c r="AN3149" t="s">
        <v>53</v>
      </c>
    </row>
    <row r="3150" spans="1:40">
      <c r="A3150" t="s">
        <v>8081</v>
      </c>
      <c r="B3150" t="s">
        <v>4461</v>
      </c>
      <c r="C3150" t="s">
        <v>10061</v>
      </c>
      <c r="D3150" t="s">
        <v>52</v>
      </c>
      <c r="E3150" t="s">
        <v>10062</v>
      </c>
      <c r="F3150" t="s">
        <v>95</v>
      </c>
      <c r="G3150" t="str">
        <f>HYPERLINK("https://twitter.com/95050068/status/1142898046516289538")</f>
        <v>https://twitter.com/95050068/status/1142898046516289538</v>
      </c>
      <c r="H3150" t="s">
        <v>46</v>
      </c>
      <c r="I3150" t="s">
        <v>10063</v>
      </c>
      <c r="J3150" t="str">
        <f>HYPERLINK("http://twitter.com/justamanda421")</f>
        <v>http://twitter.com/justamanda421</v>
      </c>
      <c r="K3150">
        <v>259</v>
      </c>
      <c r="L3150" t="s">
        <v>58</v>
      </c>
      <c r="N3150" t="s">
        <v>65</v>
      </c>
      <c r="R3150" t="s">
        <v>60</v>
      </c>
      <c r="S3150" t="s">
        <v>4488</v>
      </c>
      <c r="T3150" t="s">
        <v>10064</v>
      </c>
      <c r="U3150" t="s">
        <v>10065</v>
      </c>
      <c r="W3150">
        <v>1</v>
      </c>
      <c r="X3150">
        <v>1</v>
      </c>
      <c r="AE3150">
        <v>0</v>
      </c>
      <c r="AF3150">
        <v>0</v>
      </c>
      <c r="AM3150" t="s">
        <v>52</v>
      </c>
      <c r="AN3150" t="s">
        <v>53</v>
      </c>
    </row>
    <row r="3151" spans="1:40">
      <c r="A3151" t="s">
        <v>8081</v>
      </c>
      <c r="B3151" t="s">
        <v>4467</v>
      </c>
      <c r="C3151" t="s">
        <v>10053</v>
      </c>
      <c r="D3151" t="s">
        <v>52</v>
      </c>
      <c r="E3151" t="s">
        <v>10066</v>
      </c>
      <c r="F3151" t="s">
        <v>45</v>
      </c>
      <c r="G3151" t="str">
        <f>HYPERLINK("https://www.instagram.com/p/BzEPlx4BaYQ")</f>
        <v>https://www.instagram.com/p/BzEPlx4BaYQ</v>
      </c>
      <c r="H3151" t="s">
        <v>46</v>
      </c>
      <c r="I3151" t="s">
        <v>10067</v>
      </c>
      <c r="J3151" t="str">
        <f>HYPERLINK("http://instagram.com/jayspartycreations")</f>
        <v>http://instagram.com/jayspartycreations</v>
      </c>
      <c r="K3151">
        <v>50457</v>
      </c>
      <c r="N3151" t="s">
        <v>59</v>
      </c>
      <c r="O3151" t="s">
        <v>10067</v>
      </c>
      <c r="P3151" t="str">
        <f>HYPERLINK("http://instagram.com/jayspartycreations")</f>
        <v>http://instagram.com/jayspartycreations</v>
      </c>
      <c r="Q3151">
        <v>50457</v>
      </c>
      <c r="R3151" t="s">
        <v>60</v>
      </c>
      <c r="S3151" t="s">
        <v>51</v>
      </c>
      <c r="T3151" t="s">
        <v>380</v>
      </c>
      <c r="U3151" t="s">
        <v>380</v>
      </c>
      <c r="W3151">
        <v>292</v>
      </c>
      <c r="X3151">
        <v>292</v>
      </c>
      <c r="AE3151">
        <v>9</v>
      </c>
      <c r="AI3151" t="s">
        <v>52</v>
      </c>
      <c r="AJ3151" t="s">
        <v>52</v>
      </c>
      <c r="AK3151" t="s">
        <v>110</v>
      </c>
      <c r="AL3151" t="str">
        <f>HYPERLINK("https://www.instagram.com/p/BzEPlx4BaYQ/media/?size=l")</f>
        <v>https://www.instagram.com/p/BzEPlx4BaYQ/media/?size=l</v>
      </c>
      <c r="AM3151" t="s">
        <v>52</v>
      </c>
      <c r="AN3151" t="s">
        <v>53</v>
      </c>
    </row>
    <row r="3152" spans="1:40">
      <c r="A3152" t="s">
        <v>8081</v>
      </c>
      <c r="B3152" t="s">
        <v>4467</v>
      </c>
      <c r="C3152" t="s">
        <v>10061</v>
      </c>
      <c r="D3152" t="s">
        <v>52</v>
      </c>
      <c r="E3152" t="s">
        <v>10068</v>
      </c>
      <c r="F3152" t="s">
        <v>71</v>
      </c>
      <c r="G3152" t="str">
        <f>HYPERLINK("https://twitter.com/1137680351533441024/status/1142897735974248449")</f>
        <v>https://twitter.com/1137680351533441024/status/1142897735974248449</v>
      </c>
      <c r="H3152" t="s">
        <v>46</v>
      </c>
      <c r="I3152" t="s">
        <v>52</v>
      </c>
      <c r="J3152" t="str">
        <f>HYPERLINK("http://twitter.com/angelicmagician")</f>
        <v>http://twitter.com/angelicmagician</v>
      </c>
      <c r="K3152">
        <v>41</v>
      </c>
      <c r="N3152" t="s">
        <v>65</v>
      </c>
      <c r="R3152" t="s">
        <v>60</v>
      </c>
      <c r="W3152">
        <v>0</v>
      </c>
      <c r="X3152">
        <v>0</v>
      </c>
      <c r="AE3152">
        <v>0</v>
      </c>
      <c r="AF3152">
        <v>0</v>
      </c>
      <c r="AM3152" t="s">
        <v>52</v>
      </c>
      <c r="AN3152" t="s">
        <v>53</v>
      </c>
    </row>
    <row r="3153" spans="1:40">
      <c r="A3153" t="s">
        <v>8081</v>
      </c>
      <c r="B3153" t="s">
        <v>10069</v>
      </c>
      <c r="C3153" t="s">
        <v>10070</v>
      </c>
      <c r="D3153" t="s">
        <v>52</v>
      </c>
      <c r="E3153" t="s">
        <v>1194</v>
      </c>
      <c r="F3153" t="s">
        <v>131</v>
      </c>
      <c r="G3153" t="str">
        <f>HYPERLINK("https://twitter.com/193424976/status/1142897351079682049")</f>
        <v>https://twitter.com/193424976/status/1142897351079682049</v>
      </c>
      <c r="H3153" t="s">
        <v>46</v>
      </c>
      <c r="I3153" t="s">
        <v>10071</v>
      </c>
      <c r="J3153" t="str">
        <f>HYPERLINK("http://twitter.com/boreal__")</f>
        <v>http://twitter.com/boreal__</v>
      </c>
      <c r="K3153">
        <v>1079</v>
      </c>
      <c r="N3153" t="s">
        <v>65</v>
      </c>
      <c r="R3153" t="s">
        <v>60</v>
      </c>
      <c r="W3153">
        <v>0</v>
      </c>
      <c r="X3153">
        <v>0</v>
      </c>
      <c r="AE3153">
        <v>0</v>
      </c>
      <c r="AI3153" t="s">
        <v>52</v>
      </c>
      <c r="AJ3153" t="s">
        <v>1196</v>
      </c>
      <c r="AK3153" t="s">
        <v>52</v>
      </c>
      <c r="AL3153" t="str">
        <f>HYPERLINK("https://pbs.twimg.com/media/D9xgk2YXkAAd2ql.jpg")</f>
        <v>https://pbs.twimg.com/media/D9xgk2YXkAAd2ql.jpg</v>
      </c>
      <c r="AM3153" t="s">
        <v>52</v>
      </c>
      <c r="AN3153" t="s">
        <v>53</v>
      </c>
    </row>
    <row r="3154" spans="1:40">
      <c r="A3154" t="s">
        <v>8081</v>
      </c>
      <c r="B3154" t="s">
        <v>10069</v>
      </c>
      <c r="C3154" t="s">
        <v>10072</v>
      </c>
      <c r="D3154" t="s">
        <v>52</v>
      </c>
      <c r="E3154" t="s">
        <v>10073</v>
      </c>
      <c r="F3154" t="s">
        <v>45</v>
      </c>
      <c r="G3154" t="str">
        <f>HYPERLINK("https://twitter.com/881738694121496577/status/1142897332528340993")</f>
        <v>https://twitter.com/881738694121496577/status/1142897332528340993</v>
      </c>
      <c r="H3154" t="s">
        <v>46</v>
      </c>
      <c r="I3154" t="s">
        <v>10074</v>
      </c>
      <c r="J3154" t="str">
        <f>HYPERLINK("http://twitter.com/_QveenDest")</f>
        <v>http://twitter.com/_QveenDest</v>
      </c>
      <c r="K3154">
        <v>497</v>
      </c>
      <c r="N3154" t="s">
        <v>65</v>
      </c>
      <c r="R3154" t="s">
        <v>60</v>
      </c>
      <c r="S3154" t="s">
        <v>2416</v>
      </c>
      <c r="T3154" t="s">
        <v>10075</v>
      </c>
      <c r="U3154" t="s">
        <v>10076</v>
      </c>
      <c r="W3154">
        <v>0</v>
      </c>
      <c r="X3154">
        <v>0</v>
      </c>
      <c r="AE3154">
        <v>0</v>
      </c>
      <c r="AF3154">
        <v>0</v>
      </c>
      <c r="AM3154" t="s">
        <v>52</v>
      </c>
      <c r="AN3154" t="s">
        <v>53</v>
      </c>
    </row>
    <row r="3155" spans="1:40">
      <c r="A3155" t="s">
        <v>8081</v>
      </c>
      <c r="B3155" t="s">
        <v>10069</v>
      </c>
      <c r="C3155" t="s">
        <v>10072</v>
      </c>
      <c r="D3155" t="s">
        <v>52</v>
      </c>
      <c r="E3155" t="s">
        <v>9023</v>
      </c>
      <c r="F3155" t="s">
        <v>131</v>
      </c>
      <c r="G3155" t="str">
        <f>HYPERLINK("https://twitter.com/2458866008/status/1142897323154055168")</f>
        <v>https://twitter.com/2458866008/status/1142897323154055168</v>
      </c>
      <c r="H3155" t="s">
        <v>46</v>
      </c>
      <c r="I3155" t="s">
        <v>10077</v>
      </c>
      <c r="J3155" t="str">
        <f>HYPERLINK("http://twitter.com/Lalimifernet")</f>
        <v>http://twitter.com/Lalimifernet</v>
      </c>
      <c r="K3155">
        <v>2005</v>
      </c>
      <c r="N3155" t="s">
        <v>65</v>
      </c>
      <c r="R3155" t="s">
        <v>60</v>
      </c>
      <c r="S3155" t="s">
        <v>241</v>
      </c>
      <c r="T3155" t="s">
        <v>10078</v>
      </c>
      <c r="U3155" t="s">
        <v>10079</v>
      </c>
      <c r="W3155">
        <v>0</v>
      </c>
      <c r="X3155">
        <v>0</v>
      </c>
      <c r="AE3155">
        <v>0</v>
      </c>
      <c r="AI3155" t="s">
        <v>108</v>
      </c>
      <c r="AJ3155" t="s">
        <v>1182</v>
      </c>
      <c r="AK3155" t="s">
        <v>52</v>
      </c>
      <c r="AL3155" t="str">
        <f>HYPERLINK("https://pbs.twimg.com/media/D9tPJcrXoAAuJyr.jpg")</f>
        <v>https://pbs.twimg.com/media/D9tPJcrXoAAuJyr.jpg</v>
      </c>
      <c r="AM3155" t="s">
        <v>52</v>
      </c>
      <c r="AN3155" t="s">
        <v>53</v>
      </c>
    </row>
    <row r="3156" spans="1:40">
      <c r="A3156" t="s">
        <v>8081</v>
      </c>
      <c r="B3156" t="s">
        <v>10069</v>
      </c>
      <c r="C3156" t="s">
        <v>10072</v>
      </c>
      <c r="D3156" t="s">
        <v>52</v>
      </c>
      <c r="E3156" t="s">
        <v>10080</v>
      </c>
      <c r="F3156" t="s">
        <v>71</v>
      </c>
      <c r="G3156" t="str">
        <f>HYPERLINK("https://twitter.com/3189037598/status/1142897315071561731")</f>
        <v>https://twitter.com/3189037598/status/1142897315071561731</v>
      </c>
      <c r="H3156" t="s">
        <v>46</v>
      </c>
      <c r="I3156" t="s">
        <v>10081</v>
      </c>
      <c r="J3156" t="str">
        <f>HYPERLINK("http://twitter.com/glockTheezy")</f>
        <v>http://twitter.com/glockTheezy</v>
      </c>
      <c r="K3156">
        <v>444</v>
      </c>
      <c r="N3156" t="s">
        <v>65</v>
      </c>
      <c r="R3156" t="s">
        <v>60</v>
      </c>
      <c r="S3156" t="s">
        <v>1071</v>
      </c>
      <c r="T3156" t="s">
        <v>6398</v>
      </c>
      <c r="U3156" t="s">
        <v>10082</v>
      </c>
      <c r="W3156">
        <v>0</v>
      </c>
      <c r="X3156">
        <v>0</v>
      </c>
      <c r="AE3156">
        <v>0</v>
      </c>
      <c r="AF3156">
        <v>0</v>
      </c>
      <c r="AI3156" t="s">
        <v>108</v>
      </c>
      <c r="AJ3156" t="s">
        <v>52</v>
      </c>
      <c r="AK3156" t="s">
        <v>52</v>
      </c>
      <c r="AL3156" t="str">
        <f>HYPERLINK("https://pbs.twimg.com/media/D9sAXHUX4AA6vJs.jpg")</f>
        <v>https://pbs.twimg.com/media/D9sAXHUX4AA6vJs.jpg</v>
      </c>
      <c r="AM3156" t="s">
        <v>52</v>
      </c>
      <c r="AN3156" t="s">
        <v>53</v>
      </c>
    </row>
    <row r="3157" spans="1:40">
      <c r="A3157" t="s">
        <v>8081</v>
      </c>
      <c r="B3157" t="s">
        <v>10069</v>
      </c>
      <c r="C3157" t="s">
        <v>10053</v>
      </c>
      <c r="D3157" t="s">
        <v>52</v>
      </c>
      <c r="E3157" t="s">
        <v>1194</v>
      </c>
      <c r="F3157" t="s">
        <v>131</v>
      </c>
      <c r="G3157" t="str">
        <f>HYPERLINK("https://twitter.com/3388472260/status/1142897283824066560")</f>
        <v>https://twitter.com/3388472260/status/1142897283824066560</v>
      </c>
      <c r="H3157" t="s">
        <v>46</v>
      </c>
      <c r="I3157" t="s">
        <v>10083</v>
      </c>
      <c r="J3157" t="str">
        <f>HYPERLINK("http://twitter.com/madihaaaah")</f>
        <v>http://twitter.com/madihaaaah</v>
      </c>
      <c r="K3157">
        <v>294</v>
      </c>
      <c r="N3157" t="s">
        <v>65</v>
      </c>
      <c r="R3157" t="s">
        <v>60</v>
      </c>
      <c r="W3157">
        <v>0</v>
      </c>
      <c r="X3157">
        <v>0</v>
      </c>
      <c r="AE3157">
        <v>0</v>
      </c>
      <c r="AI3157" t="s">
        <v>52</v>
      </c>
      <c r="AJ3157" t="s">
        <v>1196</v>
      </c>
      <c r="AK3157" t="s">
        <v>52</v>
      </c>
      <c r="AL3157" t="str">
        <f>HYPERLINK("https://pbs.twimg.com/media/D9xgk2YXkAAd2ql.jpg")</f>
        <v>https://pbs.twimg.com/media/D9xgk2YXkAAd2ql.jpg</v>
      </c>
      <c r="AM3157" t="s">
        <v>52</v>
      </c>
      <c r="AN3157" t="s">
        <v>53</v>
      </c>
    </row>
    <row r="3158" spans="1:40">
      <c r="A3158" t="s">
        <v>8081</v>
      </c>
      <c r="B3158" t="s">
        <v>10069</v>
      </c>
      <c r="C3158" t="s">
        <v>10053</v>
      </c>
      <c r="D3158" t="s">
        <v>52</v>
      </c>
      <c r="E3158" t="s">
        <v>10084</v>
      </c>
      <c r="F3158" t="s">
        <v>45</v>
      </c>
      <c r="G3158" t="str">
        <f>HYPERLINK("https://twitter.com/1714459124/status/1142897276458811394")</f>
        <v>https://twitter.com/1714459124/status/1142897276458811394</v>
      </c>
      <c r="H3158" t="s">
        <v>46</v>
      </c>
      <c r="I3158" t="s">
        <v>10085</v>
      </c>
      <c r="J3158" t="str">
        <f>HYPERLINK("http://twitter.com/Andrewventura5")</f>
        <v>http://twitter.com/Andrewventura5</v>
      </c>
      <c r="K3158">
        <v>721</v>
      </c>
      <c r="L3158" t="s">
        <v>48</v>
      </c>
      <c r="N3158" t="s">
        <v>65</v>
      </c>
      <c r="R3158" t="s">
        <v>60</v>
      </c>
      <c r="W3158">
        <v>15</v>
      </c>
      <c r="X3158">
        <v>15</v>
      </c>
      <c r="AE3158">
        <v>3</v>
      </c>
      <c r="AF3158">
        <v>1</v>
      </c>
      <c r="AM3158" t="s">
        <v>52</v>
      </c>
      <c r="AN3158" t="s">
        <v>53</v>
      </c>
    </row>
    <row r="3159" spans="1:40">
      <c r="A3159" t="s">
        <v>8081</v>
      </c>
      <c r="B3159" t="s">
        <v>10069</v>
      </c>
      <c r="C3159" t="s">
        <v>10053</v>
      </c>
      <c r="D3159" t="s">
        <v>52</v>
      </c>
      <c r="E3159" t="s">
        <v>10086</v>
      </c>
      <c r="F3159" t="s">
        <v>45</v>
      </c>
      <c r="G3159" t="str">
        <f>HYPERLINK("https://twitter.com/1055536290/status/1142897274017767424")</f>
        <v>https://twitter.com/1055536290/status/1142897274017767424</v>
      </c>
      <c r="H3159" t="s">
        <v>46</v>
      </c>
      <c r="I3159" t="s">
        <v>10087</v>
      </c>
      <c r="J3159" t="str">
        <f>HYPERLINK("http://twitter.com/intransitivelie")</f>
        <v>http://twitter.com/intransitivelie</v>
      </c>
      <c r="K3159">
        <v>96</v>
      </c>
      <c r="N3159" t="s">
        <v>65</v>
      </c>
      <c r="R3159" t="s">
        <v>60</v>
      </c>
      <c r="S3159" t="s">
        <v>1403</v>
      </c>
      <c r="T3159" t="s">
        <v>2141</v>
      </c>
      <c r="U3159" t="s">
        <v>2142</v>
      </c>
      <c r="W3159">
        <v>0</v>
      </c>
      <c r="X3159">
        <v>0</v>
      </c>
      <c r="AE3159">
        <v>0</v>
      </c>
      <c r="AF3159">
        <v>0</v>
      </c>
      <c r="AM3159" t="s">
        <v>52</v>
      </c>
      <c r="AN3159" t="s">
        <v>53</v>
      </c>
    </row>
    <row r="3160" spans="1:40">
      <c r="A3160" t="s">
        <v>8081</v>
      </c>
      <c r="B3160" t="s">
        <v>10069</v>
      </c>
      <c r="C3160" t="s">
        <v>10053</v>
      </c>
      <c r="D3160" t="s">
        <v>52</v>
      </c>
      <c r="E3160" t="s">
        <v>1194</v>
      </c>
      <c r="F3160" t="s">
        <v>131</v>
      </c>
      <c r="G3160" t="str">
        <f>HYPERLINK("https://twitter.com/568466357/status/1142897267516592128")</f>
        <v>https://twitter.com/568466357/status/1142897267516592128</v>
      </c>
      <c r="H3160" t="s">
        <v>46</v>
      </c>
      <c r="I3160" t="s">
        <v>10088</v>
      </c>
      <c r="J3160" t="str">
        <f>HYPERLINK("http://twitter.com/subzeroSbxX")</f>
        <v>http://twitter.com/subzeroSbxX</v>
      </c>
      <c r="K3160">
        <v>163</v>
      </c>
      <c r="N3160" t="s">
        <v>65</v>
      </c>
      <c r="R3160" t="s">
        <v>60</v>
      </c>
      <c r="W3160">
        <v>0</v>
      </c>
      <c r="X3160">
        <v>0</v>
      </c>
      <c r="AE3160">
        <v>0</v>
      </c>
      <c r="AI3160" t="s">
        <v>52</v>
      </c>
      <c r="AJ3160" t="s">
        <v>1196</v>
      </c>
      <c r="AK3160" t="s">
        <v>52</v>
      </c>
      <c r="AL3160" t="str">
        <f>HYPERLINK("https://pbs.twimg.com/media/D9xgk2YXkAAd2ql.jpg")</f>
        <v>https://pbs.twimg.com/media/D9xgk2YXkAAd2ql.jpg</v>
      </c>
      <c r="AM3160" t="s">
        <v>52</v>
      </c>
      <c r="AN3160" t="s">
        <v>53</v>
      </c>
    </row>
    <row r="3161" spans="1:40">
      <c r="A3161" t="s">
        <v>8081</v>
      </c>
      <c r="B3161" t="s">
        <v>10069</v>
      </c>
      <c r="C3161" t="s">
        <v>9968</v>
      </c>
      <c r="D3161" t="s">
        <v>52</v>
      </c>
      <c r="E3161" t="s">
        <v>1194</v>
      </c>
      <c r="F3161" t="s">
        <v>131</v>
      </c>
      <c r="G3161" t="str">
        <f>HYPERLINK("https://twitter.com/920863620858179584/status/1142897180220350464")</f>
        <v>https://twitter.com/920863620858179584/status/1142897180220350464</v>
      </c>
      <c r="H3161" t="s">
        <v>46</v>
      </c>
      <c r="I3161" t="s">
        <v>10089</v>
      </c>
      <c r="J3161" t="str">
        <f>HYPERLINK("http://twitter.com/erin_adeline")</f>
        <v>http://twitter.com/erin_adeline</v>
      </c>
      <c r="K3161">
        <v>90</v>
      </c>
      <c r="N3161" t="s">
        <v>65</v>
      </c>
      <c r="R3161" t="s">
        <v>60</v>
      </c>
      <c r="S3161" t="s">
        <v>51</v>
      </c>
      <c r="T3161" t="s">
        <v>199</v>
      </c>
      <c r="U3161" t="s">
        <v>848</v>
      </c>
      <c r="W3161">
        <v>0</v>
      </c>
      <c r="X3161">
        <v>0</v>
      </c>
      <c r="AE3161">
        <v>0</v>
      </c>
      <c r="AI3161" t="s">
        <v>52</v>
      </c>
      <c r="AJ3161" t="s">
        <v>1196</v>
      </c>
      <c r="AK3161" t="s">
        <v>52</v>
      </c>
      <c r="AL3161" t="str">
        <f>HYPERLINK("https://pbs.twimg.com/media/D9xgk2YXkAAd2ql.jpg")</f>
        <v>https://pbs.twimg.com/media/D9xgk2YXkAAd2ql.jpg</v>
      </c>
      <c r="AM3161" t="s">
        <v>52</v>
      </c>
      <c r="AN3161" t="s">
        <v>53</v>
      </c>
    </row>
    <row r="3162" spans="1:40">
      <c r="A3162" t="s">
        <v>8081</v>
      </c>
      <c r="B3162" t="s">
        <v>10069</v>
      </c>
      <c r="C3162" t="s">
        <v>10090</v>
      </c>
      <c r="D3162" t="s">
        <v>52</v>
      </c>
      <c r="E3162" t="s">
        <v>1194</v>
      </c>
      <c r="F3162" t="s">
        <v>131</v>
      </c>
      <c r="G3162" t="str">
        <f>HYPERLINK("https://twitter.com/3304866937/status/1142897174369325056")</f>
        <v>https://twitter.com/3304866937/status/1142897174369325056</v>
      </c>
      <c r="H3162" t="s">
        <v>46</v>
      </c>
      <c r="I3162" t="s">
        <v>10091</v>
      </c>
      <c r="J3162" t="str">
        <f>HYPERLINK("http://twitter.com/JakeRiley52")</f>
        <v>http://twitter.com/JakeRiley52</v>
      </c>
      <c r="K3162">
        <v>398</v>
      </c>
      <c r="N3162" t="s">
        <v>65</v>
      </c>
      <c r="R3162" t="s">
        <v>60</v>
      </c>
      <c r="S3162" t="s">
        <v>51</v>
      </c>
      <c r="T3162" t="s">
        <v>4405</v>
      </c>
      <c r="U3162" t="s">
        <v>10092</v>
      </c>
      <c r="W3162">
        <v>0</v>
      </c>
      <c r="X3162">
        <v>0</v>
      </c>
      <c r="AE3162">
        <v>0</v>
      </c>
      <c r="AI3162" t="s">
        <v>52</v>
      </c>
      <c r="AJ3162" t="s">
        <v>1196</v>
      </c>
      <c r="AK3162" t="s">
        <v>52</v>
      </c>
      <c r="AL3162" t="str">
        <f>HYPERLINK("https://pbs.twimg.com/media/D9xgk2YXkAAd2ql.jpg")</f>
        <v>https://pbs.twimg.com/media/D9xgk2YXkAAd2ql.jpg</v>
      </c>
      <c r="AM3162" t="s">
        <v>52</v>
      </c>
      <c r="AN3162" t="s">
        <v>53</v>
      </c>
    </row>
    <row r="3163" spans="1:40">
      <c r="A3163" t="s">
        <v>8081</v>
      </c>
      <c r="B3163" t="s">
        <v>10069</v>
      </c>
      <c r="C3163" t="s">
        <v>10090</v>
      </c>
      <c r="D3163" t="s">
        <v>52</v>
      </c>
      <c r="E3163" t="s">
        <v>10093</v>
      </c>
      <c r="F3163" t="s">
        <v>71</v>
      </c>
      <c r="G3163" t="str">
        <f>HYPERLINK("https://twitter.com/881738694121496577/status/1142897141003771905")</f>
        <v>https://twitter.com/881738694121496577/status/1142897141003771905</v>
      </c>
      <c r="H3163" t="s">
        <v>46</v>
      </c>
      <c r="I3163" t="s">
        <v>10074</v>
      </c>
      <c r="J3163" t="str">
        <f>HYPERLINK("http://twitter.com/_QveenDest")</f>
        <v>http://twitter.com/_QveenDest</v>
      </c>
      <c r="K3163">
        <v>497</v>
      </c>
      <c r="N3163" t="s">
        <v>65</v>
      </c>
      <c r="R3163" t="s">
        <v>60</v>
      </c>
      <c r="S3163" t="s">
        <v>2416</v>
      </c>
      <c r="T3163" t="s">
        <v>10075</v>
      </c>
      <c r="U3163" t="s">
        <v>10076</v>
      </c>
      <c r="W3163">
        <v>0</v>
      </c>
      <c r="X3163">
        <v>0</v>
      </c>
      <c r="AE3163">
        <v>0</v>
      </c>
      <c r="AF3163">
        <v>0</v>
      </c>
      <c r="AI3163" t="s">
        <v>52</v>
      </c>
      <c r="AJ3163" t="s">
        <v>52</v>
      </c>
      <c r="AK3163" t="s">
        <v>52</v>
      </c>
      <c r="AL3163" t="str">
        <f>HYPERLINK("https://pbs.twimg.com/tweet_video_thumb/D9xg9APXYAA90Ha.jpg")</f>
        <v>https://pbs.twimg.com/tweet_video_thumb/D9xg9APXYAA90Ha.jpg</v>
      </c>
      <c r="AM3163" t="s">
        <v>52</v>
      </c>
      <c r="AN3163" t="s">
        <v>53</v>
      </c>
    </row>
    <row r="3164" spans="1:40">
      <c r="A3164" t="s">
        <v>8081</v>
      </c>
      <c r="B3164" t="s">
        <v>10069</v>
      </c>
      <c r="C3164" t="s">
        <v>10094</v>
      </c>
      <c r="D3164" t="s">
        <v>52</v>
      </c>
      <c r="E3164" t="s">
        <v>1194</v>
      </c>
      <c r="F3164" t="s">
        <v>131</v>
      </c>
      <c r="G3164" t="str">
        <f>HYPERLINK("https://twitter.com/476930882/status/1142897130111197184")</f>
        <v>https://twitter.com/476930882/status/1142897130111197184</v>
      </c>
      <c r="H3164" t="s">
        <v>46</v>
      </c>
      <c r="I3164" t="s">
        <v>10095</v>
      </c>
      <c r="J3164" t="str">
        <f>HYPERLINK("http://twitter.com/tifffinae")</f>
        <v>http://twitter.com/tifffinae</v>
      </c>
      <c r="K3164">
        <v>239</v>
      </c>
      <c r="N3164" t="s">
        <v>65</v>
      </c>
      <c r="R3164" t="s">
        <v>60</v>
      </c>
      <c r="S3164" t="s">
        <v>51</v>
      </c>
      <c r="T3164" t="s">
        <v>851</v>
      </c>
      <c r="W3164">
        <v>0</v>
      </c>
      <c r="X3164">
        <v>0</v>
      </c>
      <c r="AE3164">
        <v>0</v>
      </c>
      <c r="AI3164" t="s">
        <v>52</v>
      </c>
      <c r="AJ3164" t="s">
        <v>1196</v>
      </c>
      <c r="AK3164" t="s">
        <v>52</v>
      </c>
      <c r="AL3164" t="str">
        <f>HYPERLINK("https://pbs.twimg.com/media/D9xgk2YXkAAd2ql.jpg")</f>
        <v>https://pbs.twimg.com/media/D9xgk2YXkAAd2ql.jpg</v>
      </c>
      <c r="AM3164" t="s">
        <v>52</v>
      </c>
      <c r="AN3164" t="s">
        <v>53</v>
      </c>
    </row>
    <row r="3165" spans="1:40">
      <c r="A3165" t="s">
        <v>8081</v>
      </c>
      <c r="B3165" t="s">
        <v>10069</v>
      </c>
      <c r="C3165" t="s">
        <v>10094</v>
      </c>
      <c r="D3165" t="s">
        <v>52</v>
      </c>
      <c r="E3165" t="s">
        <v>1194</v>
      </c>
      <c r="F3165" t="s">
        <v>131</v>
      </c>
      <c r="G3165" t="str">
        <f>HYPERLINK("https://twitter.com/2394856274/status/1142897131793108994")</f>
        <v>https://twitter.com/2394856274/status/1142897131793108994</v>
      </c>
      <c r="H3165" t="s">
        <v>46</v>
      </c>
      <c r="I3165" t="s">
        <v>10096</v>
      </c>
      <c r="J3165" t="str">
        <f>HYPERLINK("http://twitter.com/AlconaTiger87")</f>
        <v>http://twitter.com/AlconaTiger87</v>
      </c>
      <c r="K3165">
        <v>63</v>
      </c>
      <c r="L3165" t="s">
        <v>48</v>
      </c>
      <c r="N3165" t="s">
        <v>65</v>
      </c>
      <c r="R3165" t="s">
        <v>60</v>
      </c>
      <c r="S3165" t="s">
        <v>51</v>
      </c>
      <c r="T3165" t="s">
        <v>2729</v>
      </c>
      <c r="U3165" t="s">
        <v>10097</v>
      </c>
      <c r="W3165">
        <v>0</v>
      </c>
      <c r="X3165">
        <v>0</v>
      </c>
      <c r="AE3165">
        <v>0</v>
      </c>
      <c r="AI3165" t="s">
        <v>52</v>
      </c>
      <c r="AJ3165" t="s">
        <v>1196</v>
      </c>
      <c r="AK3165" t="s">
        <v>52</v>
      </c>
      <c r="AL3165" t="str">
        <f>HYPERLINK("https://pbs.twimg.com/media/D9xgk2YXkAAd2ql.jpg")</f>
        <v>https://pbs.twimg.com/media/D9xgk2YXkAAd2ql.jpg</v>
      </c>
      <c r="AM3165" t="s">
        <v>52</v>
      </c>
      <c r="AN3165" t="s">
        <v>53</v>
      </c>
    </row>
    <row r="3166" spans="1:40">
      <c r="A3166" t="s">
        <v>8081</v>
      </c>
      <c r="B3166" t="s">
        <v>10098</v>
      </c>
      <c r="C3166" t="s">
        <v>10094</v>
      </c>
      <c r="D3166" t="s">
        <v>52</v>
      </c>
      <c r="E3166" t="s">
        <v>10099</v>
      </c>
      <c r="F3166" t="s">
        <v>71</v>
      </c>
      <c r="G3166" t="str">
        <f>HYPERLINK("https://twitter.com/881738694121496577/status/1142897099731800064")</f>
        <v>https://twitter.com/881738694121496577/status/1142897099731800064</v>
      </c>
      <c r="H3166" t="s">
        <v>46</v>
      </c>
      <c r="I3166" t="s">
        <v>10074</v>
      </c>
      <c r="J3166" t="str">
        <f>HYPERLINK("http://twitter.com/_QveenDest")</f>
        <v>http://twitter.com/_QveenDest</v>
      </c>
      <c r="K3166">
        <v>497</v>
      </c>
      <c r="N3166" t="s">
        <v>65</v>
      </c>
      <c r="R3166" t="s">
        <v>60</v>
      </c>
      <c r="S3166" t="s">
        <v>2416</v>
      </c>
      <c r="T3166" t="s">
        <v>10075</v>
      </c>
      <c r="U3166" t="s">
        <v>10076</v>
      </c>
      <c r="W3166">
        <v>0</v>
      </c>
      <c r="X3166">
        <v>0</v>
      </c>
      <c r="AE3166">
        <v>0</v>
      </c>
      <c r="AF3166">
        <v>0</v>
      </c>
      <c r="AM3166" t="s">
        <v>52</v>
      </c>
      <c r="AN3166" t="s">
        <v>53</v>
      </c>
    </row>
    <row r="3167" spans="1:40">
      <c r="A3167" t="s">
        <v>8081</v>
      </c>
      <c r="B3167" t="s">
        <v>10098</v>
      </c>
      <c r="C3167" t="s">
        <v>10072</v>
      </c>
      <c r="D3167" t="s">
        <v>10100</v>
      </c>
      <c r="E3167" t="s">
        <v>10101</v>
      </c>
      <c r="F3167" t="s">
        <v>45</v>
      </c>
      <c r="G3167" t="str">
        <f>HYPERLINK("https://www.youtube.com/watch?v=pbEylqs7BUI")</f>
        <v>https://www.youtube.com/watch?v=pbEylqs7BUI</v>
      </c>
      <c r="H3167" t="s">
        <v>46</v>
      </c>
      <c r="I3167" t="s">
        <v>4388</v>
      </c>
      <c r="J3167" t="str">
        <f>HYPERLINK("https://www.youtube.com/channel/UC0dY73koh1T9PC4cggCToLA")</f>
        <v>https://www.youtube.com/channel/UC0dY73koh1T9PC4cggCToLA</v>
      </c>
      <c r="K3167">
        <v>6</v>
      </c>
      <c r="N3167" t="s">
        <v>116</v>
      </c>
      <c r="O3167" t="s">
        <v>4388</v>
      </c>
      <c r="P3167" t="str">
        <f>HYPERLINK("https://www.youtube.com/channel/UC0dY73koh1T9PC4cggCToLA")</f>
        <v>https://www.youtube.com/channel/UC0dY73koh1T9PC4cggCToLA</v>
      </c>
      <c r="Q3167">
        <v>6</v>
      </c>
      <c r="R3167" t="s">
        <v>60</v>
      </c>
      <c r="W3167">
        <v>0</v>
      </c>
      <c r="X3167">
        <v>0</v>
      </c>
      <c r="AD3167">
        <v>0</v>
      </c>
      <c r="AE3167">
        <v>0</v>
      </c>
      <c r="AG3167">
        <v>0</v>
      </c>
      <c r="AI3167" t="s">
        <v>52</v>
      </c>
      <c r="AJ3167" t="s">
        <v>458</v>
      </c>
      <c r="AK3167" t="s">
        <v>52</v>
      </c>
      <c r="AL3167" t="str">
        <f>HYPERLINK("https://i.ytimg.com/vi/pbEylqs7BUI/hqdefault.jpg")</f>
        <v>https://i.ytimg.com/vi/pbEylqs7BUI/hqdefault.jpg</v>
      </c>
      <c r="AM3167" t="s">
        <v>52</v>
      </c>
      <c r="AN3167" t="s">
        <v>53</v>
      </c>
    </row>
    <row r="3168" spans="1:40">
      <c r="A3168" t="s">
        <v>8081</v>
      </c>
      <c r="B3168" t="s">
        <v>10098</v>
      </c>
      <c r="C3168" t="s">
        <v>10030</v>
      </c>
      <c r="D3168" t="s">
        <v>52</v>
      </c>
      <c r="E3168" t="s">
        <v>10093</v>
      </c>
      <c r="F3168" t="s">
        <v>71</v>
      </c>
      <c r="G3168" t="str">
        <f>HYPERLINK("https://twitter.com/881738694121496577/status/1142896986900828165")</f>
        <v>https://twitter.com/881738694121496577/status/1142896986900828165</v>
      </c>
      <c r="H3168" t="s">
        <v>46</v>
      </c>
      <c r="I3168" t="s">
        <v>10074</v>
      </c>
      <c r="J3168" t="str">
        <f>HYPERLINK("http://twitter.com/_QveenDest")</f>
        <v>http://twitter.com/_QveenDest</v>
      </c>
      <c r="K3168">
        <v>497</v>
      </c>
      <c r="N3168" t="s">
        <v>65</v>
      </c>
      <c r="R3168" t="s">
        <v>60</v>
      </c>
      <c r="S3168" t="s">
        <v>2416</v>
      </c>
      <c r="T3168" t="s">
        <v>10075</v>
      </c>
      <c r="U3168" t="s">
        <v>10076</v>
      </c>
      <c r="W3168">
        <v>0</v>
      </c>
      <c r="X3168">
        <v>0</v>
      </c>
      <c r="AE3168">
        <v>0</v>
      </c>
      <c r="AF3168">
        <v>0</v>
      </c>
      <c r="AI3168" t="s">
        <v>52</v>
      </c>
      <c r="AJ3168" t="s">
        <v>2277</v>
      </c>
      <c r="AK3168" t="s">
        <v>2278</v>
      </c>
      <c r="AL3168" t="str">
        <f>HYPERLINK("https://pbs.twimg.com/tweet_video_thumb/D9xfNsOX4AEHY7v.jpg")</f>
        <v>https://pbs.twimg.com/tweet_video_thumb/D9xfNsOX4AEHY7v.jpg</v>
      </c>
      <c r="AM3168" t="s">
        <v>52</v>
      </c>
      <c r="AN3168" t="s">
        <v>53</v>
      </c>
    </row>
    <row r="3169" spans="1:40">
      <c r="A3169" t="s">
        <v>8081</v>
      </c>
      <c r="B3169" t="s">
        <v>10102</v>
      </c>
      <c r="C3169" t="s">
        <v>10103</v>
      </c>
      <c r="D3169" t="s">
        <v>52</v>
      </c>
      <c r="E3169" t="s">
        <v>10104</v>
      </c>
      <c r="F3169" t="s">
        <v>45</v>
      </c>
      <c r="G3169" t="str">
        <f>HYPERLINK("https://www.instagram.com/p/BzEPCdYJ38l")</f>
        <v>https://www.instagram.com/p/BzEPCdYJ38l</v>
      </c>
      <c r="H3169" t="s">
        <v>46</v>
      </c>
      <c r="I3169" t="s">
        <v>10105</v>
      </c>
      <c r="J3169" t="str">
        <f>HYPERLINK("http://instagram.com/_dedylicious")</f>
        <v>http://instagram.com/_dedylicious</v>
      </c>
      <c r="K3169">
        <v>114</v>
      </c>
      <c r="N3169" t="s">
        <v>59</v>
      </c>
      <c r="O3169" t="s">
        <v>10105</v>
      </c>
      <c r="P3169" t="str">
        <f>HYPERLINK("http://instagram.com/_dedylicious")</f>
        <v>http://instagram.com/_dedylicious</v>
      </c>
      <c r="Q3169">
        <v>114</v>
      </c>
      <c r="R3169" t="s">
        <v>60</v>
      </c>
      <c r="S3169" t="s">
        <v>432</v>
      </c>
      <c r="T3169" t="s">
        <v>433</v>
      </c>
      <c r="W3169">
        <v>44</v>
      </c>
      <c r="X3169">
        <v>44</v>
      </c>
      <c r="AE3169">
        <v>2</v>
      </c>
      <c r="AI3169" t="s">
        <v>108</v>
      </c>
      <c r="AJ3169" t="s">
        <v>52</v>
      </c>
      <c r="AK3169" t="s">
        <v>52</v>
      </c>
      <c r="AL3169" t="str">
        <f>HYPERLINK("https://www.instagram.com/p/BzEPCdYJ38l/media/?size=l")</f>
        <v>https://www.instagram.com/p/BzEPCdYJ38l/media/?size=l</v>
      </c>
      <c r="AM3169" t="s">
        <v>52</v>
      </c>
      <c r="AN3169" t="s">
        <v>53</v>
      </c>
    </row>
    <row r="3170" spans="1:40">
      <c r="A3170" t="s">
        <v>8081</v>
      </c>
      <c r="B3170" t="s">
        <v>4472</v>
      </c>
      <c r="C3170" t="s">
        <v>10106</v>
      </c>
      <c r="D3170" t="s">
        <v>52</v>
      </c>
      <c r="E3170" t="s">
        <v>10107</v>
      </c>
      <c r="F3170" t="s">
        <v>45</v>
      </c>
      <c r="G3170" t="str">
        <f>HYPERLINK("https://www.instagram.com/p/BzEOu5bl9so")</f>
        <v>https://www.instagram.com/p/BzEOu5bl9so</v>
      </c>
      <c r="H3170" t="s">
        <v>46</v>
      </c>
      <c r="I3170" t="s">
        <v>10108</v>
      </c>
      <c r="J3170" t="str">
        <f>HYPERLINK("http://instagram.com/eileenposadny")</f>
        <v>http://instagram.com/eileenposadny</v>
      </c>
      <c r="K3170">
        <v>1978</v>
      </c>
      <c r="L3170" t="s">
        <v>58</v>
      </c>
      <c r="N3170" t="s">
        <v>59</v>
      </c>
      <c r="O3170" t="s">
        <v>10108</v>
      </c>
      <c r="P3170" t="str">
        <f>HYPERLINK("http://instagram.com/eileenposadny")</f>
        <v>http://instagram.com/eileenposadny</v>
      </c>
      <c r="Q3170">
        <v>1978</v>
      </c>
      <c r="R3170" t="s">
        <v>60</v>
      </c>
      <c r="S3170" t="s">
        <v>51</v>
      </c>
      <c r="T3170" t="s">
        <v>73</v>
      </c>
      <c r="U3170" t="s">
        <v>3854</v>
      </c>
      <c r="W3170">
        <v>20</v>
      </c>
      <c r="X3170">
        <v>20</v>
      </c>
      <c r="AE3170">
        <v>1</v>
      </c>
      <c r="AI3170" t="s">
        <v>108</v>
      </c>
      <c r="AJ3170" t="s">
        <v>121</v>
      </c>
      <c r="AK3170" t="s">
        <v>52</v>
      </c>
      <c r="AL3170" t="str">
        <f>HYPERLINK("https://www.instagram.com/p/BzEOu5bl9so/media/?size=l")</f>
        <v>https://www.instagram.com/p/BzEOu5bl9so/media/?size=l</v>
      </c>
      <c r="AM3170" t="s">
        <v>52</v>
      </c>
      <c r="AN3170" t="s">
        <v>53</v>
      </c>
    </row>
    <row r="3171" spans="1:40">
      <c r="A3171" t="s">
        <v>8081</v>
      </c>
      <c r="B3171" t="s">
        <v>4493</v>
      </c>
      <c r="C3171" t="s">
        <v>10103</v>
      </c>
      <c r="D3171" t="s">
        <v>52</v>
      </c>
      <c r="E3171" t="s">
        <v>1194</v>
      </c>
      <c r="F3171" t="s">
        <v>131</v>
      </c>
      <c r="G3171" t="str">
        <f>HYPERLINK("https://twitter.com/1056304521897492481/status/1142895597915136000")</f>
        <v>https://twitter.com/1056304521897492481/status/1142895597915136000</v>
      </c>
      <c r="H3171" t="s">
        <v>46</v>
      </c>
      <c r="I3171" t="s">
        <v>10109</v>
      </c>
      <c r="J3171" t="str">
        <f>HYPERLINK("http://twitter.com/Jessica38763871")</f>
        <v>http://twitter.com/Jessica38763871</v>
      </c>
      <c r="K3171">
        <v>87</v>
      </c>
      <c r="N3171" t="s">
        <v>65</v>
      </c>
      <c r="R3171" t="s">
        <v>60</v>
      </c>
      <c r="W3171">
        <v>0</v>
      </c>
      <c r="X3171">
        <v>0</v>
      </c>
      <c r="AE3171">
        <v>0</v>
      </c>
      <c r="AI3171" t="s">
        <v>52</v>
      </c>
      <c r="AJ3171" t="s">
        <v>1196</v>
      </c>
      <c r="AK3171" t="s">
        <v>52</v>
      </c>
      <c r="AL3171" t="str">
        <f>HYPERLINK("https://pbs.twimg.com/media/D9xgk2YXkAAd2ql.jpg")</f>
        <v>https://pbs.twimg.com/media/D9xgk2YXkAAd2ql.jpg</v>
      </c>
      <c r="AM3171" t="s">
        <v>52</v>
      </c>
      <c r="AN3171" t="s">
        <v>53</v>
      </c>
    </row>
    <row r="3172" spans="1:40">
      <c r="A3172" t="s">
        <v>8081</v>
      </c>
      <c r="B3172" t="s">
        <v>4493</v>
      </c>
      <c r="C3172" t="s">
        <v>9961</v>
      </c>
      <c r="D3172" t="s">
        <v>52</v>
      </c>
      <c r="E3172" t="s">
        <v>10110</v>
      </c>
      <c r="F3172" t="s">
        <v>45</v>
      </c>
      <c r="G3172" t="str">
        <f>HYPERLINK("https://www.instagram.com/p/BzEOc_fgCff")</f>
        <v>https://www.instagram.com/p/BzEOc_fgCff</v>
      </c>
      <c r="H3172" t="s">
        <v>46</v>
      </c>
      <c r="I3172" t="s">
        <v>10111</v>
      </c>
      <c r="J3172" t="str">
        <f>HYPERLINK("http://instagram.com/passthedoritosbruh")</f>
        <v>http://instagram.com/passthedoritosbruh</v>
      </c>
      <c r="K3172">
        <v>132</v>
      </c>
      <c r="L3172" t="s">
        <v>48</v>
      </c>
      <c r="N3172" t="s">
        <v>59</v>
      </c>
      <c r="O3172" t="s">
        <v>10111</v>
      </c>
      <c r="P3172" t="str">
        <f>HYPERLINK("http://instagram.com/passthedoritosbruh")</f>
        <v>http://instagram.com/passthedoritosbruh</v>
      </c>
      <c r="Q3172">
        <v>132</v>
      </c>
      <c r="R3172" t="s">
        <v>60</v>
      </c>
      <c r="W3172">
        <v>12</v>
      </c>
      <c r="X3172">
        <v>12</v>
      </c>
      <c r="AE3172">
        <v>6</v>
      </c>
      <c r="AG3172">
        <v>66</v>
      </c>
      <c r="AI3172" t="s">
        <v>108</v>
      </c>
      <c r="AJ3172" t="s">
        <v>52</v>
      </c>
      <c r="AK3172" t="s">
        <v>52</v>
      </c>
      <c r="AL3172" t="str">
        <f>HYPERLINK("https://www.instagram.com/p/BzEOc_fgCff/media/?size=l")</f>
        <v>https://www.instagram.com/p/BzEOc_fgCff/media/?size=l</v>
      </c>
      <c r="AM3172" t="s">
        <v>52</v>
      </c>
      <c r="AN3172" t="s">
        <v>53</v>
      </c>
    </row>
    <row r="3173" spans="1:40">
      <c r="A3173" t="s">
        <v>8081</v>
      </c>
      <c r="B3173" t="s">
        <v>4493</v>
      </c>
      <c r="C3173" t="s">
        <v>10112</v>
      </c>
      <c r="D3173" t="s">
        <v>52</v>
      </c>
      <c r="E3173" t="s">
        <v>1194</v>
      </c>
      <c r="F3173" t="s">
        <v>131</v>
      </c>
      <c r="G3173" t="str">
        <f>HYPERLINK("https://twitter.com/947330136789213186/status/1142895564524261377")</f>
        <v>https://twitter.com/947330136789213186/status/1142895564524261377</v>
      </c>
      <c r="H3173" t="s">
        <v>46</v>
      </c>
      <c r="I3173" t="s">
        <v>10113</v>
      </c>
      <c r="J3173" t="str">
        <f>HYPERLINK("http://twitter.com/15thShadow")</f>
        <v>http://twitter.com/15thShadow</v>
      </c>
      <c r="K3173">
        <v>6</v>
      </c>
      <c r="N3173" t="s">
        <v>65</v>
      </c>
      <c r="R3173" t="s">
        <v>60</v>
      </c>
      <c r="W3173">
        <v>0</v>
      </c>
      <c r="X3173">
        <v>0</v>
      </c>
      <c r="AE3173">
        <v>0</v>
      </c>
      <c r="AI3173" t="s">
        <v>52</v>
      </c>
      <c r="AJ3173" t="s">
        <v>1196</v>
      </c>
      <c r="AK3173" t="s">
        <v>52</v>
      </c>
      <c r="AL3173" t="str">
        <f>HYPERLINK("https://pbs.twimg.com/media/D9xgk2YXkAAd2ql.jpg")</f>
        <v>https://pbs.twimg.com/media/D9xgk2YXkAAd2ql.jpg</v>
      </c>
      <c r="AM3173" t="s">
        <v>52</v>
      </c>
      <c r="AN3173" t="s">
        <v>53</v>
      </c>
    </row>
    <row r="3174" spans="1:40">
      <c r="A3174" t="s">
        <v>8081</v>
      </c>
      <c r="B3174" t="s">
        <v>4493</v>
      </c>
      <c r="C3174" t="s">
        <v>10112</v>
      </c>
      <c r="D3174" t="s">
        <v>52</v>
      </c>
      <c r="E3174" t="s">
        <v>1194</v>
      </c>
      <c r="F3174" t="s">
        <v>131</v>
      </c>
      <c r="G3174" t="str">
        <f>HYPERLINK("https://twitter.com/849245376993480705/status/1142895560971685888")</f>
        <v>https://twitter.com/849245376993480705/status/1142895560971685888</v>
      </c>
      <c r="H3174" t="s">
        <v>46</v>
      </c>
      <c r="I3174" t="s">
        <v>10114</v>
      </c>
      <c r="J3174" t="str">
        <f>HYPERLINK("http://twitter.com/JakobyyGomez")</f>
        <v>http://twitter.com/JakobyyGomez</v>
      </c>
      <c r="K3174">
        <v>303</v>
      </c>
      <c r="N3174" t="s">
        <v>65</v>
      </c>
      <c r="R3174" t="s">
        <v>60</v>
      </c>
      <c r="S3174" t="s">
        <v>3660</v>
      </c>
      <c r="T3174" t="s">
        <v>10115</v>
      </c>
      <c r="U3174" t="s">
        <v>10116</v>
      </c>
      <c r="W3174">
        <v>0</v>
      </c>
      <c r="X3174">
        <v>0</v>
      </c>
      <c r="AE3174">
        <v>0</v>
      </c>
      <c r="AI3174" t="s">
        <v>52</v>
      </c>
      <c r="AJ3174" t="s">
        <v>1196</v>
      </c>
      <c r="AK3174" t="s">
        <v>52</v>
      </c>
      <c r="AL3174" t="str">
        <f>HYPERLINK("https://pbs.twimg.com/media/D9xgk2YXkAAd2ql.jpg")</f>
        <v>https://pbs.twimg.com/media/D9xgk2YXkAAd2ql.jpg</v>
      </c>
      <c r="AM3174" t="s">
        <v>52</v>
      </c>
      <c r="AN3174" t="s">
        <v>53</v>
      </c>
    </row>
    <row r="3175" spans="1:40">
      <c r="A3175" t="s">
        <v>8081</v>
      </c>
      <c r="B3175" t="s">
        <v>4493</v>
      </c>
      <c r="C3175" t="s">
        <v>10112</v>
      </c>
      <c r="D3175" t="s">
        <v>52</v>
      </c>
      <c r="E3175" t="s">
        <v>1194</v>
      </c>
      <c r="F3175" t="s">
        <v>131</v>
      </c>
      <c r="G3175" t="str">
        <f>HYPERLINK("https://twitter.com/1023791437417275394/status/1142895555212980225")</f>
        <v>https://twitter.com/1023791437417275394/status/1142895555212980225</v>
      </c>
      <c r="H3175" t="s">
        <v>46</v>
      </c>
      <c r="I3175" t="s">
        <v>52</v>
      </c>
      <c r="J3175" t="str">
        <f>HYPERLINK("http://twitter.com/YoBlockTheater")</f>
        <v>http://twitter.com/YoBlockTheater</v>
      </c>
      <c r="K3175">
        <v>75</v>
      </c>
      <c r="N3175" t="s">
        <v>65</v>
      </c>
      <c r="R3175" t="s">
        <v>60</v>
      </c>
      <c r="S3175" t="s">
        <v>51</v>
      </c>
      <c r="T3175" t="s">
        <v>152</v>
      </c>
      <c r="W3175">
        <v>0</v>
      </c>
      <c r="X3175">
        <v>0</v>
      </c>
      <c r="AE3175">
        <v>0</v>
      </c>
      <c r="AI3175" t="s">
        <v>52</v>
      </c>
      <c r="AJ3175" t="s">
        <v>1196</v>
      </c>
      <c r="AK3175" t="s">
        <v>52</v>
      </c>
      <c r="AL3175" t="str">
        <f>HYPERLINK("https://pbs.twimg.com/media/D9xgk2YXkAAd2ql.jpg")</f>
        <v>https://pbs.twimg.com/media/D9xgk2YXkAAd2ql.jpg</v>
      </c>
      <c r="AM3175" t="s">
        <v>52</v>
      </c>
      <c r="AN3175" t="s">
        <v>53</v>
      </c>
    </row>
    <row r="3176" spans="1:40">
      <c r="A3176" t="s">
        <v>8081</v>
      </c>
      <c r="B3176" t="s">
        <v>4493</v>
      </c>
      <c r="C3176" t="s">
        <v>10112</v>
      </c>
      <c r="D3176" t="s">
        <v>52</v>
      </c>
      <c r="E3176" t="s">
        <v>4936</v>
      </c>
      <c r="F3176" t="s">
        <v>131</v>
      </c>
      <c r="G3176" t="str">
        <f>HYPERLINK("https://twitter.com/1012535020764975105/status/1142895546023186432")</f>
        <v>https://twitter.com/1012535020764975105/status/1142895546023186432</v>
      </c>
      <c r="H3176" t="s">
        <v>46</v>
      </c>
      <c r="I3176" t="s">
        <v>10117</v>
      </c>
      <c r="J3176" t="str">
        <f>HYPERLINK("http://twitter.com/Silentfool2")</f>
        <v>http://twitter.com/Silentfool2</v>
      </c>
      <c r="K3176">
        <v>23</v>
      </c>
      <c r="N3176" t="s">
        <v>65</v>
      </c>
      <c r="R3176" t="s">
        <v>60</v>
      </c>
      <c r="S3176" t="s">
        <v>10118</v>
      </c>
      <c r="W3176">
        <v>0</v>
      </c>
      <c r="X3176">
        <v>0</v>
      </c>
      <c r="AE3176">
        <v>0</v>
      </c>
      <c r="AI3176" t="s">
        <v>52</v>
      </c>
      <c r="AJ3176" t="s">
        <v>4938</v>
      </c>
      <c r="AK3176" t="s">
        <v>1037</v>
      </c>
      <c r="AL3176" t="str">
        <f>HYPERLINK("https://pbs.twimg.com/media/D9Ij6xWWwAINXT5.jpg")</f>
        <v>https://pbs.twimg.com/media/D9Ij6xWWwAINXT5.jpg</v>
      </c>
      <c r="AM3176" t="s">
        <v>52</v>
      </c>
      <c r="AN3176" t="s">
        <v>53</v>
      </c>
    </row>
    <row r="3177" spans="1:40">
      <c r="A3177" t="s">
        <v>8081</v>
      </c>
      <c r="B3177" t="s">
        <v>4493</v>
      </c>
      <c r="C3177" t="s">
        <v>10119</v>
      </c>
      <c r="D3177" t="s">
        <v>52</v>
      </c>
      <c r="E3177" t="s">
        <v>1194</v>
      </c>
      <c r="F3177" t="s">
        <v>131</v>
      </c>
      <c r="G3177" t="str">
        <f>HYPERLINK("https://twitter.com/104576152/status/1142895542651015168")</f>
        <v>https://twitter.com/104576152/status/1142895542651015168</v>
      </c>
      <c r="H3177" t="s">
        <v>46</v>
      </c>
      <c r="I3177" t="s">
        <v>10120</v>
      </c>
      <c r="J3177" t="str">
        <f>HYPERLINK("http://twitter.com/KierenWise")</f>
        <v>http://twitter.com/KierenWise</v>
      </c>
      <c r="K3177">
        <v>398</v>
      </c>
      <c r="N3177" t="s">
        <v>65</v>
      </c>
      <c r="R3177" t="s">
        <v>60</v>
      </c>
      <c r="S3177" t="s">
        <v>444</v>
      </c>
      <c r="T3177" t="s">
        <v>10121</v>
      </c>
      <c r="U3177" t="s">
        <v>10122</v>
      </c>
      <c r="W3177">
        <v>0</v>
      </c>
      <c r="X3177">
        <v>0</v>
      </c>
      <c r="AE3177">
        <v>0</v>
      </c>
      <c r="AI3177" t="s">
        <v>52</v>
      </c>
      <c r="AJ3177" t="s">
        <v>1196</v>
      </c>
      <c r="AK3177" t="s">
        <v>52</v>
      </c>
      <c r="AL3177" t="str">
        <f t="shared" ref="AL3177:AL3184" si="1">HYPERLINK("https://pbs.twimg.com/media/D9xgk2YXkAAd2ql.jpg")</f>
        <v>https://pbs.twimg.com/media/D9xgk2YXkAAd2ql.jpg</v>
      </c>
      <c r="AM3177" t="s">
        <v>52</v>
      </c>
      <c r="AN3177" t="s">
        <v>53</v>
      </c>
    </row>
    <row r="3178" spans="1:40">
      <c r="A3178" t="s">
        <v>8081</v>
      </c>
      <c r="B3178" t="s">
        <v>4493</v>
      </c>
      <c r="C3178" t="s">
        <v>10119</v>
      </c>
      <c r="D3178" t="s">
        <v>52</v>
      </c>
      <c r="E3178" t="s">
        <v>1389</v>
      </c>
      <c r="F3178" t="s">
        <v>45</v>
      </c>
      <c r="G3178" t="str">
        <f>HYPERLINK("https://twitter.com/1100370086785736704/status/1142895516059152391")</f>
        <v>https://twitter.com/1100370086785736704/status/1142895516059152391</v>
      </c>
      <c r="H3178" t="s">
        <v>46</v>
      </c>
      <c r="I3178" t="s">
        <v>10123</v>
      </c>
      <c r="J3178" t="str">
        <f>HYPERLINK("http://twitter.com/iheart_cat")</f>
        <v>http://twitter.com/iheart_cat</v>
      </c>
      <c r="K3178">
        <v>2202</v>
      </c>
      <c r="N3178" t="s">
        <v>65</v>
      </c>
      <c r="R3178" t="s">
        <v>60</v>
      </c>
      <c r="S3178" t="s">
        <v>51</v>
      </c>
      <c r="T3178" t="s">
        <v>738</v>
      </c>
      <c r="W3178">
        <v>113</v>
      </c>
      <c r="X3178">
        <v>113</v>
      </c>
      <c r="AE3178">
        <v>1</v>
      </c>
      <c r="AF3178">
        <v>31</v>
      </c>
      <c r="AI3178" t="s">
        <v>52</v>
      </c>
      <c r="AJ3178" t="s">
        <v>1196</v>
      </c>
      <c r="AK3178" t="s">
        <v>52</v>
      </c>
      <c r="AL3178" t="str">
        <f t="shared" si="1"/>
        <v>https://pbs.twimg.com/media/D9xgk2YXkAAd2ql.jpg</v>
      </c>
      <c r="AM3178" t="s">
        <v>52</v>
      </c>
      <c r="AN3178" t="s">
        <v>53</v>
      </c>
    </row>
    <row r="3179" spans="1:40">
      <c r="A3179" t="s">
        <v>8081</v>
      </c>
      <c r="B3179" t="s">
        <v>4493</v>
      </c>
      <c r="C3179" t="s">
        <v>10119</v>
      </c>
      <c r="D3179" t="s">
        <v>52</v>
      </c>
      <c r="E3179" t="s">
        <v>1194</v>
      </c>
      <c r="F3179" t="s">
        <v>131</v>
      </c>
      <c r="G3179" t="str">
        <f>HYPERLINK("https://twitter.com/1083075283828305920/status/1142895514813444096")</f>
        <v>https://twitter.com/1083075283828305920/status/1142895514813444096</v>
      </c>
      <c r="H3179" t="s">
        <v>46</v>
      </c>
      <c r="I3179" t="s">
        <v>10124</v>
      </c>
      <c r="J3179" t="str">
        <f>HYPERLINK("http://twitter.com/marablesRS")</f>
        <v>http://twitter.com/marablesRS</v>
      </c>
      <c r="K3179">
        <v>395</v>
      </c>
      <c r="N3179" t="s">
        <v>65</v>
      </c>
      <c r="R3179" t="s">
        <v>60</v>
      </c>
      <c r="S3179" t="s">
        <v>51</v>
      </c>
      <c r="T3179" t="s">
        <v>3136</v>
      </c>
      <c r="W3179">
        <v>0</v>
      </c>
      <c r="X3179">
        <v>0</v>
      </c>
      <c r="AE3179">
        <v>0</v>
      </c>
      <c r="AI3179" t="s">
        <v>52</v>
      </c>
      <c r="AJ3179" t="s">
        <v>1196</v>
      </c>
      <c r="AK3179" t="s">
        <v>52</v>
      </c>
      <c r="AL3179" t="str">
        <f t="shared" si="1"/>
        <v>https://pbs.twimg.com/media/D9xgk2YXkAAd2ql.jpg</v>
      </c>
      <c r="AM3179" t="s">
        <v>52</v>
      </c>
      <c r="AN3179" t="s">
        <v>53</v>
      </c>
    </row>
    <row r="3180" spans="1:40">
      <c r="A3180" t="s">
        <v>8081</v>
      </c>
      <c r="B3180" t="s">
        <v>4493</v>
      </c>
      <c r="C3180" t="s">
        <v>10125</v>
      </c>
      <c r="D3180" t="s">
        <v>52</v>
      </c>
      <c r="E3180" t="s">
        <v>1194</v>
      </c>
      <c r="F3180" t="s">
        <v>131</v>
      </c>
      <c r="G3180" t="str">
        <f>HYPERLINK("https://twitter.com/941682484550369280/status/1142895502251503616")</f>
        <v>https://twitter.com/941682484550369280/status/1142895502251503616</v>
      </c>
      <c r="H3180" t="s">
        <v>46</v>
      </c>
      <c r="I3180" t="s">
        <v>10126</v>
      </c>
      <c r="J3180" t="str">
        <f>HYPERLINK("http://twitter.com/TophatZzoctopus")</f>
        <v>http://twitter.com/TophatZzoctopus</v>
      </c>
      <c r="K3180">
        <v>594</v>
      </c>
      <c r="N3180" t="s">
        <v>65</v>
      </c>
      <c r="R3180" t="s">
        <v>60</v>
      </c>
      <c r="S3180" t="s">
        <v>156</v>
      </c>
      <c r="T3180" t="s">
        <v>10127</v>
      </c>
      <c r="U3180" t="s">
        <v>10128</v>
      </c>
      <c r="W3180">
        <v>0</v>
      </c>
      <c r="X3180">
        <v>0</v>
      </c>
      <c r="AE3180">
        <v>0</v>
      </c>
      <c r="AI3180" t="s">
        <v>52</v>
      </c>
      <c r="AJ3180" t="s">
        <v>1196</v>
      </c>
      <c r="AK3180" t="s">
        <v>52</v>
      </c>
      <c r="AL3180" t="str">
        <f t="shared" si="1"/>
        <v>https://pbs.twimg.com/media/D9xgk2YXkAAd2ql.jpg</v>
      </c>
      <c r="AM3180" t="s">
        <v>52</v>
      </c>
      <c r="AN3180" t="s">
        <v>53</v>
      </c>
    </row>
    <row r="3181" spans="1:40">
      <c r="A3181" t="s">
        <v>8081</v>
      </c>
      <c r="B3181" t="s">
        <v>4493</v>
      </c>
      <c r="C3181" t="s">
        <v>10129</v>
      </c>
      <c r="D3181" t="s">
        <v>52</v>
      </c>
      <c r="E3181" t="s">
        <v>1194</v>
      </c>
      <c r="F3181" t="s">
        <v>131</v>
      </c>
      <c r="G3181" t="str">
        <f>HYPERLINK("https://twitter.com/750086230151458816/status/1142895464079155202")</f>
        <v>https://twitter.com/750086230151458816/status/1142895464079155202</v>
      </c>
      <c r="H3181" t="s">
        <v>46</v>
      </c>
      <c r="I3181" t="s">
        <v>10130</v>
      </c>
      <c r="J3181" t="str">
        <f>HYPERLINK("http://twitter.com/echectotalitair")</f>
        <v>http://twitter.com/echectotalitair</v>
      </c>
      <c r="K3181">
        <v>497</v>
      </c>
      <c r="N3181" t="s">
        <v>65</v>
      </c>
      <c r="R3181" t="s">
        <v>60</v>
      </c>
      <c r="W3181">
        <v>0</v>
      </c>
      <c r="X3181">
        <v>0</v>
      </c>
      <c r="AE3181">
        <v>0</v>
      </c>
      <c r="AI3181" t="s">
        <v>52</v>
      </c>
      <c r="AJ3181" t="s">
        <v>1196</v>
      </c>
      <c r="AK3181" t="s">
        <v>52</v>
      </c>
      <c r="AL3181" t="str">
        <f t="shared" si="1"/>
        <v>https://pbs.twimg.com/media/D9xgk2YXkAAd2ql.jpg</v>
      </c>
      <c r="AM3181" t="s">
        <v>52</v>
      </c>
      <c r="AN3181" t="s">
        <v>53</v>
      </c>
    </row>
    <row r="3182" spans="1:40">
      <c r="A3182" t="s">
        <v>8081</v>
      </c>
      <c r="B3182" t="s">
        <v>4493</v>
      </c>
      <c r="C3182" t="s">
        <v>10129</v>
      </c>
      <c r="D3182" t="s">
        <v>52</v>
      </c>
      <c r="E3182" t="s">
        <v>1194</v>
      </c>
      <c r="F3182" t="s">
        <v>131</v>
      </c>
      <c r="G3182" t="str">
        <f>HYPERLINK("https://twitter.com/941015447775916032/status/1142895450607030278")</f>
        <v>https://twitter.com/941015447775916032/status/1142895450607030278</v>
      </c>
      <c r="H3182" t="s">
        <v>46</v>
      </c>
      <c r="I3182" t="s">
        <v>10131</v>
      </c>
      <c r="J3182" t="str">
        <f>HYPERLINK("http://twitter.com/yesthisisross")</f>
        <v>http://twitter.com/yesthisisross</v>
      </c>
      <c r="K3182">
        <v>63</v>
      </c>
      <c r="N3182" t="s">
        <v>65</v>
      </c>
      <c r="R3182" t="s">
        <v>60</v>
      </c>
      <c r="W3182">
        <v>0</v>
      </c>
      <c r="X3182">
        <v>0</v>
      </c>
      <c r="AE3182">
        <v>0</v>
      </c>
      <c r="AI3182" t="s">
        <v>52</v>
      </c>
      <c r="AJ3182" t="s">
        <v>1196</v>
      </c>
      <c r="AK3182" t="s">
        <v>52</v>
      </c>
      <c r="AL3182" t="str">
        <f t="shared" si="1"/>
        <v>https://pbs.twimg.com/media/D9xgk2YXkAAd2ql.jpg</v>
      </c>
      <c r="AM3182" t="s">
        <v>52</v>
      </c>
      <c r="AN3182" t="s">
        <v>53</v>
      </c>
    </row>
    <row r="3183" spans="1:40">
      <c r="A3183" t="s">
        <v>8081</v>
      </c>
      <c r="B3183" t="s">
        <v>4493</v>
      </c>
      <c r="C3183" t="s">
        <v>10129</v>
      </c>
      <c r="D3183" t="s">
        <v>52</v>
      </c>
      <c r="E3183" t="s">
        <v>1194</v>
      </c>
      <c r="F3183" t="s">
        <v>131</v>
      </c>
      <c r="G3183" t="str">
        <f>HYPERLINK("https://twitter.com/4128008114/status/1142895435863986176")</f>
        <v>https://twitter.com/4128008114/status/1142895435863986176</v>
      </c>
      <c r="H3183" t="s">
        <v>46</v>
      </c>
      <c r="I3183" t="s">
        <v>10132</v>
      </c>
      <c r="J3183" t="str">
        <f>HYPERLINK("http://twitter.com/jaydennn_16")</f>
        <v>http://twitter.com/jaydennn_16</v>
      </c>
      <c r="K3183">
        <v>145</v>
      </c>
      <c r="N3183" t="s">
        <v>65</v>
      </c>
      <c r="R3183" t="s">
        <v>60</v>
      </c>
      <c r="W3183">
        <v>0</v>
      </c>
      <c r="X3183">
        <v>0</v>
      </c>
      <c r="AE3183">
        <v>0</v>
      </c>
      <c r="AI3183" t="s">
        <v>52</v>
      </c>
      <c r="AJ3183" t="s">
        <v>1196</v>
      </c>
      <c r="AK3183" t="s">
        <v>52</v>
      </c>
      <c r="AL3183" t="str">
        <f t="shared" si="1"/>
        <v>https://pbs.twimg.com/media/D9xgk2YXkAAd2ql.jpg</v>
      </c>
      <c r="AM3183" t="s">
        <v>52</v>
      </c>
      <c r="AN3183" t="s">
        <v>53</v>
      </c>
    </row>
    <row r="3184" spans="1:40">
      <c r="A3184" t="s">
        <v>8081</v>
      </c>
      <c r="B3184" t="s">
        <v>4493</v>
      </c>
      <c r="C3184" t="s">
        <v>10129</v>
      </c>
      <c r="D3184" t="s">
        <v>52</v>
      </c>
      <c r="E3184" t="s">
        <v>1194</v>
      </c>
      <c r="F3184" t="s">
        <v>131</v>
      </c>
      <c r="G3184" t="str">
        <f>HYPERLINK("https://twitter.com/3352986221/status/1142895420038926337")</f>
        <v>https://twitter.com/3352986221/status/1142895420038926337</v>
      </c>
      <c r="H3184" t="s">
        <v>46</v>
      </c>
      <c r="I3184" t="s">
        <v>10133</v>
      </c>
      <c r="J3184" t="str">
        <f>HYPERLINK("http://twitter.com/marvalentt")</f>
        <v>http://twitter.com/marvalentt</v>
      </c>
      <c r="K3184">
        <v>320</v>
      </c>
      <c r="L3184" t="s">
        <v>58</v>
      </c>
      <c r="N3184" t="s">
        <v>65</v>
      </c>
      <c r="R3184" t="s">
        <v>60</v>
      </c>
      <c r="S3184" t="s">
        <v>2290</v>
      </c>
      <c r="T3184" t="s">
        <v>4368</v>
      </c>
      <c r="U3184" t="s">
        <v>10134</v>
      </c>
      <c r="W3184">
        <v>0</v>
      </c>
      <c r="X3184">
        <v>0</v>
      </c>
      <c r="AE3184">
        <v>0</v>
      </c>
      <c r="AI3184" t="s">
        <v>52</v>
      </c>
      <c r="AJ3184" t="s">
        <v>1196</v>
      </c>
      <c r="AK3184" t="s">
        <v>52</v>
      </c>
      <c r="AL3184" t="str">
        <f t="shared" si="1"/>
        <v>https://pbs.twimg.com/media/D9xgk2YXkAAd2ql.jpg</v>
      </c>
      <c r="AM3184" t="s">
        <v>52</v>
      </c>
      <c r="AN3184" t="s">
        <v>53</v>
      </c>
    </row>
    <row r="3185" spans="1:40">
      <c r="A3185" t="s">
        <v>8081</v>
      </c>
      <c r="B3185" t="s">
        <v>4517</v>
      </c>
      <c r="C3185" t="s">
        <v>10090</v>
      </c>
      <c r="D3185" t="s">
        <v>52</v>
      </c>
      <c r="E3185" t="s">
        <v>10135</v>
      </c>
      <c r="F3185" t="s">
        <v>95</v>
      </c>
      <c r="G3185" t="str">
        <f>HYPERLINK("https://twitter.com/435987381/status/1142895212282470400")</f>
        <v>https://twitter.com/435987381/status/1142895212282470400</v>
      </c>
      <c r="H3185" t="s">
        <v>46</v>
      </c>
      <c r="I3185" t="s">
        <v>10136</v>
      </c>
      <c r="J3185" t="str">
        <f>HYPERLINK("http://twitter.com/mikefpringle")</f>
        <v>http://twitter.com/mikefpringle</v>
      </c>
      <c r="K3185">
        <v>323</v>
      </c>
      <c r="L3185" t="s">
        <v>48</v>
      </c>
      <c r="N3185" t="s">
        <v>65</v>
      </c>
      <c r="R3185" t="s">
        <v>60</v>
      </c>
      <c r="S3185" t="s">
        <v>51</v>
      </c>
      <c r="T3185" t="s">
        <v>152</v>
      </c>
      <c r="U3185" t="s">
        <v>10137</v>
      </c>
      <c r="W3185">
        <v>0</v>
      </c>
      <c r="X3185">
        <v>0</v>
      </c>
      <c r="AE3185">
        <v>0</v>
      </c>
      <c r="AF3185">
        <v>0</v>
      </c>
      <c r="AM3185" t="s">
        <v>52</v>
      </c>
      <c r="AN3185" t="s">
        <v>53</v>
      </c>
    </row>
    <row r="3186" spans="1:40">
      <c r="A3186" t="s">
        <v>8081</v>
      </c>
      <c r="B3186" t="s">
        <v>4517</v>
      </c>
      <c r="C3186" t="s">
        <v>10053</v>
      </c>
      <c r="D3186" t="s">
        <v>52</v>
      </c>
      <c r="E3186" t="s">
        <v>10138</v>
      </c>
      <c r="F3186" t="s">
        <v>45</v>
      </c>
      <c r="G3186" t="str">
        <f>HYPERLINK("https://twitter.com/104027752/status/1142895127154909184")</f>
        <v>https://twitter.com/104027752/status/1142895127154909184</v>
      </c>
      <c r="H3186" t="s">
        <v>46</v>
      </c>
      <c r="I3186" t="s">
        <v>10139</v>
      </c>
      <c r="J3186" t="str">
        <f>HYPERLINK("http://twitter.com/trackeroc")</f>
        <v>http://twitter.com/trackeroc</v>
      </c>
      <c r="K3186">
        <v>8</v>
      </c>
      <c r="L3186" t="s">
        <v>48</v>
      </c>
      <c r="N3186" t="s">
        <v>65</v>
      </c>
      <c r="R3186" t="s">
        <v>60</v>
      </c>
      <c r="S3186" t="s">
        <v>51</v>
      </c>
      <c r="T3186" t="s">
        <v>263</v>
      </c>
      <c r="U3186" t="s">
        <v>10140</v>
      </c>
      <c r="W3186">
        <v>0</v>
      </c>
      <c r="X3186">
        <v>0</v>
      </c>
      <c r="AE3186">
        <v>0</v>
      </c>
      <c r="AF3186">
        <v>0</v>
      </c>
      <c r="AM3186" t="s">
        <v>52</v>
      </c>
      <c r="AN3186" t="s">
        <v>53</v>
      </c>
    </row>
    <row r="3187" spans="1:40">
      <c r="A3187" t="s">
        <v>8081</v>
      </c>
      <c r="B3187" t="s">
        <v>4532</v>
      </c>
      <c r="C3187" t="s">
        <v>9998</v>
      </c>
      <c r="D3187" t="s">
        <v>52</v>
      </c>
      <c r="E3187" t="s">
        <v>10141</v>
      </c>
      <c r="F3187" t="s">
        <v>45</v>
      </c>
      <c r="G3187" t="str">
        <f>HYPERLINK("https://www.instagram.com/p/BzEOYYtBNfN")</f>
        <v>https://www.instagram.com/p/BzEOYYtBNfN</v>
      </c>
      <c r="H3187" t="s">
        <v>46</v>
      </c>
      <c r="I3187" t="s">
        <v>10142</v>
      </c>
      <c r="J3187" t="str">
        <f>HYPERLINK("http://instagram.com/washingtonwildchild")</f>
        <v>http://instagram.com/washingtonwildchild</v>
      </c>
      <c r="K3187">
        <v>10274</v>
      </c>
      <c r="N3187" t="s">
        <v>59</v>
      </c>
      <c r="O3187" t="s">
        <v>10142</v>
      </c>
      <c r="P3187" t="str">
        <f>HYPERLINK("http://instagram.com/washingtonwildchild")</f>
        <v>http://instagram.com/washingtonwildchild</v>
      </c>
      <c r="Q3187">
        <v>10274</v>
      </c>
      <c r="R3187" t="s">
        <v>60</v>
      </c>
      <c r="S3187" t="s">
        <v>51</v>
      </c>
      <c r="T3187" t="s">
        <v>2522</v>
      </c>
      <c r="U3187" t="s">
        <v>10143</v>
      </c>
      <c r="W3187">
        <v>13</v>
      </c>
      <c r="X3187">
        <v>13</v>
      </c>
      <c r="AE3187">
        <v>0</v>
      </c>
      <c r="AI3187" t="s">
        <v>52</v>
      </c>
      <c r="AJ3187" t="s">
        <v>52</v>
      </c>
      <c r="AK3187" t="s">
        <v>10144</v>
      </c>
      <c r="AL3187" t="str">
        <f>HYPERLINK("https://www.instagram.com/p/BzEOYYtBNfN/media/?size=l")</f>
        <v>https://www.instagram.com/p/BzEOYYtBNfN/media/?size=l</v>
      </c>
      <c r="AM3187" t="s">
        <v>52</v>
      </c>
      <c r="AN3187" t="s">
        <v>53</v>
      </c>
    </row>
    <row r="3188" spans="1:40">
      <c r="A3188" t="s">
        <v>8081</v>
      </c>
      <c r="B3188" t="s">
        <v>4532</v>
      </c>
      <c r="C3188" t="s">
        <v>10145</v>
      </c>
      <c r="D3188" t="s">
        <v>52</v>
      </c>
      <c r="E3188" t="s">
        <v>10146</v>
      </c>
      <c r="F3188" t="s">
        <v>71</v>
      </c>
      <c r="G3188" t="str">
        <f>HYPERLINK("https://twitter.com/714211872808034305/status/1142895092329586690")</f>
        <v>https://twitter.com/714211872808034305/status/1142895092329586690</v>
      </c>
      <c r="H3188" t="s">
        <v>46</v>
      </c>
      <c r="I3188" t="s">
        <v>10147</v>
      </c>
      <c r="J3188" t="str">
        <f>HYPERLINK("http://twitter.com/_hairaz")</f>
        <v>http://twitter.com/_hairaz</v>
      </c>
      <c r="K3188">
        <v>622</v>
      </c>
      <c r="N3188" t="s">
        <v>65</v>
      </c>
      <c r="R3188" t="s">
        <v>60</v>
      </c>
      <c r="S3188" t="s">
        <v>51</v>
      </c>
      <c r="T3188" t="s">
        <v>66</v>
      </c>
      <c r="U3188" t="s">
        <v>4744</v>
      </c>
      <c r="W3188">
        <v>2</v>
      </c>
      <c r="X3188">
        <v>2</v>
      </c>
      <c r="AE3188">
        <v>0</v>
      </c>
      <c r="AF3188">
        <v>0</v>
      </c>
      <c r="AI3188" t="s">
        <v>52</v>
      </c>
      <c r="AJ3188" t="s">
        <v>1196</v>
      </c>
      <c r="AK3188" t="s">
        <v>52</v>
      </c>
      <c r="AL3188" t="str">
        <f>HYPERLINK("https://pbs.twimg.com/media/D9xgk2YXkAAd2ql.jpg")</f>
        <v>https://pbs.twimg.com/media/D9xgk2YXkAAd2ql.jpg</v>
      </c>
      <c r="AM3188" t="s">
        <v>52</v>
      </c>
      <c r="AN3188" t="s">
        <v>53</v>
      </c>
    </row>
    <row r="3189" spans="1:40">
      <c r="A3189" t="s">
        <v>8081</v>
      </c>
      <c r="B3189" t="s">
        <v>4532</v>
      </c>
      <c r="C3189" t="s">
        <v>10125</v>
      </c>
      <c r="D3189" t="s">
        <v>52</v>
      </c>
      <c r="E3189" t="s">
        <v>10148</v>
      </c>
      <c r="F3189" t="s">
        <v>45</v>
      </c>
      <c r="G3189" t="str">
        <f>HYPERLINK("https://www.instagram.com/p/BzEOUV1hI9d")</f>
        <v>https://www.instagram.com/p/BzEOUV1hI9d</v>
      </c>
      <c r="H3189" t="s">
        <v>215</v>
      </c>
      <c r="I3189" t="s">
        <v>10149</v>
      </c>
      <c r="J3189" t="str">
        <f>HYPERLINK("http://instagram.com/deborahlynnelizabeth")</f>
        <v>http://instagram.com/deborahlynnelizabeth</v>
      </c>
      <c r="K3189">
        <v>778</v>
      </c>
      <c r="L3189" t="s">
        <v>58</v>
      </c>
      <c r="N3189" t="s">
        <v>59</v>
      </c>
      <c r="O3189" t="s">
        <v>10149</v>
      </c>
      <c r="P3189" t="str">
        <f>HYPERLINK("http://instagram.com/deborahlynnelizabeth")</f>
        <v>http://instagram.com/deborahlynnelizabeth</v>
      </c>
      <c r="Q3189">
        <v>778</v>
      </c>
      <c r="R3189" t="s">
        <v>60</v>
      </c>
      <c r="S3189" t="s">
        <v>51</v>
      </c>
      <c r="T3189" t="s">
        <v>173</v>
      </c>
      <c r="U3189" t="s">
        <v>3886</v>
      </c>
      <c r="W3189">
        <v>21</v>
      </c>
      <c r="X3189">
        <v>21</v>
      </c>
      <c r="AE3189">
        <v>0</v>
      </c>
      <c r="AI3189" t="s">
        <v>52</v>
      </c>
      <c r="AJ3189" t="s">
        <v>303</v>
      </c>
      <c r="AK3189" t="s">
        <v>52</v>
      </c>
      <c r="AL3189" t="str">
        <f>HYPERLINK("https://www.instagram.com/p/BzEOUV1hI9d/media/?size=l")</f>
        <v>https://www.instagram.com/p/BzEOUV1hI9d/media/?size=l</v>
      </c>
      <c r="AM3189" t="s">
        <v>52</v>
      </c>
      <c r="AN3189" t="s">
        <v>53</v>
      </c>
    </row>
    <row r="3190" spans="1:40">
      <c r="A3190" t="s">
        <v>8081</v>
      </c>
      <c r="B3190" t="s">
        <v>4532</v>
      </c>
      <c r="C3190" t="s">
        <v>1972</v>
      </c>
      <c r="D3190" t="s">
        <v>10150</v>
      </c>
      <c r="E3190" t="s">
        <v>10151</v>
      </c>
      <c r="F3190" t="s">
        <v>45</v>
      </c>
      <c r="G3190" t="str">
        <f>HYPERLINK("https://www.reddit.com/r/shittyfoodporn/comments/c459e0/kfc_has_created_a_monster/?sort=new#thing_t1_erv291o")</f>
        <v>https://www.reddit.com/r/shittyfoodporn/comments/c459e0/kfc_has_created_a_monster/?sort=new#thing_t1_erv291o</v>
      </c>
      <c r="H3190" t="s">
        <v>46</v>
      </c>
      <c r="I3190" t="s">
        <v>10152</v>
      </c>
      <c r="J3190" t="str">
        <f>HYPERLINK("https://www.reddit.com/r/shittyfoodporn/comments/c459e0/kfc_has_created_a_monster/?sort=new#thing_t1_erv291o")</f>
        <v>https://www.reddit.com/r/shittyfoodporn/comments/c459e0/kfc_has_created_a_monster/?sort=new#thing_t1_erv291o</v>
      </c>
      <c r="N3190" t="s">
        <v>545</v>
      </c>
      <c r="O3190" t="s">
        <v>1976</v>
      </c>
      <c r="P3190" t="str">
        <f>HYPERLINK("https://www.reddit.com/r/shittyfoodporn/")</f>
        <v>https://www.reddit.com/r/shittyfoodporn/</v>
      </c>
      <c r="R3190" t="s">
        <v>516</v>
      </c>
      <c r="S3190" t="s">
        <v>51</v>
      </c>
      <c r="AM3190" t="s">
        <v>52</v>
      </c>
      <c r="AN3190" t="s">
        <v>53</v>
      </c>
    </row>
    <row r="3191" spans="1:40">
      <c r="A3191" t="s">
        <v>8081</v>
      </c>
      <c r="B3191" t="s">
        <v>10153</v>
      </c>
      <c r="C3191" t="s">
        <v>10125</v>
      </c>
      <c r="D3191" t="s">
        <v>52</v>
      </c>
      <c r="E3191" t="s">
        <v>10154</v>
      </c>
      <c r="F3191" t="s">
        <v>71</v>
      </c>
      <c r="G3191" t="str">
        <f>HYPERLINK("https://twitter.com/759818567827202048/status/1142894608688537600")</f>
        <v>https://twitter.com/759818567827202048/status/1142894608688537600</v>
      </c>
      <c r="H3191" t="s">
        <v>46</v>
      </c>
      <c r="I3191" t="s">
        <v>10155</v>
      </c>
      <c r="J3191" t="str">
        <f>HYPERLINK("http://twitter.com/Laila_lbl")</f>
        <v>http://twitter.com/Laila_lbl</v>
      </c>
      <c r="K3191">
        <v>189</v>
      </c>
      <c r="N3191" t="s">
        <v>65</v>
      </c>
      <c r="R3191" t="s">
        <v>60</v>
      </c>
      <c r="S3191" t="s">
        <v>1071</v>
      </c>
      <c r="T3191" t="s">
        <v>3751</v>
      </c>
      <c r="U3191" t="s">
        <v>3752</v>
      </c>
      <c r="W3191">
        <v>0</v>
      </c>
      <c r="X3191">
        <v>0</v>
      </c>
      <c r="AE3191">
        <v>0</v>
      </c>
      <c r="AF3191">
        <v>0</v>
      </c>
      <c r="AM3191" t="s">
        <v>52</v>
      </c>
      <c r="AN3191" t="s">
        <v>53</v>
      </c>
    </row>
    <row r="3192" spans="1:40">
      <c r="A3192" t="s">
        <v>8081</v>
      </c>
      <c r="B3192" t="s">
        <v>10156</v>
      </c>
      <c r="C3192" t="s">
        <v>10125</v>
      </c>
      <c r="D3192" t="s">
        <v>10157</v>
      </c>
      <c r="E3192" t="s">
        <v>10157</v>
      </c>
      <c r="F3192" t="s">
        <v>45</v>
      </c>
      <c r="G3192" t="str">
        <f>HYPERLINK("https://www.youtube.com/watch?v=VGXOJ9Wm0TA")</f>
        <v>https://www.youtube.com/watch?v=VGXOJ9Wm0TA</v>
      </c>
      <c r="H3192" t="s">
        <v>46</v>
      </c>
      <c r="I3192" t="s">
        <v>10158</v>
      </c>
      <c r="J3192" t="str">
        <f>HYPERLINK("https://www.youtube.com/channel/UCT__rLrr1SoGxfyqLh-qrDA")</f>
        <v>https://www.youtube.com/channel/UCT__rLrr1SoGxfyqLh-qrDA</v>
      </c>
      <c r="K3192">
        <v>5</v>
      </c>
      <c r="N3192" t="s">
        <v>116</v>
      </c>
      <c r="O3192" t="s">
        <v>10158</v>
      </c>
      <c r="P3192" t="str">
        <f>HYPERLINK("https://www.youtube.com/channel/UCT__rLrr1SoGxfyqLh-qrDA")</f>
        <v>https://www.youtube.com/channel/UCT__rLrr1SoGxfyqLh-qrDA</v>
      </c>
      <c r="Q3192">
        <v>5</v>
      </c>
      <c r="R3192" t="s">
        <v>60</v>
      </c>
      <c r="W3192">
        <v>0</v>
      </c>
      <c r="X3192">
        <v>0</v>
      </c>
      <c r="AD3192">
        <v>0</v>
      </c>
      <c r="AE3192">
        <v>0</v>
      </c>
      <c r="AG3192">
        <v>0</v>
      </c>
      <c r="AI3192" t="s">
        <v>52</v>
      </c>
      <c r="AJ3192" t="s">
        <v>10159</v>
      </c>
      <c r="AK3192" t="s">
        <v>10160</v>
      </c>
      <c r="AL3192" t="str">
        <f>HYPERLINK("https://i.ytimg.com/vi/VGXOJ9Wm0TA/sddefault.jpg")</f>
        <v>https://i.ytimg.com/vi/VGXOJ9Wm0TA/sddefault.jpg</v>
      </c>
      <c r="AM3192" t="s">
        <v>52</v>
      </c>
      <c r="AN3192" t="s">
        <v>53</v>
      </c>
    </row>
    <row r="3193" spans="1:40">
      <c r="A3193" t="s">
        <v>8081</v>
      </c>
      <c r="B3193" t="s">
        <v>10156</v>
      </c>
      <c r="C3193" t="s">
        <v>10145</v>
      </c>
      <c r="D3193" t="s">
        <v>52</v>
      </c>
      <c r="E3193" t="s">
        <v>10161</v>
      </c>
      <c r="F3193" t="s">
        <v>95</v>
      </c>
      <c r="G3193" t="str">
        <f>HYPERLINK("https://twitter.com/11250462/status/1142894477595557888")</f>
        <v>https://twitter.com/11250462/status/1142894477595557888</v>
      </c>
      <c r="H3193" t="s">
        <v>46</v>
      </c>
      <c r="I3193" t="s">
        <v>10162</v>
      </c>
      <c r="J3193" t="str">
        <f>HYPERLINK("http://twitter.com/aloria")</f>
        <v>http://twitter.com/aloria</v>
      </c>
      <c r="K3193">
        <v>27066</v>
      </c>
      <c r="N3193" t="s">
        <v>65</v>
      </c>
      <c r="R3193" t="s">
        <v>60</v>
      </c>
      <c r="S3193" t="s">
        <v>444</v>
      </c>
      <c r="T3193" t="s">
        <v>3539</v>
      </c>
      <c r="U3193" t="s">
        <v>10163</v>
      </c>
      <c r="W3193">
        <v>10</v>
      </c>
      <c r="X3193">
        <v>10</v>
      </c>
      <c r="AE3193">
        <v>1</v>
      </c>
      <c r="AF3193">
        <v>0</v>
      </c>
      <c r="AI3193" t="s">
        <v>52</v>
      </c>
      <c r="AJ3193" t="s">
        <v>10164</v>
      </c>
      <c r="AK3193" t="s">
        <v>52</v>
      </c>
      <c r="AL3193" t="str">
        <f>HYPERLINK("https://pbs.twimg.com/tweet_video_thumb/D9xgdmJW4AIP0FM.jpg")</f>
        <v>https://pbs.twimg.com/tweet_video_thumb/D9xgdmJW4AIP0FM.jpg</v>
      </c>
      <c r="AM3193" t="s">
        <v>52</v>
      </c>
      <c r="AN3193" t="s">
        <v>53</v>
      </c>
    </row>
    <row r="3194" spans="1:40">
      <c r="A3194" t="s">
        <v>8081</v>
      </c>
      <c r="B3194" t="s">
        <v>10156</v>
      </c>
      <c r="C3194" t="s">
        <v>10165</v>
      </c>
      <c r="D3194" t="s">
        <v>52</v>
      </c>
      <c r="E3194" t="s">
        <v>10166</v>
      </c>
      <c r="F3194" t="s">
        <v>45</v>
      </c>
      <c r="G3194" t="str">
        <f>HYPERLINK("https://www.instagram.com/p/BzEOFMsgDYe")</f>
        <v>https://www.instagram.com/p/BzEOFMsgDYe</v>
      </c>
      <c r="H3194" t="s">
        <v>46</v>
      </c>
      <c r="I3194" t="s">
        <v>10167</v>
      </c>
      <c r="J3194" t="str">
        <f>HYPERLINK("http://instagram.com/themeatiesthead")</f>
        <v>http://instagram.com/themeatiesthead</v>
      </c>
      <c r="K3194">
        <v>50</v>
      </c>
      <c r="N3194" t="s">
        <v>59</v>
      </c>
      <c r="O3194" t="s">
        <v>10167</v>
      </c>
      <c r="P3194" t="str">
        <f>HYPERLINK("http://instagram.com/themeatiesthead")</f>
        <v>http://instagram.com/themeatiesthead</v>
      </c>
      <c r="Q3194">
        <v>50</v>
      </c>
      <c r="R3194" t="s">
        <v>60</v>
      </c>
      <c r="W3194">
        <v>7</v>
      </c>
      <c r="X3194">
        <v>7</v>
      </c>
      <c r="AE3194">
        <v>0</v>
      </c>
      <c r="AI3194" t="s">
        <v>52</v>
      </c>
      <c r="AJ3194" t="s">
        <v>52</v>
      </c>
      <c r="AK3194" t="s">
        <v>52</v>
      </c>
      <c r="AL3194" t="str">
        <f>HYPERLINK("https://www.instagram.com/p/BzEOFMsgDYe/media/?size=l")</f>
        <v>https://www.instagram.com/p/BzEOFMsgDYe/media/?size=l</v>
      </c>
      <c r="AM3194" t="s">
        <v>52</v>
      </c>
      <c r="AN3194" t="s">
        <v>53</v>
      </c>
    </row>
    <row r="3195" spans="1:40">
      <c r="A3195" t="s">
        <v>8081</v>
      </c>
      <c r="B3195" t="s">
        <v>4551</v>
      </c>
      <c r="C3195" t="s">
        <v>10168</v>
      </c>
      <c r="D3195" t="s">
        <v>52</v>
      </c>
      <c r="E3195" t="s">
        <v>5927</v>
      </c>
      <c r="F3195" t="s">
        <v>131</v>
      </c>
      <c r="G3195" t="str">
        <f>HYPERLINK("https://twitter.com/847568900178886656/status/1142893525735837696")</f>
        <v>https://twitter.com/847568900178886656/status/1142893525735837696</v>
      </c>
      <c r="H3195" t="s">
        <v>46</v>
      </c>
      <c r="I3195" t="s">
        <v>10169</v>
      </c>
      <c r="J3195" t="str">
        <f>HYPERLINK("http://twitter.com/HarpLeeDave")</f>
        <v>http://twitter.com/HarpLeeDave</v>
      </c>
      <c r="K3195">
        <v>147</v>
      </c>
      <c r="L3195" t="s">
        <v>48</v>
      </c>
      <c r="N3195" t="s">
        <v>65</v>
      </c>
      <c r="R3195" t="s">
        <v>60</v>
      </c>
      <c r="S3195" t="s">
        <v>51</v>
      </c>
      <c r="T3195" t="s">
        <v>173</v>
      </c>
      <c r="W3195">
        <v>0</v>
      </c>
      <c r="X3195">
        <v>0</v>
      </c>
      <c r="AE3195">
        <v>0</v>
      </c>
      <c r="AM3195" t="s">
        <v>52</v>
      </c>
      <c r="AN3195" t="s">
        <v>53</v>
      </c>
    </row>
    <row r="3196" spans="1:40">
      <c r="A3196" t="s">
        <v>8081</v>
      </c>
      <c r="B3196" t="s">
        <v>10170</v>
      </c>
      <c r="C3196" t="s">
        <v>10171</v>
      </c>
      <c r="D3196" t="s">
        <v>52</v>
      </c>
      <c r="E3196" t="s">
        <v>10172</v>
      </c>
      <c r="F3196" t="s">
        <v>45</v>
      </c>
      <c r="G3196" t="str">
        <f>HYPERLINK("https://www.instagram.com/p/BzENhFJJ0Hu")</f>
        <v>https://www.instagram.com/p/BzENhFJJ0Hu</v>
      </c>
      <c r="H3196" t="s">
        <v>46</v>
      </c>
      <c r="I3196" t="s">
        <v>10173</v>
      </c>
      <c r="J3196" t="str">
        <f>HYPERLINK("http://instagram.com/linnea.sirman")</f>
        <v>http://instagram.com/linnea.sirman</v>
      </c>
      <c r="K3196">
        <v>784</v>
      </c>
      <c r="N3196" t="s">
        <v>59</v>
      </c>
      <c r="O3196" t="s">
        <v>10173</v>
      </c>
      <c r="P3196" t="str">
        <f>HYPERLINK("http://instagram.com/linnea.sirman")</f>
        <v>http://instagram.com/linnea.sirman</v>
      </c>
      <c r="Q3196">
        <v>784</v>
      </c>
      <c r="R3196" t="s">
        <v>60</v>
      </c>
      <c r="W3196">
        <v>9</v>
      </c>
      <c r="X3196">
        <v>9</v>
      </c>
      <c r="AE3196">
        <v>0</v>
      </c>
      <c r="AI3196" t="s">
        <v>52</v>
      </c>
      <c r="AJ3196" t="s">
        <v>659</v>
      </c>
      <c r="AK3196" t="s">
        <v>52</v>
      </c>
      <c r="AL3196" t="str">
        <f>HYPERLINK("https://www.instagram.com/p/BzENhFJJ0Hu/media/?size=l")</f>
        <v>https://www.instagram.com/p/BzENhFJJ0Hu/media/?size=l</v>
      </c>
      <c r="AM3196" t="s">
        <v>52</v>
      </c>
      <c r="AN3196" t="s">
        <v>53</v>
      </c>
    </row>
    <row r="3197" spans="1:40">
      <c r="A3197" t="s">
        <v>8081</v>
      </c>
      <c r="B3197" t="s">
        <v>10170</v>
      </c>
      <c r="C3197" t="s">
        <v>10174</v>
      </c>
      <c r="D3197" t="s">
        <v>10175</v>
      </c>
      <c r="E3197" t="s">
        <v>10176</v>
      </c>
      <c r="F3197" t="s">
        <v>95</v>
      </c>
      <c r="G3197" t="str">
        <f>HYPERLINK("http://www.worldstarhiphop.com/videos/video.php?v=wshhNempNmI3WWaWoiZY#comment-4513389891")</f>
        <v>http://www.worldstarhiphop.com/videos/video.php?v=wshhNempNmI3WWaWoiZY#comment-4513389891</v>
      </c>
      <c r="H3197" t="s">
        <v>46</v>
      </c>
      <c r="I3197" t="s">
        <v>10177</v>
      </c>
      <c r="J3197" t="str">
        <f>HYPERLINK("https://disqus.com/by/BertjeB/")</f>
        <v>https://disqus.com/by/BertjeB/</v>
      </c>
      <c r="K3197">
        <v>0</v>
      </c>
      <c r="N3197" t="s">
        <v>3966</v>
      </c>
      <c r="O3197" t="s">
        <v>3967</v>
      </c>
      <c r="P3197" t="str">
        <f>HYPERLINK("https://disqus.com/home/forum/worldstar/")</f>
        <v>https://disqus.com/home/forum/worldstar/</v>
      </c>
      <c r="R3197" t="s">
        <v>50</v>
      </c>
      <c r="W3197">
        <v>0</v>
      </c>
      <c r="X3197">
        <v>0</v>
      </c>
      <c r="AM3197" t="s">
        <v>52</v>
      </c>
      <c r="AN3197" t="s">
        <v>53</v>
      </c>
    </row>
    <row r="3198" spans="1:40">
      <c r="A3198" t="s">
        <v>8081</v>
      </c>
      <c r="B3198" t="s">
        <v>4568</v>
      </c>
      <c r="C3198" t="s">
        <v>10178</v>
      </c>
      <c r="D3198" t="s">
        <v>52</v>
      </c>
      <c r="E3198" t="s">
        <v>10179</v>
      </c>
      <c r="F3198" t="s">
        <v>45</v>
      </c>
      <c r="G3198" t="str">
        <f>HYPERLINK("https://twitter.com/243474226/status/1142892738955927553")</f>
        <v>https://twitter.com/243474226/status/1142892738955927553</v>
      </c>
      <c r="H3198" t="s">
        <v>46</v>
      </c>
      <c r="I3198" t="s">
        <v>10180</v>
      </c>
      <c r="J3198" t="str">
        <f>HYPERLINK("http://twitter.com/montseresendiz")</f>
        <v>http://twitter.com/montseresendiz</v>
      </c>
      <c r="K3198">
        <v>363</v>
      </c>
      <c r="N3198" t="s">
        <v>65</v>
      </c>
      <c r="R3198" t="s">
        <v>60</v>
      </c>
      <c r="S3198" t="s">
        <v>437</v>
      </c>
      <c r="T3198" t="s">
        <v>10181</v>
      </c>
      <c r="W3198">
        <v>1</v>
      </c>
      <c r="X3198">
        <v>1</v>
      </c>
      <c r="AE3198">
        <v>0</v>
      </c>
      <c r="AF3198">
        <v>0</v>
      </c>
      <c r="AM3198" t="s">
        <v>52</v>
      </c>
      <c r="AN3198" t="s">
        <v>53</v>
      </c>
    </row>
    <row r="3199" spans="1:40">
      <c r="A3199" t="s">
        <v>8081</v>
      </c>
      <c r="B3199" t="s">
        <v>4568</v>
      </c>
      <c r="C3199" t="s">
        <v>10182</v>
      </c>
      <c r="D3199" t="s">
        <v>52</v>
      </c>
      <c r="E3199" t="s">
        <v>3749</v>
      </c>
      <c r="F3199" t="s">
        <v>71</v>
      </c>
      <c r="G3199" t="str">
        <f>HYPERLINK("https://twitter.com/859501481665474560/status/1142892663194214400")</f>
        <v>https://twitter.com/859501481665474560/status/1142892663194214400</v>
      </c>
      <c r="H3199" t="s">
        <v>46</v>
      </c>
      <c r="I3199" t="s">
        <v>10183</v>
      </c>
      <c r="J3199" t="str">
        <f>HYPERLINK("http://twitter.com/zukomilisa")</f>
        <v>http://twitter.com/zukomilisa</v>
      </c>
      <c r="K3199">
        <v>540</v>
      </c>
      <c r="N3199" t="s">
        <v>65</v>
      </c>
      <c r="R3199" t="s">
        <v>60</v>
      </c>
      <c r="S3199" t="s">
        <v>9586</v>
      </c>
      <c r="U3199" t="s">
        <v>9587</v>
      </c>
      <c r="W3199">
        <v>0</v>
      </c>
      <c r="X3199">
        <v>0</v>
      </c>
      <c r="AE3199">
        <v>0</v>
      </c>
      <c r="AF3199">
        <v>0</v>
      </c>
      <c r="AI3199" t="s">
        <v>108</v>
      </c>
      <c r="AJ3199" t="s">
        <v>52</v>
      </c>
      <c r="AK3199" t="s">
        <v>52</v>
      </c>
      <c r="AL3199" t="str">
        <f>HYPERLINK("https://pbs.twimg.com/media/D9sAXHUX4AA6vJs.jpg")</f>
        <v>https://pbs.twimg.com/media/D9sAXHUX4AA6vJs.jpg</v>
      </c>
      <c r="AM3199" t="s">
        <v>52</v>
      </c>
      <c r="AN3199" t="s">
        <v>53</v>
      </c>
    </row>
    <row r="3200" spans="1:40">
      <c r="A3200" t="s">
        <v>8081</v>
      </c>
      <c r="B3200" t="s">
        <v>4568</v>
      </c>
      <c r="C3200" t="s">
        <v>10182</v>
      </c>
      <c r="D3200" t="s">
        <v>52</v>
      </c>
      <c r="E3200" t="s">
        <v>10184</v>
      </c>
      <c r="F3200" t="s">
        <v>45</v>
      </c>
      <c r="G3200" t="str">
        <f>HYPERLINK("https://twitter.com/309177275/status/1142892662023958529")</f>
        <v>https://twitter.com/309177275/status/1142892662023958529</v>
      </c>
      <c r="H3200" t="s">
        <v>46</v>
      </c>
      <c r="I3200" t="s">
        <v>10185</v>
      </c>
      <c r="J3200" t="str">
        <f>HYPERLINK("http://twitter.com/ghmelon")</f>
        <v>http://twitter.com/ghmelon</v>
      </c>
      <c r="K3200">
        <v>3869</v>
      </c>
      <c r="N3200" t="s">
        <v>65</v>
      </c>
      <c r="R3200" t="s">
        <v>60</v>
      </c>
      <c r="S3200" t="s">
        <v>1310</v>
      </c>
      <c r="T3200" t="s">
        <v>10186</v>
      </c>
      <c r="U3200" t="s">
        <v>10187</v>
      </c>
      <c r="W3200">
        <v>0</v>
      </c>
      <c r="X3200">
        <v>0</v>
      </c>
      <c r="AE3200">
        <v>0</v>
      </c>
      <c r="AF3200">
        <v>0</v>
      </c>
      <c r="AM3200" t="s">
        <v>52</v>
      </c>
      <c r="AN3200" t="s">
        <v>53</v>
      </c>
    </row>
    <row r="3201" spans="1:40">
      <c r="A3201" t="s">
        <v>8081</v>
      </c>
      <c r="B3201" t="s">
        <v>4568</v>
      </c>
      <c r="C3201" t="s">
        <v>10182</v>
      </c>
      <c r="D3201" t="s">
        <v>52</v>
      </c>
      <c r="E3201" t="s">
        <v>7118</v>
      </c>
      <c r="F3201" t="s">
        <v>71</v>
      </c>
      <c r="G3201" t="str">
        <f>HYPERLINK("https://twitter.com/491782317/status/1142892649633988608")</f>
        <v>https://twitter.com/491782317/status/1142892649633988608</v>
      </c>
      <c r="H3201" t="s">
        <v>46</v>
      </c>
      <c r="I3201" t="s">
        <v>10188</v>
      </c>
      <c r="J3201" t="str">
        <f>HYPERLINK("http://twitter.com/Tanyaobert")</f>
        <v>http://twitter.com/Tanyaobert</v>
      </c>
      <c r="K3201">
        <v>354</v>
      </c>
      <c r="N3201" t="s">
        <v>65</v>
      </c>
      <c r="R3201" t="s">
        <v>60</v>
      </c>
      <c r="S3201" t="s">
        <v>1350</v>
      </c>
      <c r="T3201" t="s">
        <v>1351</v>
      </c>
      <c r="U3201" t="s">
        <v>10189</v>
      </c>
      <c r="W3201">
        <v>0</v>
      </c>
      <c r="X3201">
        <v>0</v>
      </c>
      <c r="AE3201">
        <v>0</v>
      </c>
      <c r="AF3201">
        <v>0</v>
      </c>
      <c r="AI3201" t="s">
        <v>108</v>
      </c>
      <c r="AJ3201" t="s">
        <v>52</v>
      </c>
      <c r="AK3201" t="s">
        <v>52</v>
      </c>
      <c r="AL3201" t="str">
        <f>HYPERLINK("https://pbs.twimg.com/media/D9sAXHUX4AA6vJs.jpg")</f>
        <v>https://pbs.twimg.com/media/D9sAXHUX4AA6vJs.jpg</v>
      </c>
      <c r="AM3201" t="s">
        <v>52</v>
      </c>
      <c r="AN3201" t="s">
        <v>53</v>
      </c>
    </row>
    <row r="3202" spans="1:40">
      <c r="A3202" t="s">
        <v>8081</v>
      </c>
      <c r="B3202" t="s">
        <v>4568</v>
      </c>
      <c r="C3202" t="s">
        <v>10182</v>
      </c>
      <c r="D3202" t="s">
        <v>52</v>
      </c>
      <c r="E3202" t="s">
        <v>10190</v>
      </c>
      <c r="F3202" t="s">
        <v>45</v>
      </c>
      <c r="G3202" t="str">
        <f>HYPERLINK("https://twitter.com/1141927284670119942/status/1142892646861561857")</f>
        <v>https://twitter.com/1141927284670119942/status/1142892646861561857</v>
      </c>
      <c r="H3202" t="s">
        <v>46</v>
      </c>
      <c r="I3202" t="s">
        <v>52</v>
      </c>
      <c r="J3202" t="str">
        <f>HYPERLINK("http://twitter.com/nogchas")</f>
        <v>http://twitter.com/nogchas</v>
      </c>
      <c r="K3202">
        <v>0</v>
      </c>
      <c r="N3202" t="s">
        <v>65</v>
      </c>
      <c r="R3202" t="s">
        <v>60</v>
      </c>
      <c r="W3202">
        <v>0</v>
      </c>
      <c r="X3202">
        <v>0</v>
      </c>
      <c r="AE3202">
        <v>1</v>
      </c>
      <c r="AF3202">
        <v>0</v>
      </c>
      <c r="AM3202" t="s">
        <v>52</v>
      </c>
      <c r="AN3202" t="s">
        <v>53</v>
      </c>
    </row>
    <row r="3203" spans="1:40">
      <c r="A3203" t="s">
        <v>8081</v>
      </c>
      <c r="B3203" t="s">
        <v>4568</v>
      </c>
      <c r="C3203" t="s">
        <v>8958</v>
      </c>
      <c r="D3203" t="s">
        <v>52</v>
      </c>
      <c r="E3203" t="s">
        <v>10191</v>
      </c>
      <c r="F3203" t="s">
        <v>45</v>
      </c>
      <c r="G3203" t="str">
        <f>HYPERLINK("https://www.facebook.com/117925708371194/posts/1374772329353186")</f>
        <v>https://www.facebook.com/117925708371194/posts/1374772329353186</v>
      </c>
      <c r="H3203" t="s">
        <v>46</v>
      </c>
      <c r="I3203" t="s">
        <v>10192</v>
      </c>
      <c r="J3203" t="str">
        <f>HYPERLINK("https://www.facebook.com/117925708371194")</f>
        <v>https://www.facebook.com/117925708371194</v>
      </c>
      <c r="K3203">
        <v>7235588</v>
      </c>
      <c r="L3203" t="s">
        <v>651</v>
      </c>
      <c r="N3203" t="s">
        <v>1792</v>
      </c>
      <c r="O3203" t="s">
        <v>10192</v>
      </c>
      <c r="P3203" t="str">
        <f>HYPERLINK("https://www.facebook.com/117925708371194")</f>
        <v>https://www.facebook.com/117925708371194</v>
      </c>
      <c r="Q3203">
        <v>7235588</v>
      </c>
      <c r="R3203" t="s">
        <v>60</v>
      </c>
      <c r="W3203">
        <v>66</v>
      </c>
      <c r="X3203">
        <v>61</v>
      </c>
      <c r="Y3203">
        <v>4</v>
      </c>
      <c r="Z3203">
        <v>0</v>
      </c>
      <c r="AA3203">
        <v>1</v>
      </c>
      <c r="AB3203">
        <v>0</v>
      </c>
      <c r="AC3203">
        <v>0</v>
      </c>
      <c r="AE3203">
        <v>7</v>
      </c>
      <c r="AF3203">
        <v>69</v>
      </c>
      <c r="AI3203" t="s">
        <v>52</v>
      </c>
      <c r="AJ3203" t="s">
        <v>659</v>
      </c>
      <c r="AK3203" t="s">
        <v>52</v>
      </c>
      <c r="AL3203" t="str">
        <f>HYPERLINK("https://scontent.xx.fbcdn.net/v/t1.0-0/p480x480/64916630_1374772192686533_5783995718372950016_n.jpg?_nc_cat=1&amp;_nc_ht=scontent.xx&amp;oh=643f6bf40aa92b5d03b2923a72ce1ef4&amp;oe=5D859F53")</f>
        <v>https://scontent.xx.fbcdn.net/v/t1.0-0/p480x480/64916630_1374772192686533_5783995718372950016_n.jpg?_nc_cat=1&amp;_nc_ht=scontent.xx&amp;oh=643f6bf40aa92b5d03b2923a72ce1ef4&amp;oe=5D859F53</v>
      </c>
      <c r="AM3203" t="s">
        <v>52</v>
      </c>
      <c r="AN3203" t="s">
        <v>53</v>
      </c>
    </row>
    <row r="3204" spans="1:40">
      <c r="A3204" t="s">
        <v>8081</v>
      </c>
      <c r="B3204" t="s">
        <v>4578</v>
      </c>
      <c r="C3204" t="s">
        <v>10193</v>
      </c>
      <c r="D3204" t="s">
        <v>52</v>
      </c>
      <c r="E3204" t="s">
        <v>10194</v>
      </c>
      <c r="F3204" t="s">
        <v>71</v>
      </c>
      <c r="G3204" t="str">
        <f>HYPERLINK("https://twitter.com/557414462/status/1142892495111692290")</f>
        <v>https://twitter.com/557414462/status/1142892495111692290</v>
      </c>
      <c r="H3204" t="s">
        <v>215</v>
      </c>
      <c r="I3204" t="s">
        <v>10195</v>
      </c>
      <c r="J3204" t="str">
        <f>HYPERLINK("http://twitter.com/LinxordZX")</f>
        <v>http://twitter.com/LinxordZX</v>
      </c>
      <c r="K3204">
        <v>380</v>
      </c>
      <c r="N3204" t="s">
        <v>65</v>
      </c>
      <c r="R3204" t="s">
        <v>60</v>
      </c>
      <c r="S3204" t="s">
        <v>51</v>
      </c>
      <c r="T3204" t="s">
        <v>738</v>
      </c>
      <c r="W3204">
        <v>1</v>
      </c>
      <c r="X3204">
        <v>1</v>
      </c>
      <c r="AE3204">
        <v>0</v>
      </c>
      <c r="AF3204">
        <v>0</v>
      </c>
      <c r="AM3204" t="s">
        <v>52</v>
      </c>
      <c r="AN3204" t="s">
        <v>53</v>
      </c>
    </row>
    <row r="3205" spans="1:40">
      <c r="A3205" t="s">
        <v>8081</v>
      </c>
      <c r="B3205" t="s">
        <v>4578</v>
      </c>
      <c r="C3205" t="s">
        <v>7813</v>
      </c>
      <c r="D3205" t="s">
        <v>52</v>
      </c>
      <c r="E3205" t="s">
        <v>10196</v>
      </c>
      <c r="F3205" t="s">
        <v>45</v>
      </c>
      <c r="G3205" t="str">
        <f>HYPERLINK("https://www.instagram.com/p/BzENJF4ADdD")</f>
        <v>https://www.instagram.com/p/BzENJF4ADdD</v>
      </c>
      <c r="H3205" t="s">
        <v>46</v>
      </c>
      <c r="I3205" t="s">
        <v>52</v>
      </c>
      <c r="J3205" t="str">
        <f>HYPERLINK("http://instagram.com/danijo_stine")</f>
        <v>http://instagram.com/danijo_stine</v>
      </c>
      <c r="K3205">
        <v>81</v>
      </c>
      <c r="N3205" t="s">
        <v>59</v>
      </c>
      <c r="O3205" t="s">
        <v>52</v>
      </c>
      <c r="P3205" t="str">
        <f>HYPERLINK("http://instagram.com/danijo_stine")</f>
        <v>http://instagram.com/danijo_stine</v>
      </c>
      <c r="Q3205">
        <v>81</v>
      </c>
      <c r="R3205" t="s">
        <v>60</v>
      </c>
      <c r="W3205">
        <v>3</v>
      </c>
      <c r="X3205">
        <v>3</v>
      </c>
      <c r="AE3205">
        <v>0</v>
      </c>
      <c r="AI3205" t="s">
        <v>108</v>
      </c>
      <c r="AJ3205" t="s">
        <v>2277</v>
      </c>
      <c r="AK3205" t="s">
        <v>52</v>
      </c>
      <c r="AL3205" t="str">
        <f>HYPERLINK("https://www.instagram.com/p/BzENJF4ADdD/media/?size=l")</f>
        <v>https://www.instagram.com/p/BzENJF4ADdD/media/?size=l</v>
      </c>
      <c r="AM3205" t="s">
        <v>52</v>
      </c>
      <c r="AN3205" t="s">
        <v>53</v>
      </c>
    </row>
    <row r="3206" spans="1:40">
      <c r="A3206" t="s">
        <v>8081</v>
      </c>
      <c r="B3206" t="s">
        <v>4583</v>
      </c>
      <c r="C3206" t="s">
        <v>9429</v>
      </c>
      <c r="D3206" t="s">
        <v>10197</v>
      </c>
      <c r="E3206" t="s">
        <v>10198</v>
      </c>
      <c r="F3206" t="s">
        <v>45</v>
      </c>
      <c r="G3206" t="str">
        <f>HYPERLINK("https://www.youtube.com/watch?v=G_kZpXBVrNE")</f>
        <v>https://www.youtube.com/watch?v=G_kZpXBVrNE</v>
      </c>
      <c r="H3206" t="s">
        <v>46</v>
      </c>
      <c r="I3206" t="s">
        <v>10199</v>
      </c>
      <c r="J3206" t="str">
        <f>HYPERLINK("https://www.youtube.com/channel/UCx2C1pisYHW-EC8S9xmJ0Yg")</f>
        <v>https://www.youtube.com/channel/UCx2C1pisYHW-EC8S9xmJ0Yg</v>
      </c>
      <c r="K3206">
        <v>12</v>
      </c>
      <c r="N3206" t="s">
        <v>116</v>
      </c>
      <c r="O3206" t="s">
        <v>10199</v>
      </c>
      <c r="P3206" t="str">
        <f>HYPERLINK("https://www.youtube.com/channel/UCx2C1pisYHW-EC8S9xmJ0Yg")</f>
        <v>https://www.youtube.com/channel/UCx2C1pisYHW-EC8S9xmJ0Yg</v>
      </c>
      <c r="Q3206">
        <v>12</v>
      </c>
      <c r="R3206" t="s">
        <v>60</v>
      </c>
      <c r="W3206">
        <v>1</v>
      </c>
      <c r="X3206">
        <v>1</v>
      </c>
      <c r="AD3206">
        <v>0</v>
      </c>
      <c r="AE3206">
        <v>0</v>
      </c>
      <c r="AG3206">
        <v>5</v>
      </c>
      <c r="AI3206" t="s">
        <v>52</v>
      </c>
      <c r="AJ3206" t="s">
        <v>52</v>
      </c>
      <c r="AK3206" t="s">
        <v>52</v>
      </c>
      <c r="AL3206" t="str">
        <f>HYPERLINK("https://i.ytimg.com/vi/G_kZpXBVrNE/sddefault.jpg")</f>
        <v>https://i.ytimg.com/vi/G_kZpXBVrNE/sddefault.jpg</v>
      </c>
      <c r="AM3206" t="s">
        <v>52</v>
      </c>
      <c r="AN3206" t="s">
        <v>53</v>
      </c>
    </row>
    <row r="3207" spans="1:40">
      <c r="A3207" t="s">
        <v>8081</v>
      </c>
      <c r="B3207" t="s">
        <v>4583</v>
      </c>
      <c r="C3207" t="s">
        <v>7767</v>
      </c>
      <c r="D3207" t="s">
        <v>52</v>
      </c>
      <c r="E3207" t="s">
        <v>10200</v>
      </c>
      <c r="F3207" t="s">
        <v>45</v>
      </c>
      <c r="G3207" t="str">
        <f>HYPERLINK("https://www.instagram.com/p/BzEND7ShU_D")</f>
        <v>https://www.instagram.com/p/BzEND7ShU_D</v>
      </c>
      <c r="H3207" t="s">
        <v>46</v>
      </c>
      <c r="I3207" t="s">
        <v>10201</v>
      </c>
      <c r="J3207" t="str">
        <f>HYPERLINK("http://instagram.com/nichememeaestheticz")</f>
        <v>http://instagram.com/nichememeaestheticz</v>
      </c>
      <c r="K3207">
        <v>22</v>
      </c>
      <c r="L3207" t="s">
        <v>651</v>
      </c>
      <c r="N3207" t="s">
        <v>59</v>
      </c>
      <c r="O3207" t="s">
        <v>10201</v>
      </c>
      <c r="P3207" t="str">
        <f>HYPERLINK("http://instagram.com/nichememeaestheticz")</f>
        <v>http://instagram.com/nichememeaestheticz</v>
      </c>
      <c r="Q3207">
        <v>22</v>
      </c>
      <c r="R3207" t="s">
        <v>60</v>
      </c>
      <c r="W3207">
        <v>10</v>
      </c>
      <c r="X3207">
        <v>10</v>
      </c>
      <c r="AE3207">
        <v>2</v>
      </c>
      <c r="AI3207" t="s">
        <v>108</v>
      </c>
      <c r="AJ3207" t="s">
        <v>10202</v>
      </c>
      <c r="AK3207" t="s">
        <v>52</v>
      </c>
      <c r="AL3207" t="str">
        <f>HYPERLINK("https://www.instagram.com/p/BzEND7ShU_D/media/?size=l")</f>
        <v>https://www.instagram.com/p/BzEND7ShU_D/media/?size=l</v>
      </c>
      <c r="AM3207" t="s">
        <v>52</v>
      </c>
      <c r="AN3207" t="s">
        <v>53</v>
      </c>
    </row>
    <row r="3208" spans="1:40">
      <c r="A3208" t="s">
        <v>8081</v>
      </c>
      <c r="B3208" t="s">
        <v>4583</v>
      </c>
      <c r="C3208" t="s">
        <v>10203</v>
      </c>
      <c r="D3208" t="s">
        <v>52</v>
      </c>
      <c r="E3208" t="s">
        <v>10204</v>
      </c>
      <c r="F3208" t="s">
        <v>45</v>
      </c>
      <c r="G3208" t="str">
        <f>HYPERLINK("https://twitter.com/713156456451670016/status/1142892133466148865")</f>
        <v>https://twitter.com/713156456451670016/status/1142892133466148865</v>
      </c>
      <c r="H3208" t="s">
        <v>46</v>
      </c>
      <c r="I3208" t="s">
        <v>10205</v>
      </c>
      <c r="J3208" t="str">
        <f>HYPERLINK("http://twitter.com/emilyyy_S_Jones")</f>
        <v>http://twitter.com/emilyyy_S_Jones</v>
      </c>
      <c r="K3208">
        <v>124</v>
      </c>
      <c r="N3208" t="s">
        <v>65</v>
      </c>
      <c r="R3208" t="s">
        <v>60</v>
      </c>
      <c r="S3208" t="s">
        <v>51</v>
      </c>
      <c r="T3208" t="s">
        <v>1785</v>
      </c>
      <c r="U3208" t="s">
        <v>1786</v>
      </c>
      <c r="W3208">
        <v>2</v>
      </c>
      <c r="X3208">
        <v>2</v>
      </c>
      <c r="AE3208">
        <v>0</v>
      </c>
      <c r="AF3208">
        <v>0</v>
      </c>
      <c r="AM3208" t="s">
        <v>52</v>
      </c>
      <c r="AN3208" t="s">
        <v>53</v>
      </c>
    </row>
    <row r="3209" spans="1:40">
      <c r="A3209" t="s">
        <v>8081</v>
      </c>
      <c r="B3209" t="s">
        <v>4583</v>
      </c>
      <c r="C3209" t="s">
        <v>10193</v>
      </c>
      <c r="D3209" t="s">
        <v>52</v>
      </c>
      <c r="E3209" t="s">
        <v>10206</v>
      </c>
      <c r="F3209" t="s">
        <v>45</v>
      </c>
      <c r="G3209" t="str">
        <f>HYPERLINK("https://www.instagram.com/p/BzENA2IgCe3")</f>
        <v>https://www.instagram.com/p/BzENA2IgCe3</v>
      </c>
      <c r="H3209" t="s">
        <v>46</v>
      </c>
      <c r="I3209" t="s">
        <v>10207</v>
      </c>
      <c r="J3209" t="str">
        <f>HYPERLINK("http://instagram.com/afro_a_gogo")</f>
        <v>http://instagram.com/afro_a_gogo</v>
      </c>
      <c r="K3209">
        <v>54</v>
      </c>
      <c r="L3209" t="s">
        <v>48</v>
      </c>
      <c r="N3209" t="s">
        <v>59</v>
      </c>
      <c r="O3209" t="s">
        <v>10207</v>
      </c>
      <c r="P3209" t="str">
        <f>HYPERLINK("http://instagram.com/afro_a_gogo")</f>
        <v>http://instagram.com/afro_a_gogo</v>
      </c>
      <c r="Q3209">
        <v>54</v>
      </c>
      <c r="R3209" t="s">
        <v>60</v>
      </c>
      <c r="W3209">
        <v>6</v>
      </c>
      <c r="X3209">
        <v>6</v>
      </c>
      <c r="AE3209">
        <v>0</v>
      </c>
      <c r="AI3209" t="s">
        <v>52</v>
      </c>
      <c r="AJ3209" t="s">
        <v>1182</v>
      </c>
      <c r="AK3209" t="s">
        <v>52</v>
      </c>
      <c r="AL3209" t="str">
        <f>HYPERLINK("https://www.instagram.com/p/BzENA2IgCe3/media/?size=l")</f>
        <v>https://www.instagram.com/p/BzENA2IgCe3/media/?size=l</v>
      </c>
      <c r="AM3209" t="s">
        <v>52</v>
      </c>
      <c r="AN3209" t="s">
        <v>53</v>
      </c>
    </row>
    <row r="3210" spans="1:40">
      <c r="A3210" t="s">
        <v>8081</v>
      </c>
      <c r="B3210" t="s">
        <v>10208</v>
      </c>
      <c r="C3210" t="s">
        <v>10203</v>
      </c>
      <c r="D3210" t="s">
        <v>52</v>
      </c>
      <c r="E3210" t="s">
        <v>6428</v>
      </c>
      <c r="F3210" t="s">
        <v>131</v>
      </c>
      <c r="G3210" t="str">
        <f>HYPERLINK("https://twitter.com/912317422807535618/status/1142891697237630976")</f>
        <v>https://twitter.com/912317422807535618/status/1142891697237630976</v>
      </c>
      <c r="H3210" t="s">
        <v>46</v>
      </c>
      <c r="I3210" t="s">
        <v>10209</v>
      </c>
      <c r="J3210" t="str">
        <f>HYPERLINK("http://twitter.com/Jimmy93756504")</f>
        <v>http://twitter.com/Jimmy93756504</v>
      </c>
      <c r="K3210">
        <v>2679</v>
      </c>
      <c r="N3210" t="s">
        <v>65</v>
      </c>
      <c r="R3210" t="s">
        <v>60</v>
      </c>
      <c r="S3210" t="s">
        <v>97</v>
      </c>
      <c r="T3210" t="s">
        <v>177</v>
      </c>
      <c r="U3210" t="s">
        <v>9278</v>
      </c>
      <c r="W3210">
        <v>0</v>
      </c>
      <c r="X3210">
        <v>0</v>
      </c>
      <c r="AE3210">
        <v>0</v>
      </c>
      <c r="AM3210" t="s">
        <v>52</v>
      </c>
      <c r="AN3210" t="s">
        <v>53</v>
      </c>
    </row>
    <row r="3211" spans="1:40">
      <c r="A3211" t="s">
        <v>8081</v>
      </c>
      <c r="B3211" t="s">
        <v>10208</v>
      </c>
      <c r="C3211" t="s">
        <v>10210</v>
      </c>
      <c r="D3211" t="s">
        <v>52</v>
      </c>
      <c r="E3211" t="s">
        <v>10211</v>
      </c>
      <c r="F3211" t="s">
        <v>45</v>
      </c>
      <c r="G3211" t="str">
        <f>HYPERLINK("https://twitter.com/1084979456366780417/status/1142891606057660416")</f>
        <v>https://twitter.com/1084979456366780417/status/1142891606057660416</v>
      </c>
      <c r="H3211" t="s">
        <v>46</v>
      </c>
      <c r="I3211" t="s">
        <v>10212</v>
      </c>
      <c r="J3211" t="str">
        <f>HYPERLINK("http://twitter.com/Liyahcess1")</f>
        <v>http://twitter.com/Liyahcess1</v>
      </c>
      <c r="K3211">
        <v>19</v>
      </c>
      <c r="N3211" t="s">
        <v>65</v>
      </c>
      <c r="R3211" t="s">
        <v>60</v>
      </c>
      <c r="S3211" t="s">
        <v>1592</v>
      </c>
      <c r="T3211" t="s">
        <v>1593</v>
      </c>
      <c r="U3211" t="s">
        <v>10213</v>
      </c>
      <c r="W3211">
        <v>0</v>
      </c>
      <c r="X3211">
        <v>0</v>
      </c>
      <c r="AE3211">
        <v>1</v>
      </c>
      <c r="AF3211">
        <v>0</v>
      </c>
      <c r="AM3211" t="s">
        <v>52</v>
      </c>
      <c r="AN3211" t="s">
        <v>53</v>
      </c>
    </row>
    <row r="3212" spans="1:40">
      <c r="A3212" t="s">
        <v>8081</v>
      </c>
      <c r="B3212" t="s">
        <v>4590</v>
      </c>
      <c r="C3212" t="s">
        <v>10214</v>
      </c>
      <c r="D3212" t="s">
        <v>52</v>
      </c>
      <c r="E3212" t="s">
        <v>10215</v>
      </c>
      <c r="F3212" t="s">
        <v>95</v>
      </c>
      <c r="G3212" t="str">
        <f>HYPERLINK("https://twitter.com/1138608194761175040/status/1142891327270637568")</f>
        <v>https://twitter.com/1138608194761175040/status/1142891327270637568</v>
      </c>
      <c r="H3212" t="s">
        <v>215</v>
      </c>
      <c r="I3212" t="s">
        <v>10216</v>
      </c>
      <c r="J3212" t="str">
        <f>HYPERLINK("http://twitter.com/_reallyjade")</f>
        <v>http://twitter.com/_reallyjade</v>
      </c>
      <c r="K3212">
        <v>63</v>
      </c>
      <c r="N3212" t="s">
        <v>65</v>
      </c>
      <c r="R3212" t="s">
        <v>60</v>
      </c>
      <c r="W3212">
        <v>0</v>
      </c>
      <c r="X3212">
        <v>0</v>
      </c>
      <c r="AE3212">
        <v>1</v>
      </c>
      <c r="AF3212">
        <v>0</v>
      </c>
      <c r="AM3212" t="s">
        <v>52</v>
      </c>
      <c r="AN3212" t="s">
        <v>53</v>
      </c>
    </row>
    <row r="3213" spans="1:40">
      <c r="A3213" t="s">
        <v>8081</v>
      </c>
      <c r="B3213" t="s">
        <v>4607</v>
      </c>
      <c r="C3213" t="s">
        <v>10217</v>
      </c>
      <c r="D3213" t="s">
        <v>10218</v>
      </c>
      <c r="E3213" t="s">
        <v>10219</v>
      </c>
      <c r="F3213" t="s">
        <v>45</v>
      </c>
      <c r="G3213" t="str">
        <f>HYPERLINK("https://www.youtube.com/watch?v=5p4FFck-yyc")</f>
        <v>https://www.youtube.com/watch?v=5p4FFck-yyc</v>
      </c>
      <c r="H3213" t="s">
        <v>46</v>
      </c>
      <c r="I3213" t="s">
        <v>10220</v>
      </c>
      <c r="J3213" t="str">
        <f>HYPERLINK("https://www.youtube.com/channel/UCgOr-Ak6UVEmmuyUuodQwlg")</f>
        <v>https://www.youtube.com/channel/UCgOr-Ak6UVEmmuyUuodQwlg</v>
      </c>
      <c r="K3213">
        <v>61</v>
      </c>
      <c r="N3213" t="s">
        <v>116</v>
      </c>
      <c r="O3213" t="s">
        <v>10220</v>
      </c>
      <c r="P3213" t="str">
        <f>HYPERLINK("https://www.youtube.com/channel/UCgOr-Ak6UVEmmuyUuodQwlg")</f>
        <v>https://www.youtube.com/channel/UCgOr-Ak6UVEmmuyUuodQwlg</v>
      </c>
      <c r="Q3213">
        <v>61</v>
      </c>
      <c r="R3213" t="s">
        <v>60</v>
      </c>
      <c r="W3213">
        <v>5</v>
      </c>
      <c r="X3213">
        <v>5</v>
      </c>
      <c r="AD3213">
        <v>0</v>
      </c>
      <c r="AE3213">
        <v>8</v>
      </c>
      <c r="AG3213">
        <v>38</v>
      </c>
      <c r="AI3213" t="s">
        <v>108</v>
      </c>
      <c r="AJ3213" t="s">
        <v>52</v>
      </c>
      <c r="AK3213" t="s">
        <v>52</v>
      </c>
      <c r="AL3213" t="str">
        <f>HYPERLINK("https://i.ytimg.com/vi/5p4FFck-yyc/maxresdefault.jpg")</f>
        <v>https://i.ytimg.com/vi/5p4FFck-yyc/maxresdefault.jpg</v>
      </c>
      <c r="AM3213" t="s">
        <v>52</v>
      </c>
      <c r="AN3213" t="s">
        <v>53</v>
      </c>
    </row>
    <row r="3214" spans="1:40">
      <c r="A3214" t="s">
        <v>8081</v>
      </c>
      <c r="B3214" t="s">
        <v>4622</v>
      </c>
      <c r="C3214" t="s">
        <v>10221</v>
      </c>
      <c r="D3214" t="s">
        <v>52</v>
      </c>
      <c r="E3214" t="s">
        <v>10222</v>
      </c>
      <c r="F3214" t="s">
        <v>45</v>
      </c>
      <c r="G3214" t="str">
        <f>HYPERLINK("https://twitter.com/15805624/status/1142890907127242753")</f>
        <v>https://twitter.com/15805624/status/1142890907127242753</v>
      </c>
      <c r="H3214" t="s">
        <v>215</v>
      </c>
      <c r="I3214" t="s">
        <v>52</v>
      </c>
      <c r="J3214" t="str">
        <f>HYPERLINK("http://twitter.com/mo_angryRamen")</f>
        <v>http://twitter.com/mo_angryRamen</v>
      </c>
      <c r="K3214">
        <v>543</v>
      </c>
      <c r="N3214" t="s">
        <v>65</v>
      </c>
      <c r="R3214" t="s">
        <v>60</v>
      </c>
      <c r="W3214">
        <v>0</v>
      </c>
      <c r="X3214">
        <v>0</v>
      </c>
      <c r="AE3214">
        <v>0</v>
      </c>
      <c r="AF3214">
        <v>0</v>
      </c>
      <c r="AM3214" t="s">
        <v>52</v>
      </c>
      <c r="AN3214" t="s">
        <v>53</v>
      </c>
    </row>
    <row r="3215" spans="1:40">
      <c r="A3215" t="s">
        <v>8081</v>
      </c>
      <c r="B3215" t="s">
        <v>10223</v>
      </c>
      <c r="C3215" t="s">
        <v>10193</v>
      </c>
      <c r="D3215" t="s">
        <v>52</v>
      </c>
      <c r="E3215" t="s">
        <v>10224</v>
      </c>
      <c r="F3215" t="s">
        <v>45</v>
      </c>
      <c r="G3215" t="str">
        <f>HYPERLINK("https://www.instagram.com/p/BzEMS7ookeH")</f>
        <v>https://www.instagram.com/p/BzEMS7ookeH</v>
      </c>
      <c r="H3215" t="s">
        <v>46</v>
      </c>
      <c r="I3215" t="s">
        <v>10225</v>
      </c>
      <c r="J3215" t="str">
        <f>HYPERLINK("http://instagram.com/samuiemolo")</f>
        <v>http://instagram.com/samuiemolo</v>
      </c>
      <c r="K3215">
        <v>175</v>
      </c>
      <c r="N3215" t="s">
        <v>59</v>
      </c>
      <c r="O3215" t="s">
        <v>10225</v>
      </c>
      <c r="P3215" t="str">
        <f>HYPERLINK("http://instagram.com/samuiemolo")</f>
        <v>http://instagram.com/samuiemolo</v>
      </c>
      <c r="Q3215">
        <v>175</v>
      </c>
      <c r="R3215" t="s">
        <v>60</v>
      </c>
      <c r="W3215">
        <v>17</v>
      </c>
      <c r="X3215">
        <v>17</v>
      </c>
      <c r="AE3215">
        <v>1</v>
      </c>
      <c r="AI3215" t="s">
        <v>108</v>
      </c>
      <c r="AJ3215" t="s">
        <v>9438</v>
      </c>
      <c r="AK3215" t="s">
        <v>52</v>
      </c>
      <c r="AL3215" t="str">
        <f>HYPERLINK("https://www.instagram.com/p/BzEMS7ookeH/media/?size=l")</f>
        <v>https://www.instagram.com/p/BzEMS7ookeH/media/?size=l</v>
      </c>
      <c r="AM3215" t="s">
        <v>52</v>
      </c>
      <c r="AN3215" t="s">
        <v>53</v>
      </c>
    </row>
    <row r="3216" spans="1:40">
      <c r="A3216" t="s">
        <v>8081</v>
      </c>
      <c r="B3216" t="s">
        <v>4626</v>
      </c>
      <c r="C3216" t="s">
        <v>10226</v>
      </c>
      <c r="D3216" t="s">
        <v>52</v>
      </c>
      <c r="E3216" t="s">
        <v>10227</v>
      </c>
      <c r="F3216" t="s">
        <v>45</v>
      </c>
      <c r="G3216" t="str">
        <f>HYPERLINK("https://twitter.com/16589489/status/1142890242472468480")</f>
        <v>https://twitter.com/16589489/status/1142890242472468480</v>
      </c>
      <c r="H3216" t="s">
        <v>46</v>
      </c>
      <c r="I3216" t="s">
        <v>10228</v>
      </c>
      <c r="J3216" t="str">
        <f>HYPERLINK("http://twitter.com/YsoSrus")</f>
        <v>http://twitter.com/YsoSrus</v>
      </c>
      <c r="K3216">
        <v>175</v>
      </c>
      <c r="N3216" t="s">
        <v>65</v>
      </c>
      <c r="R3216" t="s">
        <v>60</v>
      </c>
      <c r="S3216" t="s">
        <v>51</v>
      </c>
      <c r="T3216" t="s">
        <v>738</v>
      </c>
      <c r="U3216" t="s">
        <v>10229</v>
      </c>
      <c r="W3216">
        <v>0</v>
      </c>
      <c r="X3216">
        <v>0</v>
      </c>
      <c r="AE3216">
        <v>0</v>
      </c>
      <c r="AF3216">
        <v>0</v>
      </c>
      <c r="AM3216" t="s">
        <v>52</v>
      </c>
      <c r="AN3216" t="s">
        <v>53</v>
      </c>
    </row>
    <row r="3217" spans="1:40">
      <c r="A3217" t="s">
        <v>8081</v>
      </c>
      <c r="B3217" t="s">
        <v>10230</v>
      </c>
      <c r="C3217" t="s">
        <v>10221</v>
      </c>
      <c r="D3217" t="s">
        <v>8528</v>
      </c>
      <c r="E3217" t="s">
        <v>8529</v>
      </c>
      <c r="F3217" t="s">
        <v>45</v>
      </c>
      <c r="G3217" t="str">
        <f>HYPERLINK("https://www.youtube.com/watch?v=TEQpMWoKKm8")</f>
        <v>https://www.youtube.com/watch?v=TEQpMWoKKm8</v>
      </c>
      <c r="H3217" t="s">
        <v>215</v>
      </c>
      <c r="I3217" t="s">
        <v>8530</v>
      </c>
      <c r="J3217" t="str">
        <f>HYPERLINK("https://www.youtube.com/channel/UCkb3HqUY_vvq-qt4wWWJ4Lg")</f>
        <v>https://www.youtube.com/channel/UCkb3HqUY_vvq-qt4wWWJ4Lg</v>
      </c>
      <c r="K3217">
        <v>54</v>
      </c>
      <c r="N3217" t="s">
        <v>116</v>
      </c>
      <c r="O3217" t="s">
        <v>8530</v>
      </c>
      <c r="P3217" t="str">
        <f>HYPERLINK("https://www.youtube.com/channel/UCkb3HqUY_vvq-qt4wWWJ4Lg")</f>
        <v>https://www.youtube.com/channel/UCkb3HqUY_vvq-qt4wWWJ4Lg</v>
      </c>
      <c r="Q3217">
        <v>54</v>
      </c>
      <c r="R3217" t="s">
        <v>60</v>
      </c>
      <c r="W3217">
        <v>0</v>
      </c>
      <c r="X3217">
        <v>0</v>
      </c>
      <c r="AD3217">
        <v>0</v>
      </c>
      <c r="AE3217">
        <v>0</v>
      </c>
      <c r="AG3217">
        <v>7</v>
      </c>
      <c r="AI3217" t="s">
        <v>52</v>
      </c>
      <c r="AJ3217" t="s">
        <v>10231</v>
      </c>
      <c r="AK3217" t="s">
        <v>341</v>
      </c>
      <c r="AL3217" t="str">
        <f>HYPERLINK("https://i.ytimg.com/vi/TEQpMWoKKm8/maxresdefault_live.jpg")</f>
        <v>https://i.ytimg.com/vi/TEQpMWoKKm8/maxresdefault_live.jpg</v>
      </c>
      <c r="AM3217" t="s">
        <v>52</v>
      </c>
      <c r="AN3217" t="s">
        <v>53</v>
      </c>
    </row>
    <row r="3218" spans="1:40">
      <c r="A3218" t="s">
        <v>8081</v>
      </c>
      <c r="B3218" t="s">
        <v>10230</v>
      </c>
      <c r="C3218" t="s">
        <v>10232</v>
      </c>
      <c r="D3218" t="s">
        <v>52</v>
      </c>
      <c r="E3218" t="s">
        <v>10233</v>
      </c>
      <c r="F3218" t="s">
        <v>45</v>
      </c>
      <c r="G3218" t="str">
        <f>HYPERLINK("https://www.instagram.com/p/BzEMFK1BATp")</f>
        <v>https://www.instagram.com/p/BzEMFK1BATp</v>
      </c>
      <c r="H3218" t="s">
        <v>215</v>
      </c>
      <c r="I3218" t="s">
        <v>10234</v>
      </c>
      <c r="J3218" t="str">
        <f>HYPERLINK("http://instagram.com/nrkelly5")</f>
        <v>http://instagram.com/nrkelly5</v>
      </c>
      <c r="K3218">
        <v>267</v>
      </c>
      <c r="L3218" t="s">
        <v>58</v>
      </c>
      <c r="N3218" t="s">
        <v>59</v>
      </c>
      <c r="O3218" t="s">
        <v>10234</v>
      </c>
      <c r="P3218" t="str">
        <f>HYPERLINK("http://instagram.com/nrkelly5")</f>
        <v>http://instagram.com/nrkelly5</v>
      </c>
      <c r="Q3218">
        <v>267</v>
      </c>
      <c r="R3218" t="s">
        <v>60</v>
      </c>
      <c r="W3218">
        <v>15</v>
      </c>
      <c r="X3218">
        <v>15</v>
      </c>
      <c r="AE3218">
        <v>2</v>
      </c>
      <c r="AI3218" t="s">
        <v>52</v>
      </c>
      <c r="AJ3218" t="s">
        <v>52</v>
      </c>
      <c r="AK3218" t="s">
        <v>680</v>
      </c>
      <c r="AL3218" t="str">
        <f>HYPERLINK("https://www.instagram.com/p/BzEMFK1BATp/media/?size=l")</f>
        <v>https://www.instagram.com/p/BzEMFK1BATp/media/?size=l</v>
      </c>
      <c r="AM3218" t="s">
        <v>52</v>
      </c>
      <c r="AN3218" t="s">
        <v>53</v>
      </c>
    </row>
    <row r="3219" spans="1:40">
      <c r="A3219" t="s">
        <v>8081</v>
      </c>
      <c r="B3219" t="s">
        <v>10230</v>
      </c>
      <c r="C3219" t="s">
        <v>10235</v>
      </c>
      <c r="D3219" t="s">
        <v>52</v>
      </c>
      <c r="E3219" t="s">
        <v>10236</v>
      </c>
      <c r="F3219" t="s">
        <v>45</v>
      </c>
      <c r="G3219" t="str">
        <f>HYPERLINK("https://www.instagram.com/p/BzEMEfLHQ69")</f>
        <v>https://www.instagram.com/p/BzEMEfLHQ69</v>
      </c>
      <c r="H3219" t="s">
        <v>215</v>
      </c>
      <c r="I3219" t="s">
        <v>10237</v>
      </c>
      <c r="J3219" t="str">
        <f>HYPERLINK("http://instagram.com/mylilfrenchfry")</f>
        <v>http://instagram.com/mylilfrenchfry</v>
      </c>
      <c r="K3219">
        <v>0</v>
      </c>
      <c r="N3219" t="s">
        <v>59</v>
      </c>
      <c r="O3219" t="s">
        <v>10237</v>
      </c>
      <c r="P3219" t="str">
        <f>HYPERLINK("http://instagram.com/mylilfrenchfry")</f>
        <v>http://instagram.com/mylilfrenchfry</v>
      </c>
      <c r="Q3219">
        <v>0</v>
      </c>
      <c r="R3219" t="s">
        <v>60</v>
      </c>
      <c r="W3219">
        <v>69</v>
      </c>
      <c r="X3219">
        <v>69</v>
      </c>
      <c r="AE3219">
        <v>0</v>
      </c>
      <c r="AI3219" t="s">
        <v>52</v>
      </c>
      <c r="AJ3219" t="s">
        <v>985</v>
      </c>
      <c r="AK3219" t="s">
        <v>52</v>
      </c>
      <c r="AL3219" t="str">
        <f>HYPERLINK("https://www.instagram.com/p/BzEMEfLHQ69/media/?size=l")</f>
        <v>https://www.instagram.com/p/BzEMEfLHQ69/media/?size=l</v>
      </c>
      <c r="AM3219" t="s">
        <v>52</v>
      </c>
      <c r="AN3219" t="s">
        <v>53</v>
      </c>
    </row>
    <row r="3220" spans="1:40">
      <c r="A3220" t="s">
        <v>8081</v>
      </c>
      <c r="B3220" t="s">
        <v>10238</v>
      </c>
      <c r="C3220" t="s">
        <v>7877</v>
      </c>
      <c r="D3220" t="s">
        <v>52</v>
      </c>
      <c r="E3220" t="s">
        <v>10239</v>
      </c>
      <c r="F3220" t="s">
        <v>45</v>
      </c>
      <c r="G3220" t="str">
        <f>HYPERLINK("https://www.instagram.com/p/BzELnHTARwv")</f>
        <v>https://www.instagram.com/p/BzELnHTARwv</v>
      </c>
      <c r="H3220" t="s">
        <v>46</v>
      </c>
      <c r="I3220" t="s">
        <v>10240</v>
      </c>
      <c r="J3220" t="str">
        <f>HYPERLINK("http://instagram.com/disney_to_know_")</f>
        <v>http://instagram.com/disney_to_know_</v>
      </c>
      <c r="K3220">
        <v>126</v>
      </c>
      <c r="N3220" t="s">
        <v>59</v>
      </c>
      <c r="O3220" t="s">
        <v>10240</v>
      </c>
      <c r="P3220" t="str">
        <f>HYPERLINK("http://instagram.com/disney_to_know_")</f>
        <v>http://instagram.com/disney_to_know_</v>
      </c>
      <c r="Q3220">
        <v>126</v>
      </c>
      <c r="R3220" t="s">
        <v>60</v>
      </c>
      <c r="W3220">
        <v>10</v>
      </c>
      <c r="X3220">
        <v>10</v>
      </c>
      <c r="AE3220">
        <v>2</v>
      </c>
      <c r="AI3220" t="s">
        <v>108</v>
      </c>
      <c r="AJ3220" t="s">
        <v>1763</v>
      </c>
      <c r="AK3220" t="s">
        <v>52</v>
      </c>
      <c r="AL3220" t="str">
        <f>HYPERLINK("https://www.instagram.com/p/BzELnHTARwv/media/?size=l")</f>
        <v>https://www.instagram.com/p/BzELnHTARwv/media/?size=l</v>
      </c>
      <c r="AM3220" t="s">
        <v>52</v>
      </c>
      <c r="AN3220" t="s">
        <v>53</v>
      </c>
    </row>
    <row r="3221" spans="1:40">
      <c r="A3221" t="s">
        <v>8081</v>
      </c>
      <c r="B3221" t="s">
        <v>10241</v>
      </c>
      <c r="C3221" t="s">
        <v>10242</v>
      </c>
      <c r="D3221" t="s">
        <v>52</v>
      </c>
      <c r="E3221" t="s">
        <v>10243</v>
      </c>
      <c r="F3221" t="s">
        <v>45</v>
      </c>
      <c r="G3221" t="str">
        <f>HYPERLINK("https://twitter.com/1037340806124892160/status/1142888767004532743")</f>
        <v>https://twitter.com/1037340806124892160/status/1142888767004532743</v>
      </c>
      <c r="H3221" t="s">
        <v>46</v>
      </c>
      <c r="I3221" t="s">
        <v>10244</v>
      </c>
      <c r="J3221" t="str">
        <f>HYPERLINK("http://twitter.com/lxcyevans")</f>
        <v>http://twitter.com/lxcyevans</v>
      </c>
      <c r="K3221">
        <v>39</v>
      </c>
      <c r="N3221" t="s">
        <v>65</v>
      </c>
      <c r="R3221" t="s">
        <v>60</v>
      </c>
      <c r="S3221" t="s">
        <v>97</v>
      </c>
      <c r="T3221" t="s">
        <v>177</v>
      </c>
      <c r="U3221" t="s">
        <v>4747</v>
      </c>
      <c r="W3221">
        <v>7</v>
      </c>
      <c r="X3221">
        <v>7</v>
      </c>
      <c r="AE3221">
        <v>3</v>
      </c>
      <c r="AF3221">
        <v>0</v>
      </c>
      <c r="AM3221" t="s">
        <v>52</v>
      </c>
      <c r="AN3221" t="s">
        <v>53</v>
      </c>
    </row>
    <row r="3222" spans="1:40">
      <c r="A3222" t="s">
        <v>8081</v>
      </c>
      <c r="B3222" t="s">
        <v>10241</v>
      </c>
      <c r="C3222" t="s">
        <v>10193</v>
      </c>
      <c r="D3222" t="s">
        <v>52</v>
      </c>
      <c r="E3222" t="s">
        <v>10245</v>
      </c>
      <c r="F3222" t="s">
        <v>45</v>
      </c>
      <c r="G3222" t="str">
        <f>HYPERLINK("https://www.instagram.com/p/BzELbgEHH3T")</f>
        <v>https://www.instagram.com/p/BzELbgEHH3T</v>
      </c>
      <c r="H3222" t="s">
        <v>46</v>
      </c>
      <c r="I3222" t="s">
        <v>52</v>
      </c>
      <c r="J3222" t="str">
        <f>HYPERLINK("http://instagram.com/jingjing_daily")</f>
        <v>http://instagram.com/jingjing_daily</v>
      </c>
      <c r="K3222">
        <v>51</v>
      </c>
      <c r="N3222" t="s">
        <v>59</v>
      </c>
      <c r="O3222" t="s">
        <v>52</v>
      </c>
      <c r="P3222" t="str">
        <f>HYPERLINK("http://instagram.com/jingjing_daily")</f>
        <v>http://instagram.com/jingjing_daily</v>
      </c>
      <c r="Q3222">
        <v>51</v>
      </c>
      <c r="R3222" t="s">
        <v>60</v>
      </c>
      <c r="W3222">
        <v>2</v>
      </c>
      <c r="X3222">
        <v>2</v>
      </c>
      <c r="AE3222">
        <v>0</v>
      </c>
      <c r="AI3222" t="s">
        <v>108</v>
      </c>
      <c r="AJ3222" t="s">
        <v>1182</v>
      </c>
      <c r="AK3222" t="s">
        <v>52</v>
      </c>
      <c r="AL3222" t="str">
        <f>HYPERLINK("https://www.instagram.com/p/BzELbgEHH3T/media/?size=l")</f>
        <v>https://www.instagram.com/p/BzELbgEHH3T/media/?size=l</v>
      </c>
      <c r="AM3222" t="s">
        <v>52</v>
      </c>
      <c r="AN3222" t="s">
        <v>53</v>
      </c>
    </row>
    <row r="3223" spans="1:40">
      <c r="A3223" t="s">
        <v>8081</v>
      </c>
      <c r="B3223" t="s">
        <v>10241</v>
      </c>
      <c r="C3223" t="s">
        <v>7549</v>
      </c>
      <c r="D3223" t="s">
        <v>10246</v>
      </c>
      <c r="E3223" t="s">
        <v>10247</v>
      </c>
      <c r="F3223" t="s">
        <v>45</v>
      </c>
      <c r="G3223" t="str">
        <f>HYPERLINK("http://boards.4chan.org/r9k/thread/53048109#p53051700")</f>
        <v>http://boards.4chan.org/r9k/thread/53048109#p53051700</v>
      </c>
      <c r="H3223" t="s">
        <v>46</v>
      </c>
      <c r="N3223" t="s">
        <v>6845</v>
      </c>
      <c r="O3223" t="s">
        <v>6846</v>
      </c>
      <c r="P3223" t="str">
        <f>HYPERLINK("http://boards.4chan.org/r9k/")</f>
        <v>http://boards.4chan.org/r9k/</v>
      </c>
      <c r="R3223" t="s">
        <v>516</v>
      </c>
      <c r="S3223" t="s">
        <v>51</v>
      </c>
      <c r="AM3223" t="s">
        <v>52</v>
      </c>
      <c r="AN3223" t="s">
        <v>53</v>
      </c>
    </row>
    <row r="3224" spans="1:40">
      <c r="A3224" t="s">
        <v>8081</v>
      </c>
      <c r="B3224" t="s">
        <v>4656</v>
      </c>
      <c r="C3224" t="s">
        <v>10193</v>
      </c>
      <c r="D3224" t="s">
        <v>52</v>
      </c>
      <c r="E3224" t="s">
        <v>10248</v>
      </c>
      <c r="F3224" t="s">
        <v>45</v>
      </c>
      <c r="G3224" t="str">
        <f>HYPERLINK("https://www.instagram.com/p/BzEJrGlAUtf")</f>
        <v>https://www.instagram.com/p/BzEJrGlAUtf</v>
      </c>
      <c r="H3224" t="s">
        <v>46</v>
      </c>
      <c r="I3224" t="s">
        <v>52</v>
      </c>
      <c r="J3224" t="str">
        <f>HYPERLINK("http://instagram.com/alejanbr0")</f>
        <v>http://instagram.com/alejanbr0</v>
      </c>
      <c r="K3224">
        <v>598</v>
      </c>
      <c r="N3224" t="s">
        <v>59</v>
      </c>
      <c r="O3224" t="s">
        <v>52</v>
      </c>
      <c r="P3224" t="str">
        <f>HYPERLINK("http://instagram.com/alejanbr0")</f>
        <v>http://instagram.com/alejanbr0</v>
      </c>
      <c r="Q3224">
        <v>598</v>
      </c>
      <c r="R3224" t="s">
        <v>60</v>
      </c>
      <c r="S3224" t="s">
        <v>10249</v>
      </c>
      <c r="W3224">
        <v>52</v>
      </c>
      <c r="X3224">
        <v>52</v>
      </c>
      <c r="AE3224">
        <v>4</v>
      </c>
      <c r="AG3224">
        <v>209</v>
      </c>
      <c r="AI3224" t="s">
        <v>52</v>
      </c>
      <c r="AJ3224" t="s">
        <v>10250</v>
      </c>
      <c r="AK3224" t="s">
        <v>10251</v>
      </c>
      <c r="AL3224" t="str">
        <f>HYPERLINK("https://www.instagram.com/p/BzEJrGlAUtf/media/?size=l")</f>
        <v>https://www.instagram.com/p/BzEJrGlAUtf/media/?size=l</v>
      </c>
      <c r="AM3224" t="s">
        <v>52</v>
      </c>
      <c r="AN3224" t="s">
        <v>53</v>
      </c>
    </row>
    <row r="3225" spans="1:40">
      <c r="A3225" t="s">
        <v>8081</v>
      </c>
      <c r="B3225" t="s">
        <v>4663</v>
      </c>
      <c r="C3225" t="s">
        <v>10235</v>
      </c>
      <c r="D3225" t="s">
        <v>52</v>
      </c>
      <c r="E3225" t="s">
        <v>10252</v>
      </c>
      <c r="F3225" t="s">
        <v>95</v>
      </c>
      <c r="G3225" t="str">
        <f>HYPERLINK("https://twitter.com/1082715613129261057/status/1142888286668632065")</f>
        <v>https://twitter.com/1082715613129261057/status/1142888286668632065</v>
      </c>
      <c r="H3225" t="s">
        <v>46</v>
      </c>
      <c r="I3225" t="s">
        <v>10253</v>
      </c>
      <c r="J3225" t="str">
        <f>HYPERLINK("http://twitter.com/veroniks_galaxy")</f>
        <v>http://twitter.com/veroniks_galaxy</v>
      </c>
      <c r="K3225">
        <v>40</v>
      </c>
      <c r="N3225" t="s">
        <v>65</v>
      </c>
      <c r="R3225" t="s">
        <v>60</v>
      </c>
      <c r="S3225" t="s">
        <v>1770</v>
      </c>
      <c r="T3225" t="s">
        <v>1771</v>
      </c>
      <c r="U3225" t="s">
        <v>1772</v>
      </c>
      <c r="W3225">
        <v>0</v>
      </c>
      <c r="X3225">
        <v>0</v>
      </c>
      <c r="AE3225">
        <v>1</v>
      </c>
      <c r="AF3225">
        <v>0</v>
      </c>
      <c r="AM3225" t="s">
        <v>52</v>
      </c>
      <c r="AN3225" t="s">
        <v>53</v>
      </c>
    </row>
    <row r="3226" spans="1:40">
      <c r="A3226" t="s">
        <v>8081</v>
      </c>
      <c r="B3226" t="s">
        <v>4669</v>
      </c>
      <c r="C3226" t="s">
        <v>10254</v>
      </c>
      <c r="D3226" t="s">
        <v>52</v>
      </c>
      <c r="E3226" t="s">
        <v>10255</v>
      </c>
      <c r="F3226" t="s">
        <v>45</v>
      </c>
      <c r="G3226" t="str">
        <f>HYPERLINK("https://twitter.com/3185505817/status/1142887663961346048")</f>
        <v>https://twitter.com/3185505817/status/1142887663961346048</v>
      </c>
      <c r="H3226" t="s">
        <v>215</v>
      </c>
      <c r="I3226" t="s">
        <v>10256</v>
      </c>
      <c r="J3226" t="str">
        <f>HYPERLINK("http://twitter.com/linkk90")</f>
        <v>http://twitter.com/linkk90</v>
      </c>
      <c r="K3226">
        <v>27</v>
      </c>
      <c r="N3226" t="s">
        <v>65</v>
      </c>
      <c r="R3226" t="s">
        <v>60</v>
      </c>
      <c r="W3226">
        <v>0</v>
      </c>
      <c r="X3226">
        <v>0</v>
      </c>
      <c r="AE3226">
        <v>0</v>
      </c>
      <c r="AF3226">
        <v>0</v>
      </c>
      <c r="AI3226" t="s">
        <v>52</v>
      </c>
      <c r="AJ3226" t="s">
        <v>10257</v>
      </c>
      <c r="AK3226" t="s">
        <v>52</v>
      </c>
      <c r="AL3226" t="str">
        <f>HYPERLINK("https://pbs.twimg.com/media/D9xaQynW4AAWgq2.jpg")</f>
        <v>https://pbs.twimg.com/media/D9xaQynW4AAWgq2.jpg</v>
      </c>
      <c r="AM3226" t="s">
        <v>52</v>
      </c>
      <c r="AN3226" t="s">
        <v>53</v>
      </c>
    </row>
    <row r="3227" spans="1:40">
      <c r="A3227" t="s">
        <v>8081</v>
      </c>
      <c r="B3227" t="s">
        <v>4674</v>
      </c>
      <c r="C3227" t="s">
        <v>10258</v>
      </c>
      <c r="D3227" t="s">
        <v>52</v>
      </c>
      <c r="E3227" t="s">
        <v>8290</v>
      </c>
      <c r="F3227" t="s">
        <v>45</v>
      </c>
      <c r="G3227" t="str">
        <f>HYPERLINK("https://twitter.com/789461151306227714/status/1142887339313770497")</f>
        <v>https://twitter.com/789461151306227714/status/1142887339313770497</v>
      </c>
      <c r="H3227" t="s">
        <v>215</v>
      </c>
      <c r="I3227" t="s">
        <v>8291</v>
      </c>
      <c r="J3227" t="str">
        <f>HYPERLINK("http://twitter.com/DanielleJean83")</f>
        <v>http://twitter.com/DanielleJean83</v>
      </c>
      <c r="K3227">
        <v>23</v>
      </c>
      <c r="L3227" t="s">
        <v>58</v>
      </c>
      <c r="N3227" t="s">
        <v>65</v>
      </c>
      <c r="R3227" t="s">
        <v>60</v>
      </c>
      <c r="S3227" t="s">
        <v>51</v>
      </c>
      <c r="T3227" t="s">
        <v>3267</v>
      </c>
      <c r="W3227">
        <v>1</v>
      </c>
      <c r="X3227">
        <v>1</v>
      </c>
      <c r="AE3227">
        <v>0</v>
      </c>
      <c r="AF3227">
        <v>1</v>
      </c>
      <c r="AM3227" t="s">
        <v>52</v>
      </c>
      <c r="AN3227" t="s">
        <v>53</v>
      </c>
    </row>
    <row r="3228" spans="1:40">
      <c r="A3228" t="s">
        <v>8081</v>
      </c>
      <c r="B3228" t="s">
        <v>4674</v>
      </c>
      <c r="C3228" t="s">
        <v>7877</v>
      </c>
      <c r="D3228" t="s">
        <v>52</v>
      </c>
      <c r="E3228" t="s">
        <v>10259</v>
      </c>
      <c r="F3228" t="s">
        <v>45</v>
      </c>
      <c r="G3228" t="str">
        <f>HYPERLINK("https://www.instagram.com/p/BzEK2ZinivM")</f>
        <v>https://www.instagram.com/p/BzEK2ZinivM</v>
      </c>
      <c r="H3228" t="s">
        <v>46</v>
      </c>
      <c r="I3228" t="s">
        <v>4680</v>
      </c>
      <c r="J3228" t="str">
        <f>HYPERLINK("http://instagram.com/rainbow.nichesss")</f>
        <v>http://instagram.com/rainbow.nichesss</v>
      </c>
      <c r="K3228">
        <v>90</v>
      </c>
      <c r="N3228" t="s">
        <v>59</v>
      </c>
      <c r="O3228" t="s">
        <v>4680</v>
      </c>
      <c r="P3228" t="str">
        <f>HYPERLINK("http://instagram.com/rainbow.nichesss")</f>
        <v>http://instagram.com/rainbow.nichesss</v>
      </c>
      <c r="Q3228">
        <v>90</v>
      </c>
      <c r="R3228" t="s">
        <v>60</v>
      </c>
      <c r="W3228">
        <v>8</v>
      </c>
      <c r="X3228">
        <v>8</v>
      </c>
      <c r="AE3228">
        <v>2</v>
      </c>
      <c r="AI3228" t="s">
        <v>108</v>
      </c>
      <c r="AJ3228" t="s">
        <v>3626</v>
      </c>
      <c r="AK3228" t="s">
        <v>52</v>
      </c>
      <c r="AL3228" t="str">
        <f>HYPERLINK("https://www.instagram.com/p/BzEK2ZinivM/media/?size=l")</f>
        <v>https://www.instagram.com/p/BzEK2ZinivM/media/?size=l</v>
      </c>
      <c r="AM3228" t="s">
        <v>52</v>
      </c>
      <c r="AN3228" t="s">
        <v>53</v>
      </c>
    </row>
    <row r="3229" spans="1:40">
      <c r="A3229" t="s">
        <v>8081</v>
      </c>
      <c r="B3229" t="s">
        <v>4674</v>
      </c>
      <c r="C3229" t="s">
        <v>10260</v>
      </c>
      <c r="D3229" t="s">
        <v>52</v>
      </c>
      <c r="E3229" t="s">
        <v>10261</v>
      </c>
      <c r="F3229" t="s">
        <v>71</v>
      </c>
      <c r="G3229" t="str">
        <f>HYPERLINK("https://twitter.com/3187443988/status/1142887327288745985")</f>
        <v>https://twitter.com/3187443988/status/1142887327288745985</v>
      </c>
      <c r="H3229" t="s">
        <v>46</v>
      </c>
      <c r="I3229" t="s">
        <v>10262</v>
      </c>
      <c r="J3229" t="str">
        <f>HYPERLINK("http://twitter.com/sheatemypizzaa")</f>
        <v>http://twitter.com/sheatemypizzaa</v>
      </c>
      <c r="K3229">
        <v>86</v>
      </c>
      <c r="L3229" t="s">
        <v>58</v>
      </c>
      <c r="N3229" t="s">
        <v>65</v>
      </c>
      <c r="R3229" t="s">
        <v>60</v>
      </c>
      <c r="S3229" t="s">
        <v>51</v>
      </c>
      <c r="T3229" t="s">
        <v>851</v>
      </c>
      <c r="U3229" t="s">
        <v>10263</v>
      </c>
      <c r="W3229">
        <v>1</v>
      </c>
      <c r="X3229">
        <v>1</v>
      </c>
      <c r="AE3229">
        <v>0</v>
      </c>
      <c r="AF3229">
        <v>0</v>
      </c>
      <c r="AM3229" t="s">
        <v>52</v>
      </c>
      <c r="AN3229" t="s">
        <v>53</v>
      </c>
    </row>
    <row r="3230" spans="1:40">
      <c r="A3230" t="s">
        <v>8081</v>
      </c>
      <c r="B3230" t="s">
        <v>10264</v>
      </c>
      <c r="C3230" t="s">
        <v>10265</v>
      </c>
      <c r="D3230" t="s">
        <v>10266</v>
      </c>
      <c r="E3230" t="s">
        <v>10267</v>
      </c>
      <c r="F3230" t="s">
        <v>45</v>
      </c>
      <c r="G3230" t="str">
        <f>HYPERLINK("https://www.youtube.com/watch?v=rzsk2Ddb2Xc")</f>
        <v>https://www.youtube.com/watch?v=rzsk2Ddb2Xc</v>
      </c>
      <c r="H3230" t="s">
        <v>91</v>
      </c>
      <c r="I3230" t="s">
        <v>10268</v>
      </c>
      <c r="J3230" t="str">
        <f>HYPERLINK("https://www.youtube.com/channel/UCN0_-zluyaMpplIUNv8T1eA")</f>
        <v>https://www.youtube.com/channel/UCN0_-zluyaMpplIUNv8T1eA</v>
      </c>
      <c r="K3230">
        <v>4</v>
      </c>
      <c r="L3230" t="s">
        <v>48</v>
      </c>
      <c r="N3230" t="s">
        <v>116</v>
      </c>
      <c r="O3230" t="s">
        <v>10268</v>
      </c>
      <c r="P3230" t="str">
        <f>HYPERLINK("https://www.youtube.com/channel/UCN0_-zluyaMpplIUNv8T1eA")</f>
        <v>https://www.youtube.com/channel/UCN0_-zluyaMpplIUNv8T1eA</v>
      </c>
      <c r="Q3230">
        <v>4</v>
      </c>
      <c r="R3230" t="s">
        <v>60</v>
      </c>
      <c r="W3230">
        <v>0</v>
      </c>
      <c r="X3230">
        <v>0</v>
      </c>
      <c r="AD3230">
        <v>0</v>
      </c>
      <c r="AE3230">
        <v>1</v>
      </c>
      <c r="AG3230">
        <v>3</v>
      </c>
      <c r="AI3230" t="s">
        <v>52</v>
      </c>
      <c r="AJ3230" t="s">
        <v>52</v>
      </c>
      <c r="AK3230" t="s">
        <v>52</v>
      </c>
      <c r="AL3230" t="str">
        <f>HYPERLINK("https://i.ytimg.com/vi/rzsk2Ddb2Xc/hqdefault.jpg")</f>
        <v>https://i.ytimg.com/vi/rzsk2Ddb2Xc/hqdefault.jpg</v>
      </c>
      <c r="AM3230" t="s">
        <v>52</v>
      </c>
      <c r="AN3230" t="s">
        <v>53</v>
      </c>
    </row>
    <row r="3231" spans="1:40">
      <c r="A3231" t="s">
        <v>8081</v>
      </c>
      <c r="B3231" t="s">
        <v>10269</v>
      </c>
      <c r="C3231" t="s">
        <v>10270</v>
      </c>
      <c r="D3231" t="s">
        <v>52</v>
      </c>
      <c r="E3231" t="s">
        <v>10271</v>
      </c>
      <c r="F3231" t="s">
        <v>45</v>
      </c>
      <c r="G3231" t="str">
        <f>HYPERLINK("https://www.instagram.com/p/BzEKd2snT2Z")</f>
        <v>https://www.instagram.com/p/BzEKd2snT2Z</v>
      </c>
      <c r="H3231" t="s">
        <v>46</v>
      </c>
      <c r="I3231" t="s">
        <v>10272</v>
      </c>
      <c r="J3231" t="str">
        <f>HYPERLINK("http://instagram.com/jessbkr")</f>
        <v>http://instagram.com/jessbkr</v>
      </c>
      <c r="K3231">
        <v>17863</v>
      </c>
      <c r="N3231" t="s">
        <v>59</v>
      </c>
      <c r="O3231" t="s">
        <v>10272</v>
      </c>
      <c r="P3231" t="str">
        <f>HYPERLINK("http://instagram.com/jessbkr")</f>
        <v>http://instagram.com/jessbkr</v>
      </c>
      <c r="Q3231">
        <v>17863</v>
      </c>
      <c r="R3231" t="s">
        <v>60</v>
      </c>
      <c r="S3231" t="s">
        <v>51</v>
      </c>
      <c r="T3231" t="s">
        <v>173</v>
      </c>
      <c r="U3231" t="s">
        <v>3886</v>
      </c>
      <c r="W3231">
        <v>1507</v>
      </c>
      <c r="X3231">
        <v>1507</v>
      </c>
      <c r="AE3231">
        <v>40</v>
      </c>
      <c r="AI3231" t="s">
        <v>52</v>
      </c>
      <c r="AJ3231" t="s">
        <v>10273</v>
      </c>
      <c r="AK3231" t="s">
        <v>3901</v>
      </c>
      <c r="AL3231" t="str">
        <f>HYPERLINK("https://www.instagram.com/p/BzEKd2snT2Z/media/?size=l")</f>
        <v>https://www.instagram.com/p/BzEKd2snT2Z/media/?size=l</v>
      </c>
      <c r="AM3231" t="s">
        <v>52</v>
      </c>
      <c r="AN3231" t="s">
        <v>53</v>
      </c>
    </row>
    <row r="3232" spans="1:40">
      <c r="A3232" t="s">
        <v>8081</v>
      </c>
      <c r="B3232" t="s">
        <v>10269</v>
      </c>
      <c r="C3232" t="s">
        <v>8954</v>
      </c>
      <c r="D3232" t="s">
        <v>52</v>
      </c>
      <c r="E3232" t="s">
        <v>10057</v>
      </c>
      <c r="F3232" t="s">
        <v>95</v>
      </c>
      <c r="G3232" t="str">
        <f>HYPERLINK("https://telegram.me/PawsAreFuckinGucci/3369")</f>
        <v>https://telegram.me/PawsAreFuckinGucci/3369</v>
      </c>
      <c r="H3232" t="s">
        <v>46</v>
      </c>
      <c r="I3232" t="s">
        <v>10274</v>
      </c>
      <c r="J3232" t="str">
        <f>HYPERLINK("https://telegram.me/ryuoconnor")</f>
        <v>https://telegram.me/ryuoconnor</v>
      </c>
      <c r="N3232" t="s">
        <v>4242</v>
      </c>
      <c r="O3232" t="s">
        <v>10060</v>
      </c>
      <c r="P3232" t="str">
        <f>HYPERLINK("https://telegram.me/pawsarefuckingucci")</f>
        <v>https://telegram.me/pawsarefuckingucci</v>
      </c>
      <c r="Q3232">
        <v>101</v>
      </c>
      <c r="R3232" t="s">
        <v>4244</v>
      </c>
      <c r="AM3232" t="s">
        <v>52</v>
      </c>
      <c r="AN3232" t="s">
        <v>53</v>
      </c>
    </row>
    <row r="3233" spans="1:40">
      <c r="A3233" t="s">
        <v>8081</v>
      </c>
      <c r="B3233" t="s">
        <v>4686</v>
      </c>
      <c r="C3233" t="s">
        <v>10226</v>
      </c>
      <c r="D3233" t="s">
        <v>52</v>
      </c>
      <c r="E3233" t="s">
        <v>3749</v>
      </c>
      <c r="F3233" t="s">
        <v>71</v>
      </c>
      <c r="G3233" t="str">
        <f>HYPERLINK("https://twitter.com/751878523342708738/status/1142886038580412418")</f>
        <v>https://twitter.com/751878523342708738/status/1142886038580412418</v>
      </c>
      <c r="H3233" t="s">
        <v>46</v>
      </c>
      <c r="I3233" t="s">
        <v>10275</v>
      </c>
      <c r="J3233" t="str">
        <f>HYPERLINK("http://twitter.com/_thecopycat")</f>
        <v>http://twitter.com/_thecopycat</v>
      </c>
      <c r="K3233">
        <v>1553</v>
      </c>
      <c r="N3233" t="s">
        <v>65</v>
      </c>
      <c r="R3233" t="s">
        <v>60</v>
      </c>
      <c r="W3233">
        <v>0</v>
      </c>
      <c r="X3233">
        <v>0</v>
      </c>
      <c r="AE3233">
        <v>0</v>
      </c>
      <c r="AF3233">
        <v>0</v>
      </c>
      <c r="AI3233" t="s">
        <v>108</v>
      </c>
      <c r="AJ3233" t="s">
        <v>52</v>
      </c>
      <c r="AK3233" t="s">
        <v>52</v>
      </c>
      <c r="AL3233" t="str">
        <f>HYPERLINK("https://pbs.twimg.com/media/D9sAXHUX4AA6vJs.jpg")</f>
        <v>https://pbs.twimg.com/media/D9sAXHUX4AA6vJs.jpg</v>
      </c>
      <c r="AM3233" t="s">
        <v>52</v>
      </c>
      <c r="AN3233" t="s">
        <v>53</v>
      </c>
    </row>
    <row r="3234" spans="1:40">
      <c r="A3234" t="s">
        <v>8081</v>
      </c>
      <c r="B3234" t="s">
        <v>10276</v>
      </c>
      <c r="C3234" t="s">
        <v>10226</v>
      </c>
      <c r="D3234" t="s">
        <v>52</v>
      </c>
      <c r="E3234" t="s">
        <v>10277</v>
      </c>
      <c r="F3234" t="s">
        <v>95</v>
      </c>
      <c r="G3234" t="str">
        <f>HYPERLINK("https://twitter.com/1101557507179323392/status/1142886033811496960")</f>
        <v>https://twitter.com/1101557507179323392/status/1142886033811496960</v>
      </c>
      <c r="H3234" t="s">
        <v>46</v>
      </c>
      <c r="I3234" t="s">
        <v>10278</v>
      </c>
      <c r="J3234" t="str">
        <f>HYPERLINK("http://twitter.com/AEE0NLlNE")</f>
        <v>http://twitter.com/AEE0NLlNE</v>
      </c>
      <c r="K3234">
        <v>17</v>
      </c>
      <c r="N3234" t="s">
        <v>65</v>
      </c>
      <c r="R3234" t="s">
        <v>60</v>
      </c>
      <c r="S3234" t="s">
        <v>51</v>
      </c>
      <c r="T3234" t="s">
        <v>4349</v>
      </c>
      <c r="W3234">
        <v>0</v>
      </c>
      <c r="X3234">
        <v>0</v>
      </c>
      <c r="AE3234">
        <v>0</v>
      </c>
      <c r="AF3234">
        <v>0</v>
      </c>
      <c r="AM3234" t="s">
        <v>52</v>
      </c>
      <c r="AN3234" t="s">
        <v>53</v>
      </c>
    </row>
    <row r="3235" spans="1:40">
      <c r="A3235" t="s">
        <v>8081</v>
      </c>
      <c r="B3235" t="s">
        <v>10276</v>
      </c>
      <c r="C3235" t="s">
        <v>10221</v>
      </c>
      <c r="D3235" t="s">
        <v>52</v>
      </c>
      <c r="E3235" t="s">
        <v>10279</v>
      </c>
      <c r="F3235" t="s">
        <v>131</v>
      </c>
      <c r="G3235" t="str">
        <f>HYPERLINK("https://twitter.com/940109452140724230/status/1142886012902768641")</f>
        <v>https://twitter.com/940109452140724230/status/1142886012902768641</v>
      </c>
      <c r="H3235" t="s">
        <v>46</v>
      </c>
      <c r="I3235" t="s">
        <v>10280</v>
      </c>
      <c r="J3235" t="str">
        <f>HYPERLINK("http://twitter.com/sadinthaclub")</f>
        <v>http://twitter.com/sadinthaclub</v>
      </c>
      <c r="K3235">
        <v>42</v>
      </c>
      <c r="N3235" t="s">
        <v>65</v>
      </c>
      <c r="R3235" t="s">
        <v>60</v>
      </c>
      <c r="S3235" t="s">
        <v>51</v>
      </c>
      <c r="T3235" t="s">
        <v>173</v>
      </c>
      <c r="U3235" t="s">
        <v>10281</v>
      </c>
      <c r="W3235">
        <v>0</v>
      </c>
      <c r="X3235">
        <v>0</v>
      </c>
      <c r="AE3235">
        <v>0</v>
      </c>
      <c r="AM3235" t="s">
        <v>52</v>
      </c>
      <c r="AN3235" t="s">
        <v>53</v>
      </c>
    </row>
    <row r="3236" spans="1:40">
      <c r="A3236" t="s">
        <v>8081</v>
      </c>
      <c r="B3236" t="s">
        <v>10276</v>
      </c>
      <c r="C3236" t="s">
        <v>10282</v>
      </c>
      <c r="D3236" t="s">
        <v>52</v>
      </c>
      <c r="E3236" t="s">
        <v>10283</v>
      </c>
      <c r="F3236" t="s">
        <v>45</v>
      </c>
      <c r="G3236" t="str">
        <f>HYPERLINK("https://twitter.com/727204731949604864/status/1142885947916394496")</f>
        <v>https://twitter.com/727204731949604864/status/1142885947916394496</v>
      </c>
      <c r="H3236" t="s">
        <v>46</v>
      </c>
      <c r="I3236" t="s">
        <v>1327</v>
      </c>
      <c r="J3236" t="str">
        <f>HYPERLINK("http://twitter.com/Poo2D2")</f>
        <v>http://twitter.com/Poo2D2</v>
      </c>
      <c r="K3236">
        <v>51</v>
      </c>
      <c r="L3236" t="s">
        <v>48</v>
      </c>
      <c r="N3236" t="s">
        <v>65</v>
      </c>
      <c r="R3236" t="s">
        <v>60</v>
      </c>
      <c r="S3236" t="s">
        <v>51</v>
      </c>
      <c r="T3236" t="s">
        <v>678</v>
      </c>
      <c r="U3236" t="s">
        <v>1328</v>
      </c>
      <c r="W3236">
        <v>0</v>
      </c>
      <c r="X3236">
        <v>0</v>
      </c>
      <c r="AE3236">
        <v>0</v>
      </c>
      <c r="AF3236">
        <v>0</v>
      </c>
      <c r="AM3236" t="s">
        <v>52</v>
      </c>
      <c r="AN3236" t="s">
        <v>53</v>
      </c>
    </row>
    <row r="3237" spans="1:40">
      <c r="A3237" t="s">
        <v>8081</v>
      </c>
      <c r="B3237" t="s">
        <v>10276</v>
      </c>
      <c r="C3237" t="s">
        <v>10282</v>
      </c>
      <c r="D3237" t="s">
        <v>52</v>
      </c>
      <c r="E3237" t="s">
        <v>8551</v>
      </c>
      <c r="F3237" t="s">
        <v>71</v>
      </c>
      <c r="G3237" t="str">
        <f>HYPERLINK("https://twitter.com/457581637/status/1142885938579857410")</f>
        <v>https://twitter.com/457581637/status/1142885938579857410</v>
      </c>
      <c r="H3237" t="s">
        <v>46</v>
      </c>
      <c r="I3237" t="s">
        <v>10284</v>
      </c>
      <c r="J3237" t="str">
        <f>HYPERLINK("http://twitter.com/LindoMyeni")</f>
        <v>http://twitter.com/LindoMyeni</v>
      </c>
      <c r="K3237">
        <v>81666</v>
      </c>
      <c r="N3237" t="s">
        <v>65</v>
      </c>
      <c r="R3237" t="s">
        <v>60</v>
      </c>
      <c r="S3237" t="s">
        <v>1071</v>
      </c>
      <c r="T3237" t="s">
        <v>1072</v>
      </c>
      <c r="U3237" t="s">
        <v>1073</v>
      </c>
      <c r="W3237">
        <v>0</v>
      </c>
      <c r="X3237">
        <v>0</v>
      </c>
      <c r="AE3237">
        <v>0</v>
      </c>
      <c r="AF3237">
        <v>0</v>
      </c>
      <c r="AI3237" t="s">
        <v>108</v>
      </c>
      <c r="AJ3237" t="s">
        <v>52</v>
      </c>
      <c r="AK3237" t="s">
        <v>52</v>
      </c>
      <c r="AL3237" t="str">
        <f>HYPERLINK("https://pbs.twimg.com/media/D9sAXHUX4AA6vJs.jpg")</f>
        <v>https://pbs.twimg.com/media/D9sAXHUX4AA6vJs.jpg</v>
      </c>
      <c r="AM3237" t="s">
        <v>52</v>
      </c>
      <c r="AN3237" t="s">
        <v>53</v>
      </c>
    </row>
    <row r="3238" spans="1:40">
      <c r="A3238" t="s">
        <v>8081</v>
      </c>
      <c r="B3238" t="s">
        <v>10276</v>
      </c>
      <c r="C3238" t="s">
        <v>10235</v>
      </c>
      <c r="D3238" t="s">
        <v>52</v>
      </c>
      <c r="E3238" t="s">
        <v>10285</v>
      </c>
      <c r="F3238" t="s">
        <v>45</v>
      </c>
      <c r="G3238" t="str">
        <f>HYPERLINK("https://www.instagram.com/p/BzEKMAklREt")</f>
        <v>https://www.instagram.com/p/BzEKMAklREt</v>
      </c>
      <c r="H3238" t="s">
        <v>46</v>
      </c>
      <c r="I3238" t="s">
        <v>10286</v>
      </c>
      <c r="J3238" t="str">
        <f>HYPERLINK("http://instagram.com/luissaqueiroz")</f>
        <v>http://instagram.com/luissaqueiroz</v>
      </c>
      <c r="K3238">
        <v>9029</v>
      </c>
      <c r="N3238" t="s">
        <v>59</v>
      </c>
      <c r="O3238" t="s">
        <v>10286</v>
      </c>
      <c r="P3238" t="str">
        <f>HYPERLINK("http://instagram.com/luissaqueiroz")</f>
        <v>http://instagram.com/luissaqueiroz</v>
      </c>
      <c r="Q3238">
        <v>9029</v>
      </c>
      <c r="R3238" t="s">
        <v>60</v>
      </c>
      <c r="S3238" t="s">
        <v>432</v>
      </c>
      <c r="T3238" t="s">
        <v>433</v>
      </c>
      <c r="W3238">
        <v>77</v>
      </c>
      <c r="X3238">
        <v>77</v>
      </c>
      <c r="AE3238">
        <v>2</v>
      </c>
      <c r="AI3238" t="s">
        <v>52</v>
      </c>
      <c r="AJ3238" t="s">
        <v>52</v>
      </c>
      <c r="AK3238" t="s">
        <v>52</v>
      </c>
      <c r="AL3238" t="str">
        <f>HYPERLINK("https://www.instagram.com/p/BzEKMAklREt/media/?size=l")</f>
        <v>https://www.instagram.com/p/BzEKMAklREt/media/?size=l</v>
      </c>
      <c r="AM3238" t="s">
        <v>52</v>
      </c>
      <c r="AN3238" t="s">
        <v>53</v>
      </c>
    </row>
    <row r="3239" spans="1:40">
      <c r="A3239" t="s">
        <v>8081</v>
      </c>
      <c r="B3239" t="s">
        <v>10276</v>
      </c>
      <c r="C3239" t="s">
        <v>10242</v>
      </c>
      <c r="D3239" t="s">
        <v>52</v>
      </c>
      <c r="E3239" t="s">
        <v>10287</v>
      </c>
      <c r="F3239" t="s">
        <v>45</v>
      </c>
      <c r="G3239" t="str">
        <f>HYPERLINK("https://twitter.com/1104214579133992962/status/1142885831646031872")</f>
        <v>https://twitter.com/1104214579133992962/status/1142885831646031872</v>
      </c>
      <c r="H3239" t="s">
        <v>46</v>
      </c>
      <c r="I3239" t="s">
        <v>10288</v>
      </c>
      <c r="J3239" t="str">
        <f>HYPERLINK("http://twitter.com/KINGKYNSEI")</f>
        <v>http://twitter.com/KINGKYNSEI</v>
      </c>
      <c r="K3239">
        <v>230</v>
      </c>
      <c r="N3239" t="s">
        <v>65</v>
      </c>
      <c r="R3239" t="s">
        <v>60</v>
      </c>
      <c r="S3239" t="s">
        <v>51</v>
      </c>
      <c r="T3239" t="s">
        <v>152</v>
      </c>
      <c r="U3239" t="s">
        <v>10289</v>
      </c>
      <c r="W3239">
        <v>0</v>
      </c>
      <c r="X3239">
        <v>0</v>
      </c>
      <c r="AE3239">
        <v>0</v>
      </c>
      <c r="AF3239">
        <v>0</v>
      </c>
      <c r="AM3239" t="s">
        <v>52</v>
      </c>
      <c r="AN3239" t="s">
        <v>53</v>
      </c>
    </row>
    <row r="3240" spans="1:40">
      <c r="A3240" t="s">
        <v>8081</v>
      </c>
      <c r="B3240" t="s">
        <v>4691</v>
      </c>
      <c r="C3240" t="s">
        <v>10254</v>
      </c>
      <c r="D3240" t="s">
        <v>52</v>
      </c>
      <c r="E3240" t="s">
        <v>10290</v>
      </c>
      <c r="F3240" t="s">
        <v>95</v>
      </c>
      <c r="G3240" t="str">
        <f>HYPERLINK("https://twitter.com/2400787922/status/1142885778718187520")</f>
        <v>https://twitter.com/2400787922/status/1142885778718187520</v>
      </c>
      <c r="H3240" t="s">
        <v>46</v>
      </c>
      <c r="I3240" t="s">
        <v>10291</v>
      </c>
      <c r="J3240" t="str">
        <f>HYPERLINK("http://twitter.com/ImazAgus")</f>
        <v>http://twitter.com/ImazAgus</v>
      </c>
      <c r="K3240">
        <v>537</v>
      </c>
      <c r="N3240" t="s">
        <v>65</v>
      </c>
      <c r="R3240" t="s">
        <v>60</v>
      </c>
      <c r="W3240">
        <v>3</v>
      </c>
      <c r="X3240">
        <v>3</v>
      </c>
      <c r="AE3240">
        <v>0</v>
      </c>
      <c r="AF3240">
        <v>1</v>
      </c>
      <c r="AM3240" t="s">
        <v>52</v>
      </c>
      <c r="AN3240" t="s">
        <v>53</v>
      </c>
    </row>
    <row r="3241" spans="1:40">
      <c r="A3241" t="s">
        <v>8081</v>
      </c>
      <c r="B3241" t="s">
        <v>4691</v>
      </c>
      <c r="C3241" t="s">
        <v>10254</v>
      </c>
      <c r="D3241" t="s">
        <v>52</v>
      </c>
      <c r="E3241" t="s">
        <v>10292</v>
      </c>
      <c r="F3241" t="s">
        <v>95</v>
      </c>
      <c r="G3241" t="str">
        <f>HYPERLINK("https://twitter.com/1009815762373103616/status/1142885777375993862")</f>
        <v>https://twitter.com/1009815762373103616/status/1142885777375993862</v>
      </c>
      <c r="H3241" t="s">
        <v>46</v>
      </c>
      <c r="I3241" t="s">
        <v>10293</v>
      </c>
      <c r="J3241" t="str">
        <f>HYPERLINK("http://twitter.com/candebenedetti5")</f>
        <v>http://twitter.com/candebenedetti5</v>
      </c>
      <c r="K3241">
        <v>1633</v>
      </c>
      <c r="N3241" t="s">
        <v>65</v>
      </c>
      <c r="R3241" t="s">
        <v>60</v>
      </c>
      <c r="W3241">
        <v>0</v>
      </c>
      <c r="X3241">
        <v>0</v>
      </c>
      <c r="AE3241">
        <v>0</v>
      </c>
      <c r="AF3241">
        <v>0</v>
      </c>
      <c r="AM3241" t="s">
        <v>52</v>
      </c>
      <c r="AN3241" t="s">
        <v>53</v>
      </c>
    </row>
    <row r="3242" spans="1:40">
      <c r="A3242" t="s">
        <v>8081</v>
      </c>
      <c r="B3242" t="s">
        <v>4691</v>
      </c>
      <c r="C3242" t="s">
        <v>10294</v>
      </c>
      <c r="D3242" t="s">
        <v>52</v>
      </c>
      <c r="E3242" t="s">
        <v>10295</v>
      </c>
      <c r="F3242" t="s">
        <v>71</v>
      </c>
      <c r="G3242" t="str">
        <f>HYPERLINK("https://twitter.com/1929369247/status/1142885698728529927")</f>
        <v>https://twitter.com/1929369247/status/1142885698728529927</v>
      </c>
      <c r="H3242" t="s">
        <v>46</v>
      </c>
      <c r="I3242" t="s">
        <v>10296</v>
      </c>
      <c r="J3242" t="str">
        <f>HYPERLINK("http://twitter.com/IceCream_Mat")</f>
        <v>http://twitter.com/IceCream_Mat</v>
      </c>
      <c r="K3242">
        <v>386</v>
      </c>
      <c r="N3242" t="s">
        <v>65</v>
      </c>
      <c r="R3242" t="s">
        <v>60</v>
      </c>
      <c r="S3242" t="s">
        <v>1071</v>
      </c>
      <c r="T3242" t="s">
        <v>1072</v>
      </c>
      <c r="U3242" t="s">
        <v>1295</v>
      </c>
      <c r="W3242">
        <v>0</v>
      </c>
      <c r="X3242">
        <v>0</v>
      </c>
      <c r="AE3242">
        <v>1</v>
      </c>
      <c r="AF3242">
        <v>0</v>
      </c>
      <c r="AI3242" t="s">
        <v>108</v>
      </c>
      <c r="AJ3242" t="s">
        <v>52</v>
      </c>
      <c r="AK3242" t="s">
        <v>52</v>
      </c>
      <c r="AL3242" t="str">
        <f>HYPERLINK("https://pbs.twimg.com/media/D9sAXHUX4AA6vJs.jpg")</f>
        <v>https://pbs.twimg.com/media/D9sAXHUX4AA6vJs.jpg</v>
      </c>
      <c r="AM3242" t="s">
        <v>52</v>
      </c>
      <c r="AN3242" t="s">
        <v>53</v>
      </c>
    </row>
    <row r="3243" spans="1:40">
      <c r="A3243" t="s">
        <v>8081</v>
      </c>
      <c r="B3243" t="s">
        <v>4691</v>
      </c>
      <c r="C3243" t="s">
        <v>10297</v>
      </c>
      <c r="D3243" t="s">
        <v>52</v>
      </c>
      <c r="E3243" t="s">
        <v>3749</v>
      </c>
      <c r="F3243" t="s">
        <v>71</v>
      </c>
      <c r="G3243" t="str">
        <f>HYPERLINK("https://twitter.com/202048478/status/1142885668382760961")</f>
        <v>https://twitter.com/202048478/status/1142885668382760961</v>
      </c>
      <c r="H3243" t="s">
        <v>46</v>
      </c>
      <c r="I3243" t="s">
        <v>10298</v>
      </c>
      <c r="J3243" t="str">
        <f>HYPERLINK("http://twitter.com/SkinnyLoner")</f>
        <v>http://twitter.com/SkinnyLoner</v>
      </c>
      <c r="K3243">
        <v>323</v>
      </c>
      <c r="N3243" t="s">
        <v>65</v>
      </c>
      <c r="R3243" t="s">
        <v>60</v>
      </c>
      <c r="S3243" t="s">
        <v>1592</v>
      </c>
      <c r="T3243" t="s">
        <v>10299</v>
      </c>
      <c r="U3243" t="s">
        <v>10300</v>
      </c>
      <c r="W3243">
        <v>0</v>
      </c>
      <c r="X3243">
        <v>0</v>
      </c>
      <c r="AE3243">
        <v>0</v>
      </c>
      <c r="AF3243">
        <v>0</v>
      </c>
      <c r="AI3243" t="s">
        <v>108</v>
      </c>
      <c r="AJ3243" t="s">
        <v>52</v>
      </c>
      <c r="AK3243" t="s">
        <v>52</v>
      </c>
      <c r="AL3243" t="str">
        <f>HYPERLINK("https://pbs.twimg.com/media/D9sAXHUX4AA6vJs.jpg")</f>
        <v>https://pbs.twimg.com/media/D9sAXHUX4AA6vJs.jpg</v>
      </c>
      <c r="AM3243" t="s">
        <v>52</v>
      </c>
      <c r="AN3243" t="s">
        <v>53</v>
      </c>
    </row>
    <row r="3244" spans="1:40">
      <c r="A3244" t="s">
        <v>8081</v>
      </c>
      <c r="B3244" t="s">
        <v>4691</v>
      </c>
      <c r="C3244" t="s">
        <v>10301</v>
      </c>
      <c r="D3244" t="s">
        <v>52</v>
      </c>
      <c r="E3244" t="s">
        <v>10302</v>
      </c>
      <c r="F3244" t="s">
        <v>45</v>
      </c>
      <c r="G3244" t="str">
        <f>HYPERLINK("https://twitter.com/2209475262/status/1142885571750240256")</f>
        <v>https://twitter.com/2209475262/status/1142885571750240256</v>
      </c>
      <c r="H3244" t="s">
        <v>46</v>
      </c>
      <c r="I3244" t="s">
        <v>10303</v>
      </c>
      <c r="J3244" t="str">
        <f>HYPERLINK("http://twitter.com/ese_ce_")</f>
        <v>http://twitter.com/ese_ce_</v>
      </c>
      <c r="K3244">
        <v>931</v>
      </c>
      <c r="N3244" t="s">
        <v>65</v>
      </c>
      <c r="R3244" t="s">
        <v>60</v>
      </c>
      <c r="W3244">
        <v>1</v>
      </c>
      <c r="X3244">
        <v>1</v>
      </c>
      <c r="AE3244">
        <v>0</v>
      </c>
      <c r="AF3244">
        <v>0</v>
      </c>
      <c r="AI3244" t="s">
        <v>52</v>
      </c>
      <c r="AJ3244" t="s">
        <v>10304</v>
      </c>
      <c r="AK3244" t="s">
        <v>52</v>
      </c>
      <c r="AL3244" t="str">
        <f>HYPERLINK("https://pbs.twimg.com/media/D9xYXZbXoAINZYb.jpg")</f>
        <v>https://pbs.twimg.com/media/D9xYXZbXoAINZYb.jpg</v>
      </c>
      <c r="AM3244" t="s">
        <v>52</v>
      </c>
      <c r="AN3244" t="s">
        <v>53</v>
      </c>
    </row>
    <row r="3245" spans="1:40">
      <c r="A3245" t="s">
        <v>8081</v>
      </c>
      <c r="B3245" t="s">
        <v>4707</v>
      </c>
      <c r="C3245" t="s">
        <v>10265</v>
      </c>
      <c r="D3245" t="s">
        <v>52</v>
      </c>
      <c r="E3245" t="s">
        <v>10305</v>
      </c>
      <c r="F3245" t="s">
        <v>45</v>
      </c>
      <c r="G3245" t="str">
        <f>HYPERLINK("https://twitter.com/344534187/status/1142885472399699973")</f>
        <v>https://twitter.com/344534187/status/1142885472399699973</v>
      </c>
      <c r="H3245" t="s">
        <v>46</v>
      </c>
      <c r="I3245" t="s">
        <v>10306</v>
      </c>
      <c r="J3245" t="str">
        <f>HYPERLINK("http://twitter.com/SidSinksShips")</f>
        <v>http://twitter.com/SidSinksShips</v>
      </c>
      <c r="K3245">
        <v>85</v>
      </c>
      <c r="N3245" t="s">
        <v>65</v>
      </c>
      <c r="R3245" t="s">
        <v>60</v>
      </c>
      <c r="S3245" t="s">
        <v>51</v>
      </c>
      <c r="T3245" t="s">
        <v>152</v>
      </c>
      <c r="U3245" t="s">
        <v>424</v>
      </c>
      <c r="W3245">
        <v>3</v>
      </c>
      <c r="X3245">
        <v>3</v>
      </c>
      <c r="AE3245">
        <v>0</v>
      </c>
      <c r="AF3245">
        <v>0</v>
      </c>
      <c r="AM3245" t="s">
        <v>52</v>
      </c>
      <c r="AN3245" t="s">
        <v>53</v>
      </c>
    </row>
    <row r="3246" spans="1:40">
      <c r="A3246" t="s">
        <v>8081</v>
      </c>
      <c r="B3246" t="s">
        <v>4707</v>
      </c>
      <c r="C3246" t="s">
        <v>10265</v>
      </c>
      <c r="D3246" t="s">
        <v>52</v>
      </c>
      <c r="E3246" t="s">
        <v>10307</v>
      </c>
      <c r="F3246" t="s">
        <v>71</v>
      </c>
      <c r="G3246" t="str">
        <f>HYPERLINK("https://twitter.com/702739644614578176/status/1142885470956851200")</f>
        <v>https://twitter.com/702739644614578176/status/1142885470956851200</v>
      </c>
      <c r="H3246" t="s">
        <v>46</v>
      </c>
      <c r="I3246" t="s">
        <v>10308</v>
      </c>
      <c r="J3246" t="str">
        <f>HYPERLINK("http://twitter.com/KNtshediseng")</f>
        <v>http://twitter.com/KNtshediseng</v>
      </c>
      <c r="K3246">
        <v>187</v>
      </c>
      <c r="N3246" t="s">
        <v>65</v>
      </c>
      <c r="R3246" t="s">
        <v>60</v>
      </c>
      <c r="S3246" t="s">
        <v>1071</v>
      </c>
      <c r="T3246" t="s">
        <v>10309</v>
      </c>
      <c r="U3246" t="s">
        <v>10310</v>
      </c>
      <c r="W3246">
        <v>0</v>
      </c>
      <c r="X3246">
        <v>0</v>
      </c>
      <c r="AE3246">
        <v>0</v>
      </c>
      <c r="AF3246">
        <v>0</v>
      </c>
      <c r="AI3246" t="s">
        <v>108</v>
      </c>
      <c r="AJ3246" t="s">
        <v>52</v>
      </c>
      <c r="AK3246" t="s">
        <v>52</v>
      </c>
      <c r="AL3246" t="str">
        <f>HYPERLINK("https://pbs.twimg.com/media/D9sAXHUX4AA6vJs.jpg")</f>
        <v>https://pbs.twimg.com/media/D9sAXHUX4AA6vJs.jpg</v>
      </c>
      <c r="AM3246" t="s">
        <v>52</v>
      </c>
      <c r="AN3246" t="s">
        <v>53</v>
      </c>
    </row>
    <row r="3247" spans="1:40">
      <c r="A3247" t="s">
        <v>8081</v>
      </c>
      <c r="B3247" t="s">
        <v>4707</v>
      </c>
      <c r="C3247" t="s">
        <v>10311</v>
      </c>
      <c r="D3247" t="s">
        <v>52</v>
      </c>
      <c r="E3247" t="s">
        <v>10312</v>
      </c>
      <c r="F3247" t="s">
        <v>95</v>
      </c>
      <c r="G3247" t="str">
        <f>HYPERLINK("https://twitter.com/1093863027890405376/status/1142885438908239875")</f>
        <v>https://twitter.com/1093863027890405376/status/1142885438908239875</v>
      </c>
      <c r="H3247" t="s">
        <v>215</v>
      </c>
      <c r="I3247" t="s">
        <v>10313</v>
      </c>
      <c r="J3247" t="str">
        <f>HYPERLINK("http://twitter.com/thatpxppylegend")</f>
        <v>http://twitter.com/thatpxppylegend</v>
      </c>
      <c r="K3247">
        <v>160</v>
      </c>
      <c r="N3247" t="s">
        <v>65</v>
      </c>
      <c r="R3247" t="s">
        <v>60</v>
      </c>
      <c r="S3247" t="s">
        <v>1403</v>
      </c>
      <c r="W3247">
        <v>10</v>
      </c>
      <c r="X3247">
        <v>10</v>
      </c>
      <c r="AE3247">
        <v>0</v>
      </c>
      <c r="AF3247">
        <v>0</v>
      </c>
      <c r="AM3247" t="s">
        <v>52</v>
      </c>
      <c r="AN3247" t="s">
        <v>53</v>
      </c>
    </row>
    <row r="3248" spans="1:40">
      <c r="A3248" t="s">
        <v>8081</v>
      </c>
      <c r="B3248" t="s">
        <v>4707</v>
      </c>
      <c r="C3248" t="s">
        <v>10314</v>
      </c>
      <c r="D3248" t="s">
        <v>52</v>
      </c>
      <c r="E3248" t="s">
        <v>10315</v>
      </c>
      <c r="F3248" t="s">
        <v>45</v>
      </c>
      <c r="G3248" t="str">
        <f>HYPERLINK("https://twitter.com/2306340706/status/1142885423754162177")</f>
        <v>https://twitter.com/2306340706/status/1142885423754162177</v>
      </c>
      <c r="H3248" t="s">
        <v>215</v>
      </c>
      <c r="I3248" t="s">
        <v>10316</v>
      </c>
      <c r="J3248" t="str">
        <f>HYPERLINK("http://twitter.com/Fungai___")</f>
        <v>http://twitter.com/Fungai___</v>
      </c>
      <c r="K3248">
        <v>510</v>
      </c>
      <c r="N3248" t="s">
        <v>65</v>
      </c>
      <c r="R3248" t="s">
        <v>60</v>
      </c>
      <c r="S3248" t="s">
        <v>1350</v>
      </c>
      <c r="T3248" t="s">
        <v>10317</v>
      </c>
      <c r="U3248" t="s">
        <v>10318</v>
      </c>
      <c r="W3248">
        <v>0</v>
      </c>
      <c r="X3248">
        <v>0</v>
      </c>
      <c r="AE3248">
        <v>0</v>
      </c>
      <c r="AF3248">
        <v>0</v>
      </c>
      <c r="AM3248" t="s">
        <v>52</v>
      </c>
      <c r="AN3248" t="s">
        <v>53</v>
      </c>
    </row>
    <row r="3249" spans="1:40">
      <c r="A3249" t="s">
        <v>8081</v>
      </c>
      <c r="B3249" t="s">
        <v>4707</v>
      </c>
      <c r="C3249" t="s">
        <v>10319</v>
      </c>
      <c r="D3249" t="s">
        <v>52</v>
      </c>
      <c r="E3249" t="s">
        <v>10320</v>
      </c>
      <c r="F3249" t="s">
        <v>45</v>
      </c>
      <c r="G3249" t="str">
        <f>HYPERLINK("https://www.instagram.com/p/BzEJ9aHnio1")</f>
        <v>https://www.instagram.com/p/BzEJ9aHnio1</v>
      </c>
      <c r="H3249" t="s">
        <v>215</v>
      </c>
      <c r="I3249" t="s">
        <v>10321</v>
      </c>
      <c r="J3249" t="str">
        <f>HYPERLINK("http://instagram.com/chrisalexandergram")</f>
        <v>http://instagram.com/chrisalexandergram</v>
      </c>
      <c r="K3249">
        <v>59</v>
      </c>
      <c r="N3249" t="s">
        <v>59</v>
      </c>
      <c r="O3249" t="s">
        <v>10321</v>
      </c>
      <c r="P3249" t="str">
        <f>HYPERLINK("http://instagram.com/chrisalexandergram")</f>
        <v>http://instagram.com/chrisalexandergram</v>
      </c>
      <c r="Q3249">
        <v>59</v>
      </c>
      <c r="R3249" t="s">
        <v>60</v>
      </c>
      <c r="W3249">
        <v>7</v>
      </c>
      <c r="X3249">
        <v>7</v>
      </c>
      <c r="AE3249">
        <v>0</v>
      </c>
      <c r="AI3249" t="s">
        <v>52</v>
      </c>
      <c r="AJ3249" t="s">
        <v>52</v>
      </c>
      <c r="AK3249" t="s">
        <v>10322</v>
      </c>
      <c r="AL3249" t="str">
        <f>HYPERLINK("https://www.instagram.com/p/BzEJ9aHnio1/media/?size=l")</f>
        <v>https://www.instagram.com/p/BzEJ9aHnio1/media/?size=l</v>
      </c>
      <c r="AM3249" t="s">
        <v>52</v>
      </c>
      <c r="AN3249" t="s">
        <v>53</v>
      </c>
    </row>
    <row r="3250" spans="1:40">
      <c r="A3250" t="s">
        <v>8081</v>
      </c>
      <c r="B3250" t="s">
        <v>4707</v>
      </c>
      <c r="C3250" t="s">
        <v>10319</v>
      </c>
      <c r="D3250" t="s">
        <v>52</v>
      </c>
      <c r="E3250" t="s">
        <v>3749</v>
      </c>
      <c r="F3250" t="s">
        <v>71</v>
      </c>
      <c r="G3250" t="str">
        <f>HYPERLINK("https://twitter.com/173740245/status/1142885334004490241")</f>
        <v>https://twitter.com/173740245/status/1142885334004490241</v>
      </c>
      <c r="H3250" t="s">
        <v>46</v>
      </c>
      <c r="I3250" t="s">
        <v>10323</v>
      </c>
      <c r="J3250" t="str">
        <f>HYPERLINK("http://twitter.com/ibarleyy")</f>
        <v>http://twitter.com/ibarleyy</v>
      </c>
      <c r="K3250">
        <v>695</v>
      </c>
      <c r="N3250" t="s">
        <v>65</v>
      </c>
      <c r="R3250" t="s">
        <v>60</v>
      </c>
      <c r="W3250">
        <v>0</v>
      </c>
      <c r="X3250">
        <v>0</v>
      </c>
      <c r="AE3250">
        <v>0</v>
      </c>
      <c r="AF3250">
        <v>0</v>
      </c>
      <c r="AI3250" t="s">
        <v>108</v>
      </c>
      <c r="AJ3250" t="s">
        <v>52</v>
      </c>
      <c r="AK3250" t="s">
        <v>52</v>
      </c>
      <c r="AL3250" t="str">
        <f>HYPERLINK("https://pbs.twimg.com/media/D9sAXHUX4AA6vJs.jpg")</f>
        <v>https://pbs.twimg.com/media/D9sAXHUX4AA6vJs.jpg</v>
      </c>
      <c r="AM3250" t="s">
        <v>52</v>
      </c>
      <c r="AN3250" t="s">
        <v>53</v>
      </c>
    </row>
    <row r="3251" spans="1:40">
      <c r="A3251" t="s">
        <v>8081</v>
      </c>
      <c r="B3251" t="s">
        <v>4718</v>
      </c>
      <c r="C3251" t="s">
        <v>10324</v>
      </c>
      <c r="D3251" t="s">
        <v>52</v>
      </c>
      <c r="E3251" t="s">
        <v>10325</v>
      </c>
      <c r="F3251" t="s">
        <v>45</v>
      </c>
      <c r="G3251" t="str">
        <f>HYPERLINK("https://twitter.com/133071003/status/1142885259253637120")</f>
        <v>https://twitter.com/133071003/status/1142885259253637120</v>
      </c>
      <c r="H3251" t="s">
        <v>46</v>
      </c>
      <c r="I3251" t="s">
        <v>10326</v>
      </c>
      <c r="J3251" t="str">
        <f>HYPERLINK("http://twitter.com/MelodicSlayer")</f>
        <v>http://twitter.com/MelodicSlayer</v>
      </c>
      <c r="K3251">
        <v>303</v>
      </c>
      <c r="N3251" t="s">
        <v>65</v>
      </c>
      <c r="R3251" t="s">
        <v>60</v>
      </c>
      <c r="S3251" t="s">
        <v>1947</v>
      </c>
      <c r="T3251" t="s">
        <v>2484</v>
      </c>
      <c r="U3251" t="s">
        <v>2485</v>
      </c>
      <c r="W3251">
        <v>3</v>
      </c>
      <c r="X3251">
        <v>3</v>
      </c>
      <c r="AE3251">
        <v>2</v>
      </c>
      <c r="AF3251">
        <v>0</v>
      </c>
      <c r="AM3251" t="s">
        <v>52</v>
      </c>
      <c r="AN3251" t="s">
        <v>53</v>
      </c>
    </row>
    <row r="3252" spans="1:40">
      <c r="A3252" t="s">
        <v>8081</v>
      </c>
      <c r="B3252" t="s">
        <v>4718</v>
      </c>
      <c r="C3252" t="s">
        <v>9464</v>
      </c>
      <c r="D3252" t="s">
        <v>52</v>
      </c>
      <c r="E3252" t="s">
        <v>10327</v>
      </c>
      <c r="F3252" t="s">
        <v>45</v>
      </c>
      <c r="G3252" t="str">
        <f>HYPERLINK("https://www.facebook.com/1546984468876706/posts/2406609186247559")</f>
        <v>https://www.facebook.com/1546984468876706/posts/2406609186247559</v>
      </c>
      <c r="H3252" t="s">
        <v>46</v>
      </c>
      <c r="I3252" t="s">
        <v>10026</v>
      </c>
      <c r="J3252" t="str">
        <f>HYPERLINK("https://www.facebook.com/1546984468876706")</f>
        <v>https://www.facebook.com/1546984468876706</v>
      </c>
      <c r="K3252">
        <v>23553</v>
      </c>
      <c r="L3252" t="s">
        <v>651</v>
      </c>
      <c r="N3252" t="s">
        <v>1792</v>
      </c>
      <c r="O3252" t="s">
        <v>10026</v>
      </c>
      <c r="P3252" t="str">
        <f>HYPERLINK("https://www.facebook.com/1546984468876706")</f>
        <v>https://www.facebook.com/1546984468876706</v>
      </c>
      <c r="Q3252">
        <v>23553</v>
      </c>
      <c r="R3252" t="s">
        <v>60</v>
      </c>
      <c r="W3252">
        <v>271</v>
      </c>
      <c r="X3252">
        <v>125</v>
      </c>
      <c r="Y3252">
        <v>10</v>
      </c>
      <c r="Z3252">
        <v>132</v>
      </c>
      <c r="AA3252">
        <v>0</v>
      </c>
      <c r="AB3252">
        <v>4</v>
      </c>
      <c r="AC3252">
        <v>0</v>
      </c>
      <c r="AE3252">
        <v>46</v>
      </c>
      <c r="AF3252">
        <v>162</v>
      </c>
      <c r="AI3252" t="s">
        <v>108</v>
      </c>
      <c r="AJ3252" t="s">
        <v>52</v>
      </c>
      <c r="AK3252" t="s">
        <v>52</v>
      </c>
      <c r="AL3252" t="str">
        <f>HYPERLINK("https://scontent.xx.fbcdn.net/v/t1.0-9/s720x720/64788109_2406609166247561_3594706293232762880_o.jpg?_nc_cat=101&amp;_nc_oc=AQlZYTPh0jNP-tyLRLBjJLXwanfcs0Rab6IiyS6NMPO8PUWTMdejV5_zjTwvHWGheEs&amp;_nc_ht=scontent.xx&amp;oh=6fc0cf26321db800b85dd72ce57ac231&amp;oe=5DBDADEF")</f>
        <v>https://scontent.xx.fbcdn.net/v/t1.0-9/s720x720/64788109_2406609166247561_3594706293232762880_o.jpg?_nc_cat=101&amp;_nc_oc=AQlZYTPh0jNP-tyLRLBjJLXwanfcs0Rab6IiyS6NMPO8PUWTMdejV5_zjTwvHWGheEs&amp;_nc_ht=scontent.xx&amp;oh=6fc0cf26321db800b85dd72ce57ac231&amp;oe=5DBDADEF</v>
      </c>
      <c r="AM3252" t="s">
        <v>52</v>
      </c>
      <c r="AN3252" t="s">
        <v>53</v>
      </c>
    </row>
    <row r="3253" spans="1:40">
      <c r="A3253" t="s">
        <v>8081</v>
      </c>
      <c r="B3253" t="s">
        <v>10328</v>
      </c>
      <c r="C3253" t="s">
        <v>10311</v>
      </c>
      <c r="D3253" t="s">
        <v>52</v>
      </c>
      <c r="E3253" t="s">
        <v>5927</v>
      </c>
      <c r="F3253" t="s">
        <v>131</v>
      </c>
      <c r="G3253" t="str">
        <f>HYPERLINK("https://twitter.com/1106037631048138754/status/1142884940230602753")</f>
        <v>https://twitter.com/1106037631048138754/status/1142884940230602753</v>
      </c>
      <c r="H3253" t="s">
        <v>46</v>
      </c>
      <c r="I3253" t="s">
        <v>10329</v>
      </c>
      <c r="J3253" t="str">
        <f>HYPERLINK("http://twitter.com/NoahCreigh")</f>
        <v>http://twitter.com/NoahCreigh</v>
      </c>
      <c r="K3253">
        <v>31</v>
      </c>
      <c r="N3253" t="s">
        <v>65</v>
      </c>
      <c r="R3253" t="s">
        <v>60</v>
      </c>
      <c r="W3253">
        <v>0</v>
      </c>
      <c r="X3253">
        <v>0</v>
      </c>
      <c r="AE3253">
        <v>0</v>
      </c>
      <c r="AM3253" t="s">
        <v>52</v>
      </c>
      <c r="AN3253" t="s">
        <v>53</v>
      </c>
    </row>
    <row r="3254" spans="1:40">
      <c r="A3254" t="s">
        <v>8081</v>
      </c>
      <c r="B3254" t="s">
        <v>10328</v>
      </c>
      <c r="C3254" t="s">
        <v>10319</v>
      </c>
      <c r="D3254" t="s">
        <v>52</v>
      </c>
      <c r="E3254" t="s">
        <v>10330</v>
      </c>
      <c r="F3254" t="s">
        <v>45</v>
      </c>
      <c r="G3254" t="str">
        <f>HYPERLINK("https://twitter.com/305256977/status/1142884885620842497")</f>
        <v>https://twitter.com/305256977/status/1142884885620842497</v>
      </c>
      <c r="H3254" t="s">
        <v>215</v>
      </c>
      <c r="I3254" t="s">
        <v>10331</v>
      </c>
      <c r="J3254" t="str">
        <f>HYPERLINK("http://twitter.com/__deReal")</f>
        <v>http://twitter.com/__deReal</v>
      </c>
      <c r="K3254">
        <v>6862</v>
      </c>
      <c r="N3254" t="s">
        <v>65</v>
      </c>
      <c r="R3254" t="s">
        <v>60</v>
      </c>
      <c r="W3254">
        <v>0</v>
      </c>
      <c r="X3254">
        <v>0</v>
      </c>
      <c r="AE3254">
        <v>0</v>
      </c>
      <c r="AF3254">
        <v>0</v>
      </c>
      <c r="AM3254" t="s">
        <v>52</v>
      </c>
      <c r="AN3254" t="s">
        <v>53</v>
      </c>
    </row>
    <row r="3255" spans="1:40">
      <c r="A3255" t="s">
        <v>8081</v>
      </c>
      <c r="B3255" t="s">
        <v>4729</v>
      </c>
      <c r="C3255" t="s">
        <v>10332</v>
      </c>
      <c r="D3255" t="s">
        <v>52</v>
      </c>
      <c r="E3255" t="s">
        <v>10333</v>
      </c>
      <c r="F3255" t="s">
        <v>45</v>
      </c>
      <c r="G3255" t="str">
        <f>HYPERLINK("https://twitter.com/314200217/status/1142884166217994240")</f>
        <v>https://twitter.com/314200217/status/1142884166217994240</v>
      </c>
      <c r="H3255" t="s">
        <v>46</v>
      </c>
      <c r="I3255" t="s">
        <v>10334</v>
      </c>
      <c r="J3255" t="str">
        <f>HYPERLINK("http://twitter.com/scottyblazin")</f>
        <v>http://twitter.com/scottyblazin</v>
      </c>
      <c r="K3255">
        <v>335</v>
      </c>
      <c r="N3255" t="s">
        <v>65</v>
      </c>
      <c r="R3255" t="s">
        <v>60</v>
      </c>
      <c r="S3255" t="s">
        <v>51</v>
      </c>
      <c r="T3255" t="s">
        <v>73</v>
      </c>
      <c r="U3255" t="s">
        <v>3854</v>
      </c>
      <c r="W3255">
        <v>0</v>
      </c>
      <c r="X3255">
        <v>0</v>
      </c>
      <c r="AE3255">
        <v>0</v>
      </c>
      <c r="AF3255">
        <v>0</v>
      </c>
      <c r="AM3255" t="s">
        <v>52</v>
      </c>
      <c r="AN3255" t="s">
        <v>53</v>
      </c>
    </row>
    <row r="3256" spans="1:40">
      <c r="A3256" t="s">
        <v>8081</v>
      </c>
      <c r="B3256" t="s">
        <v>4729</v>
      </c>
      <c r="C3256" t="s">
        <v>10335</v>
      </c>
      <c r="D3256" t="s">
        <v>52</v>
      </c>
      <c r="E3256" t="s">
        <v>10336</v>
      </c>
      <c r="F3256" t="s">
        <v>45</v>
      </c>
      <c r="G3256" t="str">
        <f>HYPERLINK("https://www.instagram.com/p/BzEJYMOooeB")</f>
        <v>https://www.instagram.com/p/BzEJYMOooeB</v>
      </c>
      <c r="H3256" t="s">
        <v>46</v>
      </c>
      <c r="I3256" t="s">
        <v>10337</v>
      </c>
      <c r="J3256" t="str">
        <f>HYPERLINK("http://instagram.com/sunnyglaze_")</f>
        <v>http://instagram.com/sunnyglaze_</v>
      </c>
      <c r="K3256">
        <v>430</v>
      </c>
      <c r="N3256" t="s">
        <v>59</v>
      </c>
      <c r="O3256" t="s">
        <v>10337</v>
      </c>
      <c r="P3256" t="str">
        <f>HYPERLINK("http://instagram.com/sunnyglaze_")</f>
        <v>http://instagram.com/sunnyglaze_</v>
      </c>
      <c r="Q3256">
        <v>430</v>
      </c>
      <c r="R3256" t="s">
        <v>60</v>
      </c>
      <c r="W3256">
        <v>90</v>
      </c>
      <c r="X3256">
        <v>90</v>
      </c>
      <c r="AE3256">
        <v>8</v>
      </c>
      <c r="AI3256" t="s">
        <v>10338</v>
      </c>
      <c r="AJ3256" t="s">
        <v>2072</v>
      </c>
      <c r="AK3256" t="s">
        <v>52</v>
      </c>
      <c r="AL3256" t="str">
        <f>HYPERLINK("https://www.instagram.com/p/BzEJYMOooeB/media/?size=l")</f>
        <v>https://www.instagram.com/p/BzEJYMOooeB/media/?size=l</v>
      </c>
      <c r="AM3256" t="s">
        <v>52</v>
      </c>
      <c r="AN3256" t="s">
        <v>53</v>
      </c>
    </row>
    <row r="3257" spans="1:40">
      <c r="A3257" t="s">
        <v>8081</v>
      </c>
      <c r="B3257" t="s">
        <v>4729</v>
      </c>
      <c r="C3257" t="s">
        <v>10339</v>
      </c>
      <c r="D3257" t="s">
        <v>52</v>
      </c>
      <c r="E3257" t="s">
        <v>10340</v>
      </c>
      <c r="F3257" t="s">
        <v>71</v>
      </c>
      <c r="G3257" t="str">
        <f>HYPERLINK("https://twitter.com/3886006994/status/1142884062765490176")</f>
        <v>https://twitter.com/3886006994/status/1142884062765490176</v>
      </c>
      <c r="H3257" t="s">
        <v>46</v>
      </c>
      <c r="I3257" t="s">
        <v>52</v>
      </c>
      <c r="J3257" t="str">
        <f>HYPERLINK("http://twitter.com/laylanelk")</f>
        <v>http://twitter.com/laylanelk</v>
      </c>
      <c r="K3257">
        <v>1420</v>
      </c>
      <c r="N3257" t="s">
        <v>65</v>
      </c>
      <c r="R3257" t="s">
        <v>60</v>
      </c>
      <c r="S3257" t="s">
        <v>51</v>
      </c>
      <c r="T3257" t="s">
        <v>2729</v>
      </c>
      <c r="U3257" t="s">
        <v>10341</v>
      </c>
      <c r="W3257">
        <v>0</v>
      </c>
      <c r="X3257">
        <v>0</v>
      </c>
      <c r="AE3257">
        <v>0</v>
      </c>
      <c r="AF3257">
        <v>0</v>
      </c>
      <c r="AI3257" t="s">
        <v>108</v>
      </c>
      <c r="AJ3257" t="s">
        <v>52</v>
      </c>
      <c r="AK3257" t="s">
        <v>52</v>
      </c>
      <c r="AL3257" t="str">
        <f>HYPERLINK("https://pbs.twimg.com/media/D9sAXHUX4AA6vJs.jpg")</f>
        <v>https://pbs.twimg.com/media/D9sAXHUX4AA6vJs.jpg</v>
      </c>
      <c r="AM3257" t="s">
        <v>52</v>
      </c>
      <c r="AN3257" t="s">
        <v>53</v>
      </c>
    </row>
    <row r="3258" spans="1:40">
      <c r="A3258" t="s">
        <v>8081</v>
      </c>
      <c r="B3258" t="s">
        <v>4729</v>
      </c>
      <c r="C3258" t="s">
        <v>10339</v>
      </c>
      <c r="D3258" t="s">
        <v>52</v>
      </c>
      <c r="E3258" t="s">
        <v>10342</v>
      </c>
      <c r="F3258" t="s">
        <v>45</v>
      </c>
      <c r="G3258" t="str">
        <f>HYPERLINK("https://twitter.com/1959196249/status/1142884041152241666")</f>
        <v>https://twitter.com/1959196249/status/1142884041152241666</v>
      </c>
      <c r="H3258" t="s">
        <v>91</v>
      </c>
      <c r="I3258" t="s">
        <v>10343</v>
      </c>
      <c r="J3258" t="str">
        <f>HYPERLINK("http://twitter.com/BlathEnnis")</f>
        <v>http://twitter.com/BlathEnnis</v>
      </c>
      <c r="K3258">
        <v>193</v>
      </c>
      <c r="N3258" t="s">
        <v>65</v>
      </c>
      <c r="R3258" t="s">
        <v>60</v>
      </c>
      <c r="S3258" t="s">
        <v>2133</v>
      </c>
      <c r="T3258" t="s">
        <v>10344</v>
      </c>
      <c r="U3258" t="s">
        <v>10345</v>
      </c>
      <c r="W3258">
        <v>2</v>
      </c>
      <c r="X3258">
        <v>2</v>
      </c>
      <c r="AE3258">
        <v>0</v>
      </c>
      <c r="AF3258">
        <v>0</v>
      </c>
      <c r="AM3258" t="s">
        <v>52</v>
      </c>
      <c r="AN3258" t="s">
        <v>53</v>
      </c>
    </row>
    <row r="3259" spans="1:40">
      <c r="A3259" t="s">
        <v>8081</v>
      </c>
      <c r="B3259" t="s">
        <v>10346</v>
      </c>
      <c r="C3259" t="s">
        <v>10347</v>
      </c>
      <c r="D3259" t="s">
        <v>52</v>
      </c>
      <c r="E3259" t="s">
        <v>10348</v>
      </c>
      <c r="F3259" t="s">
        <v>71</v>
      </c>
      <c r="G3259" t="str">
        <f>HYPERLINK("https://twitter.com/927189779996991488/status/1142883901129535488")</f>
        <v>https://twitter.com/927189779996991488/status/1142883901129535488</v>
      </c>
      <c r="H3259" t="s">
        <v>46</v>
      </c>
      <c r="I3259" t="s">
        <v>10349</v>
      </c>
      <c r="J3259" t="str">
        <f>HYPERLINK("http://twitter.com/YoungWiking")</f>
        <v>http://twitter.com/YoungWiking</v>
      </c>
      <c r="K3259">
        <v>1199</v>
      </c>
      <c r="L3259" t="s">
        <v>58</v>
      </c>
      <c r="N3259" t="s">
        <v>65</v>
      </c>
      <c r="R3259" t="s">
        <v>60</v>
      </c>
      <c r="W3259">
        <v>1</v>
      </c>
      <c r="X3259">
        <v>1</v>
      </c>
      <c r="AE3259">
        <v>0</v>
      </c>
      <c r="AF3259">
        <v>0</v>
      </c>
      <c r="AM3259" t="s">
        <v>52</v>
      </c>
      <c r="AN3259" t="s">
        <v>53</v>
      </c>
    </row>
    <row r="3260" spans="1:40">
      <c r="A3260" t="s">
        <v>8081</v>
      </c>
      <c r="B3260" t="s">
        <v>10346</v>
      </c>
      <c r="C3260" t="s">
        <v>10350</v>
      </c>
      <c r="D3260" t="s">
        <v>52</v>
      </c>
      <c r="E3260" t="s">
        <v>10351</v>
      </c>
      <c r="F3260" t="s">
        <v>45</v>
      </c>
      <c r="G3260" t="str">
        <f>HYPERLINK("https://twitter.com/1098083970691072001/status/1142883795529543680")</f>
        <v>https://twitter.com/1098083970691072001/status/1142883795529543680</v>
      </c>
      <c r="H3260" t="s">
        <v>46</v>
      </c>
      <c r="I3260" t="s">
        <v>10352</v>
      </c>
      <c r="J3260" t="str">
        <f>HYPERLINK("http://twitter.com/rafyyyie")</f>
        <v>http://twitter.com/rafyyyie</v>
      </c>
      <c r="K3260">
        <v>73</v>
      </c>
      <c r="L3260" t="s">
        <v>58</v>
      </c>
      <c r="N3260" t="s">
        <v>65</v>
      </c>
      <c r="R3260" t="s">
        <v>60</v>
      </c>
      <c r="W3260">
        <v>1</v>
      </c>
      <c r="X3260">
        <v>1</v>
      </c>
      <c r="AE3260">
        <v>1</v>
      </c>
      <c r="AF3260">
        <v>0</v>
      </c>
      <c r="AM3260" t="s">
        <v>52</v>
      </c>
      <c r="AN3260" t="s">
        <v>53</v>
      </c>
    </row>
    <row r="3261" spans="1:40">
      <c r="A3261" t="s">
        <v>8081</v>
      </c>
      <c r="B3261" t="s">
        <v>10353</v>
      </c>
      <c r="C3261" t="s">
        <v>10354</v>
      </c>
      <c r="D3261" t="s">
        <v>52</v>
      </c>
      <c r="E3261" t="s">
        <v>10355</v>
      </c>
      <c r="F3261" t="s">
        <v>71</v>
      </c>
      <c r="G3261" t="str">
        <f>HYPERLINK("https://twitter.com/919298867564302336/status/1142883761484439553")</f>
        <v>https://twitter.com/919298867564302336/status/1142883761484439553</v>
      </c>
      <c r="H3261" t="s">
        <v>46</v>
      </c>
      <c r="I3261" t="s">
        <v>10356</v>
      </c>
      <c r="J3261" t="str">
        <f>HYPERLINK("http://twitter.com/GGDva999")</f>
        <v>http://twitter.com/GGDva999</v>
      </c>
      <c r="K3261">
        <v>195</v>
      </c>
      <c r="N3261" t="s">
        <v>65</v>
      </c>
      <c r="R3261" t="s">
        <v>60</v>
      </c>
      <c r="S3261" t="s">
        <v>10357</v>
      </c>
      <c r="T3261" t="s">
        <v>10358</v>
      </c>
      <c r="U3261" t="s">
        <v>10359</v>
      </c>
      <c r="W3261">
        <v>0</v>
      </c>
      <c r="X3261">
        <v>0</v>
      </c>
      <c r="AE3261">
        <v>0</v>
      </c>
      <c r="AF3261">
        <v>0</v>
      </c>
      <c r="AM3261" t="s">
        <v>52</v>
      </c>
      <c r="AN3261" t="s">
        <v>53</v>
      </c>
    </row>
    <row r="3262" spans="1:40">
      <c r="A3262" t="s">
        <v>8081</v>
      </c>
      <c r="B3262" t="s">
        <v>4741</v>
      </c>
      <c r="C3262" t="s">
        <v>10360</v>
      </c>
      <c r="D3262" t="s">
        <v>52</v>
      </c>
      <c r="E3262" t="s">
        <v>10361</v>
      </c>
      <c r="F3262" t="s">
        <v>45</v>
      </c>
      <c r="G3262" t="str">
        <f>HYPERLINK("https://twitter.com/927189779996991488/status/1142882807406047233")</f>
        <v>https://twitter.com/927189779996991488/status/1142882807406047233</v>
      </c>
      <c r="H3262" t="s">
        <v>215</v>
      </c>
      <c r="I3262" t="s">
        <v>10349</v>
      </c>
      <c r="J3262" t="str">
        <f>HYPERLINK("http://twitter.com/YoungWiking")</f>
        <v>http://twitter.com/YoungWiking</v>
      </c>
      <c r="K3262">
        <v>1199</v>
      </c>
      <c r="L3262" t="s">
        <v>58</v>
      </c>
      <c r="N3262" t="s">
        <v>65</v>
      </c>
      <c r="R3262" t="s">
        <v>60</v>
      </c>
      <c r="W3262">
        <v>3</v>
      </c>
      <c r="X3262">
        <v>3</v>
      </c>
      <c r="AE3262">
        <v>0</v>
      </c>
      <c r="AF3262">
        <v>0</v>
      </c>
      <c r="AM3262" t="s">
        <v>52</v>
      </c>
      <c r="AN3262" t="s">
        <v>53</v>
      </c>
    </row>
    <row r="3263" spans="1:40">
      <c r="A3263" t="s">
        <v>8081</v>
      </c>
      <c r="B3263" t="s">
        <v>10362</v>
      </c>
      <c r="C3263" t="s">
        <v>10363</v>
      </c>
      <c r="D3263" t="s">
        <v>52</v>
      </c>
      <c r="E3263" t="s">
        <v>10364</v>
      </c>
      <c r="F3263" t="s">
        <v>45</v>
      </c>
      <c r="G3263" t="str">
        <f>HYPERLINK("https://www.instagram.com/p/BzEIvGggm5T")</f>
        <v>https://www.instagram.com/p/BzEIvGggm5T</v>
      </c>
      <c r="H3263" t="s">
        <v>46</v>
      </c>
      <c r="I3263" t="s">
        <v>10365</v>
      </c>
      <c r="J3263" t="str">
        <f>HYPERLINK("http://instagram.com/lucas_cataldioficial")</f>
        <v>http://instagram.com/lucas_cataldioficial</v>
      </c>
      <c r="K3263">
        <v>604</v>
      </c>
      <c r="L3263" t="s">
        <v>48</v>
      </c>
      <c r="N3263" t="s">
        <v>59</v>
      </c>
      <c r="O3263" t="s">
        <v>10365</v>
      </c>
      <c r="P3263" t="str">
        <f>HYPERLINK("http://instagram.com/lucas_cataldioficial")</f>
        <v>http://instagram.com/lucas_cataldioficial</v>
      </c>
      <c r="Q3263">
        <v>604</v>
      </c>
      <c r="R3263" t="s">
        <v>60</v>
      </c>
      <c r="S3263" t="s">
        <v>432</v>
      </c>
      <c r="T3263" t="s">
        <v>433</v>
      </c>
      <c r="W3263">
        <v>58</v>
      </c>
      <c r="X3263">
        <v>58</v>
      </c>
      <c r="AE3263">
        <v>2</v>
      </c>
      <c r="AI3263" t="s">
        <v>108</v>
      </c>
      <c r="AJ3263" t="s">
        <v>10366</v>
      </c>
      <c r="AK3263" t="s">
        <v>2089</v>
      </c>
      <c r="AL3263" t="str">
        <f>HYPERLINK("https://www.instagram.com/p/BzEIvGggm5T/media/?size=l")</f>
        <v>https://www.instagram.com/p/BzEIvGggm5T/media/?size=l</v>
      </c>
      <c r="AM3263" t="s">
        <v>52</v>
      </c>
      <c r="AN3263" t="s">
        <v>53</v>
      </c>
    </row>
    <row r="3264" spans="1:40">
      <c r="A3264" t="s">
        <v>8081</v>
      </c>
      <c r="B3264" t="s">
        <v>10362</v>
      </c>
      <c r="C3264" t="s">
        <v>10339</v>
      </c>
      <c r="D3264" t="s">
        <v>52</v>
      </c>
      <c r="E3264" t="s">
        <v>10367</v>
      </c>
      <c r="F3264" t="s">
        <v>95</v>
      </c>
      <c r="G3264" t="str">
        <f>HYPERLINK("https://twitter.com/21691470/status/1142882593777618944")</f>
        <v>https://twitter.com/21691470/status/1142882593777618944</v>
      </c>
      <c r="H3264" t="s">
        <v>46</v>
      </c>
      <c r="I3264" t="s">
        <v>10368</v>
      </c>
      <c r="J3264" t="str">
        <f>HYPERLINK("http://twitter.com/MartRyton")</f>
        <v>http://twitter.com/MartRyton</v>
      </c>
      <c r="K3264">
        <v>460</v>
      </c>
      <c r="L3264" t="s">
        <v>48</v>
      </c>
      <c r="N3264" t="s">
        <v>65</v>
      </c>
      <c r="R3264" t="s">
        <v>60</v>
      </c>
      <c r="S3264" t="s">
        <v>97</v>
      </c>
      <c r="T3264" t="s">
        <v>177</v>
      </c>
      <c r="U3264" t="s">
        <v>6089</v>
      </c>
      <c r="W3264">
        <v>2</v>
      </c>
      <c r="X3264">
        <v>2</v>
      </c>
      <c r="AE3264">
        <v>0</v>
      </c>
      <c r="AF3264">
        <v>0</v>
      </c>
      <c r="AM3264" t="s">
        <v>52</v>
      </c>
      <c r="AN3264" t="s">
        <v>53</v>
      </c>
    </row>
    <row r="3265" spans="1:40">
      <c r="A3265" t="s">
        <v>8081</v>
      </c>
      <c r="B3265" t="s">
        <v>4763</v>
      </c>
      <c r="C3265" t="s">
        <v>10332</v>
      </c>
      <c r="D3265" t="s">
        <v>52</v>
      </c>
      <c r="E3265" t="s">
        <v>10369</v>
      </c>
      <c r="F3265" t="s">
        <v>45</v>
      </c>
      <c r="G3265" t="str">
        <f>HYPERLINK("https://www.instagram.com/p/BzEIgFRD0nN")</f>
        <v>https://www.instagram.com/p/BzEIgFRD0nN</v>
      </c>
      <c r="H3265" t="s">
        <v>215</v>
      </c>
      <c r="I3265" t="s">
        <v>10370</v>
      </c>
      <c r="J3265" t="str">
        <f>HYPERLINK("http://instagram.com/marconpizzaria")</f>
        <v>http://instagram.com/marconpizzaria</v>
      </c>
      <c r="K3265">
        <v>885</v>
      </c>
      <c r="L3265" t="s">
        <v>651</v>
      </c>
      <c r="N3265" t="s">
        <v>59</v>
      </c>
      <c r="O3265" t="s">
        <v>10370</v>
      </c>
      <c r="P3265" t="str">
        <f>HYPERLINK("http://instagram.com/marconpizzaria")</f>
        <v>http://instagram.com/marconpizzaria</v>
      </c>
      <c r="Q3265">
        <v>885</v>
      </c>
      <c r="R3265" t="s">
        <v>60</v>
      </c>
      <c r="W3265">
        <v>19</v>
      </c>
      <c r="X3265">
        <v>19</v>
      </c>
      <c r="AE3265">
        <v>0</v>
      </c>
      <c r="AI3265" t="s">
        <v>52</v>
      </c>
      <c r="AJ3265" t="s">
        <v>10371</v>
      </c>
      <c r="AK3265" t="s">
        <v>52</v>
      </c>
      <c r="AL3265" t="str">
        <f>HYPERLINK("https://www.instagram.com/p/BzEIgFRD0nN/media/?size=l")</f>
        <v>https://www.instagram.com/p/BzEIgFRD0nN/media/?size=l</v>
      </c>
      <c r="AM3265" t="s">
        <v>52</v>
      </c>
      <c r="AN3265" t="s">
        <v>53</v>
      </c>
    </row>
    <row r="3266" spans="1:40">
      <c r="A3266" t="s">
        <v>8081</v>
      </c>
      <c r="B3266" t="s">
        <v>4770</v>
      </c>
      <c r="C3266" t="s">
        <v>10372</v>
      </c>
      <c r="D3266" t="s">
        <v>52</v>
      </c>
      <c r="E3266" t="s">
        <v>10373</v>
      </c>
      <c r="F3266" t="s">
        <v>45</v>
      </c>
      <c r="G3266" t="str">
        <f>HYPERLINK("https://www.instagram.com/p/BzEIQ_LBSa8")</f>
        <v>https://www.instagram.com/p/BzEIQ_LBSa8</v>
      </c>
      <c r="H3266" t="s">
        <v>215</v>
      </c>
      <c r="I3266" t="s">
        <v>10374</v>
      </c>
      <c r="J3266" t="str">
        <f>HYPERLINK("http://instagram.com/amelia_jayne_k")</f>
        <v>http://instagram.com/amelia_jayne_k</v>
      </c>
      <c r="K3266">
        <v>431</v>
      </c>
      <c r="L3266" t="s">
        <v>58</v>
      </c>
      <c r="N3266" t="s">
        <v>59</v>
      </c>
      <c r="O3266" t="s">
        <v>10374</v>
      </c>
      <c r="P3266" t="str">
        <f>HYPERLINK("http://instagram.com/amelia_jayne_k")</f>
        <v>http://instagram.com/amelia_jayne_k</v>
      </c>
      <c r="Q3266">
        <v>431</v>
      </c>
      <c r="R3266" t="s">
        <v>60</v>
      </c>
      <c r="W3266">
        <v>19</v>
      </c>
      <c r="X3266">
        <v>19</v>
      </c>
      <c r="AE3266">
        <v>0</v>
      </c>
      <c r="AI3266" t="s">
        <v>52</v>
      </c>
      <c r="AJ3266" t="s">
        <v>5474</v>
      </c>
      <c r="AK3266" t="s">
        <v>680</v>
      </c>
      <c r="AL3266" t="str">
        <f>HYPERLINK("https://www.instagram.com/p/BzEIQ_LBSa8/media/?size=l")</f>
        <v>https://www.instagram.com/p/BzEIQ_LBSa8/media/?size=l</v>
      </c>
      <c r="AM3266" t="s">
        <v>52</v>
      </c>
      <c r="AN3266" t="s">
        <v>53</v>
      </c>
    </row>
    <row r="3267" spans="1:40">
      <c r="A3267" t="s">
        <v>8081</v>
      </c>
      <c r="B3267" t="s">
        <v>4777</v>
      </c>
      <c r="C3267" t="s">
        <v>10375</v>
      </c>
      <c r="D3267" t="s">
        <v>52</v>
      </c>
      <c r="E3267" t="s">
        <v>10376</v>
      </c>
      <c r="F3267" t="s">
        <v>71</v>
      </c>
      <c r="G3267" t="str">
        <f>HYPERLINK("https://twitter.com/1393698613/status/1142881505401700353")</f>
        <v>https://twitter.com/1393698613/status/1142881505401700353</v>
      </c>
      <c r="H3267" t="s">
        <v>46</v>
      </c>
      <c r="I3267" t="s">
        <v>10377</v>
      </c>
      <c r="J3267" t="str">
        <f>HYPERLINK("http://twitter.com/badgalmichy")</f>
        <v>http://twitter.com/badgalmichy</v>
      </c>
      <c r="K3267">
        <v>850</v>
      </c>
      <c r="N3267" t="s">
        <v>65</v>
      </c>
      <c r="R3267" t="s">
        <v>60</v>
      </c>
      <c r="S3267" t="s">
        <v>444</v>
      </c>
      <c r="W3267">
        <v>2</v>
      </c>
      <c r="X3267">
        <v>2</v>
      </c>
      <c r="AE3267">
        <v>1</v>
      </c>
      <c r="AF3267">
        <v>0</v>
      </c>
      <c r="AI3267" t="s">
        <v>52</v>
      </c>
      <c r="AJ3267" t="s">
        <v>2592</v>
      </c>
      <c r="AK3267" t="s">
        <v>52</v>
      </c>
      <c r="AL3267" t="str">
        <f>HYPERLINK("https://pbs.twimg.com/ext_tw_video_thumb/1142259823918010368/pu/img/o3a9pExcTjU62-ui.jpg")</f>
        <v>https://pbs.twimg.com/ext_tw_video_thumb/1142259823918010368/pu/img/o3a9pExcTjU62-ui.jpg</v>
      </c>
      <c r="AM3267" t="s">
        <v>52</v>
      </c>
      <c r="AN3267" t="s">
        <v>53</v>
      </c>
    </row>
    <row r="3268" spans="1:40">
      <c r="A3268" t="s">
        <v>8081</v>
      </c>
      <c r="B3268" t="s">
        <v>4777</v>
      </c>
      <c r="C3268" t="s">
        <v>10378</v>
      </c>
      <c r="D3268" t="s">
        <v>52</v>
      </c>
      <c r="E3268" t="s">
        <v>10379</v>
      </c>
      <c r="F3268" t="s">
        <v>71</v>
      </c>
      <c r="G3268" t="str">
        <f>HYPERLINK("https://twitter.com/911911524012347392/status/1142881486649081856")</f>
        <v>https://twitter.com/911911524012347392/status/1142881486649081856</v>
      </c>
      <c r="H3268" t="s">
        <v>46</v>
      </c>
      <c r="I3268" t="s">
        <v>10380</v>
      </c>
      <c r="J3268" t="str">
        <f>HYPERLINK("http://twitter.com/obeewanjacobee")</f>
        <v>http://twitter.com/obeewanjacobee</v>
      </c>
      <c r="K3268">
        <v>36</v>
      </c>
      <c r="N3268" t="s">
        <v>65</v>
      </c>
      <c r="R3268" t="s">
        <v>60</v>
      </c>
      <c r="S3268" t="s">
        <v>51</v>
      </c>
      <c r="T3268" t="s">
        <v>84</v>
      </c>
      <c r="U3268" t="s">
        <v>85</v>
      </c>
      <c r="W3268">
        <v>1</v>
      </c>
      <c r="X3268">
        <v>1</v>
      </c>
      <c r="AE3268">
        <v>0</v>
      </c>
      <c r="AF3268">
        <v>0</v>
      </c>
      <c r="AM3268" t="s">
        <v>52</v>
      </c>
      <c r="AN3268" t="s">
        <v>53</v>
      </c>
    </row>
    <row r="3269" spans="1:40">
      <c r="A3269" t="s">
        <v>8081</v>
      </c>
      <c r="B3269" t="s">
        <v>4777</v>
      </c>
      <c r="C3269" t="s">
        <v>10360</v>
      </c>
      <c r="D3269" t="s">
        <v>52</v>
      </c>
      <c r="E3269" t="s">
        <v>5927</v>
      </c>
      <c r="F3269" t="s">
        <v>131</v>
      </c>
      <c r="G3269" t="str">
        <f>HYPERLINK("https://twitter.com/568920050/status/1142881410073735176")</f>
        <v>https://twitter.com/568920050/status/1142881410073735176</v>
      </c>
      <c r="H3269" t="s">
        <v>46</v>
      </c>
      <c r="I3269" t="s">
        <v>10381</v>
      </c>
      <c r="J3269" t="str">
        <f>HYPERLINK("http://twitter.com/Jesseonthecouch")</f>
        <v>http://twitter.com/Jesseonthecouch</v>
      </c>
      <c r="K3269">
        <v>394</v>
      </c>
      <c r="N3269" t="s">
        <v>65</v>
      </c>
      <c r="R3269" t="s">
        <v>60</v>
      </c>
      <c r="W3269">
        <v>0</v>
      </c>
      <c r="X3269">
        <v>0</v>
      </c>
      <c r="AE3269">
        <v>0</v>
      </c>
      <c r="AM3269" t="s">
        <v>52</v>
      </c>
      <c r="AN3269" t="s">
        <v>53</v>
      </c>
    </row>
    <row r="3270" spans="1:40">
      <c r="A3270" t="s">
        <v>8081</v>
      </c>
      <c r="B3270" t="s">
        <v>4777</v>
      </c>
      <c r="C3270" t="s">
        <v>10372</v>
      </c>
      <c r="D3270" t="s">
        <v>52</v>
      </c>
      <c r="E3270" t="s">
        <v>10382</v>
      </c>
      <c r="F3270" t="s">
        <v>45</v>
      </c>
      <c r="G3270" t="str">
        <f>HYPERLINK("https://twitter.com/2402477438/status/1142881332810452992")</f>
        <v>https://twitter.com/2402477438/status/1142881332810452992</v>
      </c>
      <c r="H3270" t="s">
        <v>46</v>
      </c>
      <c r="I3270" t="s">
        <v>10383</v>
      </c>
      <c r="J3270" t="str">
        <f>HYPERLINK("http://twitter.com/KenyaRaeAtHome")</f>
        <v>http://twitter.com/KenyaRaeAtHome</v>
      </c>
      <c r="K3270">
        <v>1650</v>
      </c>
      <c r="N3270" t="s">
        <v>65</v>
      </c>
      <c r="R3270" t="s">
        <v>60</v>
      </c>
      <c r="S3270" t="s">
        <v>51</v>
      </c>
      <c r="T3270" t="s">
        <v>851</v>
      </c>
      <c r="U3270" t="s">
        <v>852</v>
      </c>
      <c r="W3270">
        <v>1</v>
      </c>
      <c r="X3270">
        <v>1</v>
      </c>
      <c r="AE3270">
        <v>0</v>
      </c>
      <c r="AF3270">
        <v>0</v>
      </c>
      <c r="AI3270" t="s">
        <v>52</v>
      </c>
      <c r="AJ3270" t="s">
        <v>659</v>
      </c>
      <c r="AK3270" t="s">
        <v>52</v>
      </c>
      <c r="AL3270" t="str">
        <f>HYPERLINK("https://pbs.twimg.com/media/D9xUg_9XsAIJlz5.jpg")</f>
        <v>https://pbs.twimg.com/media/D9xUg_9XsAIJlz5.jpg</v>
      </c>
      <c r="AM3270" t="s">
        <v>52</v>
      </c>
      <c r="AN3270" t="s">
        <v>53</v>
      </c>
    </row>
    <row r="3271" spans="1:40">
      <c r="A3271" t="s">
        <v>8081</v>
      </c>
      <c r="B3271" t="s">
        <v>4777</v>
      </c>
      <c r="C3271" t="s">
        <v>10378</v>
      </c>
      <c r="D3271" t="s">
        <v>52</v>
      </c>
      <c r="E3271" t="s">
        <v>3749</v>
      </c>
      <c r="F3271" t="s">
        <v>71</v>
      </c>
      <c r="G3271" t="str">
        <f>HYPERLINK("https://twitter.com/163601262/status/1142881285486055424")</f>
        <v>https://twitter.com/163601262/status/1142881285486055424</v>
      </c>
      <c r="H3271" t="s">
        <v>46</v>
      </c>
      <c r="I3271" t="s">
        <v>10384</v>
      </c>
      <c r="J3271" t="str">
        <f>HYPERLINK("http://twitter.com/Bruggernaut")</f>
        <v>http://twitter.com/Bruggernaut</v>
      </c>
      <c r="K3271">
        <v>473</v>
      </c>
      <c r="N3271" t="s">
        <v>65</v>
      </c>
      <c r="R3271" t="s">
        <v>60</v>
      </c>
      <c r="S3271" t="s">
        <v>51</v>
      </c>
      <c r="T3271" t="s">
        <v>173</v>
      </c>
      <c r="U3271" t="s">
        <v>10385</v>
      </c>
      <c r="W3271">
        <v>0</v>
      </c>
      <c r="X3271">
        <v>0</v>
      </c>
      <c r="AE3271">
        <v>0</v>
      </c>
      <c r="AF3271">
        <v>0</v>
      </c>
      <c r="AI3271" t="s">
        <v>108</v>
      </c>
      <c r="AJ3271" t="s">
        <v>52</v>
      </c>
      <c r="AK3271" t="s">
        <v>52</v>
      </c>
      <c r="AL3271" t="str">
        <f>HYPERLINK("https://pbs.twimg.com/media/D9sAXHUX4AA6vJs.jpg")</f>
        <v>https://pbs.twimg.com/media/D9sAXHUX4AA6vJs.jpg</v>
      </c>
      <c r="AM3271" t="s">
        <v>52</v>
      </c>
      <c r="AN3271" t="s">
        <v>53</v>
      </c>
    </row>
    <row r="3272" spans="1:40">
      <c r="A3272" t="s">
        <v>8081</v>
      </c>
      <c r="B3272" t="s">
        <v>4782</v>
      </c>
      <c r="C3272" t="s">
        <v>10378</v>
      </c>
      <c r="D3272" t="s">
        <v>52</v>
      </c>
      <c r="E3272" t="s">
        <v>10386</v>
      </c>
      <c r="F3272" t="s">
        <v>45</v>
      </c>
      <c r="G3272" t="str">
        <f>HYPERLINK("https://www.instagram.com/p/BzEID23CqkZ")</f>
        <v>https://www.instagram.com/p/BzEID23CqkZ</v>
      </c>
      <c r="H3272" t="s">
        <v>46</v>
      </c>
      <c r="I3272" t="s">
        <v>10387</v>
      </c>
      <c r="J3272" t="str">
        <f>HYPERLINK("http://instagram.com/periodtt.spam")</f>
        <v>http://instagram.com/periodtt.spam</v>
      </c>
      <c r="K3272">
        <v>1712</v>
      </c>
      <c r="N3272" t="s">
        <v>59</v>
      </c>
      <c r="O3272" t="s">
        <v>10387</v>
      </c>
      <c r="P3272" t="str">
        <f>HYPERLINK("http://instagram.com/periodtt.spam")</f>
        <v>http://instagram.com/periodtt.spam</v>
      </c>
      <c r="Q3272">
        <v>1712</v>
      </c>
      <c r="R3272" t="s">
        <v>60</v>
      </c>
      <c r="W3272">
        <v>114</v>
      </c>
      <c r="X3272">
        <v>114</v>
      </c>
      <c r="AE3272">
        <v>4</v>
      </c>
      <c r="AI3272" t="s">
        <v>52</v>
      </c>
      <c r="AJ3272" t="s">
        <v>1763</v>
      </c>
      <c r="AK3272" t="s">
        <v>52</v>
      </c>
      <c r="AL3272" t="str">
        <f>HYPERLINK("https://www.instagram.com/p/BzEID23CqkZ/media/?size=l")</f>
        <v>https://www.instagram.com/p/BzEID23CqkZ/media/?size=l</v>
      </c>
      <c r="AM3272" t="s">
        <v>52</v>
      </c>
      <c r="AN3272" t="s">
        <v>53</v>
      </c>
    </row>
    <row r="3273" spans="1:40">
      <c r="A3273" t="s">
        <v>8081</v>
      </c>
      <c r="B3273" t="s">
        <v>4782</v>
      </c>
      <c r="C3273" t="s">
        <v>10388</v>
      </c>
      <c r="D3273" t="s">
        <v>52</v>
      </c>
      <c r="E3273" t="s">
        <v>10389</v>
      </c>
      <c r="F3273" t="s">
        <v>45</v>
      </c>
      <c r="G3273" t="str">
        <f>HYPERLINK("https://twitter.com/856954016185675776/status/1142881024298426378")</f>
        <v>https://twitter.com/856954016185675776/status/1142881024298426378</v>
      </c>
      <c r="H3273" t="s">
        <v>46</v>
      </c>
      <c r="I3273" t="s">
        <v>10390</v>
      </c>
      <c r="J3273" t="str">
        <f>HYPERLINK("http://twitter.com/IsaXJaeX")</f>
        <v>http://twitter.com/IsaXJaeX</v>
      </c>
      <c r="K3273">
        <v>339</v>
      </c>
      <c r="N3273" t="s">
        <v>65</v>
      </c>
      <c r="R3273" t="s">
        <v>60</v>
      </c>
      <c r="S3273" t="s">
        <v>432</v>
      </c>
      <c r="T3273" t="s">
        <v>433</v>
      </c>
      <c r="U3273" t="s">
        <v>10391</v>
      </c>
      <c r="W3273">
        <v>0</v>
      </c>
      <c r="X3273">
        <v>0</v>
      </c>
      <c r="AE3273">
        <v>0</v>
      </c>
      <c r="AF3273">
        <v>0</v>
      </c>
      <c r="AM3273" t="s">
        <v>52</v>
      </c>
      <c r="AN3273" t="s">
        <v>53</v>
      </c>
    </row>
    <row r="3274" spans="1:40">
      <c r="A3274" t="s">
        <v>8081</v>
      </c>
      <c r="B3274" t="s">
        <v>4782</v>
      </c>
      <c r="C3274" t="s">
        <v>10392</v>
      </c>
      <c r="D3274" t="s">
        <v>52</v>
      </c>
      <c r="E3274" t="s">
        <v>10393</v>
      </c>
      <c r="F3274" t="s">
        <v>95</v>
      </c>
      <c r="G3274" t="str">
        <f>HYPERLINK("https://twitter.com/211213004/status/1142881019026190338")</f>
        <v>https://twitter.com/211213004/status/1142881019026190338</v>
      </c>
      <c r="H3274" t="s">
        <v>46</v>
      </c>
      <c r="I3274" t="s">
        <v>10394</v>
      </c>
      <c r="J3274" t="str">
        <f>HYPERLINK("http://twitter.com/Pez5683")</f>
        <v>http://twitter.com/Pez5683</v>
      </c>
      <c r="K3274">
        <v>3098</v>
      </c>
      <c r="N3274" t="s">
        <v>65</v>
      </c>
      <c r="R3274" t="s">
        <v>60</v>
      </c>
      <c r="S3274" t="s">
        <v>51</v>
      </c>
      <c r="T3274" t="s">
        <v>263</v>
      </c>
      <c r="U3274" t="s">
        <v>352</v>
      </c>
      <c r="W3274">
        <v>0</v>
      </c>
      <c r="X3274">
        <v>0</v>
      </c>
      <c r="AE3274">
        <v>1</v>
      </c>
      <c r="AF3274">
        <v>0</v>
      </c>
      <c r="AM3274" t="s">
        <v>52</v>
      </c>
      <c r="AN3274" t="s">
        <v>53</v>
      </c>
    </row>
    <row r="3275" spans="1:40">
      <c r="A3275" t="s">
        <v>8081</v>
      </c>
      <c r="B3275" t="s">
        <v>4789</v>
      </c>
      <c r="C3275" t="s">
        <v>10395</v>
      </c>
      <c r="D3275" t="s">
        <v>52</v>
      </c>
      <c r="E3275" t="s">
        <v>10396</v>
      </c>
      <c r="F3275" t="s">
        <v>71</v>
      </c>
      <c r="G3275" t="str">
        <f>HYPERLINK("https://twitter.com/1151291060/status/1142880912423706624")</f>
        <v>https://twitter.com/1151291060/status/1142880912423706624</v>
      </c>
      <c r="H3275" t="s">
        <v>215</v>
      </c>
      <c r="I3275" t="s">
        <v>10397</v>
      </c>
      <c r="J3275" t="str">
        <f>HYPERLINK("http://twitter.com/zmaj_or")</f>
        <v>http://twitter.com/zmaj_or</v>
      </c>
      <c r="K3275">
        <v>2836</v>
      </c>
      <c r="N3275" t="s">
        <v>65</v>
      </c>
      <c r="R3275" t="s">
        <v>60</v>
      </c>
      <c r="S3275" t="s">
        <v>1071</v>
      </c>
      <c r="T3275" t="s">
        <v>3751</v>
      </c>
      <c r="U3275" t="s">
        <v>3752</v>
      </c>
      <c r="W3275">
        <v>1</v>
      </c>
      <c r="X3275">
        <v>1</v>
      </c>
      <c r="AE3275">
        <v>1</v>
      </c>
      <c r="AF3275">
        <v>0</v>
      </c>
      <c r="AM3275" t="s">
        <v>52</v>
      </c>
      <c r="AN3275" t="s">
        <v>53</v>
      </c>
    </row>
    <row r="3276" spans="1:40">
      <c r="A3276" t="s">
        <v>8081</v>
      </c>
      <c r="B3276" t="s">
        <v>4815</v>
      </c>
      <c r="C3276" t="s">
        <v>10372</v>
      </c>
      <c r="D3276" t="s">
        <v>52</v>
      </c>
      <c r="E3276" t="s">
        <v>10398</v>
      </c>
      <c r="F3276" t="s">
        <v>45</v>
      </c>
      <c r="G3276" t="str">
        <f>HYPERLINK("https://www.instagram.com/p/BzEHlcEBcJp")</f>
        <v>https://www.instagram.com/p/BzEHlcEBcJp</v>
      </c>
      <c r="H3276" t="s">
        <v>46</v>
      </c>
      <c r="I3276" t="s">
        <v>10399</v>
      </c>
      <c r="J3276" t="str">
        <f>HYPERLINK("http://instagram.com/lisalucyb")</f>
        <v>http://instagram.com/lisalucyb</v>
      </c>
      <c r="K3276">
        <v>236</v>
      </c>
      <c r="N3276" t="s">
        <v>59</v>
      </c>
      <c r="O3276" t="s">
        <v>10399</v>
      </c>
      <c r="P3276" t="str">
        <f>HYPERLINK("http://instagram.com/lisalucyb")</f>
        <v>http://instagram.com/lisalucyb</v>
      </c>
      <c r="Q3276">
        <v>236</v>
      </c>
      <c r="R3276" t="s">
        <v>60</v>
      </c>
      <c r="S3276" t="s">
        <v>51</v>
      </c>
      <c r="T3276" t="s">
        <v>3290</v>
      </c>
      <c r="U3276" t="s">
        <v>10400</v>
      </c>
      <c r="W3276">
        <v>6</v>
      </c>
      <c r="X3276">
        <v>6</v>
      </c>
      <c r="AE3276">
        <v>1</v>
      </c>
      <c r="AI3276" t="s">
        <v>52</v>
      </c>
      <c r="AJ3276" t="s">
        <v>52</v>
      </c>
      <c r="AK3276" t="s">
        <v>52</v>
      </c>
      <c r="AL3276" t="str">
        <f>HYPERLINK("https://www.instagram.com/p/BzEHlcEBcJp/media/?size=l")</f>
        <v>https://www.instagram.com/p/BzEHlcEBcJp/media/?size=l</v>
      </c>
      <c r="AM3276" t="s">
        <v>52</v>
      </c>
      <c r="AN3276" t="s">
        <v>53</v>
      </c>
    </row>
    <row r="3277" spans="1:40">
      <c r="A3277" t="s">
        <v>8081</v>
      </c>
      <c r="B3277" t="s">
        <v>10401</v>
      </c>
      <c r="C3277" t="s">
        <v>10402</v>
      </c>
      <c r="D3277" t="s">
        <v>52</v>
      </c>
      <c r="E3277" t="s">
        <v>10403</v>
      </c>
      <c r="F3277" t="s">
        <v>95</v>
      </c>
      <c r="G3277" t="str">
        <f>HYPERLINK("https://twitter.com/875200314449641472/status/1142879926351269888")</f>
        <v>https://twitter.com/875200314449641472/status/1142879926351269888</v>
      </c>
      <c r="H3277" t="s">
        <v>46</v>
      </c>
      <c r="I3277" t="s">
        <v>10404</v>
      </c>
      <c r="J3277" t="str">
        <f>HYPERLINK("http://twitter.com/Rolando71297085")</f>
        <v>http://twitter.com/Rolando71297085</v>
      </c>
      <c r="K3277">
        <v>13</v>
      </c>
      <c r="L3277" t="s">
        <v>48</v>
      </c>
      <c r="N3277" t="s">
        <v>65</v>
      </c>
      <c r="R3277" t="s">
        <v>60</v>
      </c>
      <c r="S3277" t="s">
        <v>437</v>
      </c>
      <c r="T3277" t="s">
        <v>4145</v>
      </c>
      <c r="U3277" t="s">
        <v>4146</v>
      </c>
      <c r="W3277">
        <v>0</v>
      </c>
      <c r="X3277">
        <v>0</v>
      </c>
      <c r="AE3277">
        <v>2</v>
      </c>
      <c r="AF3277">
        <v>0</v>
      </c>
      <c r="AM3277" t="s">
        <v>52</v>
      </c>
      <c r="AN3277" t="s">
        <v>53</v>
      </c>
    </row>
    <row r="3278" spans="1:40">
      <c r="A3278" t="s">
        <v>8081</v>
      </c>
      <c r="B3278" t="s">
        <v>4820</v>
      </c>
      <c r="C3278" t="s">
        <v>10405</v>
      </c>
      <c r="D3278" t="s">
        <v>10406</v>
      </c>
      <c r="E3278" t="s">
        <v>10407</v>
      </c>
      <c r="F3278" t="s">
        <v>45</v>
      </c>
      <c r="G3278" t="str">
        <f>HYPERLINK("https://www.youtube.com/watch?v=5DDuXr-Pnqg")</f>
        <v>https://www.youtube.com/watch?v=5DDuXr-Pnqg</v>
      </c>
      <c r="H3278" t="s">
        <v>46</v>
      </c>
      <c r="I3278" t="s">
        <v>10408</v>
      </c>
      <c r="J3278" t="str">
        <f>HYPERLINK("https://www.youtube.com/channel/UCkZ8bTC_KDFuepdr6lz3Nog")</f>
        <v>https://www.youtube.com/channel/UCkZ8bTC_KDFuepdr6lz3Nog</v>
      </c>
      <c r="K3278">
        <v>2</v>
      </c>
      <c r="N3278" t="s">
        <v>116</v>
      </c>
      <c r="O3278" t="s">
        <v>10408</v>
      </c>
      <c r="P3278" t="str">
        <f>HYPERLINK("https://www.youtube.com/channel/UCkZ8bTC_KDFuepdr6lz3Nog")</f>
        <v>https://www.youtube.com/channel/UCkZ8bTC_KDFuepdr6lz3Nog</v>
      </c>
      <c r="Q3278">
        <v>2</v>
      </c>
      <c r="R3278" t="s">
        <v>60</v>
      </c>
      <c r="W3278">
        <v>0</v>
      </c>
      <c r="X3278">
        <v>0</v>
      </c>
      <c r="AD3278">
        <v>0</v>
      </c>
      <c r="AE3278">
        <v>0</v>
      </c>
      <c r="AG3278">
        <v>1</v>
      </c>
      <c r="AI3278" t="s">
        <v>52</v>
      </c>
      <c r="AJ3278" t="s">
        <v>52</v>
      </c>
      <c r="AK3278" t="s">
        <v>52</v>
      </c>
      <c r="AL3278" t="str">
        <f>HYPERLINK("https://i.ytimg.com/vi/5DDuXr-Pnqg/sddefault.jpg")</f>
        <v>https://i.ytimg.com/vi/5DDuXr-Pnqg/sddefault.jpg</v>
      </c>
      <c r="AM3278" t="s">
        <v>52</v>
      </c>
      <c r="AN3278" t="s">
        <v>53</v>
      </c>
    </row>
    <row r="3279" spans="1:40">
      <c r="A3279" t="s">
        <v>8081</v>
      </c>
      <c r="B3279" t="s">
        <v>4824</v>
      </c>
      <c r="C3279" t="s">
        <v>10409</v>
      </c>
      <c r="D3279" t="s">
        <v>52</v>
      </c>
      <c r="E3279" t="s">
        <v>130</v>
      </c>
      <c r="F3279" t="s">
        <v>131</v>
      </c>
      <c r="G3279" t="str">
        <f>HYPERLINK("https://twitter.com/721777506/status/1142879443926552578")</f>
        <v>https://twitter.com/721777506/status/1142879443926552578</v>
      </c>
      <c r="H3279" t="s">
        <v>46</v>
      </c>
      <c r="I3279" t="s">
        <v>10410</v>
      </c>
      <c r="J3279" t="str">
        <f>HYPERLINK("http://twitter.com/LauraSwan8")</f>
        <v>http://twitter.com/LauraSwan8</v>
      </c>
      <c r="K3279">
        <v>603</v>
      </c>
      <c r="L3279" t="s">
        <v>58</v>
      </c>
      <c r="N3279" t="s">
        <v>65</v>
      </c>
      <c r="R3279" t="s">
        <v>60</v>
      </c>
      <c r="S3279" t="s">
        <v>97</v>
      </c>
      <c r="T3279" t="s">
        <v>177</v>
      </c>
      <c r="U3279" t="s">
        <v>9852</v>
      </c>
      <c r="W3279">
        <v>0</v>
      </c>
      <c r="X3279">
        <v>0</v>
      </c>
      <c r="AE3279">
        <v>0</v>
      </c>
      <c r="AI3279" t="s">
        <v>108</v>
      </c>
      <c r="AJ3279" t="s">
        <v>52</v>
      </c>
      <c r="AK3279" t="s">
        <v>52</v>
      </c>
      <c r="AL3279" t="str">
        <f>HYPERLINK("https://pbs.twimg.com/media/D9XTkLWW4AAOYnJ.jpg")</f>
        <v>https://pbs.twimg.com/media/D9XTkLWW4AAOYnJ.jpg</v>
      </c>
      <c r="AM3279" t="s">
        <v>52</v>
      </c>
      <c r="AN3279" t="s">
        <v>53</v>
      </c>
    </row>
    <row r="3280" spans="1:40">
      <c r="A3280" t="s">
        <v>8081</v>
      </c>
      <c r="B3280" t="s">
        <v>4843</v>
      </c>
      <c r="C3280" t="s">
        <v>10411</v>
      </c>
      <c r="D3280" t="s">
        <v>52</v>
      </c>
      <c r="E3280" t="s">
        <v>10412</v>
      </c>
      <c r="F3280" t="s">
        <v>45</v>
      </c>
      <c r="G3280" t="str">
        <f>HYPERLINK("https://twitter.com/122848011/status/1142878735139389440")</f>
        <v>https://twitter.com/122848011/status/1142878735139389440</v>
      </c>
      <c r="H3280" t="s">
        <v>46</v>
      </c>
      <c r="I3280" t="s">
        <v>10413</v>
      </c>
      <c r="J3280" t="str">
        <f>HYPERLINK("http://twitter.com/NSFWSuperman")</f>
        <v>http://twitter.com/NSFWSuperman</v>
      </c>
      <c r="K3280">
        <v>3565</v>
      </c>
      <c r="N3280" t="s">
        <v>65</v>
      </c>
      <c r="R3280" t="s">
        <v>60</v>
      </c>
      <c r="W3280">
        <v>0</v>
      </c>
      <c r="X3280">
        <v>0</v>
      </c>
      <c r="AE3280">
        <v>0</v>
      </c>
      <c r="AF3280">
        <v>0</v>
      </c>
      <c r="AM3280" t="s">
        <v>52</v>
      </c>
      <c r="AN3280" t="s">
        <v>53</v>
      </c>
    </row>
    <row r="3281" spans="1:40">
      <c r="A3281" t="s">
        <v>8081</v>
      </c>
      <c r="B3281" t="s">
        <v>4849</v>
      </c>
      <c r="C3281" t="s">
        <v>10414</v>
      </c>
      <c r="D3281" t="s">
        <v>52</v>
      </c>
      <c r="E3281" t="s">
        <v>10373</v>
      </c>
      <c r="F3281" t="s">
        <v>45</v>
      </c>
      <c r="G3281" t="str">
        <f>HYPERLINK("https://www.instagram.com/p/BzEGx3ODuGW")</f>
        <v>https://www.instagram.com/p/BzEGx3ODuGW</v>
      </c>
      <c r="H3281" t="s">
        <v>215</v>
      </c>
      <c r="I3281" t="s">
        <v>10374</v>
      </c>
      <c r="J3281" t="str">
        <f>HYPERLINK("http://instagram.com/amelia_jayne_k")</f>
        <v>http://instagram.com/amelia_jayne_k</v>
      </c>
      <c r="K3281">
        <v>431</v>
      </c>
      <c r="L3281" t="s">
        <v>58</v>
      </c>
      <c r="N3281" t="s">
        <v>59</v>
      </c>
      <c r="O3281" t="s">
        <v>10374</v>
      </c>
      <c r="P3281" t="str">
        <f>HYPERLINK("http://instagram.com/amelia_jayne_k")</f>
        <v>http://instagram.com/amelia_jayne_k</v>
      </c>
      <c r="Q3281">
        <v>431</v>
      </c>
      <c r="R3281" t="s">
        <v>60</v>
      </c>
      <c r="W3281">
        <v>0</v>
      </c>
      <c r="X3281">
        <v>0</v>
      </c>
      <c r="AE3281">
        <v>0</v>
      </c>
      <c r="AI3281" t="s">
        <v>52</v>
      </c>
      <c r="AJ3281" t="s">
        <v>52</v>
      </c>
      <c r="AK3281" t="s">
        <v>680</v>
      </c>
      <c r="AL3281" t="str">
        <f>HYPERLINK("https://www.instagram.com/p/BzEGx3ODuGW/media/?size=l")</f>
        <v>https://www.instagram.com/p/BzEGx3ODuGW/media/?size=l</v>
      </c>
      <c r="AM3281" t="s">
        <v>52</v>
      </c>
      <c r="AN3281" t="s">
        <v>53</v>
      </c>
    </row>
    <row r="3282" spans="1:40">
      <c r="A3282" t="s">
        <v>8081</v>
      </c>
      <c r="B3282" t="s">
        <v>10415</v>
      </c>
      <c r="C3282" t="s">
        <v>10416</v>
      </c>
      <c r="D3282" t="s">
        <v>52</v>
      </c>
      <c r="E3282" t="s">
        <v>10417</v>
      </c>
      <c r="F3282" t="s">
        <v>45</v>
      </c>
      <c r="G3282" t="str">
        <f>HYPERLINK("https://www.instagram.com/p/BzEGZq7hzmE")</f>
        <v>https://www.instagram.com/p/BzEGZq7hzmE</v>
      </c>
      <c r="H3282" t="s">
        <v>46</v>
      </c>
      <c r="I3282" t="s">
        <v>10418</v>
      </c>
      <c r="J3282" t="str">
        <f>HYPERLINK("http://instagram.com/beckygoodtimes")</f>
        <v>http://instagram.com/beckygoodtimes</v>
      </c>
      <c r="K3282">
        <v>337</v>
      </c>
      <c r="N3282" t="s">
        <v>59</v>
      </c>
      <c r="O3282" t="s">
        <v>10418</v>
      </c>
      <c r="P3282" t="str">
        <f>HYPERLINK("http://instagram.com/beckygoodtimes")</f>
        <v>http://instagram.com/beckygoodtimes</v>
      </c>
      <c r="Q3282">
        <v>337</v>
      </c>
      <c r="R3282" t="s">
        <v>60</v>
      </c>
      <c r="W3282">
        <v>30</v>
      </c>
      <c r="X3282">
        <v>30</v>
      </c>
      <c r="AE3282">
        <v>2</v>
      </c>
      <c r="AG3282">
        <v>144</v>
      </c>
      <c r="AI3282" t="s">
        <v>52</v>
      </c>
      <c r="AJ3282" t="s">
        <v>10419</v>
      </c>
      <c r="AK3282" t="s">
        <v>52</v>
      </c>
      <c r="AL3282" t="str">
        <f>HYPERLINK("https://www.instagram.com/p/BzEGZq7hzmE/media/?size=l")</f>
        <v>https://www.instagram.com/p/BzEGZq7hzmE/media/?size=l</v>
      </c>
      <c r="AM3282" t="s">
        <v>52</v>
      </c>
      <c r="AN3282" t="s">
        <v>53</v>
      </c>
    </row>
    <row r="3283" spans="1:40">
      <c r="A3283" t="s">
        <v>8081</v>
      </c>
      <c r="B3283" t="s">
        <v>4858</v>
      </c>
      <c r="C3283" t="s">
        <v>10409</v>
      </c>
      <c r="D3283" t="s">
        <v>52</v>
      </c>
      <c r="E3283" t="s">
        <v>10420</v>
      </c>
      <c r="F3283" t="s">
        <v>71</v>
      </c>
      <c r="G3283" t="str">
        <f>HYPERLINK("https://twitter.com/1126468062/status/1142877536331935744")</f>
        <v>https://twitter.com/1126468062/status/1142877536331935744</v>
      </c>
      <c r="H3283" t="s">
        <v>46</v>
      </c>
      <c r="I3283" t="s">
        <v>10421</v>
      </c>
      <c r="J3283" t="str">
        <f>HYPERLINK("http://twitter.com/CashHead_ATM")</f>
        <v>http://twitter.com/CashHead_ATM</v>
      </c>
      <c r="K3283">
        <v>2283</v>
      </c>
      <c r="N3283" t="s">
        <v>65</v>
      </c>
      <c r="R3283" t="s">
        <v>60</v>
      </c>
      <c r="W3283">
        <v>0</v>
      </c>
      <c r="X3283">
        <v>0</v>
      </c>
      <c r="AE3283">
        <v>0</v>
      </c>
      <c r="AF3283">
        <v>0</v>
      </c>
      <c r="AM3283" t="s">
        <v>52</v>
      </c>
      <c r="AN3283" t="s">
        <v>53</v>
      </c>
    </row>
    <row r="3284" spans="1:40">
      <c r="A3284" t="s">
        <v>8081</v>
      </c>
      <c r="B3284" t="s">
        <v>4866</v>
      </c>
      <c r="C3284" t="s">
        <v>10422</v>
      </c>
      <c r="D3284" t="s">
        <v>52</v>
      </c>
      <c r="E3284" t="s">
        <v>10423</v>
      </c>
      <c r="F3284" t="s">
        <v>71</v>
      </c>
      <c r="G3284" t="str">
        <f>HYPERLINK("https://twitter.com/938170317901574144/status/1142877385093734401")</f>
        <v>https://twitter.com/938170317901574144/status/1142877385093734401</v>
      </c>
      <c r="H3284" t="s">
        <v>46</v>
      </c>
      <c r="I3284" t="s">
        <v>10424</v>
      </c>
      <c r="J3284" t="str">
        <f>HYPERLINK("http://twitter.com/wdwtutton")</f>
        <v>http://twitter.com/wdwtutton</v>
      </c>
      <c r="K3284">
        <v>1171</v>
      </c>
      <c r="L3284" t="s">
        <v>58</v>
      </c>
      <c r="N3284" t="s">
        <v>65</v>
      </c>
      <c r="R3284" t="s">
        <v>60</v>
      </c>
      <c r="S3284" t="s">
        <v>51</v>
      </c>
      <c r="T3284" t="s">
        <v>678</v>
      </c>
      <c r="W3284">
        <v>0</v>
      </c>
      <c r="X3284">
        <v>0</v>
      </c>
      <c r="AE3284">
        <v>0</v>
      </c>
      <c r="AF3284">
        <v>0</v>
      </c>
      <c r="AI3284" t="s">
        <v>108</v>
      </c>
      <c r="AJ3284" t="s">
        <v>52</v>
      </c>
      <c r="AK3284" t="s">
        <v>52</v>
      </c>
      <c r="AL3284" t="str">
        <f>HYPERLINK("https://pbs.twimg.com/tweet_video_thumb/D9hvNNzXUAATAS3.jpg")</f>
        <v>https://pbs.twimg.com/tweet_video_thumb/D9hvNNzXUAATAS3.jpg</v>
      </c>
      <c r="AM3284" t="s">
        <v>52</v>
      </c>
      <c r="AN3284" t="s">
        <v>53</v>
      </c>
    </row>
    <row r="3285" spans="1:40">
      <c r="A3285" t="s">
        <v>8081</v>
      </c>
      <c r="B3285" t="s">
        <v>4866</v>
      </c>
      <c r="C3285" t="s">
        <v>10402</v>
      </c>
      <c r="D3285" t="s">
        <v>52</v>
      </c>
      <c r="E3285" t="s">
        <v>3749</v>
      </c>
      <c r="F3285" t="s">
        <v>71</v>
      </c>
      <c r="G3285" t="str">
        <f>HYPERLINK("https://twitter.com/2845290388/status/1142877314461655043")</f>
        <v>https://twitter.com/2845290388/status/1142877314461655043</v>
      </c>
      <c r="H3285" t="s">
        <v>46</v>
      </c>
      <c r="I3285" t="s">
        <v>10425</v>
      </c>
      <c r="J3285" t="str">
        <f>HYPERLINK("http://twitter.com/Deepkid_ZA")</f>
        <v>http://twitter.com/Deepkid_ZA</v>
      </c>
      <c r="K3285">
        <v>3922</v>
      </c>
      <c r="N3285" t="s">
        <v>65</v>
      </c>
      <c r="R3285" t="s">
        <v>60</v>
      </c>
      <c r="S3285" t="s">
        <v>1071</v>
      </c>
      <c r="T3285" t="s">
        <v>1072</v>
      </c>
      <c r="U3285" t="s">
        <v>1073</v>
      </c>
      <c r="W3285">
        <v>0</v>
      </c>
      <c r="X3285">
        <v>0</v>
      </c>
      <c r="AE3285">
        <v>0</v>
      </c>
      <c r="AF3285">
        <v>0</v>
      </c>
      <c r="AI3285" t="s">
        <v>108</v>
      </c>
      <c r="AJ3285" t="s">
        <v>52</v>
      </c>
      <c r="AK3285" t="s">
        <v>52</v>
      </c>
      <c r="AL3285" t="str">
        <f>HYPERLINK("https://pbs.twimg.com/media/D9sAXHUX4AA6vJs.jpg")</f>
        <v>https://pbs.twimg.com/media/D9sAXHUX4AA6vJs.jpg</v>
      </c>
      <c r="AM3285" t="s">
        <v>52</v>
      </c>
      <c r="AN3285" t="s">
        <v>53</v>
      </c>
    </row>
    <row r="3286" spans="1:40">
      <c r="A3286" t="s">
        <v>8081</v>
      </c>
      <c r="B3286" t="s">
        <v>4866</v>
      </c>
      <c r="C3286" t="s">
        <v>8025</v>
      </c>
      <c r="D3286" t="s">
        <v>52</v>
      </c>
      <c r="E3286" t="s">
        <v>10426</v>
      </c>
      <c r="F3286" t="s">
        <v>45</v>
      </c>
      <c r="G3286" t="str">
        <f>HYPERLINK("https://www.instagram.com/p/BzEGS3wnd0N")</f>
        <v>https://www.instagram.com/p/BzEGS3wnd0N</v>
      </c>
      <c r="H3286" t="s">
        <v>46</v>
      </c>
      <c r="I3286" t="s">
        <v>10427</v>
      </c>
      <c r="J3286" t="str">
        <f>HYPERLINK("http://instagram.com/pinkcatalogue9")</f>
        <v>http://instagram.com/pinkcatalogue9</v>
      </c>
      <c r="K3286">
        <v>24</v>
      </c>
      <c r="N3286" t="s">
        <v>59</v>
      </c>
      <c r="O3286" t="s">
        <v>10427</v>
      </c>
      <c r="P3286" t="str">
        <f>HYPERLINK("http://instagram.com/pinkcatalogue9")</f>
        <v>http://instagram.com/pinkcatalogue9</v>
      </c>
      <c r="Q3286">
        <v>24</v>
      </c>
      <c r="R3286" t="s">
        <v>60</v>
      </c>
      <c r="W3286">
        <v>5</v>
      </c>
      <c r="X3286">
        <v>5</v>
      </c>
      <c r="AE3286">
        <v>0</v>
      </c>
      <c r="AI3286" t="s">
        <v>10428</v>
      </c>
      <c r="AJ3286" t="s">
        <v>52</v>
      </c>
      <c r="AK3286" t="s">
        <v>52</v>
      </c>
      <c r="AL3286" t="str">
        <f>HYPERLINK("https://www.instagram.com/p/BzEGS3wnd0N/media/?size=l")</f>
        <v>https://www.instagram.com/p/BzEGS3wnd0N/media/?size=l</v>
      </c>
      <c r="AM3286" t="s">
        <v>52</v>
      </c>
      <c r="AN3286" t="s">
        <v>53</v>
      </c>
    </row>
    <row r="3287" spans="1:40">
      <c r="A3287" t="s">
        <v>8081</v>
      </c>
      <c r="B3287" t="s">
        <v>4866</v>
      </c>
      <c r="C3287" t="s">
        <v>10429</v>
      </c>
      <c r="D3287" t="s">
        <v>52</v>
      </c>
      <c r="E3287" t="s">
        <v>5927</v>
      </c>
      <c r="F3287" t="s">
        <v>131</v>
      </c>
      <c r="G3287" t="str">
        <f>HYPERLINK("https://twitter.com/2457275508/status/1142877265379778561")</f>
        <v>https://twitter.com/2457275508/status/1142877265379778561</v>
      </c>
      <c r="H3287" t="s">
        <v>46</v>
      </c>
      <c r="I3287" t="s">
        <v>10430</v>
      </c>
      <c r="J3287" t="str">
        <f>HYPERLINK("http://twitter.com/micahiscool12")</f>
        <v>http://twitter.com/micahiscool12</v>
      </c>
      <c r="K3287">
        <v>189</v>
      </c>
      <c r="N3287" t="s">
        <v>65</v>
      </c>
      <c r="R3287" t="s">
        <v>60</v>
      </c>
      <c r="S3287" t="s">
        <v>51</v>
      </c>
      <c r="T3287" t="s">
        <v>4405</v>
      </c>
      <c r="U3287" t="s">
        <v>10431</v>
      </c>
      <c r="W3287">
        <v>0</v>
      </c>
      <c r="X3287">
        <v>0</v>
      </c>
      <c r="AE3287">
        <v>0</v>
      </c>
      <c r="AM3287" t="s">
        <v>52</v>
      </c>
      <c r="AN3287" t="s">
        <v>53</v>
      </c>
    </row>
    <row r="3288" spans="1:40">
      <c r="A3288" t="s">
        <v>8081</v>
      </c>
      <c r="B3288" t="s">
        <v>4869</v>
      </c>
      <c r="C3288" t="s">
        <v>10411</v>
      </c>
      <c r="D3288" t="s">
        <v>52</v>
      </c>
      <c r="E3288" t="s">
        <v>10432</v>
      </c>
      <c r="F3288" t="s">
        <v>95</v>
      </c>
      <c r="G3288" t="str">
        <f>HYPERLINK("https://twitter.com/1095085639631032321/status/1142877178151022592")</f>
        <v>https://twitter.com/1095085639631032321/status/1142877178151022592</v>
      </c>
      <c r="H3288" t="s">
        <v>46</v>
      </c>
      <c r="I3288" t="s">
        <v>10433</v>
      </c>
      <c r="J3288" t="str">
        <f>HYPERLINK("http://twitter.com/Rosewater239")</f>
        <v>http://twitter.com/Rosewater239</v>
      </c>
      <c r="K3288">
        <v>3</v>
      </c>
      <c r="N3288" t="s">
        <v>65</v>
      </c>
      <c r="R3288" t="s">
        <v>60</v>
      </c>
      <c r="W3288">
        <v>0</v>
      </c>
      <c r="X3288">
        <v>0</v>
      </c>
      <c r="AE3288">
        <v>0</v>
      </c>
      <c r="AF3288">
        <v>0</v>
      </c>
      <c r="AM3288" t="s">
        <v>52</v>
      </c>
      <c r="AN3288" t="s">
        <v>53</v>
      </c>
    </row>
    <row r="3289" spans="1:40">
      <c r="A3289" t="s">
        <v>8081</v>
      </c>
      <c r="B3289" t="s">
        <v>4869</v>
      </c>
      <c r="C3289" t="s">
        <v>10414</v>
      </c>
      <c r="D3289" t="s">
        <v>52</v>
      </c>
      <c r="E3289" t="s">
        <v>10434</v>
      </c>
      <c r="F3289" t="s">
        <v>45</v>
      </c>
      <c r="G3289" t="str">
        <f>HYPERLINK("https://twitter.com/286000450/status/1142877155229126656")</f>
        <v>https://twitter.com/286000450/status/1142877155229126656</v>
      </c>
      <c r="H3289" t="s">
        <v>46</v>
      </c>
      <c r="I3289" t="s">
        <v>10435</v>
      </c>
      <c r="J3289" t="str">
        <f>HYPERLINK("http://twitter.com/Pameinigo")</f>
        <v>http://twitter.com/Pameinigo</v>
      </c>
      <c r="K3289">
        <v>973</v>
      </c>
      <c r="N3289" t="s">
        <v>65</v>
      </c>
      <c r="R3289" t="s">
        <v>60</v>
      </c>
      <c r="W3289">
        <v>4</v>
      </c>
      <c r="X3289">
        <v>4</v>
      </c>
      <c r="AE3289">
        <v>1</v>
      </c>
      <c r="AF3289">
        <v>2</v>
      </c>
      <c r="AM3289" t="s">
        <v>52</v>
      </c>
      <c r="AN3289" t="s">
        <v>53</v>
      </c>
    </row>
    <row r="3290" spans="1:40">
      <c r="A3290" t="s">
        <v>8081</v>
      </c>
      <c r="B3290" t="s">
        <v>4869</v>
      </c>
      <c r="C3290" t="s">
        <v>10414</v>
      </c>
      <c r="D3290" t="s">
        <v>52</v>
      </c>
      <c r="E3290" t="s">
        <v>4803</v>
      </c>
      <c r="F3290" t="s">
        <v>45</v>
      </c>
      <c r="G3290" t="str">
        <f>HYPERLINK("https://twitter.com/1030453275420778496/status/1142877152158867456")</f>
        <v>https://twitter.com/1030453275420778496/status/1142877152158867456</v>
      </c>
      <c r="H3290" t="s">
        <v>46</v>
      </c>
      <c r="I3290" t="s">
        <v>9494</v>
      </c>
      <c r="J3290" t="str">
        <f>HYPERLINK("http://twitter.com/Beluhermann9")</f>
        <v>http://twitter.com/Beluhermann9</v>
      </c>
      <c r="K3290">
        <v>129</v>
      </c>
      <c r="N3290" t="s">
        <v>65</v>
      </c>
      <c r="R3290" t="s">
        <v>60</v>
      </c>
      <c r="S3290" t="s">
        <v>701</v>
      </c>
      <c r="T3290" t="s">
        <v>2528</v>
      </c>
      <c r="U3290" t="s">
        <v>2816</v>
      </c>
      <c r="W3290">
        <v>1</v>
      </c>
      <c r="X3290">
        <v>1</v>
      </c>
      <c r="AE3290">
        <v>0</v>
      </c>
      <c r="AF3290">
        <v>0</v>
      </c>
      <c r="AM3290" t="s">
        <v>52</v>
      </c>
      <c r="AN3290" t="s">
        <v>53</v>
      </c>
    </row>
    <row r="3291" spans="1:40">
      <c r="A3291" t="s">
        <v>8081</v>
      </c>
      <c r="B3291" t="s">
        <v>4869</v>
      </c>
      <c r="C3291" t="s">
        <v>10416</v>
      </c>
      <c r="D3291" t="s">
        <v>52</v>
      </c>
      <c r="E3291" t="s">
        <v>10436</v>
      </c>
      <c r="F3291" t="s">
        <v>45</v>
      </c>
      <c r="G3291" t="str">
        <f>HYPERLINK("https://twitter.com/1126468062/status/1142877123339857925")</f>
        <v>https://twitter.com/1126468062/status/1142877123339857925</v>
      </c>
      <c r="H3291" t="s">
        <v>46</v>
      </c>
      <c r="I3291" t="s">
        <v>10421</v>
      </c>
      <c r="J3291" t="str">
        <f>HYPERLINK("http://twitter.com/CashHead_ATM")</f>
        <v>http://twitter.com/CashHead_ATM</v>
      </c>
      <c r="K3291">
        <v>2283</v>
      </c>
      <c r="N3291" t="s">
        <v>65</v>
      </c>
      <c r="R3291" t="s">
        <v>60</v>
      </c>
      <c r="W3291">
        <v>0</v>
      </c>
      <c r="X3291">
        <v>0</v>
      </c>
      <c r="AE3291">
        <v>0</v>
      </c>
      <c r="AF3291">
        <v>0</v>
      </c>
      <c r="AM3291" t="s">
        <v>52</v>
      </c>
      <c r="AN3291" t="s">
        <v>53</v>
      </c>
    </row>
    <row r="3292" spans="1:40">
      <c r="A3292" t="s">
        <v>8081</v>
      </c>
      <c r="B3292" t="s">
        <v>4869</v>
      </c>
      <c r="C3292" t="s">
        <v>10437</v>
      </c>
      <c r="D3292" t="s">
        <v>52</v>
      </c>
      <c r="E3292" t="s">
        <v>5927</v>
      </c>
      <c r="F3292" t="s">
        <v>131</v>
      </c>
      <c r="G3292" t="str">
        <f>HYPERLINK("https://twitter.com/702662412/status/1142877074115481601")</f>
        <v>https://twitter.com/702662412/status/1142877074115481601</v>
      </c>
      <c r="H3292" t="s">
        <v>46</v>
      </c>
      <c r="I3292" t="s">
        <v>10438</v>
      </c>
      <c r="J3292" t="str">
        <f>HYPERLINK("http://twitter.com/bedheadredheaad")</f>
        <v>http://twitter.com/bedheadredheaad</v>
      </c>
      <c r="K3292">
        <v>295</v>
      </c>
      <c r="N3292" t="s">
        <v>65</v>
      </c>
      <c r="R3292" t="s">
        <v>60</v>
      </c>
      <c r="W3292">
        <v>0</v>
      </c>
      <c r="X3292">
        <v>0</v>
      </c>
      <c r="AE3292">
        <v>0</v>
      </c>
      <c r="AM3292" t="s">
        <v>52</v>
      </c>
      <c r="AN3292" t="s">
        <v>53</v>
      </c>
    </row>
    <row r="3293" spans="1:40">
      <c r="A3293" t="s">
        <v>8081</v>
      </c>
      <c r="B3293" t="s">
        <v>4872</v>
      </c>
      <c r="C3293" t="s">
        <v>10439</v>
      </c>
      <c r="D3293" t="s">
        <v>52</v>
      </c>
      <c r="E3293" t="s">
        <v>10440</v>
      </c>
      <c r="F3293" t="s">
        <v>71</v>
      </c>
      <c r="G3293" t="str">
        <f>HYPERLINK("https://twitter.com/477194519/status/1142876966657372162")</f>
        <v>https://twitter.com/477194519/status/1142876966657372162</v>
      </c>
      <c r="H3293" t="s">
        <v>46</v>
      </c>
      <c r="I3293" t="s">
        <v>10441</v>
      </c>
      <c r="J3293" t="str">
        <f>HYPERLINK("http://twitter.com/dalrianamikell")</f>
        <v>http://twitter.com/dalrianamikell</v>
      </c>
      <c r="K3293">
        <v>2536</v>
      </c>
      <c r="N3293" t="s">
        <v>65</v>
      </c>
      <c r="R3293" t="s">
        <v>60</v>
      </c>
      <c r="S3293" t="s">
        <v>51</v>
      </c>
      <c r="T3293" t="s">
        <v>756</v>
      </c>
      <c r="U3293" t="s">
        <v>10442</v>
      </c>
      <c r="W3293">
        <v>0</v>
      </c>
      <c r="X3293">
        <v>0</v>
      </c>
      <c r="AE3293">
        <v>0</v>
      </c>
      <c r="AF3293">
        <v>0</v>
      </c>
      <c r="AM3293" t="s">
        <v>52</v>
      </c>
      <c r="AN3293" t="s">
        <v>53</v>
      </c>
    </row>
    <row r="3294" spans="1:40">
      <c r="A3294" t="s">
        <v>8081</v>
      </c>
      <c r="B3294" t="s">
        <v>4872</v>
      </c>
      <c r="C3294" t="s">
        <v>7939</v>
      </c>
      <c r="D3294" t="s">
        <v>52</v>
      </c>
      <c r="E3294" t="s">
        <v>10443</v>
      </c>
      <c r="F3294" t="s">
        <v>45</v>
      </c>
      <c r="G3294" t="str">
        <f>HYPERLINK("https://www.instagram.com/p/BzEGIyAh4SZ")</f>
        <v>https://www.instagram.com/p/BzEGIyAh4SZ</v>
      </c>
      <c r="H3294" t="s">
        <v>46</v>
      </c>
      <c r="I3294" t="s">
        <v>10444</v>
      </c>
      <c r="J3294" t="str">
        <f>HYPERLINK("http://instagram.com/author_marc_zappulla")</f>
        <v>http://instagram.com/author_marc_zappulla</v>
      </c>
      <c r="K3294">
        <v>1307</v>
      </c>
      <c r="L3294" t="s">
        <v>48</v>
      </c>
      <c r="N3294" t="s">
        <v>59</v>
      </c>
      <c r="O3294" t="s">
        <v>10444</v>
      </c>
      <c r="P3294" t="str">
        <f>HYPERLINK("http://instagram.com/author_marc_zappulla")</f>
        <v>http://instagram.com/author_marc_zappulla</v>
      </c>
      <c r="Q3294">
        <v>1307</v>
      </c>
      <c r="R3294" t="s">
        <v>60</v>
      </c>
      <c r="W3294">
        <v>39</v>
      </c>
      <c r="X3294">
        <v>39</v>
      </c>
      <c r="AE3294">
        <v>15</v>
      </c>
      <c r="AI3294" t="s">
        <v>108</v>
      </c>
      <c r="AJ3294" t="s">
        <v>9046</v>
      </c>
      <c r="AK3294" t="s">
        <v>52</v>
      </c>
      <c r="AL3294" t="str">
        <f>HYPERLINK("https://www.instagram.com/p/BzEGIyAh4SZ/media/?size=l")</f>
        <v>https://www.instagram.com/p/BzEGIyAh4SZ/media/?size=l</v>
      </c>
      <c r="AM3294" t="s">
        <v>52</v>
      </c>
      <c r="AN3294" t="s">
        <v>53</v>
      </c>
    </row>
    <row r="3295" spans="1:40">
      <c r="A3295" t="s">
        <v>8081</v>
      </c>
      <c r="B3295" t="s">
        <v>4872</v>
      </c>
      <c r="C3295" t="s">
        <v>10445</v>
      </c>
      <c r="D3295" t="s">
        <v>52</v>
      </c>
      <c r="E3295" t="s">
        <v>3749</v>
      </c>
      <c r="F3295" t="s">
        <v>71</v>
      </c>
      <c r="G3295" t="str">
        <f>HYPERLINK("https://twitter.com/2664509253/status/1142876958839255040")</f>
        <v>https://twitter.com/2664509253/status/1142876958839255040</v>
      </c>
      <c r="H3295" t="s">
        <v>46</v>
      </c>
      <c r="I3295" t="s">
        <v>10446</v>
      </c>
      <c r="J3295" t="str">
        <f>HYPERLINK("http://twitter.com/faithlynnabdol")</f>
        <v>http://twitter.com/faithlynnabdol</v>
      </c>
      <c r="K3295">
        <v>512</v>
      </c>
      <c r="N3295" t="s">
        <v>65</v>
      </c>
      <c r="R3295" t="s">
        <v>60</v>
      </c>
      <c r="S3295" t="s">
        <v>10447</v>
      </c>
      <c r="W3295">
        <v>0</v>
      </c>
      <c r="X3295">
        <v>0</v>
      </c>
      <c r="AE3295">
        <v>0</v>
      </c>
      <c r="AF3295">
        <v>0</v>
      </c>
      <c r="AI3295" t="s">
        <v>108</v>
      </c>
      <c r="AJ3295" t="s">
        <v>52</v>
      </c>
      <c r="AK3295" t="s">
        <v>52</v>
      </c>
      <c r="AL3295" t="str">
        <f>HYPERLINK("https://pbs.twimg.com/media/D9sAXHUX4AA6vJs.jpg")</f>
        <v>https://pbs.twimg.com/media/D9sAXHUX4AA6vJs.jpg</v>
      </c>
      <c r="AM3295" t="s">
        <v>52</v>
      </c>
      <c r="AN3295" t="s">
        <v>53</v>
      </c>
    </row>
    <row r="3296" spans="1:40">
      <c r="A3296" t="s">
        <v>8081</v>
      </c>
      <c r="B3296" t="s">
        <v>4881</v>
      </c>
      <c r="C3296" t="s">
        <v>10405</v>
      </c>
      <c r="D3296" t="s">
        <v>52</v>
      </c>
      <c r="E3296" t="s">
        <v>10448</v>
      </c>
      <c r="F3296" t="s">
        <v>45</v>
      </c>
      <c r="G3296" t="str">
        <f>HYPERLINK("https://www.instagram.com/p/BzEF96fHVnh")</f>
        <v>https://www.instagram.com/p/BzEF96fHVnh</v>
      </c>
      <c r="H3296" t="s">
        <v>46</v>
      </c>
      <c r="I3296" t="s">
        <v>52</v>
      </c>
      <c r="J3296" t="str">
        <f>HYPERLINK("http://instagram.com/vecchiato7")</f>
        <v>http://instagram.com/vecchiato7</v>
      </c>
      <c r="K3296">
        <v>1103</v>
      </c>
      <c r="N3296" t="s">
        <v>59</v>
      </c>
      <c r="O3296" t="s">
        <v>52</v>
      </c>
      <c r="P3296" t="str">
        <f>HYPERLINK("http://instagram.com/vecchiato7")</f>
        <v>http://instagram.com/vecchiato7</v>
      </c>
      <c r="Q3296">
        <v>1103</v>
      </c>
      <c r="R3296" t="s">
        <v>60</v>
      </c>
      <c r="S3296" t="s">
        <v>432</v>
      </c>
      <c r="T3296" t="s">
        <v>433</v>
      </c>
      <c r="W3296">
        <v>33</v>
      </c>
      <c r="X3296">
        <v>33</v>
      </c>
      <c r="AE3296">
        <v>7</v>
      </c>
      <c r="AI3296" t="s">
        <v>108</v>
      </c>
      <c r="AJ3296" t="s">
        <v>10449</v>
      </c>
      <c r="AK3296" t="s">
        <v>10450</v>
      </c>
      <c r="AL3296" t="str">
        <f>HYPERLINK("https://www.instagram.com/p/BzEF96fHVnh/media/?size=l")</f>
        <v>https://www.instagram.com/p/BzEF96fHVnh/media/?size=l</v>
      </c>
      <c r="AM3296" t="s">
        <v>52</v>
      </c>
      <c r="AN3296" t="s">
        <v>53</v>
      </c>
    </row>
    <row r="3297" spans="1:40">
      <c r="A3297" t="s">
        <v>8081</v>
      </c>
      <c r="B3297" t="s">
        <v>4888</v>
      </c>
      <c r="C3297" t="s">
        <v>10451</v>
      </c>
      <c r="D3297" t="s">
        <v>52</v>
      </c>
      <c r="E3297" t="s">
        <v>10452</v>
      </c>
      <c r="F3297" t="s">
        <v>45</v>
      </c>
      <c r="G3297" t="str">
        <f>HYPERLINK("https://www.instagram.com/p/BzEFs8Ng7Db")</f>
        <v>https://www.instagram.com/p/BzEFs8Ng7Db</v>
      </c>
      <c r="H3297" t="s">
        <v>46</v>
      </c>
      <c r="I3297" t="s">
        <v>10453</v>
      </c>
      <c r="J3297" t="str">
        <f>HYPERLINK("http://instagram.com/tatilima3")</f>
        <v>http://instagram.com/tatilima3</v>
      </c>
      <c r="K3297">
        <v>373</v>
      </c>
      <c r="L3297" t="s">
        <v>58</v>
      </c>
      <c r="N3297" t="s">
        <v>59</v>
      </c>
      <c r="O3297" t="s">
        <v>10453</v>
      </c>
      <c r="P3297" t="str">
        <f>HYPERLINK("http://instagram.com/tatilima3")</f>
        <v>http://instagram.com/tatilima3</v>
      </c>
      <c r="Q3297">
        <v>373</v>
      </c>
      <c r="R3297" t="s">
        <v>60</v>
      </c>
      <c r="S3297" t="s">
        <v>432</v>
      </c>
      <c r="T3297" t="s">
        <v>433</v>
      </c>
      <c r="W3297">
        <v>40</v>
      </c>
      <c r="X3297">
        <v>40</v>
      </c>
      <c r="AE3297">
        <v>0</v>
      </c>
      <c r="AI3297" t="s">
        <v>108</v>
      </c>
      <c r="AJ3297" t="s">
        <v>2277</v>
      </c>
      <c r="AK3297" t="s">
        <v>52</v>
      </c>
      <c r="AL3297" t="str">
        <f>HYPERLINK("https://www.instagram.com/p/BzEFs8Ng7Db/media/?size=l")</f>
        <v>https://www.instagram.com/p/BzEFs8Ng7Db/media/?size=l</v>
      </c>
      <c r="AM3297" t="s">
        <v>52</v>
      </c>
      <c r="AN3297" t="s">
        <v>53</v>
      </c>
    </row>
    <row r="3298" spans="1:40">
      <c r="A3298" t="s">
        <v>8081</v>
      </c>
      <c r="B3298" t="s">
        <v>10454</v>
      </c>
      <c r="C3298" t="s">
        <v>10439</v>
      </c>
      <c r="D3298" t="s">
        <v>52</v>
      </c>
      <c r="E3298" t="s">
        <v>10455</v>
      </c>
      <c r="F3298" t="s">
        <v>71</v>
      </c>
      <c r="G3298" t="str">
        <f>HYPERLINK("https://twitter.com/945922386830024704/status/1142875922162434050")</f>
        <v>https://twitter.com/945922386830024704/status/1142875922162434050</v>
      </c>
      <c r="H3298" t="s">
        <v>46</v>
      </c>
      <c r="I3298" t="s">
        <v>10456</v>
      </c>
      <c r="J3298" t="str">
        <f>HYPERLINK("http://twitter.com/iamrreyannas")</f>
        <v>http://twitter.com/iamrreyannas</v>
      </c>
      <c r="K3298">
        <v>854</v>
      </c>
      <c r="N3298" t="s">
        <v>65</v>
      </c>
      <c r="R3298" t="s">
        <v>60</v>
      </c>
      <c r="W3298">
        <v>0</v>
      </c>
      <c r="X3298">
        <v>0</v>
      </c>
      <c r="AE3298">
        <v>0</v>
      </c>
      <c r="AF3298">
        <v>0</v>
      </c>
      <c r="AM3298" t="s">
        <v>52</v>
      </c>
      <c r="AN3298" t="s">
        <v>53</v>
      </c>
    </row>
    <row r="3299" spans="1:40">
      <c r="A3299" t="s">
        <v>8081</v>
      </c>
      <c r="B3299" t="s">
        <v>10454</v>
      </c>
      <c r="C3299" t="s">
        <v>10457</v>
      </c>
      <c r="D3299" t="s">
        <v>52</v>
      </c>
      <c r="E3299" t="s">
        <v>10458</v>
      </c>
      <c r="F3299" t="s">
        <v>95</v>
      </c>
      <c r="G3299" t="str">
        <f>HYPERLINK("https://twitter.com/982734473509957633/status/1142875878306852869")</f>
        <v>https://twitter.com/982734473509957633/status/1142875878306852869</v>
      </c>
      <c r="H3299" t="s">
        <v>46</v>
      </c>
      <c r="I3299" t="s">
        <v>10459</v>
      </c>
      <c r="J3299" t="str">
        <f>HYPERLINK("http://twitter.com/TurjanR")</f>
        <v>http://twitter.com/TurjanR</v>
      </c>
      <c r="K3299">
        <v>8</v>
      </c>
      <c r="N3299" t="s">
        <v>65</v>
      </c>
      <c r="R3299" t="s">
        <v>60</v>
      </c>
      <c r="W3299">
        <v>7</v>
      </c>
      <c r="X3299">
        <v>7</v>
      </c>
      <c r="AE3299">
        <v>2</v>
      </c>
      <c r="AF3299">
        <v>0</v>
      </c>
      <c r="AM3299" t="s">
        <v>52</v>
      </c>
      <c r="AN3299" t="s">
        <v>53</v>
      </c>
    </row>
    <row r="3300" spans="1:40">
      <c r="A3300" t="s">
        <v>8081</v>
      </c>
      <c r="B3300" t="s">
        <v>10454</v>
      </c>
      <c r="C3300" t="s">
        <v>10457</v>
      </c>
      <c r="D3300" t="s">
        <v>52</v>
      </c>
      <c r="E3300" t="s">
        <v>5927</v>
      </c>
      <c r="F3300" t="s">
        <v>131</v>
      </c>
      <c r="G3300" t="str">
        <f>HYPERLINK("https://twitter.com/1075478936/status/1142875804910673933")</f>
        <v>https://twitter.com/1075478936/status/1142875804910673933</v>
      </c>
      <c r="H3300" t="s">
        <v>46</v>
      </c>
      <c r="I3300" t="s">
        <v>10460</v>
      </c>
      <c r="J3300" t="str">
        <f>HYPERLINK("http://twitter.com/kirakuinbaitsad")</f>
        <v>http://twitter.com/kirakuinbaitsad</v>
      </c>
      <c r="K3300">
        <v>91</v>
      </c>
      <c r="L3300" t="s">
        <v>48</v>
      </c>
      <c r="N3300" t="s">
        <v>65</v>
      </c>
      <c r="R3300" t="s">
        <v>60</v>
      </c>
      <c r="W3300">
        <v>0</v>
      </c>
      <c r="X3300">
        <v>0</v>
      </c>
      <c r="AE3300">
        <v>0</v>
      </c>
      <c r="AM3300" t="s">
        <v>52</v>
      </c>
      <c r="AN3300" t="s">
        <v>53</v>
      </c>
    </row>
    <row r="3301" spans="1:40">
      <c r="A3301" t="s">
        <v>8081</v>
      </c>
      <c r="B3301" t="s">
        <v>4899</v>
      </c>
      <c r="C3301" t="s">
        <v>10461</v>
      </c>
      <c r="D3301" t="s">
        <v>52</v>
      </c>
      <c r="E3301" t="s">
        <v>10462</v>
      </c>
      <c r="F3301" t="s">
        <v>71</v>
      </c>
      <c r="G3301" t="str">
        <f>HYPERLINK("https://twitter.com/3459572535/status/1142875497027780608")</f>
        <v>https://twitter.com/3459572535/status/1142875497027780608</v>
      </c>
      <c r="H3301" t="s">
        <v>46</v>
      </c>
      <c r="I3301" t="s">
        <v>10463</v>
      </c>
      <c r="J3301" t="str">
        <f>HYPERLINK("http://twitter.com/Apz_Ngwenya")</f>
        <v>http://twitter.com/Apz_Ngwenya</v>
      </c>
      <c r="K3301">
        <v>622</v>
      </c>
      <c r="N3301" t="s">
        <v>65</v>
      </c>
      <c r="R3301" t="s">
        <v>60</v>
      </c>
      <c r="S3301" t="s">
        <v>1071</v>
      </c>
      <c r="T3301" t="s">
        <v>5506</v>
      </c>
      <c r="U3301" t="s">
        <v>10464</v>
      </c>
      <c r="W3301">
        <v>1</v>
      </c>
      <c r="X3301">
        <v>1</v>
      </c>
      <c r="AE3301">
        <v>0</v>
      </c>
      <c r="AF3301">
        <v>0</v>
      </c>
      <c r="AM3301" t="s">
        <v>52</v>
      </c>
      <c r="AN3301" t="s">
        <v>53</v>
      </c>
    </row>
    <row r="3302" spans="1:40">
      <c r="A3302" t="s">
        <v>8081</v>
      </c>
      <c r="B3302" t="s">
        <v>4903</v>
      </c>
      <c r="C3302" t="s">
        <v>10465</v>
      </c>
      <c r="D3302" t="s">
        <v>52</v>
      </c>
      <c r="E3302" t="s">
        <v>10466</v>
      </c>
      <c r="F3302" t="s">
        <v>95</v>
      </c>
      <c r="G3302" t="str">
        <f>HYPERLINK("https://twitter.com/384114194/status/1142875310439796736")</f>
        <v>https://twitter.com/384114194/status/1142875310439796736</v>
      </c>
      <c r="H3302" t="s">
        <v>215</v>
      </c>
      <c r="I3302" t="s">
        <v>10467</v>
      </c>
      <c r="J3302" t="str">
        <f>HYPERLINK("http://twitter.com/mukilteomac")</f>
        <v>http://twitter.com/mukilteomac</v>
      </c>
      <c r="K3302">
        <v>122</v>
      </c>
      <c r="N3302" t="s">
        <v>65</v>
      </c>
      <c r="R3302" t="s">
        <v>60</v>
      </c>
      <c r="S3302" t="s">
        <v>51</v>
      </c>
      <c r="T3302" t="s">
        <v>2522</v>
      </c>
      <c r="U3302" t="s">
        <v>10143</v>
      </c>
      <c r="W3302">
        <v>0</v>
      </c>
      <c r="X3302">
        <v>0</v>
      </c>
      <c r="AE3302">
        <v>0</v>
      </c>
      <c r="AF3302">
        <v>0</v>
      </c>
      <c r="AM3302" t="s">
        <v>52</v>
      </c>
      <c r="AN3302" t="s">
        <v>53</v>
      </c>
    </row>
    <row r="3303" spans="1:40">
      <c r="A3303" t="s">
        <v>8081</v>
      </c>
      <c r="B3303" t="s">
        <v>4911</v>
      </c>
      <c r="C3303" t="s">
        <v>10465</v>
      </c>
      <c r="D3303" t="s">
        <v>10468</v>
      </c>
      <c r="E3303" t="s">
        <v>10469</v>
      </c>
      <c r="F3303" t="s">
        <v>45</v>
      </c>
      <c r="G3303" t="str">
        <f>HYPERLINK("https://www.youtube.com/watch?v=NzLRgfTxhCw")</f>
        <v>https://www.youtube.com/watch?v=NzLRgfTxhCw</v>
      </c>
      <c r="H3303" t="s">
        <v>46</v>
      </c>
      <c r="I3303" t="s">
        <v>6083</v>
      </c>
      <c r="J3303" t="str">
        <f>HYPERLINK("https://www.youtube.com/channel/UCarbtkgtwIzAuIBV-B4cb7Q")</f>
        <v>https://www.youtube.com/channel/UCarbtkgtwIzAuIBV-B4cb7Q</v>
      </c>
      <c r="N3303" t="s">
        <v>116</v>
      </c>
      <c r="O3303" t="s">
        <v>6083</v>
      </c>
      <c r="P3303" t="str">
        <f>HYPERLINK("https://www.youtube.com/channel/UCarbtkgtwIzAuIBV-B4cb7Q")</f>
        <v>https://www.youtube.com/channel/UCarbtkgtwIzAuIBV-B4cb7Q</v>
      </c>
      <c r="R3303" t="s">
        <v>60</v>
      </c>
      <c r="S3303" t="s">
        <v>51</v>
      </c>
      <c r="AE3303">
        <v>0</v>
      </c>
      <c r="AG3303">
        <v>1</v>
      </c>
      <c r="AI3303" t="s">
        <v>52</v>
      </c>
      <c r="AJ3303" t="s">
        <v>659</v>
      </c>
      <c r="AK3303" t="s">
        <v>52</v>
      </c>
      <c r="AL3303" t="str">
        <f>HYPERLINK("https://i.ytimg.com/vi/NzLRgfTxhCw/hqdefault.jpg")</f>
        <v>https://i.ytimg.com/vi/NzLRgfTxhCw/hqdefault.jpg</v>
      </c>
      <c r="AM3303" t="s">
        <v>52</v>
      </c>
      <c r="AN3303" t="s">
        <v>53</v>
      </c>
    </row>
    <row r="3304" spans="1:40">
      <c r="A3304" t="s">
        <v>8081</v>
      </c>
      <c r="B3304" t="s">
        <v>10470</v>
      </c>
      <c r="C3304" t="s">
        <v>10471</v>
      </c>
      <c r="D3304" t="s">
        <v>52</v>
      </c>
      <c r="E3304" t="s">
        <v>6910</v>
      </c>
      <c r="F3304" t="s">
        <v>131</v>
      </c>
      <c r="G3304" t="str">
        <f>HYPERLINK("https://twitter.com/3040302317/status/1142873757993918464")</f>
        <v>https://twitter.com/3040302317/status/1142873757993918464</v>
      </c>
      <c r="H3304" t="s">
        <v>46</v>
      </c>
      <c r="I3304" t="s">
        <v>10472</v>
      </c>
      <c r="J3304" t="str">
        <f>HYPERLINK("http://twitter.com/crookshanks907")</f>
        <v>http://twitter.com/crookshanks907</v>
      </c>
      <c r="K3304">
        <v>5390</v>
      </c>
      <c r="N3304" t="s">
        <v>65</v>
      </c>
      <c r="R3304" t="s">
        <v>60</v>
      </c>
      <c r="W3304">
        <v>0</v>
      </c>
      <c r="X3304">
        <v>0</v>
      </c>
      <c r="AE3304">
        <v>0</v>
      </c>
      <c r="AM3304" t="s">
        <v>52</v>
      </c>
      <c r="AN3304" t="s">
        <v>53</v>
      </c>
    </row>
    <row r="3305" spans="1:40">
      <c r="A3305" t="s">
        <v>8081</v>
      </c>
      <c r="B3305" t="s">
        <v>10470</v>
      </c>
      <c r="C3305" t="s">
        <v>10473</v>
      </c>
      <c r="D3305" t="s">
        <v>52</v>
      </c>
      <c r="E3305" t="s">
        <v>10474</v>
      </c>
      <c r="F3305" t="s">
        <v>45</v>
      </c>
      <c r="G3305" t="str">
        <f>HYPERLINK("https://twitter.com/85908552/status/1142873720702324737")</f>
        <v>https://twitter.com/85908552/status/1142873720702324737</v>
      </c>
      <c r="H3305" t="s">
        <v>91</v>
      </c>
      <c r="I3305" t="s">
        <v>10475</v>
      </c>
      <c r="J3305" t="str">
        <f>HYPERLINK("http://twitter.com/EmperorAtma")</f>
        <v>http://twitter.com/EmperorAtma</v>
      </c>
      <c r="K3305">
        <v>64</v>
      </c>
      <c r="N3305" t="s">
        <v>65</v>
      </c>
      <c r="R3305" t="s">
        <v>60</v>
      </c>
      <c r="W3305">
        <v>0</v>
      </c>
      <c r="X3305">
        <v>0</v>
      </c>
      <c r="AE3305">
        <v>0</v>
      </c>
      <c r="AF3305">
        <v>0</v>
      </c>
      <c r="AI3305" t="s">
        <v>108</v>
      </c>
      <c r="AJ3305" t="s">
        <v>10476</v>
      </c>
      <c r="AK3305" t="s">
        <v>52</v>
      </c>
      <c r="AL3305" t="str">
        <f>HYPERLINK("https://pbs.twimg.com/media/D9xNlxnXUAEN9vE.jpg")</f>
        <v>https://pbs.twimg.com/media/D9xNlxnXUAEN9vE.jpg</v>
      </c>
      <c r="AM3305" t="s">
        <v>52</v>
      </c>
      <c r="AN3305" t="s">
        <v>53</v>
      </c>
    </row>
    <row r="3306" spans="1:40">
      <c r="A3306" t="s">
        <v>8081</v>
      </c>
      <c r="B3306" t="s">
        <v>4942</v>
      </c>
      <c r="C3306" t="s">
        <v>10473</v>
      </c>
      <c r="D3306" t="s">
        <v>52</v>
      </c>
      <c r="E3306" t="s">
        <v>10477</v>
      </c>
      <c r="F3306" t="s">
        <v>45</v>
      </c>
      <c r="G3306" t="str">
        <f>HYPERLINK("https://twitter.com/120229326/status/1142873452136845314")</f>
        <v>https://twitter.com/120229326/status/1142873452136845314</v>
      </c>
      <c r="H3306" t="s">
        <v>46</v>
      </c>
      <c r="I3306" t="s">
        <v>10478</v>
      </c>
      <c r="J3306" t="str">
        <f>HYPERLINK("http://twitter.com/fandads")</f>
        <v>http://twitter.com/fandads</v>
      </c>
      <c r="K3306">
        <v>2642</v>
      </c>
      <c r="N3306" t="s">
        <v>65</v>
      </c>
      <c r="R3306" t="s">
        <v>60</v>
      </c>
      <c r="S3306" t="s">
        <v>51</v>
      </c>
      <c r="T3306" t="s">
        <v>84</v>
      </c>
      <c r="U3306" t="s">
        <v>85</v>
      </c>
      <c r="W3306">
        <v>0</v>
      </c>
      <c r="X3306">
        <v>0</v>
      </c>
      <c r="AE3306">
        <v>0</v>
      </c>
      <c r="AF3306">
        <v>0</v>
      </c>
      <c r="AM3306" t="s">
        <v>52</v>
      </c>
      <c r="AN3306" t="s">
        <v>53</v>
      </c>
    </row>
    <row r="3307" spans="1:40">
      <c r="A3307" t="s">
        <v>8081</v>
      </c>
      <c r="B3307" t="s">
        <v>4942</v>
      </c>
      <c r="C3307" t="s">
        <v>10479</v>
      </c>
      <c r="D3307" t="s">
        <v>52</v>
      </c>
      <c r="E3307" t="s">
        <v>10480</v>
      </c>
      <c r="F3307" t="s">
        <v>71</v>
      </c>
      <c r="G3307" t="str">
        <f>HYPERLINK("https://twitter.com/920020632393408512/status/1142873302085623809")</f>
        <v>https://twitter.com/920020632393408512/status/1142873302085623809</v>
      </c>
      <c r="H3307" t="s">
        <v>215</v>
      </c>
      <c r="I3307" t="s">
        <v>10481</v>
      </c>
      <c r="J3307" t="str">
        <f>HYPERLINK("http://twitter.com/OleratoMon")</f>
        <v>http://twitter.com/OleratoMon</v>
      </c>
      <c r="K3307">
        <v>56</v>
      </c>
      <c r="N3307" t="s">
        <v>65</v>
      </c>
      <c r="R3307" t="s">
        <v>60</v>
      </c>
      <c r="W3307">
        <v>0</v>
      </c>
      <c r="X3307">
        <v>0</v>
      </c>
      <c r="AE3307">
        <v>0</v>
      </c>
      <c r="AF3307">
        <v>0</v>
      </c>
      <c r="AM3307" t="s">
        <v>52</v>
      </c>
      <c r="AN3307" t="s">
        <v>53</v>
      </c>
    </row>
    <row r="3308" spans="1:40">
      <c r="A3308" t="s">
        <v>8081</v>
      </c>
      <c r="B3308" t="s">
        <v>4942</v>
      </c>
      <c r="C3308" t="s">
        <v>10482</v>
      </c>
      <c r="D3308" t="s">
        <v>52</v>
      </c>
      <c r="E3308" t="s">
        <v>3749</v>
      </c>
      <c r="F3308" t="s">
        <v>71</v>
      </c>
      <c r="G3308" t="str">
        <f>HYPERLINK("https://twitter.com/1064780836975845377/status/1142873208602923008")</f>
        <v>https://twitter.com/1064780836975845377/status/1142873208602923008</v>
      </c>
      <c r="H3308" t="s">
        <v>46</v>
      </c>
      <c r="I3308" t="s">
        <v>10483</v>
      </c>
      <c r="J3308" t="str">
        <f>HYPERLINK("http://twitter.com/thefinaljay")</f>
        <v>http://twitter.com/thefinaljay</v>
      </c>
      <c r="K3308">
        <v>56</v>
      </c>
      <c r="N3308" t="s">
        <v>65</v>
      </c>
      <c r="R3308" t="s">
        <v>60</v>
      </c>
      <c r="W3308">
        <v>0</v>
      </c>
      <c r="X3308">
        <v>0</v>
      </c>
      <c r="AE3308">
        <v>0</v>
      </c>
      <c r="AF3308">
        <v>0</v>
      </c>
      <c r="AI3308" t="s">
        <v>108</v>
      </c>
      <c r="AJ3308" t="s">
        <v>52</v>
      </c>
      <c r="AK3308" t="s">
        <v>52</v>
      </c>
      <c r="AL3308" t="str">
        <f>HYPERLINK("https://pbs.twimg.com/media/D9sAXHUX4AA6vJs.jpg")</f>
        <v>https://pbs.twimg.com/media/D9sAXHUX4AA6vJs.jpg</v>
      </c>
      <c r="AM3308" t="s">
        <v>52</v>
      </c>
      <c r="AN3308" t="s">
        <v>53</v>
      </c>
    </row>
    <row r="3309" spans="1:40">
      <c r="A3309" t="s">
        <v>8081</v>
      </c>
      <c r="B3309" t="s">
        <v>4968</v>
      </c>
      <c r="C3309" t="s">
        <v>8087</v>
      </c>
      <c r="D3309" t="s">
        <v>52</v>
      </c>
      <c r="E3309" t="s">
        <v>10484</v>
      </c>
      <c r="F3309" t="s">
        <v>45</v>
      </c>
      <c r="G3309" t="str">
        <f>HYPERLINK("https://www.instagram.com/p/BzEEMbCJS9c")</f>
        <v>https://www.instagram.com/p/BzEEMbCJS9c</v>
      </c>
      <c r="H3309" t="s">
        <v>91</v>
      </c>
      <c r="I3309" t="s">
        <v>10485</v>
      </c>
      <c r="J3309" t="str">
        <f>HYPERLINK("http://instagram.com/owbillieeilish")</f>
        <v>http://instagram.com/owbillieeilish</v>
      </c>
      <c r="K3309">
        <v>3562</v>
      </c>
      <c r="N3309" t="s">
        <v>59</v>
      </c>
      <c r="O3309" t="s">
        <v>10485</v>
      </c>
      <c r="P3309" t="str">
        <f>HYPERLINK("http://instagram.com/owbillieeilish")</f>
        <v>http://instagram.com/owbillieeilish</v>
      </c>
      <c r="Q3309">
        <v>3562</v>
      </c>
      <c r="R3309" t="s">
        <v>60</v>
      </c>
      <c r="S3309" t="s">
        <v>432</v>
      </c>
      <c r="W3309">
        <v>126</v>
      </c>
      <c r="X3309">
        <v>126</v>
      </c>
      <c r="AE3309">
        <v>12</v>
      </c>
      <c r="AI3309" t="s">
        <v>108</v>
      </c>
      <c r="AJ3309" t="s">
        <v>52</v>
      </c>
      <c r="AK3309" t="s">
        <v>52</v>
      </c>
      <c r="AL3309" t="str">
        <f>HYPERLINK("https://www.instagram.com/p/BzEEMbCJS9c/media/?size=l")</f>
        <v>https://www.instagram.com/p/BzEEMbCJS9c/media/?size=l</v>
      </c>
      <c r="AM3309" t="s">
        <v>52</v>
      </c>
      <c r="AN3309" t="s">
        <v>53</v>
      </c>
    </row>
    <row r="3310" spans="1:40">
      <c r="A3310" t="s">
        <v>8081</v>
      </c>
      <c r="B3310" t="s">
        <v>4968</v>
      </c>
      <c r="C3310" t="s">
        <v>10486</v>
      </c>
      <c r="D3310" t="s">
        <v>52</v>
      </c>
      <c r="E3310" t="s">
        <v>10487</v>
      </c>
      <c r="F3310" t="s">
        <v>95</v>
      </c>
      <c r="G3310" t="str">
        <f>HYPERLINK("https://twitter.com/842404758493265921/status/1142872647564292096")</f>
        <v>https://twitter.com/842404758493265921/status/1142872647564292096</v>
      </c>
      <c r="H3310" t="s">
        <v>46</v>
      </c>
      <c r="I3310" t="s">
        <v>10488</v>
      </c>
      <c r="J3310" t="str">
        <f>HYPERLINK("http://twitter.com/BYUNGS00")</f>
        <v>http://twitter.com/BYUNGS00</v>
      </c>
      <c r="K3310">
        <v>41</v>
      </c>
      <c r="N3310" t="s">
        <v>65</v>
      </c>
      <c r="R3310" t="s">
        <v>60</v>
      </c>
      <c r="W3310">
        <v>0</v>
      </c>
      <c r="X3310">
        <v>0</v>
      </c>
      <c r="AE3310">
        <v>1</v>
      </c>
      <c r="AF3310">
        <v>0</v>
      </c>
      <c r="AM3310" t="s">
        <v>52</v>
      </c>
      <c r="AN3310" t="s">
        <v>53</v>
      </c>
    </row>
    <row r="3311" spans="1:40">
      <c r="A3311" t="s">
        <v>8081</v>
      </c>
      <c r="B3311" t="s">
        <v>10489</v>
      </c>
      <c r="C3311" t="s">
        <v>10482</v>
      </c>
      <c r="D3311" t="s">
        <v>52</v>
      </c>
      <c r="E3311" t="s">
        <v>10490</v>
      </c>
      <c r="F3311" t="s">
        <v>45</v>
      </c>
      <c r="G3311" t="str">
        <f>HYPERLINK("https://www.instagram.com/p/BzEDw0FFHr4")</f>
        <v>https://www.instagram.com/p/BzEDw0FFHr4</v>
      </c>
      <c r="H3311" t="s">
        <v>46</v>
      </c>
      <c r="I3311" t="s">
        <v>4751</v>
      </c>
      <c r="J3311" t="str">
        <f>HYPERLINK("http://instagram.com/dylan__taylor03")</f>
        <v>http://instagram.com/dylan__taylor03</v>
      </c>
      <c r="K3311">
        <v>1909</v>
      </c>
      <c r="N3311" t="s">
        <v>59</v>
      </c>
      <c r="O3311" t="s">
        <v>4751</v>
      </c>
      <c r="P3311" t="str">
        <f>HYPERLINK("http://instagram.com/dylan__taylor03")</f>
        <v>http://instagram.com/dylan__taylor03</v>
      </c>
      <c r="Q3311">
        <v>1909</v>
      </c>
      <c r="R3311" t="s">
        <v>60</v>
      </c>
      <c r="S3311" t="s">
        <v>97</v>
      </c>
      <c r="T3311" t="s">
        <v>177</v>
      </c>
      <c r="U3311" t="s">
        <v>4752</v>
      </c>
      <c r="W3311">
        <v>72</v>
      </c>
      <c r="X3311">
        <v>72</v>
      </c>
      <c r="AE3311">
        <v>3</v>
      </c>
      <c r="AG3311">
        <v>210</v>
      </c>
      <c r="AI3311" t="s">
        <v>52</v>
      </c>
      <c r="AJ3311" t="s">
        <v>10491</v>
      </c>
      <c r="AK3311" t="s">
        <v>341</v>
      </c>
      <c r="AL3311" t="str">
        <f>HYPERLINK("https://www.instagram.com/p/BzEDw0FFHr4/media/?size=l")</f>
        <v>https://www.instagram.com/p/BzEDw0FFHr4/media/?size=l</v>
      </c>
      <c r="AM3311" t="s">
        <v>52</v>
      </c>
      <c r="AN3311" t="s">
        <v>53</v>
      </c>
    </row>
    <row r="3312" spans="1:40">
      <c r="A3312" t="s">
        <v>8081</v>
      </c>
      <c r="B3312" t="s">
        <v>4972</v>
      </c>
      <c r="C3312" t="s">
        <v>10492</v>
      </c>
      <c r="D3312" t="s">
        <v>52</v>
      </c>
      <c r="E3312" t="s">
        <v>10493</v>
      </c>
      <c r="F3312" t="s">
        <v>95</v>
      </c>
      <c r="G3312" t="str">
        <f>HYPERLINK("https://twitter.com/43596540/status/1142871685583949825")</f>
        <v>https://twitter.com/43596540/status/1142871685583949825</v>
      </c>
      <c r="H3312" t="s">
        <v>91</v>
      </c>
      <c r="I3312" t="s">
        <v>10494</v>
      </c>
      <c r="J3312" t="str">
        <f>HYPERLINK("http://twitter.com/LAGuns911")</f>
        <v>http://twitter.com/LAGuns911</v>
      </c>
      <c r="K3312">
        <v>340</v>
      </c>
      <c r="N3312" t="s">
        <v>65</v>
      </c>
      <c r="R3312" t="s">
        <v>60</v>
      </c>
      <c r="S3312" t="s">
        <v>51</v>
      </c>
      <c r="T3312" t="s">
        <v>173</v>
      </c>
      <c r="U3312" t="s">
        <v>10495</v>
      </c>
      <c r="W3312">
        <v>0</v>
      </c>
      <c r="X3312">
        <v>0</v>
      </c>
      <c r="AE3312">
        <v>0</v>
      </c>
      <c r="AF3312">
        <v>0</v>
      </c>
      <c r="AM3312" t="s">
        <v>52</v>
      </c>
      <c r="AN3312" t="s">
        <v>53</v>
      </c>
    </row>
    <row r="3313" spans="1:40">
      <c r="A3313" t="s">
        <v>8081</v>
      </c>
      <c r="B3313" t="s">
        <v>4972</v>
      </c>
      <c r="C3313" t="s">
        <v>10496</v>
      </c>
      <c r="D3313" t="s">
        <v>52</v>
      </c>
      <c r="E3313" t="s">
        <v>3749</v>
      </c>
      <c r="F3313" t="s">
        <v>71</v>
      </c>
      <c r="G3313" t="str">
        <f>HYPERLINK("https://twitter.com/982414048141639680/status/1142871540373106688")</f>
        <v>https://twitter.com/982414048141639680/status/1142871540373106688</v>
      </c>
      <c r="H3313" t="s">
        <v>46</v>
      </c>
      <c r="I3313" t="s">
        <v>52</v>
      </c>
      <c r="J3313" t="str">
        <f>HYPERLINK("http://twitter.com/candlelight1111")</f>
        <v>http://twitter.com/candlelight1111</v>
      </c>
      <c r="K3313">
        <v>49</v>
      </c>
      <c r="N3313" t="s">
        <v>65</v>
      </c>
      <c r="R3313" t="s">
        <v>60</v>
      </c>
      <c r="W3313">
        <v>0</v>
      </c>
      <c r="X3313">
        <v>0</v>
      </c>
      <c r="AE3313">
        <v>0</v>
      </c>
      <c r="AF3313">
        <v>0</v>
      </c>
      <c r="AI3313" t="s">
        <v>108</v>
      </c>
      <c r="AJ3313" t="s">
        <v>52</v>
      </c>
      <c r="AK3313" t="s">
        <v>52</v>
      </c>
      <c r="AL3313" t="str">
        <f>HYPERLINK("https://pbs.twimg.com/media/D9sAXHUX4AA6vJs.jpg")</f>
        <v>https://pbs.twimg.com/media/D9sAXHUX4AA6vJs.jpg</v>
      </c>
      <c r="AM3313" t="s">
        <v>52</v>
      </c>
      <c r="AN3313" t="s">
        <v>53</v>
      </c>
    </row>
    <row r="3314" spans="1:40">
      <c r="A3314" t="s">
        <v>8081</v>
      </c>
      <c r="B3314" t="s">
        <v>4972</v>
      </c>
      <c r="C3314" t="s">
        <v>10497</v>
      </c>
      <c r="D3314" t="s">
        <v>52</v>
      </c>
      <c r="E3314" t="s">
        <v>10498</v>
      </c>
      <c r="F3314" t="s">
        <v>71</v>
      </c>
      <c r="G3314" t="str">
        <f>HYPERLINK("https://twitter.com/916055774018854912/status/1142871519196041216")</f>
        <v>https://twitter.com/916055774018854912/status/1142871519196041216</v>
      </c>
      <c r="H3314" t="s">
        <v>46</v>
      </c>
      <c r="I3314" t="s">
        <v>10216</v>
      </c>
      <c r="J3314" t="str">
        <f>HYPERLINK("http://twitter.com/atzusaki")</f>
        <v>http://twitter.com/atzusaki</v>
      </c>
      <c r="K3314">
        <v>1247</v>
      </c>
      <c r="N3314" t="s">
        <v>65</v>
      </c>
      <c r="R3314" t="s">
        <v>60</v>
      </c>
      <c r="S3314" t="s">
        <v>51</v>
      </c>
      <c r="T3314" t="s">
        <v>380</v>
      </c>
      <c r="U3314" t="s">
        <v>380</v>
      </c>
      <c r="W3314">
        <v>1</v>
      </c>
      <c r="X3314">
        <v>1</v>
      </c>
      <c r="AE3314">
        <v>1</v>
      </c>
      <c r="AF3314">
        <v>0</v>
      </c>
      <c r="AI3314" t="s">
        <v>52</v>
      </c>
      <c r="AJ3314" t="s">
        <v>10499</v>
      </c>
      <c r="AK3314" t="s">
        <v>52</v>
      </c>
      <c r="AL3314" t="str">
        <f>HYPERLINK("https://pbs.twimg.com/media/D9xKKBUX4AEawnF.jpg")</f>
        <v>https://pbs.twimg.com/media/D9xKKBUX4AEawnF.jpg</v>
      </c>
      <c r="AM3314" t="s">
        <v>52</v>
      </c>
      <c r="AN3314" t="s">
        <v>53</v>
      </c>
    </row>
    <row r="3315" spans="1:40">
      <c r="A3315" t="s">
        <v>8081</v>
      </c>
      <c r="B3315" t="s">
        <v>4972</v>
      </c>
      <c r="C3315" t="s">
        <v>10497</v>
      </c>
      <c r="D3315" t="s">
        <v>52</v>
      </c>
      <c r="E3315" t="s">
        <v>10500</v>
      </c>
      <c r="F3315" t="s">
        <v>131</v>
      </c>
      <c r="G3315" t="str">
        <f>HYPERLINK("https://twitter.com/1097903808355684353/status/1142871497872236544")</f>
        <v>https://twitter.com/1097903808355684353/status/1142871497872236544</v>
      </c>
      <c r="H3315" t="s">
        <v>46</v>
      </c>
      <c r="I3315" t="s">
        <v>10501</v>
      </c>
      <c r="J3315" t="str">
        <f>HYPERLINK("http://twitter.com/chaehoneys")</f>
        <v>http://twitter.com/chaehoneys</v>
      </c>
      <c r="K3315">
        <v>182</v>
      </c>
      <c r="N3315" t="s">
        <v>65</v>
      </c>
      <c r="R3315" t="s">
        <v>60</v>
      </c>
      <c r="W3315">
        <v>0</v>
      </c>
      <c r="X3315">
        <v>0</v>
      </c>
      <c r="AE3315">
        <v>0</v>
      </c>
      <c r="AI3315" t="s">
        <v>52</v>
      </c>
      <c r="AJ3315" t="s">
        <v>10499</v>
      </c>
      <c r="AK3315" t="s">
        <v>52</v>
      </c>
      <c r="AL3315" t="str">
        <f>HYPERLINK("https://pbs.twimg.com/media/D9xKKBUX4AEawnF.jpg")</f>
        <v>https://pbs.twimg.com/media/D9xKKBUX4AEawnF.jpg</v>
      </c>
      <c r="AM3315" t="s">
        <v>52</v>
      </c>
      <c r="AN3315" t="s">
        <v>53</v>
      </c>
    </row>
    <row r="3316" spans="1:40">
      <c r="A3316" t="s">
        <v>8081</v>
      </c>
      <c r="B3316" t="s">
        <v>4972</v>
      </c>
      <c r="C3316" t="s">
        <v>10502</v>
      </c>
      <c r="D3316" t="s">
        <v>52</v>
      </c>
      <c r="E3316" t="s">
        <v>10503</v>
      </c>
      <c r="F3316" t="s">
        <v>71</v>
      </c>
      <c r="G3316" t="str">
        <f>HYPERLINK("https://twitter.com/1097903808355684353/status/1142871491417116672")</f>
        <v>https://twitter.com/1097903808355684353/status/1142871491417116672</v>
      </c>
      <c r="H3316" t="s">
        <v>46</v>
      </c>
      <c r="I3316" t="s">
        <v>10501</v>
      </c>
      <c r="J3316" t="str">
        <f>HYPERLINK("http://twitter.com/chaehoneys")</f>
        <v>http://twitter.com/chaehoneys</v>
      </c>
      <c r="K3316">
        <v>182</v>
      </c>
      <c r="N3316" t="s">
        <v>65</v>
      </c>
      <c r="R3316" t="s">
        <v>60</v>
      </c>
      <c r="W3316">
        <v>2</v>
      </c>
      <c r="X3316">
        <v>2</v>
      </c>
      <c r="AE3316">
        <v>1</v>
      </c>
      <c r="AF3316">
        <v>1</v>
      </c>
      <c r="AI3316" t="s">
        <v>52</v>
      </c>
      <c r="AJ3316" t="s">
        <v>10499</v>
      </c>
      <c r="AK3316" t="s">
        <v>52</v>
      </c>
      <c r="AL3316" t="str">
        <f>HYPERLINK("https://pbs.twimg.com/media/D9xKKBUX4AEawnF.jpg")</f>
        <v>https://pbs.twimg.com/media/D9xKKBUX4AEawnF.jpg</v>
      </c>
      <c r="AM3316" t="s">
        <v>52</v>
      </c>
      <c r="AN3316" t="s">
        <v>53</v>
      </c>
    </row>
    <row r="3317" spans="1:40">
      <c r="A3317" t="s">
        <v>8081</v>
      </c>
      <c r="B3317" t="s">
        <v>4977</v>
      </c>
      <c r="C3317" t="s">
        <v>10492</v>
      </c>
      <c r="D3317" t="s">
        <v>52</v>
      </c>
      <c r="E3317" t="s">
        <v>10500</v>
      </c>
      <c r="F3317" t="s">
        <v>131</v>
      </c>
      <c r="G3317" t="str">
        <f>HYPERLINK("https://twitter.com/1895839088/status/1142871421376487424")</f>
        <v>https://twitter.com/1895839088/status/1142871421376487424</v>
      </c>
      <c r="H3317" t="s">
        <v>46</v>
      </c>
      <c r="I3317" t="s">
        <v>10504</v>
      </c>
      <c r="J3317" t="str">
        <f>HYPERLINK("http://twitter.com/chuuhunnit")</f>
        <v>http://twitter.com/chuuhunnit</v>
      </c>
      <c r="K3317">
        <v>1568</v>
      </c>
      <c r="N3317" t="s">
        <v>65</v>
      </c>
      <c r="R3317" t="s">
        <v>60</v>
      </c>
      <c r="S3317" t="s">
        <v>10505</v>
      </c>
      <c r="T3317" t="s">
        <v>10506</v>
      </c>
      <c r="U3317" t="s">
        <v>10507</v>
      </c>
      <c r="W3317">
        <v>0</v>
      </c>
      <c r="X3317">
        <v>0</v>
      </c>
      <c r="AE3317">
        <v>0</v>
      </c>
      <c r="AI3317" t="s">
        <v>52</v>
      </c>
      <c r="AJ3317" t="s">
        <v>10499</v>
      </c>
      <c r="AK3317" t="s">
        <v>52</v>
      </c>
      <c r="AL3317" t="str">
        <f>HYPERLINK("https://pbs.twimg.com/media/D9xKKBUX4AEawnF.jpg")</f>
        <v>https://pbs.twimg.com/media/D9xKKBUX4AEawnF.jpg</v>
      </c>
      <c r="AM3317" t="s">
        <v>52</v>
      </c>
      <c r="AN3317" t="s">
        <v>53</v>
      </c>
    </row>
    <row r="3318" spans="1:40">
      <c r="A3318" t="s">
        <v>8081</v>
      </c>
      <c r="B3318" t="s">
        <v>4977</v>
      </c>
      <c r="C3318" t="s">
        <v>10492</v>
      </c>
      <c r="D3318" t="s">
        <v>52</v>
      </c>
      <c r="E3318" t="s">
        <v>10508</v>
      </c>
      <c r="F3318" t="s">
        <v>131</v>
      </c>
      <c r="G3318" t="str">
        <f>HYPERLINK("https://twitter.com/816579883409297408/status/1142871422160834572")</f>
        <v>https://twitter.com/816579883409297408/status/1142871422160834572</v>
      </c>
      <c r="H3318" t="s">
        <v>46</v>
      </c>
      <c r="I3318" t="s">
        <v>10509</v>
      </c>
      <c r="J3318" t="str">
        <f>HYPERLINK("http://twitter.com/LizzyxLee")</f>
        <v>http://twitter.com/LizzyxLee</v>
      </c>
      <c r="K3318">
        <v>653</v>
      </c>
      <c r="N3318" t="s">
        <v>65</v>
      </c>
      <c r="R3318" t="s">
        <v>60</v>
      </c>
      <c r="S3318" t="s">
        <v>1071</v>
      </c>
      <c r="T3318" t="s">
        <v>1072</v>
      </c>
      <c r="U3318" t="s">
        <v>1295</v>
      </c>
      <c r="W3318">
        <v>0</v>
      </c>
      <c r="X3318">
        <v>0</v>
      </c>
      <c r="AE3318">
        <v>0</v>
      </c>
      <c r="AI3318" t="s">
        <v>108</v>
      </c>
      <c r="AJ3318" t="s">
        <v>10510</v>
      </c>
      <c r="AK3318" t="s">
        <v>52</v>
      </c>
      <c r="AL3318" t="str">
        <f>HYPERLINK("https://pbs.twimg.com/media/D8dfuycXYAIGMG4.jpg")</f>
        <v>https://pbs.twimg.com/media/D8dfuycXYAIGMG4.jpg</v>
      </c>
      <c r="AM3318" t="s">
        <v>52</v>
      </c>
      <c r="AN3318" t="s">
        <v>53</v>
      </c>
    </row>
    <row r="3319" spans="1:40">
      <c r="A3319" t="s">
        <v>8081</v>
      </c>
      <c r="B3319" t="s">
        <v>4977</v>
      </c>
      <c r="C3319" t="s">
        <v>10492</v>
      </c>
      <c r="D3319" t="s">
        <v>52</v>
      </c>
      <c r="E3319" t="s">
        <v>10511</v>
      </c>
      <c r="F3319" t="s">
        <v>45</v>
      </c>
      <c r="G3319" t="str">
        <f>HYPERLINK("https://www.instagram.com/p/BzEDlJIgT_T")</f>
        <v>https://www.instagram.com/p/BzEDlJIgT_T</v>
      </c>
      <c r="H3319" t="s">
        <v>46</v>
      </c>
      <c r="I3319" t="s">
        <v>10512</v>
      </c>
      <c r="J3319" t="str">
        <f>HYPERLINK("http://instagram.com/fatjesusthebeergod")</f>
        <v>http://instagram.com/fatjesusthebeergod</v>
      </c>
      <c r="K3319">
        <v>285</v>
      </c>
      <c r="N3319" t="s">
        <v>59</v>
      </c>
      <c r="O3319" t="s">
        <v>10512</v>
      </c>
      <c r="P3319" t="str">
        <f>HYPERLINK("http://instagram.com/fatjesusthebeergod")</f>
        <v>http://instagram.com/fatjesusthebeergod</v>
      </c>
      <c r="Q3319">
        <v>285</v>
      </c>
      <c r="R3319" t="s">
        <v>60</v>
      </c>
      <c r="W3319">
        <v>38</v>
      </c>
      <c r="X3319">
        <v>38</v>
      </c>
      <c r="AE3319">
        <v>0</v>
      </c>
      <c r="AI3319" t="s">
        <v>52</v>
      </c>
      <c r="AJ3319" t="s">
        <v>10513</v>
      </c>
      <c r="AK3319" t="s">
        <v>52</v>
      </c>
      <c r="AL3319" t="str">
        <f>HYPERLINK("https://www.instagram.com/p/BzEDlJIgT_T/media/?size=l")</f>
        <v>https://www.instagram.com/p/BzEDlJIgT_T/media/?size=l</v>
      </c>
      <c r="AM3319" t="s">
        <v>52</v>
      </c>
      <c r="AN3319" t="s">
        <v>53</v>
      </c>
    </row>
    <row r="3320" spans="1:40">
      <c r="A3320" t="s">
        <v>8081</v>
      </c>
      <c r="B3320" t="s">
        <v>4977</v>
      </c>
      <c r="C3320" t="s">
        <v>10514</v>
      </c>
      <c r="D3320" t="s">
        <v>10515</v>
      </c>
      <c r="E3320" t="s">
        <v>10516</v>
      </c>
      <c r="F3320" t="s">
        <v>45</v>
      </c>
      <c r="G3320" t="str">
        <f>HYPERLINK("https://www.youtube.com/watch?v=VqrEHd3iWv0")</f>
        <v>https://www.youtube.com/watch?v=VqrEHd3iWv0</v>
      </c>
      <c r="H3320" t="s">
        <v>46</v>
      </c>
      <c r="I3320" t="s">
        <v>6083</v>
      </c>
      <c r="J3320" t="str">
        <f>HYPERLINK("https://www.youtube.com/channel/UCarbtkgtwIzAuIBV-B4cb7Q")</f>
        <v>https://www.youtube.com/channel/UCarbtkgtwIzAuIBV-B4cb7Q</v>
      </c>
      <c r="N3320" t="s">
        <v>116</v>
      </c>
      <c r="O3320" t="s">
        <v>6083</v>
      </c>
      <c r="P3320" t="str">
        <f>HYPERLINK("https://www.youtube.com/channel/UCarbtkgtwIzAuIBV-B4cb7Q")</f>
        <v>https://www.youtube.com/channel/UCarbtkgtwIzAuIBV-B4cb7Q</v>
      </c>
      <c r="R3320" t="s">
        <v>60</v>
      </c>
      <c r="S3320" t="s">
        <v>51</v>
      </c>
      <c r="AE3320">
        <v>0</v>
      </c>
      <c r="AG3320">
        <v>0</v>
      </c>
      <c r="AI3320" t="s">
        <v>52</v>
      </c>
      <c r="AJ3320" t="s">
        <v>659</v>
      </c>
      <c r="AK3320" t="s">
        <v>52</v>
      </c>
      <c r="AL3320" t="str">
        <f>HYPERLINK("https://i.ytimg.com/vi/VqrEHd3iWv0/maxresdefault.jpg")</f>
        <v>https://i.ytimg.com/vi/VqrEHd3iWv0/maxresdefault.jpg</v>
      </c>
      <c r="AM3320" t="s">
        <v>52</v>
      </c>
      <c r="AN3320" t="s">
        <v>53</v>
      </c>
    </row>
    <row r="3321" spans="1:40">
      <c r="A3321" t="s">
        <v>8081</v>
      </c>
      <c r="B3321" t="s">
        <v>4999</v>
      </c>
      <c r="C3321" t="s">
        <v>10517</v>
      </c>
      <c r="D3321" t="s">
        <v>52</v>
      </c>
      <c r="E3321" t="s">
        <v>10518</v>
      </c>
      <c r="F3321" t="s">
        <v>45</v>
      </c>
      <c r="G3321" t="str">
        <f>HYPERLINK("https://www.instagram.com/p/BzEDN78lEF3")</f>
        <v>https://www.instagram.com/p/BzEDN78lEF3</v>
      </c>
      <c r="H3321" t="s">
        <v>46</v>
      </c>
      <c r="I3321" t="s">
        <v>10519</v>
      </c>
      <c r="J3321" t="str">
        <f>HYPERLINK("http://instagram.com/seutepeu_")</f>
        <v>http://instagram.com/seutepeu_</v>
      </c>
      <c r="K3321">
        <v>1093</v>
      </c>
      <c r="N3321" t="s">
        <v>59</v>
      </c>
      <c r="O3321" t="s">
        <v>10519</v>
      </c>
      <c r="P3321" t="str">
        <f>HYPERLINK("http://instagram.com/seutepeu_")</f>
        <v>http://instagram.com/seutepeu_</v>
      </c>
      <c r="Q3321">
        <v>1093</v>
      </c>
      <c r="R3321" t="s">
        <v>60</v>
      </c>
      <c r="W3321">
        <v>134</v>
      </c>
      <c r="X3321">
        <v>134</v>
      </c>
      <c r="AE3321">
        <v>54</v>
      </c>
      <c r="AI3321" t="s">
        <v>108</v>
      </c>
      <c r="AJ3321" t="s">
        <v>52</v>
      </c>
      <c r="AK3321" t="s">
        <v>52</v>
      </c>
      <c r="AL3321" t="str">
        <f>HYPERLINK("https://www.instagram.com/p/BzEDN78lEF3/media/?size=l")</f>
        <v>https://www.instagram.com/p/BzEDN78lEF3/media/?size=l</v>
      </c>
      <c r="AM3321" t="s">
        <v>52</v>
      </c>
      <c r="AN3321" t="s">
        <v>53</v>
      </c>
    </row>
    <row r="3322" spans="1:40">
      <c r="A3322" t="s">
        <v>8081</v>
      </c>
      <c r="B3322" t="s">
        <v>5005</v>
      </c>
      <c r="C3322" t="s">
        <v>10520</v>
      </c>
      <c r="D3322" t="s">
        <v>52</v>
      </c>
      <c r="E3322" t="s">
        <v>10521</v>
      </c>
      <c r="F3322" t="s">
        <v>45</v>
      </c>
      <c r="G3322" t="str">
        <f>HYPERLINK("https://twitter.com/211213004/status/1142870344014979072")</f>
        <v>https://twitter.com/211213004/status/1142870344014979072</v>
      </c>
      <c r="H3322" t="s">
        <v>46</v>
      </c>
      <c r="I3322" t="s">
        <v>10394</v>
      </c>
      <c r="J3322" t="str">
        <f>HYPERLINK("http://twitter.com/Pez5683")</f>
        <v>http://twitter.com/Pez5683</v>
      </c>
      <c r="K3322">
        <v>3098</v>
      </c>
      <c r="N3322" t="s">
        <v>65</v>
      </c>
      <c r="R3322" t="s">
        <v>60</v>
      </c>
      <c r="S3322" t="s">
        <v>51</v>
      </c>
      <c r="T3322" t="s">
        <v>263</v>
      </c>
      <c r="U3322" t="s">
        <v>352</v>
      </c>
      <c r="W3322">
        <v>9</v>
      </c>
      <c r="X3322">
        <v>9</v>
      </c>
      <c r="AE3322">
        <v>4</v>
      </c>
      <c r="AF3322">
        <v>0</v>
      </c>
      <c r="AM3322" t="s">
        <v>52</v>
      </c>
      <c r="AN3322" t="s">
        <v>53</v>
      </c>
    </row>
    <row r="3323" spans="1:40">
      <c r="A3323" t="s">
        <v>8081</v>
      </c>
      <c r="B3323" t="s">
        <v>5005</v>
      </c>
      <c r="C3323" t="s">
        <v>10520</v>
      </c>
      <c r="D3323" t="s">
        <v>52</v>
      </c>
      <c r="E3323" t="s">
        <v>4256</v>
      </c>
      <c r="F3323" t="s">
        <v>131</v>
      </c>
      <c r="G3323" t="str">
        <f>HYPERLINK("https://twitter.com/2345868094/status/1142870336599396353")</f>
        <v>https://twitter.com/2345868094/status/1142870336599396353</v>
      </c>
      <c r="H3323" t="s">
        <v>215</v>
      </c>
      <c r="I3323" t="s">
        <v>10522</v>
      </c>
      <c r="J3323" t="str">
        <f>HYPERLINK("http://twitter.com/Gazi_Shepard")</f>
        <v>http://twitter.com/Gazi_Shepard</v>
      </c>
      <c r="K3323">
        <v>924</v>
      </c>
      <c r="N3323" t="s">
        <v>65</v>
      </c>
      <c r="R3323" t="s">
        <v>60</v>
      </c>
      <c r="W3323">
        <v>0</v>
      </c>
      <c r="X3323">
        <v>0</v>
      </c>
      <c r="AE3323">
        <v>0</v>
      </c>
      <c r="AI3323" t="s">
        <v>108</v>
      </c>
      <c r="AJ3323" t="s">
        <v>52</v>
      </c>
      <c r="AK3323" t="s">
        <v>52</v>
      </c>
      <c r="AL3323" t="str">
        <f>HYPERLINK("https://pbs.twimg.com/media/D9wASdAXYAAV8vY.jpg")</f>
        <v>https://pbs.twimg.com/media/D9wASdAXYAAV8vY.jpg</v>
      </c>
      <c r="AM3323" t="s">
        <v>52</v>
      </c>
      <c r="AN3323" t="s">
        <v>53</v>
      </c>
    </row>
    <row r="3324" spans="1:40">
      <c r="A3324" t="s">
        <v>8081</v>
      </c>
      <c r="B3324" t="s">
        <v>5005</v>
      </c>
      <c r="C3324" t="s">
        <v>8083</v>
      </c>
      <c r="D3324" t="s">
        <v>52</v>
      </c>
      <c r="E3324" t="s">
        <v>10523</v>
      </c>
      <c r="F3324" t="s">
        <v>45</v>
      </c>
      <c r="G3324" t="str">
        <f>HYPERLINK("https://www.instagram.com/p/BzEDG45FSIw")</f>
        <v>https://www.instagram.com/p/BzEDG45FSIw</v>
      </c>
      <c r="H3324" t="s">
        <v>46</v>
      </c>
      <c r="I3324" t="s">
        <v>10524</v>
      </c>
      <c r="J3324" t="str">
        <f>HYPERLINK("http://instagram.com/rumplec24")</f>
        <v>http://instagram.com/rumplec24</v>
      </c>
      <c r="K3324">
        <v>181</v>
      </c>
      <c r="N3324" t="s">
        <v>59</v>
      </c>
      <c r="O3324" t="s">
        <v>10524</v>
      </c>
      <c r="P3324" t="str">
        <f>HYPERLINK("http://instagram.com/rumplec24")</f>
        <v>http://instagram.com/rumplec24</v>
      </c>
      <c r="Q3324">
        <v>181</v>
      </c>
      <c r="R3324" t="s">
        <v>60</v>
      </c>
      <c r="S3324" t="s">
        <v>51</v>
      </c>
      <c r="T3324" t="s">
        <v>738</v>
      </c>
      <c r="U3324" t="s">
        <v>9575</v>
      </c>
      <c r="W3324">
        <v>12</v>
      </c>
      <c r="X3324">
        <v>12</v>
      </c>
      <c r="AE3324">
        <v>2</v>
      </c>
      <c r="AI3324" t="s">
        <v>108</v>
      </c>
      <c r="AJ3324" t="s">
        <v>659</v>
      </c>
      <c r="AK3324" t="s">
        <v>2089</v>
      </c>
      <c r="AL3324" t="str">
        <f>HYPERLINK("https://www.instagram.com/p/BzEDG45FSIw/media/?size=l")</f>
        <v>https://www.instagram.com/p/BzEDG45FSIw/media/?size=l</v>
      </c>
      <c r="AM3324" t="s">
        <v>52</v>
      </c>
      <c r="AN3324" t="s">
        <v>53</v>
      </c>
    </row>
    <row r="3325" spans="1:40">
      <c r="A3325" t="s">
        <v>8081</v>
      </c>
      <c r="B3325" t="s">
        <v>5005</v>
      </c>
      <c r="C3325" t="s">
        <v>10517</v>
      </c>
      <c r="D3325" t="s">
        <v>52</v>
      </c>
      <c r="E3325" t="s">
        <v>10525</v>
      </c>
      <c r="F3325" t="s">
        <v>45</v>
      </c>
      <c r="G3325" t="str">
        <f>HYPERLINK("https://twitter.com/1200021632/status/1142870295839223808")</f>
        <v>https://twitter.com/1200021632/status/1142870295839223808</v>
      </c>
      <c r="H3325" t="s">
        <v>46</v>
      </c>
      <c r="I3325" t="s">
        <v>10526</v>
      </c>
      <c r="J3325" t="str">
        <f>HYPERLINK("http://twitter.com/MARDLverse")</f>
        <v>http://twitter.com/MARDLverse</v>
      </c>
      <c r="K3325">
        <v>365</v>
      </c>
      <c r="N3325" t="s">
        <v>65</v>
      </c>
      <c r="R3325" t="s">
        <v>60</v>
      </c>
      <c r="S3325" t="s">
        <v>444</v>
      </c>
      <c r="W3325">
        <v>2</v>
      </c>
      <c r="X3325">
        <v>2</v>
      </c>
      <c r="AE3325">
        <v>1</v>
      </c>
      <c r="AF3325">
        <v>0</v>
      </c>
      <c r="AI3325" t="s">
        <v>108</v>
      </c>
      <c r="AJ3325" t="s">
        <v>458</v>
      </c>
      <c r="AK3325" t="s">
        <v>52</v>
      </c>
      <c r="AL3325" t="str">
        <f>HYPERLINK("https://pbs.twimg.com/media/D9xKeMZWsAANtgy.jpg")</f>
        <v>https://pbs.twimg.com/media/D9xKeMZWsAANtgy.jpg</v>
      </c>
      <c r="AM3325" t="s">
        <v>52</v>
      </c>
      <c r="AN3325" t="s">
        <v>53</v>
      </c>
    </row>
    <row r="3326" spans="1:40">
      <c r="A3326" t="s">
        <v>8081</v>
      </c>
      <c r="B3326" t="s">
        <v>5005</v>
      </c>
      <c r="C3326" t="s">
        <v>10527</v>
      </c>
      <c r="D3326" t="s">
        <v>52</v>
      </c>
      <c r="E3326" t="s">
        <v>3749</v>
      </c>
      <c r="F3326" t="s">
        <v>71</v>
      </c>
      <c r="G3326" t="str">
        <f>HYPERLINK("https://twitter.com/629712978/status/1142870261672415233")</f>
        <v>https://twitter.com/629712978/status/1142870261672415233</v>
      </c>
      <c r="H3326" t="s">
        <v>46</v>
      </c>
      <c r="I3326" t="s">
        <v>10528</v>
      </c>
      <c r="J3326" t="str">
        <f>HYPERLINK("http://twitter.com/u_Thato")</f>
        <v>http://twitter.com/u_Thato</v>
      </c>
      <c r="K3326">
        <v>357</v>
      </c>
      <c r="N3326" t="s">
        <v>65</v>
      </c>
      <c r="R3326" t="s">
        <v>60</v>
      </c>
      <c r="S3326" t="s">
        <v>1071</v>
      </c>
      <c r="T3326" t="s">
        <v>3751</v>
      </c>
      <c r="U3326" t="s">
        <v>3752</v>
      </c>
      <c r="W3326">
        <v>0</v>
      </c>
      <c r="X3326">
        <v>0</v>
      </c>
      <c r="AE3326">
        <v>0</v>
      </c>
      <c r="AF3326">
        <v>0</v>
      </c>
      <c r="AI3326" t="s">
        <v>108</v>
      </c>
      <c r="AJ3326" t="s">
        <v>52</v>
      </c>
      <c r="AK3326" t="s">
        <v>52</v>
      </c>
      <c r="AL3326" t="str">
        <f>HYPERLINK("https://pbs.twimg.com/media/D9sAXHUX4AA6vJs.jpg")</f>
        <v>https://pbs.twimg.com/media/D9sAXHUX4AA6vJs.jpg</v>
      </c>
      <c r="AM3326" t="s">
        <v>52</v>
      </c>
      <c r="AN3326" t="s">
        <v>53</v>
      </c>
    </row>
    <row r="3327" spans="1:40">
      <c r="A3327" t="s">
        <v>8081</v>
      </c>
      <c r="B3327" t="s">
        <v>5005</v>
      </c>
      <c r="C3327" t="s">
        <v>10529</v>
      </c>
      <c r="D3327" t="s">
        <v>52</v>
      </c>
      <c r="E3327" t="s">
        <v>10530</v>
      </c>
      <c r="F3327" t="s">
        <v>45</v>
      </c>
      <c r="G3327" t="str">
        <f>HYPERLINK("https://twitter.com/1649531922/status/1142870206559080449")</f>
        <v>https://twitter.com/1649531922/status/1142870206559080449</v>
      </c>
      <c r="H3327" t="s">
        <v>46</v>
      </c>
      <c r="I3327" t="s">
        <v>10531</v>
      </c>
      <c r="J3327" t="str">
        <f>HYPERLINK("http://twitter.com/FieryFork")</f>
        <v>http://twitter.com/FieryFork</v>
      </c>
      <c r="K3327">
        <v>60</v>
      </c>
      <c r="N3327" t="s">
        <v>65</v>
      </c>
      <c r="R3327" t="s">
        <v>60</v>
      </c>
      <c r="S3327" t="s">
        <v>51</v>
      </c>
      <c r="T3327" t="s">
        <v>1669</v>
      </c>
      <c r="U3327" t="s">
        <v>7021</v>
      </c>
      <c r="W3327">
        <v>0</v>
      </c>
      <c r="X3327">
        <v>0</v>
      </c>
      <c r="AE3327">
        <v>0</v>
      </c>
      <c r="AF3327">
        <v>0</v>
      </c>
      <c r="AM3327" t="s">
        <v>52</v>
      </c>
      <c r="AN3327" t="s">
        <v>53</v>
      </c>
    </row>
    <row r="3328" spans="1:40">
      <c r="A3328" t="s">
        <v>8081</v>
      </c>
      <c r="B3328" t="s">
        <v>5005</v>
      </c>
      <c r="C3328" t="s">
        <v>10529</v>
      </c>
      <c r="D3328" t="s">
        <v>52</v>
      </c>
      <c r="E3328" t="s">
        <v>10532</v>
      </c>
      <c r="F3328" t="s">
        <v>95</v>
      </c>
      <c r="G3328" t="str">
        <f>HYPERLINK("https://twitter.com/337119125/status/1142870197574836226")</f>
        <v>https://twitter.com/337119125/status/1142870197574836226</v>
      </c>
      <c r="H3328" t="s">
        <v>46</v>
      </c>
      <c r="I3328" t="s">
        <v>10533</v>
      </c>
      <c r="J3328" t="str">
        <f>HYPERLINK("http://twitter.com/wongmjane")</f>
        <v>http://twitter.com/wongmjane</v>
      </c>
      <c r="K3328">
        <v>37476</v>
      </c>
      <c r="N3328" t="s">
        <v>65</v>
      </c>
      <c r="R3328" t="s">
        <v>60</v>
      </c>
      <c r="S3328" t="s">
        <v>965</v>
      </c>
      <c r="U3328" t="s">
        <v>10534</v>
      </c>
      <c r="W3328">
        <v>1</v>
      </c>
      <c r="X3328">
        <v>1</v>
      </c>
      <c r="AE3328">
        <v>0</v>
      </c>
      <c r="AF3328">
        <v>0</v>
      </c>
      <c r="AM3328" t="s">
        <v>52</v>
      </c>
      <c r="AN3328" t="s">
        <v>53</v>
      </c>
    </row>
    <row r="3329" spans="1:40">
      <c r="A3329" t="s">
        <v>8081</v>
      </c>
      <c r="B3329" t="s">
        <v>5010</v>
      </c>
      <c r="C3329" t="s">
        <v>10502</v>
      </c>
      <c r="D3329" t="s">
        <v>10535</v>
      </c>
      <c r="E3329" t="s">
        <v>10536</v>
      </c>
      <c r="F3329" t="s">
        <v>95</v>
      </c>
      <c r="G3329" t="str">
        <f>HYPERLINK("https://www.youtube.com/watch?v=2wRq4ycMf-o&amp;lc=Ugwt_qs_zipYaEz7W9R4AaABAg")</f>
        <v>https://www.youtube.com/watch?v=2wRq4ycMf-o&amp;lc=Ugwt_qs_zipYaEz7W9R4AaABAg</v>
      </c>
      <c r="H3329" t="s">
        <v>46</v>
      </c>
      <c r="I3329" t="s">
        <v>10537</v>
      </c>
      <c r="J3329" t="str">
        <f>HYPERLINK("https://www.youtube.com/channel/UCG-ThE-qQHmP8H81tWmEKsQ")</f>
        <v>https://www.youtube.com/channel/UCG-ThE-qQHmP8H81tWmEKsQ</v>
      </c>
      <c r="K3329">
        <v>0</v>
      </c>
      <c r="N3329" t="s">
        <v>116</v>
      </c>
      <c r="O3329" t="s">
        <v>10538</v>
      </c>
      <c r="P3329" t="str">
        <f>HYPERLINK("https://www.youtube.com/channel/UC7ByeCDZocCg9c0F-PWW_kg")</f>
        <v>https://www.youtube.com/channel/UC7ByeCDZocCg9c0F-PWW_kg</v>
      </c>
      <c r="Q3329">
        <v>159782</v>
      </c>
      <c r="R3329" t="s">
        <v>60</v>
      </c>
      <c r="S3329" t="s">
        <v>51</v>
      </c>
      <c r="W3329">
        <v>7</v>
      </c>
      <c r="X3329">
        <v>7</v>
      </c>
      <c r="AE3329">
        <v>0</v>
      </c>
      <c r="AM3329" t="s">
        <v>52</v>
      </c>
      <c r="AN3329" t="s">
        <v>53</v>
      </c>
    </row>
    <row r="3330" spans="1:40">
      <c r="A3330" t="s">
        <v>8081</v>
      </c>
      <c r="B3330" t="s">
        <v>5010</v>
      </c>
      <c r="C3330" t="s">
        <v>10520</v>
      </c>
      <c r="D3330" t="s">
        <v>52</v>
      </c>
      <c r="E3330" t="s">
        <v>130</v>
      </c>
      <c r="F3330" t="s">
        <v>131</v>
      </c>
      <c r="G3330" t="str">
        <f>HYPERLINK("https://twitter.com/307532918/status/1142870044764004353")</f>
        <v>https://twitter.com/307532918/status/1142870044764004353</v>
      </c>
      <c r="H3330" t="s">
        <v>46</v>
      </c>
      <c r="I3330" t="s">
        <v>10539</v>
      </c>
      <c r="J3330" t="str">
        <f>HYPERLINK("http://twitter.com/MillyYMA")</f>
        <v>http://twitter.com/MillyYMA</v>
      </c>
      <c r="K3330">
        <v>1879</v>
      </c>
      <c r="L3330" t="s">
        <v>58</v>
      </c>
      <c r="N3330" t="s">
        <v>65</v>
      </c>
      <c r="R3330" t="s">
        <v>60</v>
      </c>
      <c r="S3330" t="s">
        <v>97</v>
      </c>
      <c r="T3330" t="s">
        <v>177</v>
      </c>
      <c r="U3330" t="s">
        <v>395</v>
      </c>
      <c r="W3330">
        <v>0</v>
      </c>
      <c r="X3330">
        <v>0</v>
      </c>
      <c r="AE3330">
        <v>0</v>
      </c>
      <c r="AI3330" t="s">
        <v>108</v>
      </c>
      <c r="AJ3330" t="s">
        <v>52</v>
      </c>
      <c r="AK3330" t="s">
        <v>52</v>
      </c>
      <c r="AL3330" t="str">
        <f>HYPERLINK("https://pbs.twimg.com/media/D9XTkLWW4AAOYnJ.jpg")</f>
        <v>https://pbs.twimg.com/media/D9XTkLWW4AAOYnJ.jpg</v>
      </c>
      <c r="AM3330" t="s">
        <v>52</v>
      </c>
      <c r="AN3330" t="s">
        <v>53</v>
      </c>
    </row>
    <row r="3331" spans="1:40">
      <c r="A3331" t="s">
        <v>8081</v>
      </c>
      <c r="B3331" t="s">
        <v>10540</v>
      </c>
      <c r="C3331" t="s">
        <v>10414</v>
      </c>
      <c r="D3331" t="s">
        <v>52</v>
      </c>
      <c r="E3331" t="s">
        <v>10541</v>
      </c>
      <c r="F3331" t="s">
        <v>45</v>
      </c>
      <c r="G3331" t="str">
        <f>HYPERLINK("https://www.instagram.com/p/BzECwLmnvjj")</f>
        <v>https://www.instagram.com/p/BzECwLmnvjj</v>
      </c>
      <c r="H3331" t="s">
        <v>215</v>
      </c>
      <c r="I3331" t="s">
        <v>10542</v>
      </c>
      <c r="J3331" t="str">
        <f>HYPERLINK("http://instagram.com/luna_alidia")</f>
        <v>http://instagram.com/luna_alidia</v>
      </c>
      <c r="K3331">
        <v>1744</v>
      </c>
      <c r="N3331" t="s">
        <v>59</v>
      </c>
      <c r="O3331" t="s">
        <v>10542</v>
      </c>
      <c r="P3331" t="str">
        <f>HYPERLINK("http://instagram.com/luna_alidia")</f>
        <v>http://instagram.com/luna_alidia</v>
      </c>
      <c r="Q3331">
        <v>1744</v>
      </c>
      <c r="R3331" t="s">
        <v>60</v>
      </c>
      <c r="W3331">
        <v>166</v>
      </c>
      <c r="X3331">
        <v>166</v>
      </c>
      <c r="AE3331">
        <v>5</v>
      </c>
      <c r="AI3331" t="s">
        <v>52</v>
      </c>
      <c r="AJ3331" t="s">
        <v>52</v>
      </c>
      <c r="AK3331" t="s">
        <v>2565</v>
      </c>
      <c r="AL3331" t="str">
        <f>HYPERLINK("https://www.instagram.com/p/BzECwLmnvjj/media/?size=l")</f>
        <v>https://www.instagram.com/p/BzECwLmnvjj/media/?size=l</v>
      </c>
      <c r="AM3331" t="s">
        <v>52</v>
      </c>
      <c r="AN3331" t="s">
        <v>53</v>
      </c>
    </row>
    <row r="3332" spans="1:40">
      <c r="A3332" t="s">
        <v>8081</v>
      </c>
      <c r="B3332" t="s">
        <v>5020</v>
      </c>
      <c r="C3332" t="s">
        <v>10543</v>
      </c>
      <c r="D3332" t="s">
        <v>52</v>
      </c>
      <c r="E3332" t="s">
        <v>10544</v>
      </c>
      <c r="F3332" t="s">
        <v>45</v>
      </c>
      <c r="G3332" t="str">
        <f>HYPERLINK("https://www.facebook.com/1411407329152475/posts/2105536769739524")</f>
        <v>https://www.facebook.com/1411407329152475/posts/2105536769739524</v>
      </c>
      <c r="H3332" t="s">
        <v>46</v>
      </c>
      <c r="I3332" t="s">
        <v>10545</v>
      </c>
      <c r="J3332" t="str">
        <f>HYPERLINK("https://www.facebook.com/1411407329152475")</f>
        <v>https://www.facebook.com/1411407329152475</v>
      </c>
      <c r="K3332">
        <v>8480</v>
      </c>
      <c r="L3332" t="s">
        <v>651</v>
      </c>
      <c r="N3332" t="s">
        <v>1792</v>
      </c>
      <c r="O3332" t="s">
        <v>10545</v>
      </c>
      <c r="P3332" t="str">
        <f>HYPERLINK("https://www.facebook.com/1411407329152475")</f>
        <v>https://www.facebook.com/1411407329152475</v>
      </c>
      <c r="Q3332">
        <v>8480</v>
      </c>
      <c r="R3332" t="s">
        <v>60</v>
      </c>
      <c r="S3332" t="s">
        <v>51</v>
      </c>
      <c r="W3332">
        <v>2</v>
      </c>
      <c r="X3332">
        <v>2</v>
      </c>
      <c r="Y3332">
        <v>0</v>
      </c>
      <c r="Z3332">
        <v>0</v>
      </c>
      <c r="AA3332">
        <v>0</v>
      </c>
      <c r="AB3332">
        <v>0</v>
      </c>
      <c r="AC3332">
        <v>0</v>
      </c>
      <c r="AE3332">
        <v>0</v>
      </c>
      <c r="AF3332">
        <v>0</v>
      </c>
      <c r="AI3332" t="s">
        <v>52</v>
      </c>
      <c r="AJ3332" t="s">
        <v>3551</v>
      </c>
      <c r="AK3332" t="s">
        <v>52</v>
      </c>
      <c r="AL3332" t="str">
        <f>HYPERLINK("https://scontent.xx.fbcdn.net/v/t1.0-9/s720x720/64869549_2105536773072857_4823435890464391168_o.jpg?_nc_cat=105&amp;_nc_ht=scontent.xx&amp;oh=aa6ef88628b302fac6ec796af8a00f63&amp;oe=5D892159")</f>
        <v>https://scontent.xx.fbcdn.net/v/t1.0-9/s720x720/64869549_2105536773072857_4823435890464391168_o.jpg?_nc_cat=105&amp;_nc_ht=scontent.xx&amp;oh=aa6ef88628b302fac6ec796af8a00f63&amp;oe=5D892159</v>
      </c>
      <c r="AM3332" t="s">
        <v>52</v>
      </c>
      <c r="AN3332" t="s">
        <v>53</v>
      </c>
    </row>
    <row r="3333" spans="1:40">
      <c r="A3333" t="s">
        <v>8081</v>
      </c>
      <c r="B3333" t="s">
        <v>5031</v>
      </c>
      <c r="C3333" t="s">
        <v>10546</v>
      </c>
      <c r="D3333" t="s">
        <v>52</v>
      </c>
      <c r="E3333" t="s">
        <v>10547</v>
      </c>
      <c r="F3333" t="s">
        <v>45</v>
      </c>
      <c r="G3333" t="str">
        <f>HYPERLINK("https://www.instagram.com/p/BzECXq3p2xR")</f>
        <v>https://www.instagram.com/p/BzECXq3p2xR</v>
      </c>
      <c r="H3333" t="s">
        <v>46</v>
      </c>
      <c r="I3333" t="s">
        <v>10548</v>
      </c>
      <c r="J3333" t="str">
        <f>HYPERLINK("http://instagram.com/villainous_kicks")</f>
        <v>http://instagram.com/villainous_kicks</v>
      </c>
      <c r="K3333">
        <v>143</v>
      </c>
      <c r="N3333" t="s">
        <v>59</v>
      </c>
      <c r="O3333" t="s">
        <v>10548</v>
      </c>
      <c r="P3333" t="str">
        <f>HYPERLINK("http://instagram.com/villainous_kicks")</f>
        <v>http://instagram.com/villainous_kicks</v>
      </c>
      <c r="Q3333">
        <v>143</v>
      </c>
      <c r="R3333" t="s">
        <v>60</v>
      </c>
      <c r="W3333">
        <v>15</v>
      </c>
      <c r="X3333">
        <v>15</v>
      </c>
      <c r="AE3333">
        <v>0</v>
      </c>
      <c r="AI3333" t="s">
        <v>108</v>
      </c>
      <c r="AJ3333" t="s">
        <v>1853</v>
      </c>
      <c r="AK3333" t="s">
        <v>52</v>
      </c>
      <c r="AL3333" t="str">
        <f>HYPERLINK("https://www.instagram.com/p/BzECXq3p2xR/media/?size=l")</f>
        <v>https://www.instagram.com/p/BzECXq3p2xR/media/?size=l</v>
      </c>
      <c r="AM3333" t="s">
        <v>52</v>
      </c>
      <c r="AN3333" t="s">
        <v>53</v>
      </c>
    </row>
    <row r="3334" spans="1:40">
      <c r="A3334" t="s">
        <v>8081</v>
      </c>
      <c r="B3334" t="s">
        <v>5069</v>
      </c>
      <c r="C3334" t="s">
        <v>10517</v>
      </c>
      <c r="D3334" t="s">
        <v>52</v>
      </c>
      <c r="E3334" t="s">
        <v>10549</v>
      </c>
      <c r="F3334" t="s">
        <v>45</v>
      </c>
      <c r="G3334" t="str">
        <f>HYPERLINK("https://www.instagram.com/p/BzEBrC8HDTH")</f>
        <v>https://www.instagram.com/p/BzEBrC8HDTH</v>
      </c>
      <c r="H3334" t="s">
        <v>46</v>
      </c>
      <c r="I3334" t="s">
        <v>10550</v>
      </c>
      <c r="J3334" t="str">
        <f>HYPERLINK("http://instagram.com/bagrly")</f>
        <v>http://instagram.com/bagrly</v>
      </c>
      <c r="K3334">
        <v>194</v>
      </c>
      <c r="L3334" t="s">
        <v>48</v>
      </c>
      <c r="N3334" t="s">
        <v>59</v>
      </c>
      <c r="O3334" t="s">
        <v>10550</v>
      </c>
      <c r="P3334" t="str">
        <f>HYPERLINK("http://instagram.com/bagrly")</f>
        <v>http://instagram.com/bagrly</v>
      </c>
      <c r="Q3334">
        <v>194</v>
      </c>
      <c r="R3334" t="s">
        <v>60</v>
      </c>
      <c r="S3334" t="s">
        <v>51</v>
      </c>
      <c r="T3334" t="s">
        <v>152</v>
      </c>
      <c r="U3334" t="s">
        <v>10551</v>
      </c>
      <c r="W3334">
        <v>12</v>
      </c>
      <c r="X3334">
        <v>12</v>
      </c>
      <c r="AE3334">
        <v>5</v>
      </c>
      <c r="AI3334" t="s">
        <v>52</v>
      </c>
      <c r="AJ3334" t="s">
        <v>4504</v>
      </c>
      <c r="AK3334" t="s">
        <v>52</v>
      </c>
      <c r="AL3334" t="str">
        <f>HYPERLINK("https://www.instagram.com/p/BzEBrC8HDTH/media/?size=l")</f>
        <v>https://www.instagram.com/p/BzEBrC8HDTH/media/?size=l</v>
      </c>
      <c r="AM3334" t="s">
        <v>52</v>
      </c>
      <c r="AN3334" t="s">
        <v>53</v>
      </c>
    </row>
    <row r="3335" spans="1:40">
      <c r="A3335" t="s">
        <v>8081</v>
      </c>
      <c r="B3335" t="s">
        <v>10552</v>
      </c>
      <c r="C3335" t="s">
        <v>10553</v>
      </c>
      <c r="D3335" t="s">
        <v>52</v>
      </c>
      <c r="E3335" t="s">
        <v>276</v>
      </c>
      <c r="F3335" t="s">
        <v>131</v>
      </c>
      <c r="G3335" t="str">
        <f>HYPERLINK("https://twitter.com/1142864775908433920/status/1142866365461565440")</f>
        <v>https://twitter.com/1142864775908433920/status/1142866365461565440</v>
      </c>
      <c r="H3335" t="s">
        <v>46</v>
      </c>
      <c r="I3335" t="s">
        <v>10554</v>
      </c>
      <c r="J3335" t="str">
        <f>HYPERLINK("http://twitter.com/doritos_blue")</f>
        <v>http://twitter.com/doritos_blue</v>
      </c>
      <c r="K3335">
        <v>1</v>
      </c>
      <c r="N3335" t="s">
        <v>65</v>
      </c>
      <c r="R3335" t="s">
        <v>60</v>
      </c>
      <c r="W3335">
        <v>0</v>
      </c>
      <c r="X3335">
        <v>0</v>
      </c>
      <c r="AE3335">
        <v>0</v>
      </c>
      <c r="AI3335" t="s">
        <v>108</v>
      </c>
      <c r="AJ3335" t="s">
        <v>52</v>
      </c>
      <c r="AK3335" t="s">
        <v>52</v>
      </c>
      <c r="AL3335" t="str">
        <f>HYPERLINK("https://pbs.twimg.com/tweet_video_thumb/D9hvNNzXUAATAS3.jpg")</f>
        <v>https://pbs.twimg.com/tweet_video_thumb/D9hvNNzXUAATAS3.jpg</v>
      </c>
      <c r="AM3335" t="s">
        <v>52</v>
      </c>
      <c r="AN3335" t="s">
        <v>53</v>
      </c>
    </row>
    <row r="3336" spans="1:40">
      <c r="A3336" t="s">
        <v>8081</v>
      </c>
      <c r="B3336" t="s">
        <v>10552</v>
      </c>
      <c r="C3336" t="s">
        <v>9484</v>
      </c>
      <c r="D3336" t="s">
        <v>52</v>
      </c>
      <c r="E3336" t="s">
        <v>10555</v>
      </c>
      <c r="F3336" t="s">
        <v>45</v>
      </c>
      <c r="G3336" t="str">
        <f>HYPERLINK("https://www.facebook.com/166518186774588/posts/2374815005944884")</f>
        <v>https://www.facebook.com/166518186774588/posts/2374815005944884</v>
      </c>
      <c r="H3336" t="s">
        <v>91</v>
      </c>
      <c r="I3336" t="s">
        <v>10556</v>
      </c>
      <c r="J3336" t="str">
        <f>HYPERLINK("https://www.facebook.com/166518186774588")</f>
        <v>https://www.facebook.com/166518186774588</v>
      </c>
      <c r="K3336">
        <v>1280498</v>
      </c>
      <c r="L3336" t="s">
        <v>651</v>
      </c>
      <c r="N3336" t="s">
        <v>1792</v>
      </c>
      <c r="O3336" t="s">
        <v>10556</v>
      </c>
      <c r="P3336" t="str">
        <f>HYPERLINK("https://www.facebook.com/166518186774588")</f>
        <v>https://www.facebook.com/166518186774588</v>
      </c>
      <c r="Q3336">
        <v>1280498</v>
      </c>
      <c r="R3336" t="s">
        <v>60</v>
      </c>
      <c r="W3336">
        <v>8</v>
      </c>
      <c r="X3336">
        <v>4</v>
      </c>
      <c r="Y3336">
        <v>0</v>
      </c>
      <c r="Z3336">
        <v>0</v>
      </c>
      <c r="AA3336">
        <v>3</v>
      </c>
      <c r="AB3336">
        <v>1</v>
      </c>
      <c r="AC3336">
        <v>0</v>
      </c>
      <c r="AE3336">
        <v>0</v>
      </c>
      <c r="AF3336">
        <v>8</v>
      </c>
      <c r="AL3336" t="str">
        <f>HYPERLINK("https://cdn.wisemindhealthybody.com/wp-content/uploads/2016/09/Untitled-design-3.png")</f>
        <v>https://cdn.wisemindhealthybody.com/wp-content/uploads/2016/09/Untitled-design-3.png</v>
      </c>
      <c r="AM3336" t="s">
        <v>52</v>
      </c>
      <c r="AN3336" t="s">
        <v>53</v>
      </c>
    </row>
    <row r="3337" spans="1:40">
      <c r="A3337" t="s">
        <v>8081</v>
      </c>
      <c r="B3337" t="s">
        <v>10552</v>
      </c>
      <c r="C3337" t="s">
        <v>10557</v>
      </c>
      <c r="D3337" t="s">
        <v>52</v>
      </c>
      <c r="E3337" t="s">
        <v>10558</v>
      </c>
      <c r="F3337" t="s">
        <v>95</v>
      </c>
      <c r="G3337" t="str">
        <f>HYPERLINK("https://twitter.com/339313964/status/1142866236830863366")</f>
        <v>https://twitter.com/339313964/status/1142866236830863366</v>
      </c>
      <c r="H3337" t="s">
        <v>46</v>
      </c>
      <c r="I3337" t="s">
        <v>10559</v>
      </c>
      <c r="J3337" t="str">
        <f>HYPERLINK("http://twitter.com/lucky31244")</f>
        <v>http://twitter.com/lucky31244</v>
      </c>
      <c r="K3337">
        <v>438</v>
      </c>
      <c r="N3337" t="s">
        <v>65</v>
      </c>
      <c r="R3337" t="s">
        <v>60</v>
      </c>
      <c r="W3337">
        <v>0</v>
      </c>
      <c r="X3337">
        <v>0</v>
      </c>
      <c r="AE3337">
        <v>0</v>
      </c>
      <c r="AF3337">
        <v>0</v>
      </c>
      <c r="AM3337" t="s">
        <v>52</v>
      </c>
      <c r="AN3337" t="s">
        <v>53</v>
      </c>
    </row>
    <row r="3338" spans="1:40">
      <c r="A3338" t="s">
        <v>8081</v>
      </c>
      <c r="B3338" t="s">
        <v>10552</v>
      </c>
      <c r="C3338" t="s">
        <v>10560</v>
      </c>
      <c r="D3338" t="s">
        <v>52</v>
      </c>
      <c r="E3338" t="s">
        <v>10561</v>
      </c>
      <c r="F3338" t="s">
        <v>45</v>
      </c>
      <c r="G3338" t="str">
        <f>HYPERLINK("https://twitter.com/2275061478/status/1142866229616680960")</f>
        <v>https://twitter.com/2275061478/status/1142866229616680960</v>
      </c>
      <c r="H3338" t="s">
        <v>46</v>
      </c>
      <c r="I3338" t="s">
        <v>10562</v>
      </c>
      <c r="J3338" t="str">
        <f>HYPERLINK("http://twitter.com/psiijiic")</f>
        <v>http://twitter.com/psiijiic</v>
      </c>
      <c r="K3338">
        <v>63</v>
      </c>
      <c r="N3338" t="s">
        <v>65</v>
      </c>
      <c r="R3338" t="s">
        <v>60</v>
      </c>
      <c r="S3338" t="s">
        <v>2416</v>
      </c>
      <c r="T3338" t="s">
        <v>10563</v>
      </c>
      <c r="U3338" t="s">
        <v>10564</v>
      </c>
      <c r="W3338">
        <v>0</v>
      </c>
      <c r="X3338">
        <v>0</v>
      </c>
      <c r="AE3338">
        <v>0</v>
      </c>
      <c r="AF3338">
        <v>0</v>
      </c>
      <c r="AM3338" t="s">
        <v>52</v>
      </c>
      <c r="AN3338" t="s">
        <v>53</v>
      </c>
    </row>
    <row r="3339" spans="1:40">
      <c r="A3339" t="s">
        <v>8081</v>
      </c>
      <c r="B3339" t="s">
        <v>10552</v>
      </c>
      <c r="C3339" t="s">
        <v>10565</v>
      </c>
      <c r="D3339" t="s">
        <v>52</v>
      </c>
      <c r="E3339" t="s">
        <v>526</v>
      </c>
      <c r="F3339" t="s">
        <v>131</v>
      </c>
      <c r="G3339" t="str">
        <f>HYPERLINK("https://twitter.com/990452030723559424/status/1142866188755755008")</f>
        <v>https://twitter.com/990452030723559424/status/1142866188755755008</v>
      </c>
      <c r="H3339" t="s">
        <v>46</v>
      </c>
      <c r="I3339" t="s">
        <v>10566</v>
      </c>
      <c r="J3339" t="str">
        <f>HYPERLINK("http://twitter.com/JazEstrada3")</f>
        <v>http://twitter.com/JazEstrada3</v>
      </c>
      <c r="K3339">
        <v>109</v>
      </c>
      <c r="N3339" t="s">
        <v>65</v>
      </c>
      <c r="R3339" t="s">
        <v>60</v>
      </c>
      <c r="W3339">
        <v>0</v>
      </c>
      <c r="X3339">
        <v>0</v>
      </c>
      <c r="AE3339">
        <v>0</v>
      </c>
      <c r="AI3339" t="s">
        <v>108</v>
      </c>
      <c r="AJ3339" t="s">
        <v>52</v>
      </c>
      <c r="AK3339" t="s">
        <v>52</v>
      </c>
      <c r="AL3339" t="str">
        <f>HYPERLINK("https://pbs.twimg.com/ext_tw_video_thumb/1141360066962100224/pu/img/5_tGc4hLFQwcD07b.jpg")</f>
        <v>https://pbs.twimg.com/ext_tw_video_thumb/1141360066962100224/pu/img/5_tGc4hLFQwcD07b.jpg</v>
      </c>
      <c r="AM3339" t="s">
        <v>52</v>
      </c>
      <c r="AN3339" t="s">
        <v>53</v>
      </c>
    </row>
    <row r="3340" spans="1:40">
      <c r="A3340" t="s">
        <v>8081</v>
      </c>
      <c r="B3340" t="s">
        <v>10552</v>
      </c>
      <c r="C3340" t="s">
        <v>10565</v>
      </c>
      <c r="D3340" t="s">
        <v>52</v>
      </c>
      <c r="E3340" t="s">
        <v>10567</v>
      </c>
      <c r="F3340" t="s">
        <v>71</v>
      </c>
      <c r="G3340" t="str">
        <f>HYPERLINK("https://twitter.com/2843201146/status/1142866169654734848")</f>
        <v>https://twitter.com/2843201146/status/1142866169654734848</v>
      </c>
      <c r="H3340" t="s">
        <v>46</v>
      </c>
      <c r="I3340" t="s">
        <v>10568</v>
      </c>
      <c r="J3340" t="str">
        <f>HYPERLINK("http://twitter.com/YungOZ760")</f>
        <v>http://twitter.com/YungOZ760</v>
      </c>
      <c r="K3340">
        <v>217</v>
      </c>
      <c r="N3340" t="s">
        <v>65</v>
      </c>
      <c r="R3340" t="s">
        <v>60</v>
      </c>
      <c r="S3340" t="s">
        <v>51</v>
      </c>
      <c r="T3340" t="s">
        <v>173</v>
      </c>
      <c r="U3340" t="s">
        <v>10569</v>
      </c>
      <c r="W3340">
        <v>1</v>
      </c>
      <c r="X3340">
        <v>1</v>
      </c>
      <c r="AE3340">
        <v>0</v>
      </c>
      <c r="AF3340">
        <v>1</v>
      </c>
      <c r="AM3340" t="s">
        <v>52</v>
      </c>
      <c r="AN3340" t="s">
        <v>53</v>
      </c>
    </row>
    <row r="3341" spans="1:40">
      <c r="A3341" t="s">
        <v>8081</v>
      </c>
      <c r="B3341" t="s">
        <v>10552</v>
      </c>
      <c r="C3341" t="s">
        <v>1242</v>
      </c>
      <c r="D3341" t="s">
        <v>10570</v>
      </c>
      <c r="E3341" t="s">
        <v>10571</v>
      </c>
      <c r="F3341" t="s">
        <v>45</v>
      </c>
      <c r="G3341" t="str">
        <f>HYPERLINK("https://8ch.net/pol/res/13422179.html#reply_13426517")</f>
        <v>https://8ch.net/pol/res/13422179.html#reply_13426517</v>
      </c>
      <c r="H3341" t="s">
        <v>91</v>
      </c>
      <c r="N3341" t="s">
        <v>10572</v>
      </c>
      <c r="O3341" t="s">
        <v>10573</v>
      </c>
      <c r="P3341" t="str">
        <f>HYPERLINK("https://8ch.net/tempest.html")</f>
        <v>https://8ch.net/tempest.html</v>
      </c>
      <c r="R3341" t="s">
        <v>516</v>
      </c>
      <c r="S3341" t="s">
        <v>51</v>
      </c>
      <c r="AM3341" t="s">
        <v>52</v>
      </c>
      <c r="AN3341" t="s">
        <v>53</v>
      </c>
    </row>
    <row r="3342" spans="1:40">
      <c r="A3342" t="s">
        <v>8081</v>
      </c>
      <c r="B3342" t="s">
        <v>5072</v>
      </c>
      <c r="C3342" t="s">
        <v>10574</v>
      </c>
      <c r="D3342" t="s">
        <v>52</v>
      </c>
      <c r="E3342" t="s">
        <v>6428</v>
      </c>
      <c r="F3342" t="s">
        <v>131</v>
      </c>
      <c r="G3342" t="str">
        <f>HYPERLINK("https://twitter.com/2864946952/status/1142866102029967360")</f>
        <v>https://twitter.com/2864946952/status/1142866102029967360</v>
      </c>
      <c r="H3342" t="s">
        <v>46</v>
      </c>
      <c r="I3342" t="s">
        <v>10575</v>
      </c>
      <c r="J3342" t="str">
        <f>HYPERLINK("http://twitter.com/kik_stupid")</f>
        <v>http://twitter.com/kik_stupid</v>
      </c>
      <c r="K3342">
        <v>2586</v>
      </c>
      <c r="N3342" t="s">
        <v>65</v>
      </c>
      <c r="R3342" t="s">
        <v>60</v>
      </c>
      <c r="S3342" t="s">
        <v>1643</v>
      </c>
      <c r="T3342" t="s">
        <v>5748</v>
      </c>
      <c r="U3342" t="s">
        <v>5749</v>
      </c>
      <c r="W3342">
        <v>0</v>
      </c>
      <c r="X3342">
        <v>0</v>
      </c>
      <c r="AE3342">
        <v>0</v>
      </c>
      <c r="AM3342" t="s">
        <v>52</v>
      </c>
      <c r="AN3342" t="s">
        <v>53</v>
      </c>
    </row>
    <row r="3343" spans="1:40">
      <c r="A3343" t="s">
        <v>8081</v>
      </c>
      <c r="B3343" t="s">
        <v>5072</v>
      </c>
      <c r="C3343" t="s">
        <v>10574</v>
      </c>
      <c r="D3343" t="s">
        <v>52</v>
      </c>
      <c r="E3343" t="s">
        <v>9447</v>
      </c>
      <c r="F3343" t="s">
        <v>131</v>
      </c>
      <c r="G3343" t="str">
        <f>HYPERLINK("https://twitter.com/703490795538685956/status/1142866094316826624")</f>
        <v>https://twitter.com/703490795538685956/status/1142866094316826624</v>
      </c>
      <c r="H3343" t="s">
        <v>46</v>
      </c>
      <c r="I3343" t="s">
        <v>10576</v>
      </c>
      <c r="J3343" t="str">
        <f>HYPERLINK("http://twitter.com/ThisLocalHater")</f>
        <v>http://twitter.com/ThisLocalHater</v>
      </c>
      <c r="K3343">
        <v>11990</v>
      </c>
      <c r="N3343" t="s">
        <v>65</v>
      </c>
      <c r="R3343" t="s">
        <v>60</v>
      </c>
      <c r="S3343" t="s">
        <v>97</v>
      </c>
      <c r="T3343" t="s">
        <v>177</v>
      </c>
      <c r="U3343" t="s">
        <v>10577</v>
      </c>
      <c r="W3343">
        <v>0</v>
      </c>
      <c r="X3343">
        <v>0</v>
      </c>
      <c r="AE3343">
        <v>0</v>
      </c>
      <c r="AM3343" t="s">
        <v>52</v>
      </c>
      <c r="AN3343" t="s">
        <v>53</v>
      </c>
    </row>
    <row r="3344" spans="1:40">
      <c r="A3344" t="s">
        <v>8081</v>
      </c>
      <c r="B3344" t="s">
        <v>5072</v>
      </c>
      <c r="C3344" t="s">
        <v>10574</v>
      </c>
      <c r="D3344" t="s">
        <v>52</v>
      </c>
      <c r="E3344" t="s">
        <v>10578</v>
      </c>
      <c r="F3344" t="s">
        <v>45</v>
      </c>
      <c r="G3344" t="str">
        <f>HYPERLINK("https://twitter.com/1007335683739045889/status/1142866093519908865")</f>
        <v>https://twitter.com/1007335683739045889/status/1142866093519908865</v>
      </c>
      <c r="H3344" t="s">
        <v>46</v>
      </c>
      <c r="I3344" t="s">
        <v>10579</v>
      </c>
      <c r="J3344" t="str">
        <f>HYPERLINK("http://twitter.com/quierraaaaa")</f>
        <v>http://twitter.com/quierraaaaa</v>
      </c>
      <c r="K3344">
        <v>662</v>
      </c>
      <c r="N3344" t="s">
        <v>65</v>
      </c>
      <c r="R3344" t="s">
        <v>60</v>
      </c>
      <c r="S3344" t="s">
        <v>1403</v>
      </c>
      <c r="T3344" t="s">
        <v>1404</v>
      </c>
      <c r="U3344" t="s">
        <v>10580</v>
      </c>
      <c r="W3344">
        <v>0</v>
      </c>
      <c r="X3344">
        <v>0</v>
      </c>
      <c r="AE3344">
        <v>0</v>
      </c>
      <c r="AF3344">
        <v>0</v>
      </c>
      <c r="AM3344" t="s">
        <v>52</v>
      </c>
      <c r="AN3344" t="s">
        <v>53</v>
      </c>
    </row>
    <row r="3345" spans="1:40">
      <c r="A3345" t="s">
        <v>8081</v>
      </c>
      <c r="B3345" t="s">
        <v>5072</v>
      </c>
      <c r="C3345" t="s">
        <v>10581</v>
      </c>
      <c r="D3345" t="s">
        <v>52</v>
      </c>
      <c r="E3345" t="s">
        <v>10582</v>
      </c>
      <c r="F3345" t="s">
        <v>95</v>
      </c>
      <c r="G3345" t="str">
        <f>HYPERLINK("https://twitter.com/861060107651743745/status/1142866056266092548")</f>
        <v>https://twitter.com/861060107651743745/status/1142866056266092548</v>
      </c>
      <c r="H3345" t="s">
        <v>46</v>
      </c>
      <c r="I3345" t="s">
        <v>10583</v>
      </c>
      <c r="J3345" t="str">
        <f>HYPERLINK("http://twitter.com/SammySunshine16")</f>
        <v>http://twitter.com/SammySunshine16</v>
      </c>
      <c r="K3345">
        <v>1</v>
      </c>
      <c r="N3345" t="s">
        <v>65</v>
      </c>
      <c r="R3345" t="s">
        <v>60</v>
      </c>
      <c r="W3345">
        <v>0</v>
      </c>
      <c r="X3345">
        <v>0</v>
      </c>
      <c r="AE3345">
        <v>0</v>
      </c>
      <c r="AF3345">
        <v>0</v>
      </c>
      <c r="AM3345" t="s">
        <v>52</v>
      </c>
      <c r="AN3345" t="s">
        <v>53</v>
      </c>
    </row>
    <row r="3346" spans="1:40">
      <c r="A3346" t="s">
        <v>8081</v>
      </c>
      <c r="B3346" t="s">
        <v>5072</v>
      </c>
      <c r="C3346" t="s">
        <v>10584</v>
      </c>
      <c r="D3346" t="s">
        <v>52</v>
      </c>
      <c r="E3346" t="s">
        <v>10585</v>
      </c>
      <c r="F3346" t="s">
        <v>71</v>
      </c>
      <c r="G3346" t="str">
        <f>HYPERLINK("https://twitter.com/4907025027/status/1142866048410181632")</f>
        <v>https://twitter.com/4907025027/status/1142866048410181632</v>
      </c>
      <c r="H3346" t="s">
        <v>46</v>
      </c>
      <c r="I3346" t="s">
        <v>10586</v>
      </c>
      <c r="J3346" t="str">
        <f>HYPERLINK("http://twitter.com/hanan_habbas")</f>
        <v>http://twitter.com/hanan_habbas</v>
      </c>
      <c r="K3346">
        <v>404</v>
      </c>
      <c r="N3346" t="s">
        <v>65</v>
      </c>
      <c r="R3346" t="s">
        <v>60</v>
      </c>
      <c r="S3346" t="s">
        <v>51</v>
      </c>
      <c r="T3346" t="s">
        <v>66</v>
      </c>
      <c r="U3346" t="s">
        <v>5976</v>
      </c>
      <c r="W3346">
        <v>0</v>
      </c>
      <c r="X3346">
        <v>0</v>
      </c>
      <c r="AE3346">
        <v>0</v>
      </c>
      <c r="AF3346">
        <v>0</v>
      </c>
      <c r="AM3346" t="s">
        <v>52</v>
      </c>
      <c r="AN3346" t="s">
        <v>53</v>
      </c>
    </row>
    <row r="3347" spans="1:40">
      <c r="A3347" t="s">
        <v>8081</v>
      </c>
      <c r="B3347" t="s">
        <v>5072</v>
      </c>
      <c r="C3347" t="s">
        <v>10574</v>
      </c>
      <c r="D3347" t="s">
        <v>10587</v>
      </c>
      <c r="E3347" t="s">
        <v>10588</v>
      </c>
      <c r="F3347" t="s">
        <v>95</v>
      </c>
      <c r="G3347" t="str">
        <f>HYPERLINK("https://www.youtube.com/watch?v=pgEj7YgUGbY&amp;lc=UgwofFE-jmwyTYQhoX94AaABAg")</f>
        <v>https://www.youtube.com/watch?v=pgEj7YgUGbY&amp;lc=UgwofFE-jmwyTYQhoX94AaABAg</v>
      </c>
      <c r="H3347" t="s">
        <v>46</v>
      </c>
      <c r="I3347" t="s">
        <v>10589</v>
      </c>
      <c r="J3347" t="str">
        <f>HYPERLINK("https://www.youtube.com/channel/UCf1Hl9ya_USNZdqN5sHe50g")</f>
        <v>https://www.youtube.com/channel/UCf1Hl9ya_USNZdqN5sHe50g</v>
      </c>
      <c r="K3347">
        <v>43</v>
      </c>
      <c r="N3347" t="s">
        <v>116</v>
      </c>
      <c r="O3347" t="s">
        <v>10590</v>
      </c>
      <c r="P3347" t="str">
        <f>HYPERLINK("https://www.youtube.com/channel/UCk-nQy25PDk8zCHYfNCnyOw")</f>
        <v>https://www.youtube.com/channel/UCk-nQy25PDk8zCHYfNCnyOw</v>
      </c>
      <c r="Q3347">
        <v>410</v>
      </c>
      <c r="R3347" t="s">
        <v>60</v>
      </c>
      <c r="W3347">
        <v>0</v>
      </c>
      <c r="X3347">
        <v>0</v>
      </c>
      <c r="AE3347">
        <v>0</v>
      </c>
      <c r="AM3347" t="s">
        <v>52</v>
      </c>
      <c r="AN3347" t="s">
        <v>53</v>
      </c>
    </row>
    <row r="3348" spans="1:40">
      <c r="A3348" t="s">
        <v>8081</v>
      </c>
      <c r="B3348" t="s">
        <v>5072</v>
      </c>
      <c r="C3348" t="s">
        <v>10560</v>
      </c>
      <c r="D3348" t="s">
        <v>52</v>
      </c>
      <c r="E3348" t="s">
        <v>10591</v>
      </c>
      <c r="F3348" t="s">
        <v>45</v>
      </c>
      <c r="G3348" t="str">
        <f>HYPERLINK("https://twitter.com/846367863468412928/status/1142865940054454272")</f>
        <v>https://twitter.com/846367863468412928/status/1142865940054454272</v>
      </c>
      <c r="H3348" t="s">
        <v>46</v>
      </c>
      <c r="I3348" t="s">
        <v>10592</v>
      </c>
      <c r="J3348" t="str">
        <f>HYPERLINK("http://twitter.com/sailorpout95")</f>
        <v>http://twitter.com/sailorpout95</v>
      </c>
      <c r="K3348">
        <v>80</v>
      </c>
      <c r="N3348" t="s">
        <v>65</v>
      </c>
      <c r="R3348" t="s">
        <v>60</v>
      </c>
      <c r="W3348">
        <v>1</v>
      </c>
      <c r="X3348">
        <v>1</v>
      </c>
      <c r="AE3348">
        <v>0</v>
      </c>
      <c r="AF3348">
        <v>0</v>
      </c>
      <c r="AM3348" t="s">
        <v>52</v>
      </c>
      <c r="AN3348" t="s">
        <v>53</v>
      </c>
    </row>
    <row r="3349" spans="1:40">
      <c r="A3349" t="s">
        <v>8081</v>
      </c>
      <c r="B3349" t="s">
        <v>5072</v>
      </c>
      <c r="C3349" t="s">
        <v>10584</v>
      </c>
      <c r="D3349" t="s">
        <v>52</v>
      </c>
      <c r="E3349" t="s">
        <v>3749</v>
      </c>
      <c r="F3349" t="s">
        <v>71</v>
      </c>
      <c r="G3349" t="str">
        <f>HYPERLINK("https://twitter.com/162966424/status/1142865912363704320")</f>
        <v>https://twitter.com/162966424/status/1142865912363704320</v>
      </c>
      <c r="H3349" t="s">
        <v>46</v>
      </c>
      <c r="I3349" t="s">
        <v>10593</v>
      </c>
      <c r="J3349" t="str">
        <f>HYPERLINK("http://twitter.com/SippingOnEvelyn")</f>
        <v>http://twitter.com/SippingOnEvelyn</v>
      </c>
      <c r="K3349">
        <v>466</v>
      </c>
      <c r="N3349" t="s">
        <v>65</v>
      </c>
      <c r="R3349" t="s">
        <v>60</v>
      </c>
      <c r="S3349" t="s">
        <v>6414</v>
      </c>
      <c r="T3349" t="s">
        <v>6415</v>
      </c>
      <c r="U3349" t="s">
        <v>6416</v>
      </c>
      <c r="W3349">
        <v>0</v>
      </c>
      <c r="X3349">
        <v>0</v>
      </c>
      <c r="AE3349">
        <v>0</v>
      </c>
      <c r="AF3349">
        <v>0</v>
      </c>
      <c r="AI3349" t="s">
        <v>108</v>
      </c>
      <c r="AJ3349" t="s">
        <v>52</v>
      </c>
      <c r="AK3349" t="s">
        <v>52</v>
      </c>
      <c r="AL3349" t="str">
        <f>HYPERLINK("https://pbs.twimg.com/media/D9sAXHUX4AA6vJs.jpg")</f>
        <v>https://pbs.twimg.com/media/D9sAXHUX4AA6vJs.jpg</v>
      </c>
      <c r="AM3349" t="s">
        <v>52</v>
      </c>
      <c r="AN3349" t="s">
        <v>53</v>
      </c>
    </row>
    <row r="3350" spans="1:40">
      <c r="A3350" t="s">
        <v>8081</v>
      </c>
      <c r="B3350" t="s">
        <v>5080</v>
      </c>
      <c r="C3350" t="s">
        <v>10565</v>
      </c>
      <c r="D3350" t="s">
        <v>10594</v>
      </c>
      <c r="E3350" t="s">
        <v>10595</v>
      </c>
      <c r="F3350" t="s">
        <v>45</v>
      </c>
      <c r="G3350" t="str">
        <f>HYPERLINK("https://www.youtube.com/watch?v=I8ABCIwDKKk")</f>
        <v>https://www.youtube.com/watch?v=I8ABCIwDKKk</v>
      </c>
      <c r="H3350" t="s">
        <v>46</v>
      </c>
      <c r="I3350" t="s">
        <v>10596</v>
      </c>
      <c r="J3350" t="str">
        <f>HYPERLINK("https://www.youtube.com/channel/UCpZilXcBhrk5kfOak9Fpprg")</f>
        <v>https://www.youtube.com/channel/UCpZilXcBhrk5kfOak9Fpprg</v>
      </c>
      <c r="K3350">
        <v>17</v>
      </c>
      <c r="N3350" t="s">
        <v>116</v>
      </c>
      <c r="O3350" t="s">
        <v>10596</v>
      </c>
      <c r="P3350" t="str">
        <f>HYPERLINK("https://www.youtube.com/channel/UCpZilXcBhrk5kfOak9Fpprg")</f>
        <v>https://www.youtube.com/channel/UCpZilXcBhrk5kfOak9Fpprg</v>
      </c>
      <c r="Q3350">
        <v>17</v>
      </c>
      <c r="R3350" t="s">
        <v>60</v>
      </c>
      <c r="W3350">
        <v>0</v>
      </c>
      <c r="X3350">
        <v>0</v>
      </c>
      <c r="AD3350">
        <v>0</v>
      </c>
      <c r="AE3350">
        <v>0</v>
      </c>
      <c r="AG3350">
        <v>2</v>
      </c>
      <c r="AI3350" t="s">
        <v>52</v>
      </c>
      <c r="AJ3350" t="s">
        <v>52</v>
      </c>
      <c r="AK3350" t="s">
        <v>341</v>
      </c>
      <c r="AL3350" t="str">
        <f>HYPERLINK("https://i.ytimg.com/vi/I8ABCIwDKKk/sddefault.jpg")</f>
        <v>https://i.ytimg.com/vi/I8ABCIwDKKk/sddefault.jpg</v>
      </c>
      <c r="AM3350" t="s">
        <v>52</v>
      </c>
      <c r="AN3350" t="s">
        <v>53</v>
      </c>
    </row>
    <row r="3351" spans="1:40">
      <c r="A3351" t="s">
        <v>8081</v>
      </c>
      <c r="B3351" t="s">
        <v>5111</v>
      </c>
      <c r="C3351" t="s">
        <v>10597</v>
      </c>
      <c r="D3351" t="s">
        <v>52</v>
      </c>
      <c r="E3351" t="s">
        <v>10598</v>
      </c>
      <c r="F3351" t="s">
        <v>95</v>
      </c>
      <c r="G3351" t="str">
        <f>HYPERLINK("https://twitter.com/982849822993481729/status/1142864301960519680")</f>
        <v>https://twitter.com/982849822993481729/status/1142864301960519680</v>
      </c>
      <c r="H3351" t="s">
        <v>46</v>
      </c>
      <c r="I3351" t="s">
        <v>10599</v>
      </c>
      <c r="J3351" t="str">
        <f>HYPERLINK("http://twitter.com/MermaidGdez")</f>
        <v>http://twitter.com/MermaidGdez</v>
      </c>
      <c r="K3351">
        <v>12112</v>
      </c>
      <c r="N3351" t="s">
        <v>65</v>
      </c>
      <c r="R3351" t="s">
        <v>60</v>
      </c>
      <c r="S3351" t="s">
        <v>8774</v>
      </c>
      <c r="T3351" t="s">
        <v>8775</v>
      </c>
      <c r="U3351" t="s">
        <v>8776</v>
      </c>
      <c r="W3351">
        <v>0</v>
      </c>
      <c r="X3351">
        <v>0</v>
      </c>
      <c r="AE3351">
        <v>2</v>
      </c>
      <c r="AF3351">
        <v>1</v>
      </c>
      <c r="AM3351" t="s">
        <v>52</v>
      </c>
      <c r="AN3351" t="s">
        <v>53</v>
      </c>
    </row>
    <row r="3352" spans="1:40">
      <c r="A3352" t="s">
        <v>8081</v>
      </c>
      <c r="B3352" t="s">
        <v>5111</v>
      </c>
      <c r="C3352" t="s">
        <v>10597</v>
      </c>
      <c r="D3352" t="s">
        <v>52</v>
      </c>
      <c r="E3352" t="s">
        <v>3749</v>
      </c>
      <c r="F3352" t="s">
        <v>71</v>
      </c>
      <c r="G3352" t="str">
        <f>HYPERLINK("https://twitter.com/1107075966/status/1142864292909322240")</f>
        <v>https://twitter.com/1107075966/status/1142864292909322240</v>
      </c>
      <c r="H3352" t="s">
        <v>46</v>
      </c>
      <c r="I3352" t="s">
        <v>10600</v>
      </c>
      <c r="J3352" t="str">
        <f>HYPERLINK("http://twitter.com/AsanteML14")</f>
        <v>http://twitter.com/AsanteML14</v>
      </c>
      <c r="K3352">
        <v>112</v>
      </c>
      <c r="N3352" t="s">
        <v>65</v>
      </c>
      <c r="R3352" t="s">
        <v>60</v>
      </c>
      <c r="W3352">
        <v>0</v>
      </c>
      <c r="X3352">
        <v>0</v>
      </c>
      <c r="AE3352">
        <v>0</v>
      </c>
      <c r="AF3352">
        <v>0</v>
      </c>
      <c r="AI3352" t="s">
        <v>108</v>
      </c>
      <c r="AJ3352" t="s">
        <v>52</v>
      </c>
      <c r="AK3352" t="s">
        <v>52</v>
      </c>
      <c r="AL3352" t="str">
        <f>HYPERLINK("https://pbs.twimg.com/media/D9sAXHUX4AA6vJs.jpg")</f>
        <v>https://pbs.twimg.com/media/D9sAXHUX4AA6vJs.jpg</v>
      </c>
      <c r="AM3352" t="s">
        <v>52</v>
      </c>
      <c r="AN3352" t="s">
        <v>53</v>
      </c>
    </row>
    <row r="3353" spans="1:40">
      <c r="A3353" t="s">
        <v>8081</v>
      </c>
      <c r="B3353" t="s">
        <v>5111</v>
      </c>
      <c r="C3353" t="s">
        <v>10597</v>
      </c>
      <c r="D3353" t="s">
        <v>52</v>
      </c>
      <c r="E3353" t="s">
        <v>9023</v>
      </c>
      <c r="F3353" t="s">
        <v>131</v>
      </c>
      <c r="G3353" t="str">
        <f>HYPERLINK("https://twitter.com/1029167008024285185/status/1142864283157618688")</f>
        <v>https://twitter.com/1029167008024285185/status/1142864283157618688</v>
      </c>
      <c r="H3353" t="s">
        <v>46</v>
      </c>
      <c r="I3353" t="s">
        <v>10601</v>
      </c>
      <c r="J3353" t="str">
        <f>HYPERLINK("http://twitter.com/TAngelsDE")</f>
        <v>http://twitter.com/TAngelsDE</v>
      </c>
      <c r="K3353">
        <v>30</v>
      </c>
      <c r="L3353" t="s">
        <v>58</v>
      </c>
      <c r="N3353" t="s">
        <v>65</v>
      </c>
      <c r="R3353" t="s">
        <v>60</v>
      </c>
      <c r="W3353">
        <v>0</v>
      </c>
      <c r="X3353">
        <v>0</v>
      </c>
      <c r="AE3353">
        <v>0</v>
      </c>
      <c r="AI3353" t="s">
        <v>108</v>
      </c>
      <c r="AJ3353" t="s">
        <v>1182</v>
      </c>
      <c r="AK3353" t="s">
        <v>52</v>
      </c>
      <c r="AL3353" t="str">
        <f>HYPERLINK("https://pbs.twimg.com/media/D9tPJcrXoAAuJyr.jpg")</f>
        <v>https://pbs.twimg.com/media/D9tPJcrXoAAuJyr.jpg</v>
      </c>
      <c r="AM3353" t="s">
        <v>52</v>
      </c>
      <c r="AN3353" t="s">
        <v>53</v>
      </c>
    </row>
    <row r="3354" spans="1:40">
      <c r="A3354" t="s">
        <v>8081</v>
      </c>
      <c r="B3354" t="s">
        <v>5111</v>
      </c>
      <c r="C3354" t="s">
        <v>10597</v>
      </c>
      <c r="D3354" t="s">
        <v>52</v>
      </c>
      <c r="E3354" t="s">
        <v>10602</v>
      </c>
      <c r="F3354" t="s">
        <v>71</v>
      </c>
      <c r="G3354" t="str">
        <f>HYPERLINK("https://twitter.com/528003863/status/1142864279290486789")</f>
        <v>https://twitter.com/528003863/status/1142864279290486789</v>
      </c>
      <c r="H3354" t="s">
        <v>215</v>
      </c>
      <c r="I3354" t="s">
        <v>10603</v>
      </c>
      <c r="J3354" t="str">
        <f>HYPERLINK("http://twitter.com/BrendanKeeler19")</f>
        <v>http://twitter.com/BrendanKeeler19</v>
      </c>
      <c r="K3354">
        <v>1163</v>
      </c>
      <c r="L3354" t="s">
        <v>48</v>
      </c>
      <c r="N3354" t="s">
        <v>65</v>
      </c>
      <c r="R3354" t="s">
        <v>60</v>
      </c>
      <c r="S3354" t="s">
        <v>51</v>
      </c>
      <c r="T3354" t="s">
        <v>10604</v>
      </c>
      <c r="W3354">
        <v>1</v>
      </c>
      <c r="X3354">
        <v>1</v>
      </c>
      <c r="AE3354">
        <v>1</v>
      </c>
      <c r="AF3354">
        <v>0</v>
      </c>
      <c r="AM3354" t="s">
        <v>52</v>
      </c>
      <c r="AN3354" t="s">
        <v>53</v>
      </c>
    </row>
    <row r="3355" spans="1:40">
      <c r="A3355" t="s">
        <v>8081</v>
      </c>
      <c r="B3355" t="s">
        <v>5111</v>
      </c>
      <c r="C3355" t="s">
        <v>10597</v>
      </c>
      <c r="D3355" t="s">
        <v>52</v>
      </c>
      <c r="E3355" t="s">
        <v>10605</v>
      </c>
      <c r="F3355" t="s">
        <v>95</v>
      </c>
      <c r="G3355" t="str">
        <f>HYPERLINK("https://twitter.com/819680901110108161/status/1142864277746999297")</f>
        <v>https://twitter.com/819680901110108161/status/1142864277746999297</v>
      </c>
      <c r="H3355" t="s">
        <v>46</v>
      </c>
      <c r="I3355" t="s">
        <v>10606</v>
      </c>
      <c r="J3355" t="str">
        <f>HYPERLINK("http://twitter.com/bktexas83")</f>
        <v>http://twitter.com/bktexas83</v>
      </c>
      <c r="K3355">
        <v>477</v>
      </c>
      <c r="N3355" t="s">
        <v>65</v>
      </c>
      <c r="R3355" t="s">
        <v>60</v>
      </c>
      <c r="S3355" t="s">
        <v>51</v>
      </c>
      <c r="T3355" t="s">
        <v>66</v>
      </c>
      <c r="W3355">
        <v>1</v>
      </c>
      <c r="X3355">
        <v>1</v>
      </c>
      <c r="AE3355">
        <v>0</v>
      </c>
      <c r="AF3355">
        <v>0</v>
      </c>
      <c r="AM3355" t="s">
        <v>52</v>
      </c>
      <c r="AN3355" t="s">
        <v>53</v>
      </c>
    </row>
    <row r="3356" spans="1:40">
      <c r="A3356" t="s">
        <v>8081</v>
      </c>
      <c r="B3356" t="s">
        <v>5111</v>
      </c>
      <c r="C3356" t="s">
        <v>10597</v>
      </c>
      <c r="D3356" t="s">
        <v>52</v>
      </c>
      <c r="E3356" t="s">
        <v>3749</v>
      </c>
      <c r="F3356" t="s">
        <v>71</v>
      </c>
      <c r="G3356" t="str">
        <f>HYPERLINK("https://twitter.com/772818512318431237/status/1142864276811649029")</f>
        <v>https://twitter.com/772818512318431237/status/1142864276811649029</v>
      </c>
      <c r="H3356" t="s">
        <v>46</v>
      </c>
      <c r="I3356" t="s">
        <v>10607</v>
      </c>
      <c r="J3356" t="str">
        <f>HYPERLINK("http://twitter.com/TinoMufud")</f>
        <v>http://twitter.com/TinoMufud</v>
      </c>
      <c r="K3356">
        <v>804</v>
      </c>
      <c r="N3356" t="s">
        <v>65</v>
      </c>
      <c r="R3356" t="s">
        <v>60</v>
      </c>
      <c r="S3356" t="s">
        <v>1350</v>
      </c>
      <c r="T3356" t="s">
        <v>10608</v>
      </c>
      <c r="W3356">
        <v>0</v>
      </c>
      <c r="X3356">
        <v>0</v>
      </c>
      <c r="AE3356">
        <v>0</v>
      </c>
      <c r="AF3356">
        <v>0</v>
      </c>
      <c r="AI3356" t="s">
        <v>108</v>
      </c>
      <c r="AJ3356" t="s">
        <v>52</v>
      </c>
      <c r="AK3356" t="s">
        <v>52</v>
      </c>
      <c r="AL3356" t="str">
        <f>HYPERLINK("https://pbs.twimg.com/media/D9sAXHUX4AA6vJs.jpg")</f>
        <v>https://pbs.twimg.com/media/D9sAXHUX4AA6vJs.jpg</v>
      </c>
      <c r="AM3356" t="s">
        <v>52</v>
      </c>
      <c r="AN3356" t="s">
        <v>53</v>
      </c>
    </row>
    <row r="3357" spans="1:40">
      <c r="A3357" t="s">
        <v>8081</v>
      </c>
      <c r="B3357" t="s">
        <v>5111</v>
      </c>
      <c r="C3357" t="s">
        <v>10609</v>
      </c>
      <c r="D3357" t="s">
        <v>52</v>
      </c>
      <c r="E3357" t="s">
        <v>10610</v>
      </c>
      <c r="F3357" t="s">
        <v>45</v>
      </c>
      <c r="G3357" t="str">
        <f>HYPERLINK("https://www.instagram.com/p/BzEAUXfhumA")</f>
        <v>https://www.instagram.com/p/BzEAUXfhumA</v>
      </c>
      <c r="H3357" t="s">
        <v>46</v>
      </c>
      <c r="I3357" t="s">
        <v>10611</v>
      </c>
      <c r="J3357" t="str">
        <f>HYPERLINK("http://instagram.com/totobitsbybena")</f>
        <v>http://instagram.com/totobitsbybena</v>
      </c>
      <c r="K3357">
        <v>210</v>
      </c>
      <c r="N3357" t="s">
        <v>59</v>
      </c>
      <c r="O3357" t="s">
        <v>10611</v>
      </c>
      <c r="P3357" t="str">
        <f>HYPERLINK("http://instagram.com/totobitsbybena")</f>
        <v>http://instagram.com/totobitsbybena</v>
      </c>
      <c r="Q3357">
        <v>210</v>
      </c>
      <c r="R3357" t="s">
        <v>60</v>
      </c>
      <c r="S3357" t="s">
        <v>97</v>
      </c>
      <c r="T3357" t="s">
        <v>177</v>
      </c>
      <c r="U3357" t="s">
        <v>395</v>
      </c>
      <c r="W3357">
        <v>18</v>
      </c>
      <c r="X3357">
        <v>18</v>
      </c>
      <c r="AE3357">
        <v>5</v>
      </c>
      <c r="AI3357" t="s">
        <v>108</v>
      </c>
      <c r="AJ3357" t="s">
        <v>985</v>
      </c>
      <c r="AK3357" t="s">
        <v>52</v>
      </c>
      <c r="AL3357" t="str">
        <f>HYPERLINK("https://www.instagram.com/p/BzEAUXfhumA/media/?size=l")</f>
        <v>https://www.instagram.com/p/BzEAUXfhumA/media/?size=l</v>
      </c>
      <c r="AM3357" t="s">
        <v>52</v>
      </c>
      <c r="AN3357" t="s">
        <v>53</v>
      </c>
    </row>
    <row r="3358" spans="1:40">
      <c r="A3358" t="s">
        <v>8081</v>
      </c>
      <c r="B3358" t="s">
        <v>10612</v>
      </c>
      <c r="C3358" t="s">
        <v>10613</v>
      </c>
      <c r="D3358" t="s">
        <v>52</v>
      </c>
      <c r="E3358" t="s">
        <v>10614</v>
      </c>
      <c r="F3358" t="s">
        <v>45</v>
      </c>
      <c r="G3358" t="str">
        <f>HYPERLINK("https://www.instagram.com/p/BzEAJinJELc")</f>
        <v>https://www.instagram.com/p/BzEAJinJELc</v>
      </c>
      <c r="H3358" t="s">
        <v>46</v>
      </c>
      <c r="I3358" t="s">
        <v>10615</v>
      </c>
      <c r="J3358" t="str">
        <f>HYPERLINK("http://instagram.com/allycecaneat")</f>
        <v>http://instagram.com/allycecaneat</v>
      </c>
      <c r="K3358">
        <v>34</v>
      </c>
      <c r="N3358" t="s">
        <v>59</v>
      </c>
      <c r="O3358" t="s">
        <v>10615</v>
      </c>
      <c r="P3358" t="str">
        <f>HYPERLINK("http://instagram.com/allycecaneat")</f>
        <v>http://instagram.com/allycecaneat</v>
      </c>
      <c r="Q3358">
        <v>34</v>
      </c>
      <c r="R3358" t="s">
        <v>60</v>
      </c>
      <c r="W3358">
        <v>5</v>
      </c>
      <c r="X3358">
        <v>5</v>
      </c>
      <c r="AE3358">
        <v>0</v>
      </c>
      <c r="AI3358" t="s">
        <v>52</v>
      </c>
      <c r="AJ3358" t="s">
        <v>10616</v>
      </c>
      <c r="AK3358" t="s">
        <v>52</v>
      </c>
      <c r="AL3358" t="str">
        <f>HYPERLINK("https://www.instagram.com/p/BzEAJinJELc/media/?size=l")</f>
        <v>https://www.instagram.com/p/BzEAJinJELc/media/?size=l</v>
      </c>
      <c r="AM3358" t="s">
        <v>52</v>
      </c>
      <c r="AN3358" t="s">
        <v>53</v>
      </c>
    </row>
    <row r="3359" spans="1:40">
      <c r="A3359" t="s">
        <v>8081</v>
      </c>
      <c r="B3359" t="s">
        <v>10617</v>
      </c>
      <c r="C3359" t="s">
        <v>10618</v>
      </c>
      <c r="D3359" t="s">
        <v>10619</v>
      </c>
      <c r="E3359" t="s">
        <v>10620</v>
      </c>
      <c r="F3359" t="s">
        <v>45</v>
      </c>
      <c r="G3359" t="str">
        <f>HYPERLINK("https://www.youtube.com/watch?v=nOgZuXf6W8I")</f>
        <v>https://www.youtube.com/watch?v=nOgZuXf6W8I</v>
      </c>
      <c r="H3359" t="s">
        <v>46</v>
      </c>
      <c r="I3359" t="s">
        <v>10621</v>
      </c>
      <c r="J3359" t="str">
        <f>HYPERLINK("https://www.youtube.com/channel/UCPAQShqYCKoEarUpSpf8AdQ")</f>
        <v>https://www.youtube.com/channel/UCPAQShqYCKoEarUpSpf8AdQ</v>
      </c>
      <c r="K3359">
        <v>1</v>
      </c>
      <c r="N3359" t="s">
        <v>116</v>
      </c>
      <c r="O3359" t="s">
        <v>10621</v>
      </c>
      <c r="P3359" t="str">
        <f>HYPERLINK("https://www.youtube.com/channel/UCPAQShqYCKoEarUpSpf8AdQ")</f>
        <v>https://www.youtube.com/channel/UCPAQShqYCKoEarUpSpf8AdQ</v>
      </c>
      <c r="Q3359">
        <v>1</v>
      </c>
      <c r="R3359" t="s">
        <v>60</v>
      </c>
      <c r="W3359">
        <v>0</v>
      </c>
      <c r="X3359">
        <v>0</v>
      </c>
      <c r="AD3359">
        <v>0</v>
      </c>
      <c r="AE3359">
        <v>0</v>
      </c>
      <c r="AG3359">
        <v>1</v>
      </c>
      <c r="AI3359" t="s">
        <v>52</v>
      </c>
      <c r="AJ3359" t="s">
        <v>52</v>
      </c>
      <c r="AK3359" t="s">
        <v>2986</v>
      </c>
      <c r="AL3359" t="str">
        <f>HYPERLINK("https://i.ytimg.com/vi/nOgZuXf6W8I/sddefault.jpg")</f>
        <v>https://i.ytimg.com/vi/nOgZuXf6W8I/sddefault.jpg</v>
      </c>
      <c r="AM3359" t="s">
        <v>52</v>
      </c>
      <c r="AN3359" t="s">
        <v>53</v>
      </c>
    </row>
    <row r="3360" spans="1:40">
      <c r="A3360" t="s">
        <v>8081</v>
      </c>
      <c r="B3360" t="s">
        <v>10617</v>
      </c>
      <c r="C3360" t="s">
        <v>8250</v>
      </c>
      <c r="D3360" t="s">
        <v>52</v>
      </c>
      <c r="E3360" t="s">
        <v>10622</v>
      </c>
      <c r="F3360" t="s">
        <v>45</v>
      </c>
      <c r="G3360" t="str">
        <f>HYPERLINK("https://www.instagram.com/p/BzEABsHHEP2")</f>
        <v>https://www.instagram.com/p/BzEABsHHEP2</v>
      </c>
      <c r="H3360" t="s">
        <v>46</v>
      </c>
      <c r="I3360" t="s">
        <v>10623</v>
      </c>
      <c r="J3360" t="str">
        <f>HYPERLINK("http://instagram.com/checkered_egg")</f>
        <v>http://instagram.com/checkered_egg</v>
      </c>
      <c r="K3360">
        <v>645</v>
      </c>
      <c r="N3360" t="s">
        <v>59</v>
      </c>
      <c r="O3360" t="s">
        <v>10623</v>
      </c>
      <c r="P3360" t="str">
        <f>HYPERLINK("http://instagram.com/checkered_egg")</f>
        <v>http://instagram.com/checkered_egg</v>
      </c>
      <c r="Q3360">
        <v>645</v>
      </c>
      <c r="R3360" t="s">
        <v>60</v>
      </c>
      <c r="W3360">
        <v>70</v>
      </c>
      <c r="X3360">
        <v>70</v>
      </c>
      <c r="AE3360">
        <v>5</v>
      </c>
      <c r="AI3360" t="s">
        <v>108</v>
      </c>
      <c r="AJ3360" t="s">
        <v>458</v>
      </c>
      <c r="AK3360" t="s">
        <v>52</v>
      </c>
      <c r="AL3360" t="str">
        <f>HYPERLINK("https://www.instagram.com/p/BzEABsHHEP2/media/?size=l")</f>
        <v>https://www.instagram.com/p/BzEABsHHEP2/media/?size=l</v>
      </c>
      <c r="AM3360" t="s">
        <v>52</v>
      </c>
      <c r="AN3360" t="s">
        <v>53</v>
      </c>
    </row>
    <row r="3361" spans="1:40">
      <c r="A3361" t="s">
        <v>8081</v>
      </c>
      <c r="B3361" t="s">
        <v>10617</v>
      </c>
      <c r="C3361" t="s">
        <v>10624</v>
      </c>
      <c r="D3361" t="s">
        <v>52</v>
      </c>
      <c r="E3361" t="s">
        <v>10625</v>
      </c>
      <c r="F3361" t="s">
        <v>45</v>
      </c>
      <c r="G3361" t="str">
        <f>HYPERLINK("https://www.instagram.com/p/BzD_99XniHV")</f>
        <v>https://www.instagram.com/p/BzD_99XniHV</v>
      </c>
      <c r="H3361" t="s">
        <v>46</v>
      </c>
      <c r="I3361" t="s">
        <v>52</v>
      </c>
      <c r="J3361" t="str">
        <f>HYPERLINK("http://instagram.com/summer.767")</f>
        <v>http://instagram.com/summer.767</v>
      </c>
      <c r="K3361">
        <v>557</v>
      </c>
      <c r="N3361" t="s">
        <v>59</v>
      </c>
      <c r="O3361" t="s">
        <v>52</v>
      </c>
      <c r="P3361" t="str">
        <f>HYPERLINK("http://instagram.com/summer.767")</f>
        <v>http://instagram.com/summer.767</v>
      </c>
      <c r="Q3361">
        <v>557</v>
      </c>
      <c r="R3361" t="s">
        <v>60</v>
      </c>
      <c r="W3361">
        <v>21</v>
      </c>
      <c r="X3361">
        <v>21</v>
      </c>
      <c r="AE3361">
        <v>1</v>
      </c>
      <c r="AI3361" t="s">
        <v>108</v>
      </c>
      <c r="AJ3361" t="s">
        <v>52</v>
      </c>
      <c r="AK3361" t="s">
        <v>52</v>
      </c>
      <c r="AL3361" t="str">
        <f>HYPERLINK("https://www.instagram.com/p/BzD_99XniHV/media/?size=l")</f>
        <v>https://www.instagram.com/p/BzD_99XniHV/media/?size=l</v>
      </c>
      <c r="AM3361" t="s">
        <v>52</v>
      </c>
      <c r="AN3361" t="s">
        <v>53</v>
      </c>
    </row>
    <row r="3362" spans="1:40">
      <c r="A3362" t="s">
        <v>8081</v>
      </c>
      <c r="B3362" t="s">
        <v>5135</v>
      </c>
      <c r="C3362" t="s">
        <v>10626</v>
      </c>
      <c r="D3362" t="s">
        <v>52</v>
      </c>
      <c r="E3362" t="s">
        <v>10627</v>
      </c>
      <c r="F3362" t="s">
        <v>71</v>
      </c>
      <c r="G3362" t="str">
        <f>HYPERLINK("https://twitter.com/2523558362/status/1142863130516738050")</f>
        <v>https://twitter.com/2523558362/status/1142863130516738050</v>
      </c>
      <c r="H3362" t="s">
        <v>46</v>
      </c>
      <c r="I3362" t="s">
        <v>10628</v>
      </c>
      <c r="J3362" t="str">
        <f>HYPERLINK("http://twitter.com/jonnybjackin")</f>
        <v>http://twitter.com/jonnybjackin</v>
      </c>
      <c r="K3362">
        <v>968</v>
      </c>
      <c r="N3362" t="s">
        <v>65</v>
      </c>
      <c r="R3362" t="s">
        <v>60</v>
      </c>
      <c r="W3362">
        <v>4</v>
      </c>
      <c r="X3362">
        <v>4</v>
      </c>
      <c r="AE3362">
        <v>1</v>
      </c>
      <c r="AF3362">
        <v>2</v>
      </c>
      <c r="AM3362" t="s">
        <v>52</v>
      </c>
      <c r="AN3362" t="s">
        <v>53</v>
      </c>
    </row>
    <row r="3363" spans="1:40">
      <c r="A3363" t="s">
        <v>8081</v>
      </c>
      <c r="B3363" t="s">
        <v>5135</v>
      </c>
      <c r="C3363" t="s">
        <v>1242</v>
      </c>
      <c r="D3363" t="s">
        <v>10570</v>
      </c>
      <c r="E3363" t="s">
        <v>10629</v>
      </c>
      <c r="F3363" t="s">
        <v>45</v>
      </c>
      <c r="G3363" t="str">
        <f>HYPERLINK("https://8ch.net/pol/res/13422179.html#reply_13426487")</f>
        <v>https://8ch.net/pol/res/13422179.html#reply_13426487</v>
      </c>
      <c r="H3363" t="s">
        <v>46</v>
      </c>
      <c r="N3363" t="s">
        <v>10572</v>
      </c>
      <c r="O3363" t="s">
        <v>10573</v>
      </c>
      <c r="P3363" t="str">
        <f>HYPERLINK("https://8ch.net/tempest.html")</f>
        <v>https://8ch.net/tempest.html</v>
      </c>
      <c r="R3363" t="s">
        <v>516</v>
      </c>
      <c r="S3363" t="s">
        <v>51</v>
      </c>
      <c r="AM3363" t="s">
        <v>52</v>
      </c>
      <c r="AN3363" t="s">
        <v>53</v>
      </c>
    </row>
    <row r="3364" spans="1:40">
      <c r="A3364" t="s">
        <v>8081</v>
      </c>
      <c r="B3364" t="s">
        <v>10630</v>
      </c>
      <c r="C3364" t="s">
        <v>10631</v>
      </c>
      <c r="D3364" t="s">
        <v>52</v>
      </c>
      <c r="E3364" t="s">
        <v>10632</v>
      </c>
      <c r="F3364" t="s">
        <v>45</v>
      </c>
      <c r="G3364" t="str">
        <f>HYPERLINK("https://www.instagram.com/p/BzD_jtLh-_4")</f>
        <v>https://www.instagram.com/p/BzD_jtLh-_4</v>
      </c>
      <c r="H3364" t="s">
        <v>46</v>
      </c>
      <c r="I3364" t="s">
        <v>10633</v>
      </c>
      <c r="J3364" t="str">
        <f>HYPERLINK("http://instagram.com/nikkitasu")</f>
        <v>http://instagram.com/nikkitasu</v>
      </c>
      <c r="K3364">
        <v>1292</v>
      </c>
      <c r="N3364" t="s">
        <v>59</v>
      </c>
      <c r="O3364" t="s">
        <v>10633</v>
      </c>
      <c r="P3364" t="str">
        <f>HYPERLINK("http://instagram.com/nikkitasu")</f>
        <v>http://instagram.com/nikkitasu</v>
      </c>
      <c r="Q3364">
        <v>1292</v>
      </c>
      <c r="R3364" t="s">
        <v>60</v>
      </c>
      <c r="S3364" t="s">
        <v>437</v>
      </c>
      <c r="T3364" t="s">
        <v>529</v>
      </c>
      <c r="U3364" t="s">
        <v>10634</v>
      </c>
      <c r="W3364">
        <v>184</v>
      </c>
      <c r="X3364">
        <v>184</v>
      </c>
      <c r="AE3364">
        <v>7</v>
      </c>
      <c r="AI3364" t="s">
        <v>52</v>
      </c>
      <c r="AJ3364" t="s">
        <v>52</v>
      </c>
      <c r="AK3364" t="s">
        <v>10635</v>
      </c>
      <c r="AL3364" t="str">
        <f>HYPERLINK("https://www.instagram.com/p/BzD_jtLh-_4/media/?size=l")</f>
        <v>https://www.instagram.com/p/BzD_jtLh-_4/media/?size=l</v>
      </c>
      <c r="AM3364" t="s">
        <v>52</v>
      </c>
      <c r="AN3364" t="s">
        <v>53</v>
      </c>
    </row>
    <row r="3365" spans="1:40">
      <c r="A3365" t="s">
        <v>8081</v>
      </c>
      <c r="B3365" t="s">
        <v>10630</v>
      </c>
      <c r="C3365" t="s">
        <v>10636</v>
      </c>
      <c r="D3365" t="s">
        <v>52</v>
      </c>
      <c r="E3365" t="s">
        <v>10637</v>
      </c>
      <c r="F3365" t="s">
        <v>45</v>
      </c>
      <c r="G3365" t="str">
        <f>HYPERLINK("https://www.instagram.com/p/BzD_hZNHimB")</f>
        <v>https://www.instagram.com/p/BzD_hZNHimB</v>
      </c>
      <c r="H3365" t="s">
        <v>46</v>
      </c>
      <c r="I3365" t="s">
        <v>10638</v>
      </c>
      <c r="J3365" t="str">
        <f>HYPERLINK("http://instagram.com/emilyboo_official")</f>
        <v>http://instagram.com/emilyboo_official</v>
      </c>
      <c r="K3365">
        <v>11859</v>
      </c>
      <c r="L3365" t="s">
        <v>58</v>
      </c>
      <c r="N3365" t="s">
        <v>59</v>
      </c>
      <c r="O3365" t="s">
        <v>10638</v>
      </c>
      <c r="P3365" t="str">
        <f>HYPERLINK("http://instagram.com/emilyboo_official")</f>
        <v>http://instagram.com/emilyboo_official</v>
      </c>
      <c r="Q3365">
        <v>11859</v>
      </c>
      <c r="R3365" t="s">
        <v>60</v>
      </c>
      <c r="W3365">
        <v>501</v>
      </c>
      <c r="X3365">
        <v>501</v>
      </c>
      <c r="AE3365">
        <v>2</v>
      </c>
      <c r="AI3365" t="s">
        <v>52</v>
      </c>
      <c r="AJ3365" t="s">
        <v>10639</v>
      </c>
      <c r="AK3365" t="s">
        <v>10640</v>
      </c>
      <c r="AL3365" t="str">
        <f>HYPERLINK("https://www.instagram.com/p/BzD_hZNHimB/media/?size=l")</f>
        <v>https://www.instagram.com/p/BzD_hZNHimB/media/?size=l</v>
      </c>
      <c r="AM3365" t="s">
        <v>52</v>
      </c>
      <c r="AN3365" t="s">
        <v>53</v>
      </c>
    </row>
    <row r="3366" spans="1:40">
      <c r="A3366" t="s">
        <v>8081</v>
      </c>
      <c r="B3366" t="s">
        <v>10641</v>
      </c>
      <c r="C3366" t="s">
        <v>10642</v>
      </c>
      <c r="D3366" t="s">
        <v>52</v>
      </c>
      <c r="E3366" t="s">
        <v>10643</v>
      </c>
      <c r="F3366" t="s">
        <v>131</v>
      </c>
      <c r="G3366" t="str">
        <f>HYPERLINK("https://twitter.com/978809601503236098/status/1142862167898828807")</f>
        <v>https://twitter.com/978809601503236098/status/1142862167898828807</v>
      </c>
      <c r="H3366" t="s">
        <v>46</v>
      </c>
      <c r="I3366" t="s">
        <v>10644</v>
      </c>
      <c r="J3366" t="str">
        <f>HYPERLINK("http://twitter.com/neekswhy")</f>
        <v>http://twitter.com/neekswhy</v>
      </c>
      <c r="K3366">
        <v>16</v>
      </c>
      <c r="N3366" t="s">
        <v>65</v>
      </c>
      <c r="R3366" t="s">
        <v>60</v>
      </c>
      <c r="W3366">
        <v>0</v>
      </c>
      <c r="X3366">
        <v>0</v>
      </c>
      <c r="AE3366">
        <v>0</v>
      </c>
      <c r="AM3366" t="s">
        <v>52</v>
      </c>
      <c r="AN3366" t="s">
        <v>53</v>
      </c>
    </row>
    <row r="3367" spans="1:40">
      <c r="A3367" t="s">
        <v>8081</v>
      </c>
      <c r="B3367" t="s">
        <v>10641</v>
      </c>
      <c r="C3367" t="s">
        <v>10502</v>
      </c>
      <c r="D3367" t="s">
        <v>10645</v>
      </c>
      <c r="E3367" t="s">
        <v>10645</v>
      </c>
      <c r="F3367" t="s">
        <v>45</v>
      </c>
      <c r="G3367" t="str">
        <f>HYPERLINK("https://www.youtube.com/watch?v=vHbNImTAuiE")</f>
        <v>https://www.youtube.com/watch?v=vHbNImTAuiE</v>
      </c>
      <c r="H3367" t="s">
        <v>46</v>
      </c>
      <c r="I3367" t="s">
        <v>10646</v>
      </c>
      <c r="J3367" t="str">
        <f>HYPERLINK("https://www.youtube.com/channel/UCXoFaa29x6P1Xp3Xz0PGvXQ")</f>
        <v>https://www.youtube.com/channel/UCXoFaa29x6P1Xp3Xz0PGvXQ</v>
      </c>
      <c r="K3367">
        <v>11</v>
      </c>
      <c r="N3367" t="s">
        <v>116</v>
      </c>
      <c r="O3367" t="s">
        <v>10646</v>
      </c>
      <c r="P3367" t="str">
        <f>HYPERLINK("https://www.youtube.com/channel/UCXoFaa29x6P1Xp3Xz0PGvXQ")</f>
        <v>https://www.youtube.com/channel/UCXoFaa29x6P1Xp3Xz0PGvXQ</v>
      </c>
      <c r="Q3367">
        <v>11</v>
      </c>
      <c r="R3367" t="s">
        <v>60</v>
      </c>
      <c r="W3367">
        <v>0</v>
      </c>
      <c r="X3367">
        <v>0</v>
      </c>
      <c r="AD3367">
        <v>0</v>
      </c>
      <c r="AE3367">
        <v>0</v>
      </c>
      <c r="AG3367">
        <v>2</v>
      </c>
      <c r="AI3367" t="s">
        <v>52</v>
      </c>
      <c r="AJ3367" t="s">
        <v>52</v>
      </c>
      <c r="AK3367" t="s">
        <v>52</v>
      </c>
      <c r="AL3367" t="str">
        <f>HYPERLINK("https://i.ytimg.com/vi/vHbNImTAuiE/sddefault.jpg")</f>
        <v>https://i.ytimg.com/vi/vHbNImTAuiE/sddefault.jpg</v>
      </c>
      <c r="AM3367" t="s">
        <v>52</v>
      </c>
      <c r="AN3367" t="s">
        <v>53</v>
      </c>
    </row>
    <row r="3368" spans="1:40">
      <c r="A3368" t="s">
        <v>8081</v>
      </c>
      <c r="B3368" t="s">
        <v>5150</v>
      </c>
      <c r="C3368" t="s">
        <v>10647</v>
      </c>
      <c r="D3368" t="s">
        <v>52</v>
      </c>
      <c r="E3368" t="s">
        <v>6280</v>
      </c>
      <c r="F3368" t="s">
        <v>71</v>
      </c>
      <c r="G3368" t="str">
        <f>HYPERLINK("https://twitter.com/934348477705973760/status/1142862072776142849")</f>
        <v>https://twitter.com/934348477705973760/status/1142862072776142849</v>
      </c>
      <c r="H3368" t="s">
        <v>46</v>
      </c>
      <c r="I3368" t="s">
        <v>10648</v>
      </c>
      <c r="J3368" t="str">
        <f>HYPERLINK("http://twitter.com/Chay_Blac")</f>
        <v>http://twitter.com/Chay_Blac</v>
      </c>
      <c r="K3368">
        <v>213</v>
      </c>
      <c r="N3368" t="s">
        <v>65</v>
      </c>
      <c r="R3368" t="s">
        <v>60</v>
      </c>
      <c r="S3368" t="s">
        <v>1071</v>
      </c>
      <c r="T3368" t="s">
        <v>6398</v>
      </c>
      <c r="U3368" t="s">
        <v>9701</v>
      </c>
      <c r="W3368">
        <v>0</v>
      </c>
      <c r="X3368">
        <v>0</v>
      </c>
      <c r="AE3368">
        <v>0</v>
      </c>
      <c r="AF3368">
        <v>0</v>
      </c>
      <c r="AM3368" t="s">
        <v>52</v>
      </c>
      <c r="AN3368" t="s">
        <v>53</v>
      </c>
    </row>
    <row r="3369" spans="1:40">
      <c r="A3369" t="s">
        <v>8081</v>
      </c>
      <c r="B3369" t="s">
        <v>5150</v>
      </c>
      <c r="C3369" t="s">
        <v>10649</v>
      </c>
      <c r="D3369" t="s">
        <v>52</v>
      </c>
      <c r="E3369" t="s">
        <v>10650</v>
      </c>
      <c r="F3369" t="s">
        <v>45</v>
      </c>
      <c r="G3369" t="str">
        <f>HYPERLINK("https://www.instagram.com/p/BzD_WJmJ7jH")</f>
        <v>https://www.instagram.com/p/BzD_WJmJ7jH</v>
      </c>
      <c r="H3369" t="s">
        <v>46</v>
      </c>
      <c r="I3369" t="s">
        <v>10651</v>
      </c>
      <c r="J3369" t="str">
        <f>HYPERLINK("http://instagram.com/sushiroll.potato_spam")</f>
        <v>http://instagram.com/sushiroll.potato_spam</v>
      </c>
      <c r="K3369">
        <v>1</v>
      </c>
      <c r="N3369" t="s">
        <v>59</v>
      </c>
      <c r="O3369" t="s">
        <v>10651</v>
      </c>
      <c r="P3369" t="str">
        <f>HYPERLINK("http://instagram.com/sushiroll.potato_spam")</f>
        <v>http://instagram.com/sushiroll.potato_spam</v>
      </c>
      <c r="Q3369">
        <v>1</v>
      </c>
      <c r="R3369" t="s">
        <v>60</v>
      </c>
      <c r="W3369">
        <v>3</v>
      </c>
      <c r="X3369">
        <v>3</v>
      </c>
      <c r="AE3369">
        <v>0</v>
      </c>
      <c r="AI3369" t="s">
        <v>108</v>
      </c>
      <c r="AJ3369" t="s">
        <v>3551</v>
      </c>
      <c r="AK3369" t="s">
        <v>110</v>
      </c>
      <c r="AL3369" t="str">
        <f>HYPERLINK("https://www.instagram.com/p/BzD_WJmJ7jH/media/?size=l")</f>
        <v>https://www.instagram.com/p/BzD_WJmJ7jH/media/?size=l</v>
      </c>
      <c r="AM3369" t="s">
        <v>52</v>
      </c>
      <c r="AN3369" t="s">
        <v>53</v>
      </c>
    </row>
    <row r="3370" spans="1:40">
      <c r="A3370" t="s">
        <v>8081</v>
      </c>
      <c r="B3370" t="s">
        <v>5157</v>
      </c>
      <c r="C3370" t="s">
        <v>10652</v>
      </c>
      <c r="D3370" t="s">
        <v>52</v>
      </c>
      <c r="E3370" t="s">
        <v>10653</v>
      </c>
      <c r="F3370" t="s">
        <v>45</v>
      </c>
      <c r="G3370" t="str">
        <f>HYPERLINK("https://twitter.com/846393739874648064/status/1142861614724669442")</f>
        <v>https://twitter.com/846393739874648064/status/1142861614724669442</v>
      </c>
      <c r="H3370" t="s">
        <v>46</v>
      </c>
      <c r="I3370" t="s">
        <v>10654</v>
      </c>
      <c r="J3370" t="str">
        <f>HYPERLINK("http://twitter.com/ek_31_")</f>
        <v>http://twitter.com/ek_31_</v>
      </c>
      <c r="K3370">
        <v>163</v>
      </c>
      <c r="N3370" t="s">
        <v>65</v>
      </c>
      <c r="R3370" t="s">
        <v>60</v>
      </c>
      <c r="S3370" t="s">
        <v>51</v>
      </c>
      <c r="T3370" t="s">
        <v>199</v>
      </c>
      <c r="U3370" t="s">
        <v>848</v>
      </c>
      <c r="W3370">
        <v>4</v>
      </c>
      <c r="X3370">
        <v>4</v>
      </c>
      <c r="AE3370">
        <v>0</v>
      </c>
      <c r="AF3370">
        <v>0</v>
      </c>
      <c r="AM3370" t="s">
        <v>52</v>
      </c>
      <c r="AN3370" t="s">
        <v>53</v>
      </c>
    </row>
    <row r="3371" spans="1:40">
      <c r="A3371" t="s">
        <v>8081</v>
      </c>
      <c r="B3371" t="s">
        <v>5157</v>
      </c>
      <c r="C3371" t="s">
        <v>10642</v>
      </c>
      <c r="D3371" t="s">
        <v>52</v>
      </c>
      <c r="E3371" t="s">
        <v>10655</v>
      </c>
      <c r="F3371" t="s">
        <v>95</v>
      </c>
      <c r="G3371" t="str">
        <f>HYPERLINK("https://twitter.com/1079215374082760705/status/1142861534126903296")</f>
        <v>https://twitter.com/1079215374082760705/status/1142861534126903296</v>
      </c>
      <c r="H3371" t="s">
        <v>46</v>
      </c>
      <c r="I3371" t="s">
        <v>10656</v>
      </c>
      <c r="J3371" t="str">
        <f>HYPERLINK("http://twitter.com/phcses")</f>
        <v>http://twitter.com/phcses</v>
      </c>
      <c r="K3371">
        <v>242</v>
      </c>
      <c r="N3371" t="s">
        <v>65</v>
      </c>
      <c r="R3371" t="s">
        <v>60</v>
      </c>
      <c r="S3371" t="s">
        <v>97</v>
      </c>
      <c r="T3371" t="s">
        <v>177</v>
      </c>
      <c r="U3371" t="s">
        <v>395</v>
      </c>
      <c r="W3371">
        <v>0</v>
      </c>
      <c r="X3371">
        <v>0</v>
      </c>
      <c r="AE3371">
        <v>1</v>
      </c>
      <c r="AF3371">
        <v>0</v>
      </c>
      <c r="AM3371" t="s">
        <v>52</v>
      </c>
      <c r="AN3371" t="s">
        <v>53</v>
      </c>
    </row>
    <row r="3372" spans="1:40">
      <c r="A3372" t="s">
        <v>8081</v>
      </c>
      <c r="B3372" t="s">
        <v>5157</v>
      </c>
      <c r="C3372" t="s">
        <v>10657</v>
      </c>
      <c r="D3372" t="s">
        <v>52</v>
      </c>
      <c r="E3372" t="s">
        <v>10658</v>
      </c>
      <c r="F3372" t="s">
        <v>95</v>
      </c>
      <c r="G3372" t="str">
        <f>HYPERLINK("https://twitter.com/3249348341/status/1142861528036761601")</f>
        <v>https://twitter.com/3249348341/status/1142861528036761601</v>
      </c>
      <c r="H3372" t="s">
        <v>46</v>
      </c>
      <c r="I3372" t="s">
        <v>10659</v>
      </c>
      <c r="J3372" t="str">
        <f>HYPERLINK("http://twitter.com/JulietGuinazu")</f>
        <v>http://twitter.com/JulietGuinazu</v>
      </c>
      <c r="K3372">
        <v>1976</v>
      </c>
      <c r="N3372" t="s">
        <v>65</v>
      </c>
      <c r="R3372" t="s">
        <v>60</v>
      </c>
      <c r="W3372">
        <v>1</v>
      </c>
      <c r="X3372">
        <v>1</v>
      </c>
      <c r="AE3372">
        <v>1</v>
      </c>
      <c r="AF3372">
        <v>0</v>
      </c>
      <c r="AM3372" t="s">
        <v>52</v>
      </c>
      <c r="AN3372" t="s">
        <v>53</v>
      </c>
    </row>
    <row r="3373" spans="1:40">
      <c r="A3373" t="s">
        <v>8081</v>
      </c>
      <c r="B3373" t="s">
        <v>5157</v>
      </c>
      <c r="C3373" t="s">
        <v>10660</v>
      </c>
      <c r="D3373" t="s">
        <v>52</v>
      </c>
      <c r="E3373" t="s">
        <v>10661</v>
      </c>
      <c r="F3373" t="s">
        <v>45</v>
      </c>
      <c r="G3373" t="str">
        <f>HYPERLINK("https://www.facebook.com/1472496239649621/posts/2396185237280712")</f>
        <v>https://www.facebook.com/1472496239649621/posts/2396185237280712</v>
      </c>
      <c r="H3373" t="s">
        <v>46</v>
      </c>
      <c r="I3373" t="s">
        <v>10662</v>
      </c>
      <c r="J3373" t="str">
        <f>HYPERLINK("https://www.facebook.com/1472496239649621")</f>
        <v>https://www.facebook.com/1472496239649621</v>
      </c>
      <c r="K3373">
        <v>10102</v>
      </c>
      <c r="L3373" t="s">
        <v>651</v>
      </c>
      <c r="N3373" t="s">
        <v>1792</v>
      </c>
      <c r="O3373" t="s">
        <v>10662</v>
      </c>
      <c r="P3373" t="str">
        <f>HYPERLINK("https://www.facebook.com/1472496239649621")</f>
        <v>https://www.facebook.com/1472496239649621</v>
      </c>
      <c r="Q3373">
        <v>10102</v>
      </c>
      <c r="R3373" t="s">
        <v>60</v>
      </c>
      <c r="W3373">
        <v>23</v>
      </c>
      <c r="X3373">
        <v>16</v>
      </c>
      <c r="Y3373">
        <v>3</v>
      </c>
      <c r="Z3373">
        <v>0</v>
      </c>
      <c r="AA3373">
        <v>4</v>
      </c>
      <c r="AB3373">
        <v>0</v>
      </c>
      <c r="AC3373">
        <v>0</v>
      </c>
      <c r="AE3373">
        <v>5</v>
      </c>
      <c r="AF3373">
        <v>1</v>
      </c>
      <c r="AI3373" t="s">
        <v>52</v>
      </c>
      <c r="AJ3373" t="s">
        <v>10663</v>
      </c>
      <c r="AK3373" t="s">
        <v>52</v>
      </c>
      <c r="AL3373" t="str">
        <f>HYPERLINK("https://scontent.xx.fbcdn.net/v/t1.0-9/p720x720/64898292_2396185243947378_1145352784388816896_o.jpg?_nc_cat=104&amp;_nc_oc=AQn9cJDN_hObdFPuNHVgQqNDEdzAwS1xr-gdroy4PClHszJT09oMSGobEgyNi8cxBIM&amp;_nc_ht=scontent.xx&amp;oh=0cd8c3ad619371b8f656c9a54083a645&amp;oe=5DC2818D")</f>
        <v>https://scontent.xx.fbcdn.net/v/t1.0-9/p720x720/64898292_2396185243947378_1145352784388816896_o.jpg?_nc_cat=104&amp;_nc_oc=AQn9cJDN_hObdFPuNHVgQqNDEdzAwS1xr-gdroy4PClHszJT09oMSGobEgyNi8cxBIM&amp;_nc_ht=scontent.xx&amp;oh=0cd8c3ad619371b8f656c9a54083a645&amp;oe=5DC2818D</v>
      </c>
      <c r="AM3373" t="s">
        <v>52</v>
      </c>
      <c r="AN3373" t="s">
        <v>53</v>
      </c>
    </row>
    <row r="3374" spans="1:40">
      <c r="A3374" t="s">
        <v>8081</v>
      </c>
      <c r="B3374" t="s">
        <v>5157</v>
      </c>
      <c r="C3374" t="s">
        <v>10652</v>
      </c>
      <c r="D3374" t="s">
        <v>52</v>
      </c>
      <c r="E3374" t="s">
        <v>10664</v>
      </c>
      <c r="F3374" t="s">
        <v>45</v>
      </c>
      <c r="G3374" t="str">
        <f>HYPERLINK("https://www.instagram.com/p/BzD_GNbHjEB")</f>
        <v>https://www.instagram.com/p/BzD_GNbHjEB</v>
      </c>
      <c r="H3374" t="s">
        <v>46</v>
      </c>
      <c r="I3374" t="s">
        <v>10662</v>
      </c>
      <c r="J3374" t="str">
        <f>HYPERLINK("http://instagram.com/vegenation")</f>
        <v>http://instagram.com/vegenation</v>
      </c>
      <c r="K3374">
        <v>34983</v>
      </c>
      <c r="N3374" t="s">
        <v>59</v>
      </c>
      <c r="O3374" t="s">
        <v>10662</v>
      </c>
      <c r="P3374" t="str">
        <f>HYPERLINK("http://instagram.com/vegenation")</f>
        <v>http://instagram.com/vegenation</v>
      </c>
      <c r="Q3374">
        <v>34983</v>
      </c>
      <c r="R3374" t="s">
        <v>60</v>
      </c>
      <c r="S3374" t="s">
        <v>51</v>
      </c>
      <c r="T3374" t="s">
        <v>2420</v>
      </c>
      <c r="U3374" t="s">
        <v>10665</v>
      </c>
      <c r="W3374">
        <v>487</v>
      </c>
      <c r="X3374">
        <v>487</v>
      </c>
      <c r="AE3374">
        <v>27</v>
      </c>
      <c r="AI3374" t="s">
        <v>52</v>
      </c>
      <c r="AJ3374" t="s">
        <v>10663</v>
      </c>
      <c r="AK3374" t="s">
        <v>52</v>
      </c>
      <c r="AL3374" t="str">
        <f>HYPERLINK("https://www.instagram.com/p/BzD_GNbHjEB/media/?size=l")</f>
        <v>https://www.instagram.com/p/BzD_GNbHjEB/media/?size=l</v>
      </c>
      <c r="AM3374" t="s">
        <v>52</v>
      </c>
      <c r="AN3374" t="s">
        <v>53</v>
      </c>
    </row>
    <row r="3375" spans="1:40">
      <c r="A3375" t="s">
        <v>8081</v>
      </c>
      <c r="B3375" t="s">
        <v>5157</v>
      </c>
      <c r="C3375" t="s">
        <v>10652</v>
      </c>
      <c r="D3375" t="s">
        <v>52</v>
      </c>
      <c r="E3375" t="s">
        <v>10666</v>
      </c>
      <c r="F3375" t="s">
        <v>95</v>
      </c>
      <c r="G3375" t="str">
        <f>HYPERLINK("https://twitter.com/43634008/status/1142861408658497538")</f>
        <v>https://twitter.com/43634008/status/1142861408658497538</v>
      </c>
      <c r="H3375" t="s">
        <v>46</v>
      </c>
      <c r="I3375" t="s">
        <v>10667</v>
      </c>
      <c r="J3375" t="str">
        <f>HYPERLINK("http://twitter.com/Davo16")</f>
        <v>http://twitter.com/Davo16</v>
      </c>
      <c r="K3375">
        <v>442</v>
      </c>
      <c r="L3375" t="s">
        <v>48</v>
      </c>
      <c r="N3375" t="s">
        <v>65</v>
      </c>
      <c r="R3375" t="s">
        <v>60</v>
      </c>
      <c r="S3375" t="s">
        <v>142</v>
      </c>
      <c r="T3375" t="s">
        <v>9683</v>
      </c>
      <c r="U3375" t="s">
        <v>9684</v>
      </c>
      <c r="W3375">
        <v>2</v>
      </c>
      <c r="X3375">
        <v>2</v>
      </c>
      <c r="AE3375">
        <v>1</v>
      </c>
      <c r="AF3375">
        <v>0</v>
      </c>
      <c r="AM3375" t="s">
        <v>52</v>
      </c>
      <c r="AN3375" t="s">
        <v>53</v>
      </c>
    </row>
    <row r="3376" spans="1:40">
      <c r="A3376" t="s">
        <v>8081</v>
      </c>
      <c r="B3376" t="s">
        <v>10668</v>
      </c>
      <c r="C3376" t="s">
        <v>10652</v>
      </c>
      <c r="D3376" t="s">
        <v>52</v>
      </c>
      <c r="E3376" t="s">
        <v>10669</v>
      </c>
      <c r="F3376" t="s">
        <v>45</v>
      </c>
      <c r="G3376" t="str">
        <f>HYPERLINK("https://twitter.com/860248567587491840/status/1142861184565202947")</f>
        <v>https://twitter.com/860248567587491840/status/1142861184565202947</v>
      </c>
      <c r="H3376" t="s">
        <v>91</v>
      </c>
      <c r="I3376" t="s">
        <v>10670</v>
      </c>
      <c r="J3376" t="str">
        <f>HYPERLINK("http://twitter.com/foggychambie")</f>
        <v>http://twitter.com/foggychambie</v>
      </c>
      <c r="K3376">
        <v>2</v>
      </c>
      <c r="N3376" t="s">
        <v>65</v>
      </c>
      <c r="R3376" t="s">
        <v>60</v>
      </c>
      <c r="W3376">
        <v>5</v>
      </c>
      <c r="X3376">
        <v>5</v>
      </c>
      <c r="AE3376">
        <v>2</v>
      </c>
      <c r="AF3376">
        <v>0</v>
      </c>
      <c r="AM3376" t="s">
        <v>52</v>
      </c>
      <c r="AN3376" t="s">
        <v>53</v>
      </c>
    </row>
    <row r="3377" spans="1:40">
      <c r="A3377" t="s">
        <v>8081</v>
      </c>
      <c r="B3377" t="s">
        <v>5169</v>
      </c>
      <c r="C3377" t="s">
        <v>10671</v>
      </c>
      <c r="D3377" t="s">
        <v>52</v>
      </c>
      <c r="E3377" t="s">
        <v>10672</v>
      </c>
      <c r="F3377" t="s">
        <v>45</v>
      </c>
      <c r="G3377" t="str">
        <f>HYPERLINK("https://twitter.com/2892333004/status/1142860620255154182")</f>
        <v>https://twitter.com/2892333004/status/1142860620255154182</v>
      </c>
      <c r="H3377" t="s">
        <v>46</v>
      </c>
      <c r="I3377" t="s">
        <v>10673</v>
      </c>
      <c r="J3377" t="str">
        <f>HYPERLINK("http://twitter.com/MaTSHEEdiso_M")</f>
        <v>http://twitter.com/MaTSHEEdiso_M</v>
      </c>
      <c r="K3377">
        <v>4402</v>
      </c>
      <c r="N3377" t="s">
        <v>65</v>
      </c>
      <c r="R3377" t="s">
        <v>60</v>
      </c>
      <c r="S3377" t="s">
        <v>3121</v>
      </c>
      <c r="T3377" t="s">
        <v>3122</v>
      </c>
      <c r="U3377" t="s">
        <v>3123</v>
      </c>
      <c r="W3377">
        <v>0</v>
      </c>
      <c r="X3377">
        <v>0</v>
      </c>
      <c r="AE3377">
        <v>0</v>
      </c>
      <c r="AF3377">
        <v>0</v>
      </c>
      <c r="AM3377" t="s">
        <v>52</v>
      </c>
      <c r="AN3377" t="s">
        <v>53</v>
      </c>
    </row>
    <row r="3378" spans="1:40">
      <c r="A3378" t="s">
        <v>8081</v>
      </c>
      <c r="B3378" t="s">
        <v>5169</v>
      </c>
      <c r="C3378" t="s">
        <v>10674</v>
      </c>
      <c r="D3378" t="s">
        <v>10675</v>
      </c>
      <c r="E3378" t="s">
        <v>10676</v>
      </c>
      <c r="F3378" t="s">
        <v>45</v>
      </c>
      <c r="G3378" t="str">
        <f>HYPERLINK("https://nbonews.com/laffer-investments-has-decreased-pepsico-pep-stake-by-68-26-million-green-plains-renewable-energy-gpre-has-1-37-sentiment")</f>
        <v>https://nbonews.com/laffer-investments-has-decreased-pepsico-pep-stake-by-68-26-million-green-plains-renewable-energy-gpre-has-1-37-sentiment</v>
      </c>
      <c r="H3378" t="s">
        <v>46</v>
      </c>
      <c r="I3378" t="s">
        <v>10677</v>
      </c>
      <c r="J3378" t="str">
        <f>HYPERLINK("https://nbonews.com/laffer-investments-has-decreased-pepsico-pep-stake-by-68-26-million-green-plains-renewable-energy-gpre-has-1-37-sentiment/")</f>
        <v>https://nbonews.com/laffer-investments-has-decreased-pepsico-pep-stake-by-68-26-million-green-plains-renewable-energy-gpre-has-1-37-sentiment/</v>
      </c>
      <c r="N3378" t="s">
        <v>5590</v>
      </c>
      <c r="R3378" t="s">
        <v>357</v>
      </c>
      <c r="S3378" t="s">
        <v>51</v>
      </c>
      <c r="AI3378" t="s">
        <v>52</v>
      </c>
      <c r="AJ3378" t="s">
        <v>52</v>
      </c>
      <c r="AK3378" t="s">
        <v>52</v>
      </c>
      <c r="AL3378" t="str">
        <f>HYPERLINK("https://nbonews.com//wp-content/uploads/logos/Logos/PEP.png")</f>
        <v>https://nbonews.com//wp-content/uploads/logos/Logos/PEP.png</v>
      </c>
      <c r="AM3378" t="s">
        <v>52</v>
      </c>
      <c r="AN3378" t="s">
        <v>53</v>
      </c>
    </row>
    <row r="3379" spans="1:40">
      <c r="A3379" t="s">
        <v>8081</v>
      </c>
      <c r="B3379" t="s">
        <v>5169</v>
      </c>
      <c r="C3379" t="s">
        <v>10674</v>
      </c>
      <c r="D3379" t="s">
        <v>52</v>
      </c>
      <c r="E3379" t="s">
        <v>10678</v>
      </c>
      <c r="F3379" t="s">
        <v>71</v>
      </c>
      <c r="G3379" t="str">
        <f>HYPERLINK("https://twitter.com/83554681/status/1142860527779160070")</f>
        <v>https://twitter.com/83554681/status/1142860527779160070</v>
      </c>
      <c r="H3379" t="s">
        <v>46</v>
      </c>
      <c r="I3379" t="s">
        <v>10679</v>
      </c>
      <c r="J3379" t="str">
        <f>HYPERLINK("http://twitter.com/Pumzaz")</f>
        <v>http://twitter.com/Pumzaz</v>
      </c>
      <c r="K3379">
        <v>243</v>
      </c>
      <c r="N3379" t="s">
        <v>65</v>
      </c>
      <c r="R3379" t="s">
        <v>60</v>
      </c>
      <c r="S3379" t="s">
        <v>1071</v>
      </c>
      <c r="W3379">
        <v>1</v>
      </c>
      <c r="X3379">
        <v>1</v>
      </c>
      <c r="AE3379">
        <v>1</v>
      </c>
      <c r="AF3379">
        <v>0</v>
      </c>
      <c r="AM3379" t="s">
        <v>52</v>
      </c>
      <c r="AN3379" t="s">
        <v>53</v>
      </c>
    </row>
    <row r="3380" spans="1:40">
      <c r="A3380" t="s">
        <v>8081</v>
      </c>
      <c r="B3380" t="s">
        <v>5169</v>
      </c>
      <c r="C3380" t="s">
        <v>10674</v>
      </c>
      <c r="D3380" t="s">
        <v>52</v>
      </c>
      <c r="E3380" t="s">
        <v>10680</v>
      </c>
      <c r="F3380" t="s">
        <v>71</v>
      </c>
      <c r="G3380" t="str">
        <f>HYPERLINK("https://twitter.com/360661739/status/1142860498809081858")</f>
        <v>https://twitter.com/360661739/status/1142860498809081858</v>
      </c>
      <c r="H3380" t="s">
        <v>46</v>
      </c>
      <c r="I3380" t="s">
        <v>10681</v>
      </c>
      <c r="J3380" t="str">
        <f>HYPERLINK("http://twitter.com/Nokubkhum")</f>
        <v>http://twitter.com/Nokubkhum</v>
      </c>
      <c r="K3380">
        <v>489</v>
      </c>
      <c r="N3380" t="s">
        <v>65</v>
      </c>
      <c r="R3380" t="s">
        <v>60</v>
      </c>
      <c r="W3380">
        <v>0</v>
      </c>
      <c r="X3380">
        <v>0</v>
      </c>
      <c r="AE3380">
        <v>0</v>
      </c>
      <c r="AF3380">
        <v>0</v>
      </c>
      <c r="AM3380" t="s">
        <v>52</v>
      </c>
      <c r="AN3380" t="s">
        <v>53</v>
      </c>
    </row>
    <row r="3381" spans="1:40">
      <c r="A3381" t="s">
        <v>8081</v>
      </c>
      <c r="B3381" t="s">
        <v>5178</v>
      </c>
      <c r="C3381" t="s">
        <v>10652</v>
      </c>
      <c r="D3381" t="s">
        <v>52</v>
      </c>
      <c r="E3381" t="s">
        <v>10682</v>
      </c>
      <c r="F3381" t="s">
        <v>45</v>
      </c>
      <c r="G3381" t="str">
        <f>HYPERLINK("https://www.instagram.com/p/BzD-koYhoFb")</f>
        <v>https://www.instagram.com/p/BzD-koYhoFb</v>
      </c>
      <c r="H3381" t="s">
        <v>46</v>
      </c>
      <c r="I3381" t="s">
        <v>10683</v>
      </c>
      <c r="J3381" t="str">
        <f>HYPERLINK("http://instagram.com/angies_98")</f>
        <v>http://instagram.com/angies_98</v>
      </c>
      <c r="K3381">
        <v>907</v>
      </c>
      <c r="N3381" t="s">
        <v>59</v>
      </c>
      <c r="O3381" t="s">
        <v>10683</v>
      </c>
      <c r="P3381" t="str">
        <f>HYPERLINK("http://instagram.com/angies_98")</f>
        <v>http://instagram.com/angies_98</v>
      </c>
      <c r="Q3381">
        <v>907</v>
      </c>
      <c r="R3381" t="s">
        <v>60</v>
      </c>
      <c r="S3381" t="s">
        <v>437</v>
      </c>
      <c r="T3381" t="s">
        <v>3673</v>
      </c>
      <c r="U3381" t="s">
        <v>10684</v>
      </c>
      <c r="W3381">
        <v>115</v>
      </c>
      <c r="X3381">
        <v>115</v>
      </c>
      <c r="AE3381">
        <v>2</v>
      </c>
      <c r="AI3381" t="s">
        <v>52</v>
      </c>
      <c r="AJ3381" t="s">
        <v>10685</v>
      </c>
      <c r="AK3381" t="s">
        <v>2089</v>
      </c>
      <c r="AL3381" t="str">
        <f>HYPERLINK("https://www.instagram.com/p/BzD-koYhoFb/media/?size=l")</f>
        <v>https://www.instagram.com/p/BzD-koYhoFb/media/?size=l</v>
      </c>
      <c r="AM3381" t="s">
        <v>52</v>
      </c>
      <c r="AN3381" t="s">
        <v>53</v>
      </c>
    </row>
    <row r="3382" spans="1:40">
      <c r="A3382" t="s">
        <v>8081</v>
      </c>
      <c r="B3382" t="s">
        <v>5182</v>
      </c>
      <c r="C3382" t="s">
        <v>10674</v>
      </c>
      <c r="D3382" t="s">
        <v>10686</v>
      </c>
      <c r="E3382" t="s">
        <v>10687</v>
      </c>
      <c r="F3382" t="s">
        <v>45</v>
      </c>
      <c r="G3382" t="str">
        <f>HYPERLINK("https://www.thedad.com/this-viral-video-of-the-robot-uprising-is-fooling-tons-of-people")</f>
        <v>https://www.thedad.com/this-viral-video-of-the-robot-uprising-is-fooling-tons-of-people</v>
      </c>
      <c r="H3382" t="s">
        <v>46</v>
      </c>
      <c r="I3382" t="s">
        <v>4491</v>
      </c>
      <c r="J3382" t="str">
        <f>HYPERLINK("https://www.thedad.com/this-viral-video-of-the-robot-uprising-is-fooling-tons-of-people/")</f>
        <v>https://www.thedad.com/this-viral-video-of-the-robot-uprising-is-fooling-tons-of-people/</v>
      </c>
      <c r="N3382" t="s">
        <v>4492</v>
      </c>
      <c r="R3382" t="s">
        <v>357</v>
      </c>
      <c r="S3382" t="s">
        <v>51</v>
      </c>
      <c r="AI3382" t="s">
        <v>52</v>
      </c>
      <c r="AJ3382" t="s">
        <v>10688</v>
      </c>
      <c r="AK3382" t="s">
        <v>10689</v>
      </c>
      <c r="AL3382" t="str">
        <f>HYPERLINK("https://www.thedad.com/wp-content/uploads/2019/06/bosstown.jpg?w=640")</f>
        <v>https://www.thedad.com/wp-content/uploads/2019/06/bosstown.jpg?w=640</v>
      </c>
      <c r="AM3382" t="s">
        <v>52</v>
      </c>
      <c r="AN3382" t="s">
        <v>53</v>
      </c>
    </row>
    <row r="3383" spans="1:40">
      <c r="A3383" t="s">
        <v>8081</v>
      </c>
      <c r="B3383" t="s">
        <v>5182</v>
      </c>
      <c r="C3383" t="s">
        <v>10674</v>
      </c>
      <c r="D3383" t="s">
        <v>10690</v>
      </c>
      <c r="E3383" t="s">
        <v>10687</v>
      </c>
      <c r="F3383" t="s">
        <v>45</v>
      </c>
      <c r="G3383" t="str">
        <f>HYPERLINK("https://www.thedad.com/golfer-with-no-hands-just-won-his-clubs-championship")</f>
        <v>https://www.thedad.com/golfer-with-no-hands-just-won-his-clubs-championship</v>
      </c>
      <c r="H3383" t="s">
        <v>46</v>
      </c>
      <c r="I3383" t="s">
        <v>10691</v>
      </c>
      <c r="J3383" t="str">
        <f>HYPERLINK("https://www.thedad.com/golfer-with-no-hands-just-won-his-clubs-championship/")</f>
        <v>https://www.thedad.com/golfer-with-no-hands-just-won-his-clubs-championship/</v>
      </c>
      <c r="N3383" t="s">
        <v>4492</v>
      </c>
      <c r="R3383" t="s">
        <v>357</v>
      </c>
      <c r="S3383" t="s">
        <v>51</v>
      </c>
      <c r="AI3383" t="s">
        <v>52</v>
      </c>
      <c r="AJ3383" t="s">
        <v>3639</v>
      </c>
      <c r="AK3383" t="s">
        <v>10692</v>
      </c>
      <c r="AL3383" t="str">
        <f>HYPERLINK("https://www.thedad.com/wp-content/uploads/2019/06/golf.jpg?w=640")</f>
        <v>https://www.thedad.com/wp-content/uploads/2019/06/golf.jpg?w=640</v>
      </c>
      <c r="AM3383" t="s">
        <v>52</v>
      </c>
      <c r="AN3383" t="s">
        <v>53</v>
      </c>
    </row>
    <row r="3384" spans="1:40">
      <c r="A3384" t="s">
        <v>8081</v>
      </c>
      <c r="B3384" t="s">
        <v>10693</v>
      </c>
      <c r="C3384" t="s">
        <v>6338</v>
      </c>
      <c r="D3384" t="s">
        <v>52</v>
      </c>
      <c r="E3384" t="s">
        <v>10694</v>
      </c>
      <c r="F3384" t="s">
        <v>45</v>
      </c>
      <c r="G3384" t="str">
        <f>HYPERLINK("https://www.facebook.com/637283106482058/posts/1108534942690203")</f>
        <v>https://www.facebook.com/637283106482058/posts/1108534942690203</v>
      </c>
      <c r="H3384" t="s">
        <v>215</v>
      </c>
      <c r="I3384" t="s">
        <v>10695</v>
      </c>
      <c r="J3384" t="str">
        <f>HYPERLINK("https://www.facebook.com/637283106482058")</f>
        <v>https://www.facebook.com/637283106482058</v>
      </c>
      <c r="K3384">
        <v>12773</v>
      </c>
      <c r="L3384" t="s">
        <v>651</v>
      </c>
      <c r="N3384" t="s">
        <v>1792</v>
      </c>
      <c r="O3384" t="s">
        <v>10695</v>
      </c>
      <c r="P3384" t="str">
        <f>HYPERLINK("https://www.facebook.com/637283106482058")</f>
        <v>https://www.facebook.com/637283106482058</v>
      </c>
      <c r="Q3384">
        <v>12773</v>
      </c>
      <c r="R3384" t="s">
        <v>60</v>
      </c>
      <c r="S3384" t="s">
        <v>51</v>
      </c>
      <c r="W3384">
        <v>26</v>
      </c>
      <c r="X3384">
        <v>21</v>
      </c>
      <c r="Y3384">
        <v>3</v>
      </c>
      <c r="Z3384">
        <v>0</v>
      </c>
      <c r="AA3384">
        <v>2</v>
      </c>
      <c r="AB3384">
        <v>0</v>
      </c>
      <c r="AC3384">
        <v>0</v>
      </c>
      <c r="AE3384">
        <v>0</v>
      </c>
      <c r="AF3384">
        <v>0</v>
      </c>
      <c r="AI3384" t="s">
        <v>52</v>
      </c>
      <c r="AJ3384" t="s">
        <v>10696</v>
      </c>
      <c r="AK3384" t="s">
        <v>3462</v>
      </c>
      <c r="AL3384" t="str">
        <f>HYPERLINK("https://scontent.xx.fbcdn.net/v/t1.0-9/p720x720/26991649_795055564015362_5054270047034988240_n.jpg?_nc_cat=100&amp;_nc_oc=AQnuama9Iakj0lM-rgtNLwTXyfPUXXdo89i7JvlopgTaLfKxapDZBCZ8M6FpX6wgFxY&amp;_nc_ht=scontent.xx&amp;oh=0f002c1bb1015cf8b28d81eb06e7cbaa&amp;oe=5D90145C")</f>
        <v>https://scontent.xx.fbcdn.net/v/t1.0-9/p720x720/26991649_795055564015362_5054270047034988240_n.jpg?_nc_cat=100&amp;_nc_oc=AQnuama9Iakj0lM-rgtNLwTXyfPUXXdo89i7JvlopgTaLfKxapDZBCZ8M6FpX6wgFxY&amp;_nc_ht=scontent.xx&amp;oh=0f002c1bb1015cf8b28d81eb06e7cbaa&amp;oe=5D90145C</v>
      </c>
      <c r="AM3384" t="s">
        <v>52</v>
      </c>
      <c r="AN3384" t="s">
        <v>53</v>
      </c>
    </row>
    <row r="3385" spans="1:40">
      <c r="A3385" t="s">
        <v>8081</v>
      </c>
      <c r="B3385" t="s">
        <v>10693</v>
      </c>
      <c r="C3385" t="s">
        <v>10697</v>
      </c>
      <c r="D3385" t="s">
        <v>52</v>
      </c>
      <c r="E3385" t="s">
        <v>10698</v>
      </c>
      <c r="F3385" t="s">
        <v>95</v>
      </c>
      <c r="G3385" t="str">
        <f>HYPERLINK("https://twitter.com/72088792/status/1142859668336906240")</f>
        <v>https://twitter.com/72088792/status/1142859668336906240</v>
      </c>
      <c r="H3385" t="s">
        <v>215</v>
      </c>
      <c r="I3385" t="s">
        <v>10699</v>
      </c>
      <c r="J3385" t="str">
        <f>HYPERLINK("http://twitter.com/simpsonclans")</f>
        <v>http://twitter.com/simpsonclans</v>
      </c>
      <c r="K3385">
        <v>194</v>
      </c>
      <c r="N3385" t="s">
        <v>65</v>
      </c>
      <c r="R3385" t="s">
        <v>60</v>
      </c>
      <c r="S3385" t="s">
        <v>97</v>
      </c>
      <c r="T3385" t="s">
        <v>177</v>
      </c>
      <c r="W3385">
        <v>0</v>
      </c>
      <c r="X3385">
        <v>0</v>
      </c>
      <c r="AE3385">
        <v>0</v>
      </c>
      <c r="AF3385">
        <v>0</v>
      </c>
      <c r="AM3385" t="s">
        <v>52</v>
      </c>
      <c r="AN3385" t="s">
        <v>53</v>
      </c>
    </row>
    <row r="3386" spans="1:40">
      <c r="A3386" t="s">
        <v>8081</v>
      </c>
      <c r="B3386" t="s">
        <v>10700</v>
      </c>
      <c r="C3386" t="s">
        <v>10701</v>
      </c>
      <c r="D3386" t="s">
        <v>52</v>
      </c>
      <c r="E3386" t="s">
        <v>10702</v>
      </c>
      <c r="F3386" t="s">
        <v>131</v>
      </c>
      <c r="G3386" t="str">
        <f>HYPERLINK("https://twitter.com/598630403/status/1142859609864114181")</f>
        <v>https://twitter.com/598630403/status/1142859609864114181</v>
      </c>
      <c r="H3386" t="s">
        <v>46</v>
      </c>
      <c r="I3386" t="s">
        <v>52</v>
      </c>
      <c r="J3386" t="str">
        <f>HYPERLINK("http://twitter.com/kameroncarter")</f>
        <v>http://twitter.com/kameroncarter</v>
      </c>
      <c r="K3386">
        <v>9194</v>
      </c>
      <c r="N3386" t="s">
        <v>65</v>
      </c>
      <c r="R3386" t="s">
        <v>60</v>
      </c>
      <c r="S3386" t="s">
        <v>51</v>
      </c>
      <c r="T3386" t="s">
        <v>2923</v>
      </c>
      <c r="W3386">
        <v>0</v>
      </c>
      <c r="X3386">
        <v>0</v>
      </c>
      <c r="AE3386">
        <v>0</v>
      </c>
      <c r="AM3386" t="s">
        <v>52</v>
      </c>
      <c r="AN3386" t="s">
        <v>53</v>
      </c>
    </row>
    <row r="3387" spans="1:40">
      <c r="A3387" t="s">
        <v>8081</v>
      </c>
      <c r="B3387" t="s">
        <v>10700</v>
      </c>
      <c r="C3387" t="s">
        <v>10703</v>
      </c>
      <c r="D3387" t="s">
        <v>52</v>
      </c>
      <c r="E3387" t="s">
        <v>10704</v>
      </c>
      <c r="F3387" t="s">
        <v>45</v>
      </c>
      <c r="G3387" t="str">
        <f>HYPERLINK("https://www.instagram.com/p/BzD-NXOFbzK")</f>
        <v>https://www.instagram.com/p/BzD-NXOFbzK</v>
      </c>
      <c r="H3387" t="s">
        <v>46</v>
      </c>
      <c r="I3387" t="s">
        <v>4910</v>
      </c>
      <c r="J3387" t="str">
        <f>HYPERLINK("http://instagram.com/doritosoftheworld")</f>
        <v>http://instagram.com/doritosoftheworld</v>
      </c>
      <c r="K3387">
        <v>211</v>
      </c>
      <c r="N3387" t="s">
        <v>59</v>
      </c>
      <c r="O3387" t="s">
        <v>4910</v>
      </c>
      <c r="P3387" t="str">
        <f>HYPERLINK("http://instagram.com/doritosoftheworld")</f>
        <v>http://instagram.com/doritosoftheworld</v>
      </c>
      <c r="Q3387">
        <v>211</v>
      </c>
      <c r="R3387" t="s">
        <v>60</v>
      </c>
      <c r="W3387">
        <v>23</v>
      </c>
      <c r="X3387">
        <v>23</v>
      </c>
      <c r="AE3387">
        <v>0</v>
      </c>
      <c r="AI3387" t="s">
        <v>108</v>
      </c>
      <c r="AJ3387" t="s">
        <v>2828</v>
      </c>
      <c r="AK3387" t="s">
        <v>52</v>
      </c>
      <c r="AL3387" t="str">
        <f>HYPERLINK("https://www.instagram.com/p/BzD-NXOFbzK/media/?size=l")</f>
        <v>https://www.instagram.com/p/BzD-NXOFbzK/media/?size=l</v>
      </c>
      <c r="AM3387" t="s">
        <v>52</v>
      </c>
      <c r="AN3387" t="s">
        <v>53</v>
      </c>
    </row>
    <row r="3388" spans="1:40">
      <c r="A3388" t="s">
        <v>8081</v>
      </c>
      <c r="B3388" t="s">
        <v>10700</v>
      </c>
      <c r="C3388" t="s">
        <v>10703</v>
      </c>
      <c r="D3388" t="s">
        <v>52</v>
      </c>
      <c r="E3388" t="s">
        <v>6280</v>
      </c>
      <c r="F3388" t="s">
        <v>71</v>
      </c>
      <c r="G3388" t="str">
        <f>HYPERLINK("https://twitter.com/930802952/status/1142859416754110464")</f>
        <v>https://twitter.com/930802952/status/1142859416754110464</v>
      </c>
      <c r="H3388" t="s">
        <v>46</v>
      </c>
      <c r="I3388" t="s">
        <v>10705</v>
      </c>
      <c r="J3388" t="str">
        <f>HYPERLINK("http://twitter.com/Zimkhitha_")</f>
        <v>http://twitter.com/Zimkhitha_</v>
      </c>
      <c r="K3388">
        <v>3566</v>
      </c>
      <c r="N3388" t="s">
        <v>65</v>
      </c>
      <c r="R3388" t="s">
        <v>60</v>
      </c>
      <c r="S3388" t="s">
        <v>9586</v>
      </c>
      <c r="U3388" t="s">
        <v>9587</v>
      </c>
      <c r="W3388">
        <v>0</v>
      </c>
      <c r="X3388">
        <v>0</v>
      </c>
      <c r="AE3388">
        <v>0</v>
      </c>
      <c r="AF3388">
        <v>0</v>
      </c>
      <c r="AM3388" t="s">
        <v>52</v>
      </c>
      <c r="AN3388" t="s">
        <v>53</v>
      </c>
    </row>
    <row r="3389" spans="1:40">
      <c r="A3389" t="s">
        <v>8081</v>
      </c>
      <c r="B3389" t="s">
        <v>5191</v>
      </c>
      <c r="C3389" t="s">
        <v>10706</v>
      </c>
      <c r="D3389" t="s">
        <v>52</v>
      </c>
      <c r="E3389" t="s">
        <v>10707</v>
      </c>
      <c r="F3389" t="s">
        <v>71</v>
      </c>
      <c r="G3389" t="str">
        <f>HYPERLINK("https://twitter.com/127488615/status/1142859272558174208")</f>
        <v>https://twitter.com/127488615/status/1142859272558174208</v>
      </c>
      <c r="H3389" t="s">
        <v>215</v>
      </c>
      <c r="I3389" t="s">
        <v>10708</v>
      </c>
      <c r="J3389" t="str">
        <f>HYPERLINK("http://twitter.com/VuyiswaVilakazi")</f>
        <v>http://twitter.com/VuyiswaVilakazi</v>
      </c>
      <c r="K3389">
        <v>595</v>
      </c>
      <c r="N3389" t="s">
        <v>65</v>
      </c>
      <c r="R3389" t="s">
        <v>60</v>
      </c>
      <c r="S3389" t="s">
        <v>1071</v>
      </c>
      <c r="T3389" t="s">
        <v>1072</v>
      </c>
      <c r="U3389" t="s">
        <v>1073</v>
      </c>
      <c r="W3389">
        <v>0</v>
      </c>
      <c r="X3389">
        <v>0</v>
      </c>
      <c r="AE3389">
        <v>1</v>
      </c>
      <c r="AF3389">
        <v>0</v>
      </c>
      <c r="AM3389" t="s">
        <v>52</v>
      </c>
      <c r="AN3389" t="s">
        <v>53</v>
      </c>
    </row>
    <row r="3390" spans="1:40">
      <c r="A3390" t="s">
        <v>8081</v>
      </c>
      <c r="B3390" t="s">
        <v>10709</v>
      </c>
      <c r="C3390" t="s">
        <v>10710</v>
      </c>
      <c r="D3390" t="s">
        <v>52</v>
      </c>
      <c r="E3390" t="s">
        <v>10711</v>
      </c>
      <c r="F3390" t="s">
        <v>45</v>
      </c>
      <c r="G3390" t="str">
        <f>HYPERLINK("https://www.instagram.com/p/BzD950lntGX")</f>
        <v>https://www.instagram.com/p/BzD950lntGX</v>
      </c>
      <c r="H3390" t="s">
        <v>46</v>
      </c>
      <c r="I3390" t="s">
        <v>52</v>
      </c>
      <c r="J3390" t="str">
        <f>HYPERLINK("http://instagram.com/womens.intuations")</f>
        <v>http://instagram.com/womens.intuations</v>
      </c>
      <c r="K3390">
        <v>328</v>
      </c>
      <c r="N3390" t="s">
        <v>59</v>
      </c>
      <c r="O3390" t="s">
        <v>52</v>
      </c>
      <c r="P3390" t="str">
        <f>HYPERLINK("http://instagram.com/womens.intuations")</f>
        <v>http://instagram.com/womens.intuations</v>
      </c>
      <c r="Q3390">
        <v>328</v>
      </c>
      <c r="R3390" t="s">
        <v>60</v>
      </c>
      <c r="W3390">
        <v>8</v>
      </c>
      <c r="X3390">
        <v>8</v>
      </c>
      <c r="AE3390">
        <v>0</v>
      </c>
      <c r="AI3390" t="s">
        <v>52</v>
      </c>
      <c r="AJ3390" t="s">
        <v>52</v>
      </c>
      <c r="AK3390" t="s">
        <v>52</v>
      </c>
      <c r="AL3390" t="str">
        <f>HYPERLINK("https://www.instagram.com/p/BzD950lntGX/media/?size=l")</f>
        <v>https://www.instagram.com/p/BzD950lntGX/media/?size=l</v>
      </c>
      <c r="AM3390" t="s">
        <v>52</v>
      </c>
      <c r="AN3390" t="s">
        <v>53</v>
      </c>
    </row>
    <row r="3391" spans="1:40">
      <c r="A3391" t="s">
        <v>8081</v>
      </c>
      <c r="B3391" t="s">
        <v>10709</v>
      </c>
      <c r="C3391" t="s">
        <v>8282</v>
      </c>
      <c r="D3391" t="s">
        <v>52</v>
      </c>
      <c r="E3391" t="s">
        <v>10712</v>
      </c>
      <c r="F3391" t="s">
        <v>45</v>
      </c>
      <c r="G3391" t="str">
        <f>HYPERLINK("https://www.instagram.com/p/BzD90pWp49G")</f>
        <v>https://www.instagram.com/p/BzD90pWp49G</v>
      </c>
      <c r="H3391" t="s">
        <v>46</v>
      </c>
      <c r="I3391" t="s">
        <v>10713</v>
      </c>
      <c r="J3391" t="str">
        <f>HYPERLINK("http://instagram.com/asiaspamaccount_")</f>
        <v>http://instagram.com/asiaspamaccount_</v>
      </c>
      <c r="K3391">
        <v>16</v>
      </c>
      <c r="N3391" t="s">
        <v>59</v>
      </c>
      <c r="O3391" t="s">
        <v>10713</v>
      </c>
      <c r="P3391" t="str">
        <f>HYPERLINK("http://instagram.com/asiaspamaccount_")</f>
        <v>http://instagram.com/asiaspamaccount_</v>
      </c>
      <c r="Q3391">
        <v>16</v>
      </c>
      <c r="R3391" t="s">
        <v>60</v>
      </c>
      <c r="W3391">
        <v>2</v>
      </c>
      <c r="X3391">
        <v>2</v>
      </c>
      <c r="AE3391">
        <v>0</v>
      </c>
      <c r="AI3391" t="s">
        <v>108</v>
      </c>
      <c r="AJ3391" t="s">
        <v>10714</v>
      </c>
      <c r="AK3391" t="s">
        <v>52</v>
      </c>
      <c r="AL3391" t="str">
        <f>HYPERLINK("https://www.instagram.com/p/BzD90pWp49G/media/?size=l")</f>
        <v>https://www.instagram.com/p/BzD90pWp49G/media/?size=l</v>
      </c>
      <c r="AM3391" t="s">
        <v>52</v>
      </c>
      <c r="AN3391" t="s">
        <v>53</v>
      </c>
    </row>
    <row r="3392" spans="1:40">
      <c r="A3392" t="s">
        <v>8081</v>
      </c>
      <c r="B3392" t="s">
        <v>5209</v>
      </c>
      <c r="C3392" t="s">
        <v>10701</v>
      </c>
      <c r="D3392" t="s">
        <v>52</v>
      </c>
      <c r="E3392" t="s">
        <v>10715</v>
      </c>
      <c r="F3392" t="s">
        <v>71</v>
      </c>
      <c r="G3392" t="str">
        <f>HYPERLINK("https://twitter.com/3021429104/status/1142858515846979584")</f>
        <v>https://twitter.com/3021429104/status/1142858515846979584</v>
      </c>
      <c r="H3392" t="s">
        <v>46</v>
      </c>
      <c r="I3392" t="s">
        <v>10716</v>
      </c>
      <c r="J3392" t="str">
        <f>HYPERLINK("http://twitter.com/_shampagne1")</f>
        <v>http://twitter.com/_shampagne1</v>
      </c>
      <c r="K3392">
        <v>1690</v>
      </c>
      <c r="N3392" t="s">
        <v>65</v>
      </c>
      <c r="R3392" t="s">
        <v>60</v>
      </c>
      <c r="W3392">
        <v>2</v>
      </c>
      <c r="X3392">
        <v>2</v>
      </c>
      <c r="AE3392">
        <v>1</v>
      </c>
      <c r="AF3392">
        <v>0</v>
      </c>
      <c r="AM3392" t="s">
        <v>52</v>
      </c>
      <c r="AN3392" t="s">
        <v>53</v>
      </c>
    </row>
    <row r="3393" spans="1:40">
      <c r="A3393" t="s">
        <v>8081</v>
      </c>
      <c r="B3393" t="s">
        <v>5209</v>
      </c>
      <c r="C3393" t="s">
        <v>10701</v>
      </c>
      <c r="D3393" t="s">
        <v>52</v>
      </c>
      <c r="E3393" t="s">
        <v>10717</v>
      </c>
      <c r="F3393" t="s">
        <v>45</v>
      </c>
      <c r="G3393" t="str">
        <f>HYPERLINK("https://twitter.com/866726935/status/1142858515968663553")</f>
        <v>https://twitter.com/866726935/status/1142858515968663553</v>
      </c>
      <c r="H3393" t="s">
        <v>46</v>
      </c>
      <c r="I3393" t="s">
        <v>10718</v>
      </c>
      <c r="J3393" t="str">
        <f>HYPERLINK("http://twitter.com/ksoo_txt")</f>
        <v>http://twitter.com/ksoo_txt</v>
      </c>
      <c r="K3393">
        <v>274</v>
      </c>
      <c r="N3393" t="s">
        <v>65</v>
      </c>
      <c r="R3393" t="s">
        <v>60</v>
      </c>
      <c r="S3393" t="s">
        <v>156</v>
      </c>
      <c r="T3393" t="s">
        <v>2067</v>
      </c>
      <c r="U3393" t="s">
        <v>10719</v>
      </c>
      <c r="W3393">
        <v>1</v>
      </c>
      <c r="X3393">
        <v>1</v>
      </c>
      <c r="AE3393">
        <v>0</v>
      </c>
      <c r="AF3393">
        <v>0</v>
      </c>
      <c r="AM3393" t="s">
        <v>52</v>
      </c>
      <c r="AN3393" t="s">
        <v>53</v>
      </c>
    </row>
    <row r="3394" spans="1:40">
      <c r="A3394" t="s">
        <v>8081</v>
      </c>
      <c r="B3394" t="s">
        <v>5209</v>
      </c>
      <c r="C3394" t="s">
        <v>10674</v>
      </c>
      <c r="D3394" t="s">
        <v>52</v>
      </c>
      <c r="E3394" t="s">
        <v>10720</v>
      </c>
      <c r="F3394" t="s">
        <v>45</v>
      </c>
      <c r="G3394" t="str">
        <f>HYPERLINK("https://twitter.com/2556172512/status/1142858500659404801")</f>
        <v>https://twitter.com/2556172512/status/1142858500659404801</v>
      </c>
      <c r="H3394" t="s">
        <v>46</v>
      </c>
      <c r="I3394" t="s">
        <v>10721</v>
      </c>
      <c r="J3394" t="str">
        <f>HYPERLINK("http://twitter.com/NatiiFalcon65")</f>
        <v>http://twitter.com/NatiiFalcon65</v>
      </c>
      <c r="K3394">
        <v>1052</v>
      </c>
      <c r="N3394" t="s">
        <v>65</v>
      </c>
      <c r="R3394" t="s">
        <v>60</v>
      </c>
      <c r="S3394" t="s">
        <v>710</v>
      </c>
      <c r="W3394">
        <v>0</v>
      </c>
      <c r="X3394">
        <v>0</v>
      </c>
      <c r="AE3394">
        <v>0</v>
      </c>
      <c r="AF3394">
        <v>0</v>
      </c>
      <c r="AM3394" t="s">
        <v>52</v>
      </c>
      <c r="AN3394" t="s">
        <v>53</v>
      </c>
    </row>
    <row r="3395" spans="1:40">
      <c r="A3395" t="s">
        <v>8081</v>
      </c>
      <c r="B3395" t="s">
        <v>5209</v>
      </c>
      <c r="C3395" t="s">
        <v>10674</v>
      </c>
      <c r="D3395" t="s">
        <v>52</v>
      </c>
      <c r="E3395" t="s">
        <v>3749</v>
      </c>
      <c r="F3395" t="s">
        <v>71</v>
      </c>
      <c r="G3395" t="str">
        <f>HYPERLINK("https://twitter.com/971978290251493376/status/1142858486809858049")</f>
        <v>https://twitter.com/971978290251493376/status/1142858486809858049</v>
      </c>
      <c r="H3395" t="s">
        <v>46</v>
      </c>
      <c r="I3395" t="s">
        <v>10722</v>
      </c>
      <c r="J3395" t="str">
        <f>HYPERLINK("http://twitter.com/BakhoSekete")</f>
        <v>http://twitter.com/BakhoSekete</v>
      </c>
      <c r="K3395">
        <v>316</v>
      </c>
      <c r="N3395" t="s">
        <v>65</v>
      </c>
      <c r="R3395" t="s">
        <v>60</v>
      </c>
      <c r="S3395" t="s">
        <v>1071</v>
      </c>
      <c r="T3395" t="s">
        <v>6398</v>
      </c>
      <c r="U3395" t="s">
        <v>9701</v>
      </c>
      <c r="W3395">
        <v>0</v>
      </c>
      <c r="X3395">
        <v>0</v>
      </c>
      <c r="AE3395">
        <v>0</v>
      </c>
      <c r="AF3395">
        <v>0</v>
      </c>
      <c r="AI3395" t="s">
        <v>108</v>
      </c>
      <c r="AJ3395" t="s">
        <v>52</v>
      </c>
      <c r="AK3395" t="s">
        <v>52</v>
      </c>
      <c r="AL3395" t="str">
        <f>HYPERLINK("https://pbs.twimg.com/media/D9sAXHUX4AA6vJs.jpg")</f>
        <v>https://pbs.twimg.com/media/D9sAXHUX4AA6vJs.jpg</v>
      </c>
      <c r="AM3395" t="s">
        <v>52</v>
      </c>
      <c r="AN3395" t="s">
        <v>53</v>
      </c>
    </row>
    <row r="3396" spans="1:40">
      <c r="A3396" t="s">
        <v>8081</v>
      </c>
      <c r="B3396" t="s">
        <v>5209</v>
      </c>
      <c r="C3396" t="s">
        <v>10674</v>
      </c>
      <c r="D3396" t="s">
        <v>52</v>
      </c>
      <c r="E3396" t="s">
        <v>10723</v>
      </c>
      <c r="F3396" t="s">
        <v>71</v>
      </c>
      <c r="G3396" t="str">
        <f>HYPERLINK("https://twitter.com/598630403/status/1142858485580869632")</f>
        <v>https://twitter.com/598630403/status/1142858485580869632</v>
      </c>
      <c r="H3396" t="s">
        <v>46</v>
      </c>
      <c r="I3396" t="s">
        <v>52</v>
      </c>
      <c r="J3396" t="str">
        <f>HYPERLINK("http://twitter.com/kameroncarter")</f>
        <v>http://twitter.com/kameroncarter</v>
      </c>
      <c r="K3396">
        <v>9194</v>
      </c>
      <c r="N3396" t="s">
        <v>65</v>
      </c>
      <c r="R3396" t="s">
        <v>60</v>
      </c>
      <c r="S3396" t="s">
        <v>51</v>
      </c>
      <c r="T3396" t="s">
        <v>2923</v>
      </c>
      <c r="W3396">
        <v>0</v>
      </c>
      <c r="X3396">
        <v>0</v>
      </c>
      <c r="AE3396">
        <v>0</v>
      </c>
      <c r="AF3396">
        <v>0</v>
      </c>
      <c r="AM3396" t="s">
        <v>52</v>
      </c>
      <c r="AN3396" t="s">
        <v>53</v>
      </c>
    </row>
    <row r="3397" spans="1:40">
      <c r="A3397" t="s">
        <v>8081</v>
      </c>
      <c r="B3397" t="s">
        <v>5209</v>
      </c>
      <c r="C3397" t="s">
        <v>10671</v>
      </c>
      <c r="D3397" t="s">
        <v>52</v>
      </c>
      <c r="E3397" t="s">
        <v>10724</v>
      </c>
      <c r="F3397" t="s">
        <v>131</v>
      </c>
      <c r="G3397" t="str">
        <f>HYPERLINK("https://twitter.com/1104059990933815299/status/1142858464974102528")</f>
        <v>https://twitter.com/1104059990933815299/status/1142858464974102528</v>
      </c>
      <c r="H3397" t="s">
        <v>46</v>
      </c>
      <c r="I3397" t="s">
        <v>10725</v>
      </c>
      <c r="J3397" t="str">
        <f>HYPERLINK("http://twitter.com/dddoloreesss")</f>
        <v>http://twitter.com/dddoloreesss</v>
      </c>
      <c r="K3397">
        <v>1776</v>
      </c>
      <c r="N3397" t="s">
        <v>65</v>
      </c>
      <c r="R3397" t="s">
        <v>60</v>
      </c>
      <c r="W3397">
        <v>0</v>
      </c>
      <c r="X3397">
        <v>0</v>
      </c>
      <c r="AE3397">
        <v>0</v>
      </c>
      <c r="AM3397" t="s">
        <v>52</v>
      </c>
      <c r="AN3397" t="s">
        <v>53</v>
      </c>
    </row>
    <row r="3398" spans="1:40">
      <c r="A3398" t="s">
        <v>8081</v>
      </c>
      <c r="B3398" t="s">
        <v>5209</v>
      </c>
      <c r="C3398" t="s">
        <v>10710</v>
      </c>
      <c r="D3398" t="s">
        <v>52</v>
      </c>
      <c r="E3398" t="s">
        <v>10726</v>
      </c>
      <c r="F3398" t="s">
        <v>45</v>
      </c>
      <c r="G3398" t="str">
        <f>HYPERLINK("https://twitter.com/484447946/status/1142858385504788482")</f>
        <v>https://twitter.com/484447946/status/1142858385504788482</v>
      </c>
      <c r="H3398" t="s">
        <v>215</v>
      </c>
      <c r="I3398" t="s">
        <v>10727</v>
      </c>
      <c r="J3398" t="str">
        <f>HYPERLINK("http://twitter.com/NoHoessNass")</f>
        <v>http://twitter.com/NoHoessNass</v>
      </c>
      <c r="K3398">
        <v>76</v>
      </c>
      <c r="L3398" t="s">
        <v>48</v>
      </c>
      <c r="N3398" t="s">
        <v>65</v>
      </c>
      <c r="R3398" t="s">
        <v>60</v>
      </c>
      <c r="S3398" t="s">
        <v>51</v>
      </c>
      <c r="T3398" t="s">
        <v>380</v>
      </c>
      <c r="U3398" t="s">
        <v>380</v>
      </c>
      <c r="W3398">
        <v>1</v>
      </c>
      <c r="X3398">
        <v>1</v>
      </c>
      <c r="AE3398">
        <v>0</v>
      </c>
      <c r="AF3398">
        <v>0</v>
      </c>
      <c r="AM3398" t="s">
        <v>52</v>
      </c>
      <c r="AN3398" t="s">
        <v>53</v>
      </c>
    </row>
    <row r="3399" spans="1:40">
      <c r="A3399" t="s">
        <v>8081</v>
      </c>
      <c r="B3399" t="s">
        <v>5213</v>
      </c>
      <c r="C3399" t="s">
        <v>10728</v>
      </c>
      <c r="D3399" t="s">
        <v>52</v>
      </c>
      <c r="E3399" t="s">
        <v>10729</v>
      </c>
      <c r="F3399" t="s">
        <v>45</v>
      </c>
      <c r="G3399" t="str">
        <f>HYPERLINK("https://twitter.com/1072346202530869248/status/1142858256072794114")</f>
        <v>https://twitter.com/1072346202530869248/status/1142858256072794114</v>
      </c>
      <c r="H3399" t="s">
        <v>46</v>
      </c>
      <c r="I3399" t="s">
        <v>10730</v>
      </c>
      <c r="J3399" t="str">
        <f>HYPERLINK("http://twitter.com/kiaraloren3")</f>
        <v>http://twitter.com/kiaraloren3</v>
      </c>
      <c r="K3399">
        <v>22</v>
      </c>
      <c r="N3399" t="s">
        <v>65</v>
      </c>
      <c r="R3399" t="s">
        <v>60</v>
      </c>
      <c r="W3399">
        <v>2</v>
      </c>
      <c r="X3399">
        <v>2</v>
      </c>
      <c r="AE3399">
        <v>0</v>
      </c>
      <c r="AF3399">
        <v>0</v>
      </c>
      <c r="AM3399" t="s">
        <v>52</v>
      </c>
      <c r="AN3399" t="s">
        <v>53</v>
      </c>
    </row>
    <row r="3400" spans="1:40">
      <c r="A3400" t="s">
        <v>8081</v>
      </c>
      <c r="B3400" t="s">
        <v>10731</v>
      </c>
      <c r="C3400" t="s">
        <v>10732</v>
      </c>
      <c r="D3400" t="s">
        <v>52</v>
      </c>
      <c r="E3400" t="s">
        <v>10733</v>
      </c>
      <c r="F3400" t="s">
        <v>45</v>
      </c>
      <c r="G3400" t="str">
        <f>HYPERLINK("https://www.instagram.com/p/BzD86YZFPyU")</f>
        <v>https://www.instagram.com/p/BzD86YZFPyU</v>
      </c>
      <c r="H3400" t="s">
        <v>46</v>
      </c>
      <c r="I3400" t="s">
        <v>10734</v>
      </c>
      <c r="J3400" t="str">
        <f>HYPERLINK("http://instagram.com/convenienciabuzios")</f>
        <v>http://instagram.com/convenienciabuzios</v>
      </c>
      <c r="K3400">
        <v>2038</v>
      </c>
      <c r="N3400" t="s">
        <v>59</v>
      </c>
      <c r="O3400" t="s">
        <v>10734</v>
      </c>
      <c r="P3400" t="str">
        <f>HYPERLINK("http://instagram.com/convenienciabuzios")</f>
        <v>http://instagram.com/convenienciabuzios</v>
      </c>
      <c r="Q3400">
        <v>2038</v>
      </c>
      <c r="R3400" t="s">
        <v>60</v>
      </c>
      <c r="S3400" t="s">
        <v>432</v>
      </c>
      <c r="T3400" t="s">
        <v>2756</v>
      </c>
      <c r="U3400" t="s">
        <v>2757</v>
      </c>
      <c r="W3400">
        <v>10</v>
      </c>
      <c r="X3400">
        <v>10</v>
      </c>
      <c r="AE3400">
        <v>0</v>
      </c>
      <c r="AI3400" t="s">
        <v>52</v>
      </c>
      <c r="AJ3400" t="s">
        <v>10735</v>
      </c>
      <c r="AK3400" t="s">
        <v>52</v>
      </c>
      <c r="AL3400" t="str">
        <f>HYPERLINK("https://www.instagram.com/p/BzD86YZFPyU/media/?size=l")</f>
        <v>https://www.instagram.com/p/BzD86YZFPyU/media/?size=l</v>
      </c>
      <c r="AM3400" t="s">
        <v>52</v>
      </c>
      <c r="AN3400" t="s">
        <v>53</v>
      </c>
    </row>
    <row r="3401" spans="1:40">
      <c r="A3401" t="s">
        <v>8081</v>
      </c>
      <c r="B3401" t="s">
        <v>10736</v>
      </c>
      <c r="C3401" t="s">
        <v>10737</v>
      </c>
      <c r="D3401" t="s">
        <v>52</v>
      </c>
      <c r="E3401" t="s">
        <v>10738</v>
      </c>
      <c r="F3401" t="s">
        <v>45</v>
      </c>
      <c r="G3401" t="str">
        <f>HYPERLINK("https://www.instagram.com/p/BzD81MgB1Rr")</f>
        <v>https://www.instagram.com/p/BzD81MgB1Rr</v>
      </c>
      <c r="H3401" t="s">
        <v>215</v>
      </c>
      <c r="I3401" t="s">
        <v>10739</v>
      </c>
      <c r="J3401" t="str">
        <f>HYPERLINK("http://instagram.com/perichickenshaq_rochdale")</f>
        <v>http://instagram.com/perichickenshaq_rochdale</v>
      </c>
      <c r="K3401">
        <v>3860</v>
      </c>
      <c r="L3401" t="s">
        <v>651</v>
      </c>
      <c r="N3401" t="s">
        <v>59</v>
      </c>
      <c r="O3401" t="s">
        <v>10739</v>
      </c>
      <c r="P3401" t="str">
        <f>HYPERLINK("http://instagram.com/perichickenshaq_rochdale")</f>
        <v>http://instagram.com/perichickenshaq_rochdale</v>
      </c>
      <c r="Q3401">
        <v>3860</v>
      </c>
      <c r="R3401" t="s">
        <v>60</v>
      </c>
      <c r="S3401" t="s">
        <v>97</v>
      </c>
      <c r="T3401" t="s">
        <v>177</v>
      </c>
      <c r="U3401" t="s">
        <v>10740</v>
      </c>
      <c r="W3401">
        <v>149</v>
      </c>
      <c r="X3401">
        <v>149</v>
      </c>
      <c r="AE3401">
        <v>3</v>
      </c>
      <c r="AI3401" t="s">
        <v>52</v>
      </c>
      <c r="AJ3401" t="s">
        <v>265</v>
      </c>
      <c r="AK3401" t="s">
        <v>52</v>
      </c>
      <c r="AL3401" t="str">
        <f>HYPERLINK("https://www.instagram.com/p/BzD81MgB1Rr/media/?size=l")</f>
        <v>https://www.instagram.com/p/BzD81MgB1Rr/media/?size=l</v>
      </c>
      <c r="AM3401" t="s">
        <v>52</v>
      </c>
      <c r="AN3401" t="s">
        <v>53</v>
      </c>
    </row>
    <row r="3402" spans="1:40">
      <c r="A3402" t="s">
        <v>8081</v>
      </c>
      <c r="B3402" t="s">
        <v>5235</v>
      </c>
      <c r="C3402" t="s">
        <v>10741</v>
      </c>
      <c r="D3402" t="s">
        <v>52</v>
      </c>
      <c r="E3402" t="s">
        <v>10742</v>
      </c>
      <c r="F3402" t="s">
        <v>45</v>
      </c>
      <c r="G3402" t="str">
        <f>HYPERLINK("https://www.instagram.com/p/BzD8thVgdrh")</f>
        <v>https://www.instagram.com/p/BzD8thVgdrh</v>
      </c>
      <c r="H3402" t="s">
        <v>46</v>
      </c>
      <c r="I3402" t="s">
        <v>10743</v>
      </c>
      <c r="J3402" t="str">
        <f>HYPERLINK("http://instagram.com/millenawanzeller")</f>
        <v>http://instagram.com/millenawanzeller</v>
      </c>
      <c r="K3402">
        <v>1398</v>
      </c>
      <c r="N3402" t="s">
        <v>59</v>
      </c>
      <c r="O3402" t="s">
        <v>10743</v>
      </c>
      <c r="P3402" t="str">
        <f>HYPERLINK("http://instagram.com/millenawanzeller")</f>
        <v>http://instagram.com/millenawanzeller</v>
      </c>
      <c r="Q3402">
        <v>1398</v>
      </c>
      <c r="R3402" t="s">
        <v>60</v>
      </c>
      <c r="W3402">
        <v>20</v>
      </c>
      <c r="X3402">
        <v>20</v>
      </c>
      <c r="AE3402">
        <v>0</v>
      </c>
      <c r="AI3402" t="s">
        <v>108</v>
      </c>
      <c r="AJ3402" t="s">
        <v>1182</v>
      </c>
      <c r="AK3402" t="s">
        <v>52</v>
      </c>
      <c r="AL3402" t="str">
        <f>HYPERLINK("https://www.instagram.com/p/BzD8thVgdrh/media/?size=l")</f>
        <v>https://www.instagram.com/p/BzD8thVgdrh/media/?size=l</v>
      </c>
      <c r="AM3402" t="s">
        <v>52</v>
      </c>
      <c r="AN3402" t="s">
        <v>53</v>
      </c>
    </row>
    <row r="3403" spans="1:40">
      <c r="A3403" t="s">
        <v>8081</v>
      </c>
      <c r="B3403" t="s">
        <v>10744</v>
      </c>
      <c r="C3403" t="s">
        <v>10745</v>
      </c>
      <c r="D3403" t="s">
        <v>52</v>
      </c>
      <c r="E3403" t="s">
        <v>3749</v>
      </c>
      <c r="F3403" t="s">
        <v>71</v>
      </c>
      <c r="G3403" t="str">
        <f>HYPERLINK("https://twitter.com/202835526/status/1142856075831631872")</f>
        <v>https://twitter.com/202835526/status/1142856075831631872</v>
      </c>
      <c r="H3403" t="s">
        <v>46</v>
      </c>
      <c r="I3403" t="s">
        <v>10746</v>
      </c>
      <c r="J3403" t="str">
        <f>HYPERLINK("http://twitter.com/_Slawson__")</f>
        <v>http://twitter.com/_Slawson__</v>
      </c>
      <c r="K3403">
        <v>892</v>
      </c>
      <c r="N3403" t="s">
        <v>65</v>
      </c>
      <c r="R3403" t="s">
        <v>60</v>
      </c>
      <c r="S3403" t="s">
        <v>2001</v>
      </c>
      <c r="T3403" t="s">
        <v>2002</v>
      </c>
      <c r="U3403" t="s">
        <v>10747</v>
      </c>
      <c r="W3403">
        <v>0</v>
      </c>
      <c r="X3403">
        <v>0</v>
      </c>
      <c r="AE3403">
        <v>0</v>
      </c>
      <c r="AF3403">
        <v>0</v>
      </c>
      <c r="AI3403" t="s">
        <v>108</v>
      </c>
      <c r="AJ3403" t="s">
        <v>52</v>
      </c>
      <c r="AK3403" t="s">
        <v>52</v>
      </c>
      <c r="AL3403" t="str">
        <f>HYPERLINK("https://pbs.twimg.com/media/D9sAXHUX4AA6vJs.jpg")</f>
        <v>https://pbs.twimg.com/media/D9sAXHUX4AA6vJs.jpg</v>
      </c>
      <c r="AM3403" t="s">
        <v>52</v>
      </c>
      <c r="AN3403" t="s">
        <v>53</v>
      </c>
    </row>
    <row r="3404" spans="1:40">
      <c r="A3404" t="s">
        <v>8081</v>
      </c>
      <c r="B3404" t="s">
        <v>5251</v>
      </c>
      <c r="C3404" t="s">
        <v>10737</v>
      </c>
      <c r="D3404" t="s">
        <v>52</v>
      </c>
      <c r="E3404" t="s">
        <v>10748</v>
      </c>
      <c r="F3404" t="s">
        <v>45</v>
      </c>
      <c r="G3404" t="str">
        <f>HYPERLINK("https://www.instagram.com/p/BzD8FH8jQ5r")</f>
        <v>https://www.instagram.com/p/BzD8FH8jQ5r</v>
      </c>
      <c r="H3404" t="s">
        <v>46</v>
      </c>
      <c r="I3404" t="s">
        <v>10749</v>
      </c>
      <c r="J3404" t="str">
        <f>HYPERLINK("http://instagram.com/therpmstandard")</f>
        <v>http://instagram.com/therpmstandard</v>
      </c>
      <c r="K3404">
        <v>235</v>
      </c>
      <c r="N3404" t="s">
        <v>59</v>
      </c>
      <c r="O3404" t="s">
        <v>10749</v>
      </c>
      <c r="P3404" t="str">
        <f>HYPERLINK("http://instagram.com/therpmstandard")</f>
        <v>http://instagram.com/therpmstandard</v>
      </c>
      <c r="Q3404">
        <v>235</v>
      </c>
      <c r="R3404" t="s">
        <v>60</v>
      </c>
      <c r="W3404">
        <v>10</v>
      </c>
      <c r="X3404">
        <v>10</v>
      </c>
      <c r="AE3404">
        <v>1</v>
      </c>
      <c r="AG3404">
        <v>47</v>
      </c>
      <c r="AI3404" t="s">
        <v>52</v>
      </c>
      <c r="AJ3404" t="s">
        <v>52</v>
      </c>
      <c r="AK3404" t="s">
        <v>52</v>
      </c>
      <c r="AL3404" t="str">
        <f>HYPERLINK("https://www.instagram.com/p/BzD8FH8jQ5r/media/?size=l")</f>
        <v>https://www.instagram.com/p/BzD8FH8jQ5r/media/?size=l</v>
      </c>
      <c r="AM3404" t="s">
        <v>52</v>
      </c>
      <c r="AN3404" t="s">
        <v>53</v>
      </c>
    </row>
    <row r="3405" spans="1:40">
      <c r="A3405" t="s">
        <v>8081</v>
      </c>
      <c r="B3405" t="s">
        <v>5258</v>
      </c>
      <c r="C3405" t="s">
        <v>10710</v>
      </c>
      <c r="D3405" t="s">
        <v>52</v>
      </c>
      <c r="E3405" t="s">
        <v>10750</v>
      </c>
      <c r="F3405" t="s">
        <v>45</v>
      </c>
      <c r="G3405" t="str">
        <f>HYPERLINK("https://www.instagram.com/p/BzD8MyfBrd9")</f>
        <v>https://www.instagram.com/p/BzD8MyfBrd9</v>
      </c>
      <c r="H3405" t="s">
        <v>215</v>
      </c>
      <c r="I3405" t="s">
        <v>10751</v>
      </c>
      <c r="J3405" t="str">
        <f>HYPERLINK("http://instagram.com/thefoodloverfromcapital")</f>
        <v>http://instagram.com/thefoodloverfromcapital</v>
      </c>
      <c r="K3405">
        <v>18554</v>
      </c>
      <c r="N3405" t="s">
        <v>59</v>
      </c>
      <c r="O3405" t="s">
        <v>10751</v>
      </c>
      <c r="P3405" t="str">
        <f>HYPERLINK("http://instagram.com/thefoodloverfromcapital")</f>
        <v>http://instagram.com/thefoodloverfromcapital</v>
      </c>
      <c r="Q3405">
        <v>18554</v>
      </c>
      <c r="R3405" t="s">
        <v>60</v>
      </c>
      <c r="S3405" t="s">
        <v>325</v>
      </c>
      <c r="T3405" t="s">
        <v>10752</v>
      </c>
      <c r="U3405" t="s">
        <v>10753</v>
      </c>
      <c r="W3405">
        <v>600</v>
      </c>
      <c r="X3405">
        <v>600</v>
      </c>
      <c r="AE3405">
        <v>18</v>
      </c>
      <c r="AI3405" t="s">
        <v>52</v>
      </c>
      <c r="AJ3405" t="s">
        <v>10754</v>
      </c>
      <c r="AK3405" t="s">
        <v>52</v>
      </c>
      <c r="AL3405" t="str">
        <f>HYPERLINK("https://www.instagram.com/p/BzD8MyfBrd9/media/?size=l")</f>
        <v>https://www.instagram.com/p/BzD8MyfBrd9/media/?size=l</v>
      </c>
      <c r="AM3405" t="s">
        <v>52</v>
      </c>
      <c r="AN3405" t="s">
        <v>53</v>
      </c>
    </row>
    <row r="3406" spans="1:40">
      <c r="A3406" t="s">
        <v>8081</v>
      </c>
      <c r="B3406" t="s">
        <v>10755</v>
      </c>
      <c r="C3406" t="s">
        <v>10756</v>
      </c>
      <c r="D3406" t="s">
        <v>52</v>
      </c>
      <c r="E3406" t="s">
        <v>10757</v>
      </c>
      <c r="F3406" t="s">
        <v>95</v>
      </c>
      <c r="G3406" t="str">
        <f>HYPERLINK("https://twitter.com/1073693436358914048/status/1142853682045673472")</f>
        <v>https://twitter.com/1073693436358914048/status/1142853682045673472</v>
      </c>
      <c r="H3406" t="s">
        <v>46</v>
      </c>
      <c r="I3406" t="s">
        <v>10758</v>
      </c>
      <c r="J3406" t="str">
        <f>HYPERLINK("http://twitter.com/porshiawrites")</f>
        <v>http://twitter.com/porshiawrites</v>
      </c>
      <c r="K3406">
        <v>20</v>
      </c>
      <c r="N3406" t="s">
        <v>65</v>
      </c>
      <c r="R3406" t="s">
        <v>60</v>
      </c>
      <c r="S3406" t="s">
        <v>7287</v>
      </c>
      <c r="U3406" t="s">
        <v>10759</v>
      </c>
      <c r="W3406">
        <v>0</v>
      </c>
      <c r="X3406">
        <v>0</v>
      </c>
      <c r="AE3406">
        <v>1</v>
      </c>
      <c r="AF3406">
        <v>0</v>
      </c>
      <c r="AM3406" t="s">
        <v>52</v>
      </c>
      <c r="AN3406" t="s">
        <v>53</v>
      </c>
    </row>
    <row r="3407" spans="1:40">
      <c r="A3407" t="s">
        <v>8081</v>
      </c>
      <c r="B3407" t="s">
        <v>10755</v>
      </c>
      <c r="C3407" t="s">
        <v>10760</v>
      </c>
      <c r="D3407" t="s">
        <v>52</v>
      </c>
      <c r="E3407" t="s">
        <v>10761</v>
      </c>
      <c r="F3407" t="s">
        <v>71</v>
      </c>
      <c r="G3407" t="str">
        <f>HYPERLINK("https://twitter.com/748359187/status/1142853644309499904")</f>
        <v>https://twitter.com/748359187/status/1142853644309499904</v>
      </c>
      <c r="H3407" t="s">
        <v>46</v>
      </c>
      <c r="I3407" t="s">
        <v>10762</v>
      </c>
      <c r="J3407" t="str">
        <f>HYPERLINK("http://twitter.com/ShampooThePOOCH")</f>
        <v>http://twitter.com/ShampooThePOOCH</v>
      </c>
      <c r="K3407">
        <v>1250</v>
      </c>
      <c r="N3407" t="s">
        <v>65</v>
      </c>
      <c r="R3407" t="s">
        <v>60</v>
      </c>
      <c r="S3407" t="s">
        <v>51</v>
      </c>
      <c r="T3407" t="s">
        <v>173</v>
      </c>
      <c r="U3407" t="s">
        <v>10385</v>
      </c>
      <c r="W3407">
        <v>0</v>
      </c>
      <c r="X3407">
        <v>0</v>
      </c>
      <c r="AE3407">
        <v>1</v>
      </c>
      <c r="AF3407">
        <v>0</v>
      </c>
      <c r="AI3407" t="s">
        <v>52</v>
      </c>
      <c r="AJ3407" t="s">
        <v>52</v>
      </c>
      <c r="AK3407" t="s">
        <v>52</v>
      </c>
      <c r="AL3407" t="str">
        <f>HYPERLINK("https://pbs.twimg.com/ext_tw_video_thumb/1142762406462009344/pu/img/4GMow9jkJ71oxxyM.jpg")</f>
        <v>https://pbs.twimg.com/ext_tw_video_thumb/1142762406462009344/pu/img/4GMow9jkJ71oxxyM.jpg</v>
      </c>
      <c r="AM3407" t="s">
        <v>52</v>
      </c>
      <c r="AN3407" t="s">
        <v>53</v>
      </c>
    </row>
    <row r="3408" spans="1:40">
      <c r="A3408" t="s">
        <v>8081</v>
      </c>
      <c r="B3408" t="s">
        <v>10755</v>
      </c>
      <c r="C3408" t="s">
        <v>10763</v>
      </c>
      <c r="D3408" t="s">
        <v>52</v>
      </c>
      <c r="E3408" t="s">
        <v>6428</v>
      </c>
      <c r="F3408" t="s">
        <v>131</v>
      </c>
      <c r="G3408" t="str">
        <f>HYPERLINK("https://twitter.com/508904601/status/1142853605688512513")</f>
        <v>https://twitter.com/508904601/status/1142853605688512513</v>
      </c>
      <c r="H3408" t="s">
        <v>46</v>
      </c>
      <c r="I3408" t="s">
        <v>10764</v>
      </c>
      <c r="J3408" t="str">
        <f>HYPERLINK("http://twitter.com/ShrumEric")</f>
        <v>http://twitter.com/ShrumEric</v>
      </c>
      <c r="K3408">
        <v>467</v>
      </c>
      <c r="N3408" t="s">
        <v>65</v>
      </c>
      <c r="R3408" t="s">
        <v>60</v>
      </c>
      <c r="S3408" t="s">
        <v>7287</v>
      </c>
      <c r="U3408" t="s">
        <v>10765</v>
      </c>
      <c r="W3408">
        <v>0</v>
      </c>
      <c r="X3408">
        <v>0</v>
      </c>
      <c r="AE3408">
        <v>0</v>
      </c>
      <c r="AM3408" t="s">
        <v>52</v>
      </c>
      <c r="AN3408" t="s">
        <v>53</v>
      </c>
    </row>
    <row r="3409" spans="1:40">
      <c r="A3409" t="s">
        <v>8081</v>
      </c>
      <c r="B3409" t="s">
        <v>5278</v>
      </c>
      <c r="C3409" t="s">
        <v>10766</v>
      </c>
      <c r="D3409" t="s">
        <v>52</v>
      </c>
      <c r="E3409" t="s">
        <v>10767</v>
      </c>
      <c r="F3409" t="s">
        <v>71</v>
      </c>
      <c r="G3409" t="str">
        <f>HYPERLINK("https://twitter.com/1117149234308845568/status/1142853304721928192")</f>
        <v>https://twitter.com/1117149234308845568/status/1142853304721928192</v>
      </c>
      <c r="H3409" t="s">
        <v>46</v>
      </c>
      <c r="I3409" t="s">
        <v>10768</v>
      </c>
      <c r="J3409" t="str">
        <f>HYPERLINK("http://twitter.com/joanamontejo24")</f>
        <v>http://twitter.com/joanamontejo24</v>
      </c>
      <c r="K3409">
        <v>51</v>
      </c>
      <c r="N3409" t="s">
        <v>65</v>
      </c>
      <c r="R3409" t="s">
        <v>60</v>
      </c>
      <c r="S3409" t="s">
        <v>51</v>
      </c>
      <c r="T3409" t="s">
        <v>173</v>
      </c>
      <c r="U3409" t="s">
        <v>4051</v>
      </c>
      <c r="W3409">
        <v>0</v>
      </c>
      <c r="X3409">
        <v>0</v>
      </c>
      <c r="AE3409">
        <v>0</v>
      </c>
      <c r="AF3409">
        <v>0</v>
      </c>
      <c r="AM3409" t="s">
        <v>52</v>
      </c>
      <c r="AN3409" t="s">
        <v>53</v>
      </c>
    </row>
    <row r="3410" spans="1:40">
      <c r="A3410" t="s">
        <v>8081</v>
      </c>
      <c r="B3410" t="s">
        <v>5278</v>
      </c>
      <c r="C3410" t="s">
        <v>7208</v>
      </c>
      <c r="D3410" t="s">
        <v>10769</v>
      </c>
      <c r="E3410" t="s">
        <v>10770</v>
      </c>
      <c r="F3410" t="s">
        <v>45</v>
      </c>
      <c r="G3410" t="str">
        <f>HYPERLINK("https://www.thecouponingcouple.com/dollar-general-coupon-matchups-for-6-23-19-to-6-29-19")</f>
        <v>https://www.thecouponingcouple.com/dollar-general-coupon-matchups-for-6-23-19-to-6-29-19</v>
      </c>
      <c r="H3410" t="s">
        <v>46</v>
      </c>
      <c r="I3410" t="s">
        <v>10771</v>
      </c>
      <c r="J3410" t="str">
        <f>HYPERLINK("https://www.thecouponingcouple.com/dollar-general-coupon-matchups-for-6-23-19-to-6-29-19/")</f>
        <v>https://www.thecouponingcouple.com/dollar-general-coupon-matchups-for-6-23-19-to-6-29-19/</v>
      </c>
      <c r="N3410" t="s">
        <v>10772</v>
      </c>
      <c r="R3410" t="s">
        <v>50</v>
      </c>
      <c r="S3410" t="s">
        <v>51</v>
      </c>
      <c r="AM3410" t="s">
        <v>52</v>
      </c>
      <c r="AN3410" t="s">
        <v>53</v>
      </c>
    </row>
    <row r="3411" spans="1:40">
      <c r="A3411" t="s">
        <v>8081</v>
      </c>
      <c r="B3411" t="s">
        <v>5283</v>
      </c>
      <c r="C3411" t="s">
        <v>10773</v>
      </c>
      <c r="D3411" t="s">
        <v>52</v>
      </c>
      <c r="E3411" t="s">
        <v>10774</v>
      </c>
      <c r="F3411" t="s">
        <v>45</v>
      </c>
      <c r="G3411" t="str">
        <f>HYPERLINK("https://www.instagram.com/p/BzD7LoxpMqU")</f>
        <v>https://www.instagram.com/p/BzD7LoxpMqU</v>
      </c>
      <c r="H3411" t="s">
        <v>46</v>
      </c>
      <c r="I3411" t="s">
        <v>10775</v>
      </c>
      <c r="J3411" t="str">
        <f>HYPERLINK("http://instagram.com/thehertfordshirefoodie")</f>
        <v>http://instagram.com/thehertfordshirefoodie</v>
      </c>
      <c r="K3411">
        <v>1329</v>
      </c>
      <c r="N3411" t="s">
        <v>59</v>
      </c>
      <c r="O3411" t="s">
        <v>10775</v>
      </c>
      <c r="P3411" t="str">
        <f>HYPERLINK("http://instagram.com/thehertfordshirefoodie")</f>
        <v>http://instagram.com/thehertfordshirefoodie</v>
      </c>
      <c r="Q3411">
        <v>1329</v>
      </c>
      <c r="R3411" t="s">
        <v>60</v>
      </c>
      <c r="S3411" t="s">
        <v>97</v>
      </c>
      <c r="T3411" t="s">
        <v>177</v>
      </c>
      <c r="U3411" t="s">
        <v>10776</v>
      </c>
      <c r="W3411">
        <v>98</v>
      </c>
      <c r="X3411">
        <v>98</v>
      </c>
      <c r="AE3411">
        <v>40</v>
      </c>
      <c r="AI3411" t="s">
        <v>52</v>
      </c>
      <c r="AJ3411" t="s">
        <v>3936</v>
      </c>
      <c r="AK3411" t="s">
        <v>52</v>
      </c>
      <c r="AL3411" t="str">
        <f>HYPERLINK("https://www.instagram.com/p/BzD7LoxpMqU/media/?size=l")</f>
        <v>https://www.instagram.com/p/BzD7LoxpMqU/media/?size=l</v>
      </c>
      <c r="AM3411" t="s">
        <v>52</v>
      </c>
      <c r="AN3411" t="s">
        <v>53</v>
      </c>
    </row>
    <row r="3412" spans="1:40">
      <c r="A3412" t="s">
        <v>8081</v>
      </c>
      <c r="B3412" t="s">
        <v>5295</v>
      </c>
      <c r="C3412" t="s">
        <v>10777</v>
      </c>
      <c r="D3412" t="s">
        <v>52</v>
      </c>
      <c r="E3412" t="s">
        <v>10778</v>
      </c>
      <c r="F3412" t="s">
        <v>71</v>
      </c>
      <c r="G3412" t="str">
        <f>HYPERLINK("https://twitter.com/28356939/status/1142852786897506306")</f>
        <v>https://twitter.com/28356939/status/1142852786897506306</v>
      </c>
      <c r="H3412" t="s">
        <v>46</v>
      </c>
      <c r="I3412" t="s">
        <v>10779</v>
      </c>
      <c r="J3412" t="str">
        <f>HYPERLINK("http://twitter.com/chriscream")</f>
        <v>http://twitter.com/chriscream</v>
      </c>
      <c r="K3412">
        <v>2056</v>
      </c>
      <c r="N3412" t="s">
        <v>65</v>
      </c>
      <c r="R3412" t="s">
        <v>60</v>
      </c>
      <c r="S3412" t="s">
        <v>51</v>
      </c>
      <c r="W3412">
        <v>0</v>
      </c>
      <c r="X3412">
        <v>0</v>
      </c>
      <c r="AE3412">
        <v>0</v>
      </c>
      <c r="AF3412">
        <v>0</v>
      </c>
      <c r="AI3412" t="s">
        <v>9946</v>
      </c>
      <c r="AJ3412" t="s">
        <v>52</v>
      </c>
      <c r="AK3412" t="s">
        <v>9947</v>
      </c>
      <c r="AL3412" t="str">
        <f>HYPERLINK("https://pbs.twimg.com/media/D9wyYpxWsAAN_hK.jpg")</f>
        <v>https://pbs.twimg.com/media/D9wyYpxWsAAN_hK.jpg</v>
      </c>
      <c r="AM3412" t="s">
        <v>52</v>
      </c>
      <c r="AN3412" t="s">
        <v>53</v>
      </c>
    </row>
    <row r="3413" spans="1:40">
      <c r="A3413" t="s">
        <v>8081</v>
      </c>
      <c r="B3413" t="s">
        <v>5295</v>
      </c>
      <c r="C3413" t="s">
        <v>10773</v>
      </c>
      <c r="D3413" t="s">
        <v>10780</v>
      </c>
      <c r="E3413" t="s">
        <v>10781</v>
      </c>
      <c r="F3413" t="s">
        <v>45</v>
      </c>
      <c r="G3413" t="str">
        <f>HYPERLINK("https://www.youtube.com/watch?v=gzOggfpJdHA")</f>
        <v>https://www.youtube.com/watch?v=gzOggfpJdHA</v>
      </c>
      <c r="H3413" t="s">
        <v>46</v>
      </c>
      <c r="I3413" t="s">
        <v>10782</v>
      </c>
      <c r="J3413" t="str">
        <f>HYPERLINK("https://www.youtube.com/channel/UCkMXTIdDGurA3Q43muBhvYQ")</f>
        <v>https://www.youtube.com/channel/UCkMXTIdDGurA3Q43muBhvYQ</v>
      </c>
      <c r="K3413">
        <v>8093</v>
      </c>
      <c r="L3413" t="s">
        <v>48</v>
      </c>
      <c r="N3413" t="s">
        <v>116</v>
      </c>
      <c r="O3413" t="s">
        <v>10782</v>
      </c>
      <c r="P3413" t="str">
        <f>HYPERLINK("https://www.youtube.com/channel/UCkMXTIdDGurA3Q43muBhvYQ")</f>
        <v>https://www.youtube.com/channel/UCkMXTIdDGurA3Q43muBhvYQ</v>
      </c>
      <c r="Q3413">
        <v>8093</v>
      </c>
      <c r="R3413" t="s">
        <v>60</v>
      </c>
      <c r="S3413" t="s">
        <v>51</v>
      </c>
      <c r="W3413">
        <v>26</v>
      </c>
      <c r="X3413">
        <v>26</v>
      </c>
      <c r="AD3413">
        <v>3</v>
      </c>
      <c r="AE3413">
        <v>22</v>
      </c>
      <c r="AG3413">
        <v>179</v>
      </c>
      <c r="AI3413" t="s">
        <v>108</v>
      </c>
      <c r="AJ3413" t="s">
        <v>3936</v>
      </c>
      <c r="AK3413" t="s">
        <v>52</v>
      </c>
      <c r="AL3413" t="str">
        <f>HYPERLINK("https://i.ytimg.com/vi/gzOggfpJdHA/maxresdefault.jpg")</f>
        <v>https://i.ytimg.com/vi/gzOggfpJdHA/maxresdefault.jpg</v>
      </c>
      <c r="AM3413" t="s">
        <v>52</v>
      </c>
      <c r="AN3413" t="s">
        <v>53</v>
      </c>
    </row>
    <row r="3414" spans="1:40">
      <c r="A3414" t="s">
        <v>8081</v>
      </c>
      <c r="B3414" t="s">
        <v>5295</v>
      </c>
      <c r="C3414" t="s">
        <v>10710</v>
      </c>
      <c r="D3414" t="s">
        <v>52</v>
      </c>
      <c r="E3414" t="s">
        <v>10783</v>
      </c>
      <c r="F3414" t="s">
        <v>45</v>
      </c>
      <c r="G3414" t="str">
        <f>HYPERLINK("https://www.instagram.com/p/BzD6-PrhMTf")</f>
        <v>https://www.instagram.com/p/BzD6-PrhMTf</v>
      </c>
      <c r="H3414" t="s">
        <v>215</v>
      </c>
      <c r="I3414" t="s">
        <v>10784</v>
      </c>
      <c r="J3414" t="str">
        <f>HYPERLINK("http://instagram.com/aye.its.jaye305")</f>
        <v>http://instagram.com/aye.its.jaye305</v>
      </c>
      <c r="K3414">
        <v>199</v>
      </c>
      <c r="N3414" t="s">
        <v>59</v>
      </c>
      <c r="O3414" t="s">
        <v>10784</v>
      </c>
      <c r="P3414" t="str">
        <f>HYPERLINK("http://instagram.com/aye.its.jaye305")</f>
        <v>http://instagram.com/aye.its.jaye305</v>
      </c>
      <c r="Q3414">
        <v>199</v>
      </c>
      <c r="R3414" t="s">
        <v>60</v>
      </c>
      <c r="S3414" t="s">
        <v>51</v>
      </c>
      <c r="T3414" t="s">
        <v>73</v>
      </c>
      <c r="U3414" t="s">
        <v>10785</v>
      </c>
      <c r="W3414">
        <v>0</v>
      </c>
      <c r="X3414">
        <v>0</v>
      </c>
      <c r="AE3414">
        <v>0</v>
      </c>
      <c r="AG3414">
        <v>4</v>
      </c>
      <c r="AI3414" t="s">
        <v>52</v>
      </c>
      <c r="AJ3414" t="s">
        <v>9561</v>
      </c>
      <c r="AK3414" t="s">
        <v>612</v>
      </c>
      <c r="AL3414" t="str">
        <f>HYPERLINK("https://www.instagram.com/p/BzD6-PrhMTf/media/?size=l")</f>
        <v>https://www.instagram.com/p/BzD6-PrhMTf/media/?size=l</v>
      </c>
      <c r="AM3414" t="s">
        <v>52</v>
      </c>
      <c r="AN3414" t="s">
        <v>53</v>
      </c>
    </row>
    <row r="3415" spans="1:40">
      <c r="A3415" t="s">
        <v>8081</v>
      </c>
      <c r="B3415" t="s">
        <v>5306</v>
      </c>
      <c r="C3415" t="s">
        <v>10786</v>
      </c>
      <c r="D3415" t="s">
        <v>52</v>
      </c>
      <c r="E3415" t="s">
        <v>130</v>
      </c>
      <c r="F3415" t="s">
        <v>131</v>
      </c>
      <c r="G3415" t="str">
        <f>HYPERLINK("https://twitter.com/2306792450/status/1142852266669592581")</f>
        <v>https://twitter.com/2306792450/status/1142852266669592581</v>
      </c>
      <c r="H3415" t="s">
        <v>46</v>
      </c>
      <c r="I3415" t="s">
        <v>10787</v>
      </c>
      <c r="J3415" t="str">
        <f>HYPERLINK("http://twitter.com/Toffeepiglet")</f>
        <v>http://twitter.com/Toffeepiglet</v>
      </c>
      <c r="K3415">
        <v>2407</v>
      </c>
      <c r="L3415" t="s">
        <v>58</v>
      </c>
      <c r="N3415" t="s">
        <v>65</v>
      </c>
      <c r="R3415" t="s">
        <v>60</v>
      </c>
      <c r="S3415" t="s">
        <v>97</v>
      </c>
      <c r="T3415" t="s">
        <v>177</v>
      </c>
      <c r="U3415" t="s">
        <v>6516</v>
      </c>
      <c r="W3415">
        <v>0</v>
      </c>
      <c r="X3415">
        <v>0</v>
      </c>
      <c r="AE3415">
        <v>0</v>
      </c>
      <c r="AI3415" t="s">
        <v>108</v>
      </c>
      <c r="AJ3415" t="s">
        <v>52</v>
      </c>
      <c r="AK3415" t="s">
        <v>52</v>
      </c>
      <c r="AL3415" t="str">
        <f>HYPERLINK("https://pbs.twimg.com/media/D9XTkLWW4AAOYnJ.jpg")</f>
        <v>https://pbs.twimg.com/media/D9XTkLWW4AAOYnJ.jpg</v>
      </c>
      <c r="AM3415" t="s">
        <v>52</v>
      </c>
      <c r="AN3415" t="s">
        <v>53</v>
      </c>
    </row>
    <row r="3416" spans="1:40">
      <c r="A3416" t="s">
        <v>8081</v>
      </c>
      <c r="B3416" t="s">
        <v>5306</v>
      </c>
      <c r="C3416" t="s">
        <v>10618</v>
      </c>
      <c r="D3416" t="s">
        <v>10788</v>
      </c>
      <c r="E3416" t="s">
        <v>10789</v>
      </c>
      <c r="F3416" t="s">
        <v>45</v>
      </c>
      <c r="G3416" t="str">
        <f>HYPERLINK("https://www.youtube.com/watch?v=xxHQOaTsCR8")</f>
        <v>https://www.youtube.com/watch?v=xxHQOaTsCR8</v>
      </c>
      <c r="H3416" t="s">
        <v>46</v>
      </c>
      <c r="I3416" t="s">
        <v>10790</v>
      </c>
      <c r="J3416" t="str">
        <f>HYPERLINK("https://www.youtube.com/channel/UCu0D3u-hvQ3ENZRfz4pNipQ")</f>
        <v>https://www.youtube.com/channel/UCu0D3u-hvQ3ENZRfz4pNipQ</v>
      </c>
      <c r="K3416">
        <v>2</v>
      </c>
      <c r="N3416" t="s">
        <v>116</v>
      </c>
      <c r="O3416" t="s">
        <v>10790</v>
      </c>
      <c r="P3416" t="str">
        <f>HYPERLINK("https://www.youtube.com/channel/UCu0D3u-hvQ3ENZRfz4pNipQ")</f>
        <v>https://www.youtube.com/channel/UCu0D3u-hvQ3ENZRfz4pNipQ</v>
      </c>
      <c r="Q3416">
        <v>2</v>
      </c>
      <c r="R3416" t="s">
        <v>60</v>
      </c>
      <c r="W3416">
        <v>0</v>
      </c>
      <c r="X3416">
        <v>0</v>
      </c>
      <c r="AD3416">
        <v>0</v>
      </c>
      <c r="AE3416">
        <v>0</v>
      </c>
      <c r="AG3416">
        <v>0</v>
      </c>
      <c r="AI3416" t="s">
        <v>52</v>
      </c>
      <c r="AJ3416" t="s">
        <v>10791</v>
      </c>
      <c r="AK3416" t="s">
        <v>10792</v>
      </c>
      <c r="AL3416" t="str">
        <f>HYPERLINK("https://i.ytimg.com/vi/xxHQOaTsCR8/hqdefault.jpg")</f>
        <v>https://i.ytimg.com/vi/xxHQOaTsCR8/hqdefault.jpg</v>
      </c>
      <c r="AM3416" t="s">
        <v>52</v>
      </c>
      <c r="AN3416" t="s">
        <v>53</v>
      </c>
    </row>
    <row r="3417" spans="1:40">
      <c r="A3417" t="s">
        <v>8081</v>
      </c>
      <c r="B3417" t="s">
        <v>10793</v>
      </c>
      <c r="C3417" t="s">
        <v>10786</v>
      </c>
      <c r="D3417" t="s">
        <v>52</v>
      </c>
      <c r="E3417" t="s">
        <v>3749</v>
      </c>
      <c r="F3417" t="s">
        <v>71</v>
      </c>
      <c r="G3417" t="str">
        <f>HYPERLINK("https://twitter.com/598764870/status/1142851517818593280")</f>
        <v>https://twitter.com/598764870/status/1142851517818593280</v>
      </c>
      <c r="H3417" t="s">
        <v>46</v>
      </c>
      <c r="I3417" t="s">
        <v>10794</v>
      </c>
      <c r="J3417" t="str">
        <f>HYPERLINK("http://twitter.com/KejuanLawson")</f>
        <v>http://twitter.com/KejuanLawson</v>
      </c>
      <c r="K3417">
        <v>255</v>
      </c>
      <c r="L3417" t="s">
        <v>48</v>
      </c>
      <c r="N3417" t="s">
        <v>65</v>
      </c>
      <c r="R3417" t="s">
        <v>60</v>
      </c>
      <c r="S3417" t="s">
        <v>51</v>
      </c>
      <c r="T3417" t="s">
        <v>253</v>
      </c>
      <c r="W3417">
        <v>0</v>
      </c>
      <c r="X3417">
        <v>0</v>
      </c>
      <c r="AE3417">
        <v>0</v>
      </c>
      <c r="AF3417">
        <v>0</v>
      </c>
      <c r="AI3417" t="s">
        <v>108</v>
      </c>
      <c r="AJ3417" t="s">
        <v>52</v>
      </c>
      <c r="AK3417" t="s">
        <v>52</v>
      </c>
      <c r="AL3417" t="str">
        <f>HYPERLINK("https://pbs.twimg.com/media/D9sAXHUX4AA6vJs.jpg")</f>
        <v>https://pbs.twimg.com/media/D9sAXHUX4AA6vJs.jpg</v>
      </c>
      <c r="AM3417" t="s">
        <v>52</v>
      </c>
      <c r="AN3417" t="s">
        <v>53</v>
      </c>
    </row>
    <row r="3418" spans="1:40">
      <c r="A3418" t="s">
        <v>8081</v>
      </c>
      <c r="B3418" t="s">
        <v>10793</v>
      </c>
      <c r="C3418" t="s">
        <v>10710</v>
      </c>
      <c r="D3418" t="s">
        <v>52</v>
      </c>
      <c r="E3418" t="s">
        <v>10795</v>
      </c>
      <c r="F3418" t="s">
        <v>45</v>
      </c>
      <c r="G3418" t="str">
        <f>HYPERLINK("https://www.instagram.com/p/BzD6jxLAeKE")</f>
        <v>https://www.instagram.com/p/BzD6jxLAeKE</v>
      </c>
      <c r="H3418" t="s">
        <v>46</v>
      </c>
      <c r="I3418" t="s">
        <v>10796</v>
      </c>
      <c r="J3418" t="str">
        <f>HYPERLINK("http://instagram.com/superb_clean_memes")</f>
        <v>http://instagram.com/superb_clean_memes</v>
      </c>
      <c r="K3418">
        <v>24</v>
      </c>
      <c r="N3418" t="s">
        <v>59</v>
      </c>
      <c r="O3418" t="s">
        <v>10796</v>
      </c>
      <c r="P3418" t="str">
        <f>HYPERLINK("http://instagram.com/superb_clean_memes")</f>
        <v>http://instagram.com/superb_clean_memes</v>
      </c>
      <c r="Q3418">
        <v>24</v>
      </c>
      <c r="R3418" t="s">
        <v>60</v>
      </c>
      <c r="W3418">
        <v>11</v>
      </c>
      <c r="X3418">
        <v>11</v>
      </c>
      <c r="AE3418">
        <v>0</v>
      </c>
      <c r="AI3418" t="s">
        <v>52</v>
      </c>
      <c r="AJ3418" t="s">
        <v>2277</v>
      </c>
      <c r="AK3418" t="s">
        <v>52</v>
      </c>
      <c r="AL3418" t="str">
        <f>HYPERLINK("https://www.instagram.com/p/BzD6jxLAeKE/media/?size=l")</f>
        <v>https://www.instagram.com/p/BzD6jxLAeKE/media/?size=l</v>
      </c>
      <c r="AM3418" t="s">
        <v>52</v>
      </c>
      <c r="AN3418" t="s">
        <v>53</v>
      </c>
    </row>
    <row r="3419" spans="1:40">
      <c r="A3419" t="s">
        <v>8081</v>
      </c>
      <c r="B3419" t="s">
        <v>10793</v>
      </c>
      <c r="C3419" t="s">
        <v>10773</v>
      </c>
      <c r="D3419" t="s">
        <v>52</v>
      </c>
      <c r="E3419" t="s">
        <v>10797</v>
      </c>
      <c r="F3419" t="s">
        <v>95</v>
      </c>
      <c r="G3419" t="str">
        <f>HYPERLINK("https://twitter.com/16241878/status/1142851488277909504")</f>
        <v>https://twitter.com/16241878/status/1142851488277909504</v>
      </c>
      <c r="H3419" t="s">
        <v>215</v>
      </c>
      <c r="I3419" t="s">
        <v>10798</v>
      </c>
      <c r="J3419" t="str">
        <f>HYPERLINK("http://twitter.com/deftonesfreek")</f>
        <v>http://twitter.com/deftonesfreek</v>
      </c>
      <c r="K3419">
        <v>3491</v>
      </c>
      <c r="N3419" t="s">
        <v>65</v>
      </c>
      <c r="R3419" t="s">
        <v>60</v>
      </c>
      <c r="W3419">
        <v>1</v>
      </c>
      <c r="X3419">
        <v>1</v>
      </c>
      <c r="AE3419">
        <v>0</v>
      </c>
      <c r="AF3419">
        <v>0</v>
      </c>
      <c r="AM3419" t="s">
        <v>52</v>
      </c>
      <c r="AN3419" t="s">
        <v>53</v>
      </c>
    </row>
    <row r="3420" spans="1:40">
      <c r="A3420" t="s">
        <v>8081</v>
      </c>
      <c r="B3420" t="s">
        <v>10793</v>
      </c>
      <c r="C3420" t="s">
        <v>10777</v>
      </c>
      <c r="D3420" t="s">
        <v>52</v>
      </c>
      <c r="E3420" t="s">
        <v>10799</v>
      </c>
      <c r="F3420" t="s">
        <v>95</v>
      </c>
      <c r="G3420" t="str">
        <f>HYPERLINK("https://twitter.com/1109554422445568000/status/1142851476777103360")</f>
        <v>https://twitter.com/1109554422445568000/status/1142851476777103360</v>
      </c>
      <c r="H3420" t="s">
        <v>46</v>
      </c>
      <c r="I3420" t="s">
        <v>10800</v>
      </c>
      <c r="J3420" t="str">
        <f>HYPERLINK("http://twitter.com/RealJosephSimp1")</f>
        <v>http://twitter.com/RealJosephSimp1</v>
      </c>
      <c r="K3420">
        <v>139</v>
      </c>
      <c r="N3420" t="s">
        <v>65</v>
      </c>
      <c r="R3420" t="s">
        <v>60</v>
      </c>
      <c r="W3420">
        <v>1</v>
      </c>
      <c r="X3420">
        <v>1</v>
      </c>
      <c r="AE3420">
        <v>0</v>
      </c>
      <c r="AF3420">
        <v>0</v>
      </c>
      <c r="AI3420" t="s">
        <v>108</v>
      </c>
      <c r="AJ3420" t="s">
        <v>1750</v>
      </c>
      <c r="AK3420" t="s">
        <v>52</v>
      </c>
      <c r="AL3420" t="str">
        <f>HYPERLINK("https://pbs.twimg.com/media/D9w5VxVUcAEdqEy.jpg")</f>
        <v>https://pbs.twimg.com/media/D9w5VxVUcAEdqEy.jpg</v>
      </c>
      <c r="AM3420" t="s">
        <v>52</v>
      </c>
      <c r="AN3420" t="s">
        <v>53</v>
      </c>
    </row>
    <row r="3421" spans="1:40">
      <c r="A3421" t="s">
        <v>8081</v>
      </c>
      <c r="B3421" t="s">
        <v>10793</v>
      </c>
      <c r="C3421" t="s">
        <v>10801</v>
      </c>
      <c r="D3421" t="s">
        <v>52</v>
      </c>
      <c r="E3421" t="s">
        <v>6428</v>
      </c>
      <c r="F3421" t="s">
        <v>131</v>
      </c>
      <c r="G3421" t="str">
        <f>HYPERLINK("https://twitter.com/964571744190201856/status/1142851435379527681")</f>
        <v>https://twitter.com/964571744190201856/status/1142851435379527681</v>
      </c>
      <c r="H3421" t="s">
        <v>46</v>
      </c>
      <c r="I3421" t="s">
        <v>10802</v>
      </c>
      <c r="J3421" t="str">
        <f>HYPERLINK("http://twitter.com/SarcasticSadOne")</f>
        <v>http://twitter.com/SarcasticSadOne</v>
      </c>
      <c r="K3421">
        <v>23151</v>
      </c>
      <c r="N3421" t="s">
        <v>65</v>
      </c>
      <c r="R3421" t="s">
        <v>60</v>
      </c>
      <c r="S3421" t="s">
        <v>1403</v>
      </c>
      <c r="T3421" t="s">
        <v>3958</v>
      </c>
      <c r="U3421" t="s">
        <v>9803</v>
      </c>
      <c r="W3421">
        <v>0</v>
      </c>
      <c r="X3421">
        <v>0</v>
      </c>
      <c r="AE3421">
        <v>0</v>
      </c>
      <c r="AM3421" t="s">
        <v>52</v>
      </c>
      <c r="AN3421" t="s">
        <v>53</v>
      </c>
    </row>
    <row r="3422" spans="1:40">
      <c r="A3422" t="s">
        <v>8081</v>
      </c>
      <c r="B3422" t="s">
        <v>10793</v>
      </c>
      <c r="C3422" t="s">
        <v>10803</v>
      </c>
      <c r="D3422" t="s">
        <v>52</v>
      </c>
      <c r="E3422" t="s">
        <v>3749</v>
      </c>
      <c r="F3422" t="s">
        <v>71</v>
      </c>
      <c r="G3422" t="str">
        <f>HYPERLINK("https://twitter.com/621715290/status/1142851334133178370")</f>
        <v>https://twitter.com/621715290/status/1142851334133178370</v>
      </c>
      <c r="H3422" t="s">
        <v>46</v>
      </c>
      <c r="I3422" t="s">
        <v>10804</v>
      </c>
      <c r="J3422" t="str">
        <f>HYPERLINK("http://twitter.com/TshepisoM__")</f>
        <v>http://twitter.com/TshepisoM__</v>
      </c>
      <c r="K3422">
        <v>491</v>
      </c>
      <c r="N3422" t="s">
        <v>65</v>
      </c>
      <c r="R3422" t="s">
        <v>60</v>
      </c>
      <c r="S3422" t="s">
        <v>1071</v>
      </c>
      <c r="T3422" t="s">
        <v>1072</v>
      </c>
      <c r="U3422" t="s">
        <v>1073</v>
      </c>
      <c r="W3422">
        <v>0</v>
      </c>
      <c r="X3422">
        <v>0</v>
      </c>
      <c r="AE3422">
        <v>0</v>
      </c>
      <c r="AF3422">
        <v>0</v>
      </c>
      <c r="AI3422" t="s">
        <v>108</v>
      </c>
      <c r="AJ3422" t="s">
        <v>52</v>
      </c>
      <c r="AK3422" t="s">
        <v>52</v>
      </c>
      <c r="AL3422" t="str">
        <f>HYPERLINK("https://pbs.twimg.com/media/D9sAXHUX4AA6vJs.jpg")</f>
        <v>https://pbs.twimg.com/media/D9sAXHUX4AA6vJs.jpg</v>
      </c>
      <c r="AM3422" t="s">
        <v>52</v>
      </c>
      <c r="AN3422" t="s">
        <v>53</v>
      </c>
    </row>
    <row r="3423" spans="1:40">
      <c r="A3423" t="s">
        <v>8081</v>
      </c>
      <c r="B3423" t="s">
        <v>10793</v>
      </c>
      <c r="C3423" t="s">
        <v>10803</v>
      </c>
      <c r="D3423" t="s">
        <v>52</v>
      </c>
      <c r="E3423" t="s">
        <v>10805</v>
      </c>
      <c r="F3423" t="s">
        <v>45</v>
      </c>
      <c r="G3423" t="str">
        <f>HYPERLINK("https://twitter.com/274881665/status/1142851323135692800")</f>
        <v>https://twitter.com/274881665/status/1142851323135692800</v>
      </c>
      <c r="H3423" t="s">
        <v>46</v>
      </c>
      <c r="I3423" t="s">
        <v>10806</v>
      </c>
      <c r="J3423" t="str">
        <f>HYPERLINK("http://twitter.com/JennyCParker")</f>
        <v>http://twitter.com/JennyCParker</v>
      </c>
      <c r="K3423">
        <v>281</v>
      </c>
      <c r="N3423" t="s">
        <v>65</v>
      </c>
      <c r="R3423" t="s">
        <v>60</v>
      </c>
      <c r="S3423" t="s">
        <v>51</v>
      </c>
      <c r="T3423" t="s">
        <v>152</v>
      </c>
      <c r="U3423" t="s">
        <v>424</v>
      </c>
      <c r="W3423">
        <v>0</v>
      </c>
      <c r="X3423">
        <v>0</v>
      </c>
      <c r="AE3423">
        <v>0</v>
      </c>
      <c r="AF3423">
        <v>0</v>
      </c>
      <c r="AM3423" t="s">
        <v>52</v>
      </c>
      <c r="AN3423" t="s">
        <v>53</v>
      </c>
    </row>
    <row r="3424" spans="1:40">
      <c r="A3424" t="s">
        <v>8081</v>
      </c>
      <c r="B3424" t="s">
        <v>5317</v>
      </c>
      <c r="C3424" t="s">
        <v>10807</v>
      </c>
      <c r="D3424" t="s">
        <v>52</v>
      </c>
      <c r="E3424" t="s">
        <v>10808</v>
      </c>
      <c r="F3424" t="s">
        <v>45</v>
      </c>
      <c r="G3424" t="str">
        <f>HYPERLINK("https://twitter.com/926451627510419456/status/1142851307805597697")</f>
        <v>https://twitter.com/926451627510419456/status/1142851307805597697</v>
      </c>
      <c r="H3424" t="s">
        <v>215</v>
      </c>
      <c r="I3424" t="s">
        <v>5565</v>
      </c>
      <c r="J3424" t="str">
        <f>HYPERLINK("http://twitter.com/fancysope")</f>
        <v>http://twitter.com/fancysope</v>
      </c>
      <c r="K3424">
        <v>4014</v>
      </c>
      <c r="N3424" t="s">
        <v>65</v>
      </c>
      <c r="R3424" t="s">
        <v>60</v>
      </c>
      <c r="W3424">
        <v>3</v>
      </c>
      <c r="X3424">
        <v>3</v>
      </c>
      <c r="AE3424">
        <v>2</v>
      </c>
      <c r="AF3424">
        <v>0</v>
      </c>
      <c r="AM3424" t="s">
        <v>52</v>
      </c>
      <c r="AN3424" t="s">
        <v>53</v>
      </c>
    </row>
    <row r="3425" spans="1:40">
      <c r="A3425" t="s">
        <v>8081</v>
      </c>
      <c r="B3425" t="s">
        <v>5317</v>
      </c>
      <c r="C3425" t="s">
        <v>10777</v>
      </c>
      <c r="D3425" t="s">
        <v>52</v>
      </c>
      <c r="E3425" t="s">
        <v>10809</v>
      </c>
      <c r="F3425" t="s">
        <v>45</v>
      </c>
      <c r="G3425" t="str">
        <f>HYPERLINK("https://www.instagram.com/p/BzD6arPHhwn")</f>
        <v>https://www.instagram.com/p/BzD6arPHhwn</v>
      </c>
      <c r="H3425" t="s">
        <v>46</v>
      </c>
      <c r="I3425" t="s">
        <v>10207</v>
      </c>
      <c r="J3425" t="str">
        <f>HYPERLINK("http://instagram.com/eyesofaclown")</f>
        <v>http://instagram.com/eyesofaclown</v>
      </c>
      <c r="K3425">
        <v>160</v>
      </c>
      <c r="L3425" t="s">
        <v>48</v>
      </c>
      <c r="N3425" t="s">
        <v>59</v>
      </c>
      <c r="O3425" t="s">
        <v>10207</v>
      </c>
      <c r="P3425" t="str">
        <f>HYPERLINK("http://instagram.com/eyesofaclown")</f>
        <v>http://instagram.com/eyesofaclown</v>
      </c>
      <c r="Q3425">
        <v>160</v>
      </c>
      <c r="R3425" t="s">
        <v>60</v>
      </c>
      <c r="W3425">
        <v>25</v>
      </c>
      <c r="X3425">
        <v>25</v>
      </c>
      <c r="AE3425">
        <v>0</v>
      </c>
      <c r="AI3425" t="s">
        <v>52</v>
      </c>
      <c r="AJ3425" t="s">
        <v>10810</v>
      </c>
      <c r="AK3425" t="s">
        <v>2565</v>
      </c>
      <c r="AL3425" t="str">
        <f>HYPERLINK("https://www.instagram.com/p/BzD6arPHhwn/media/?size=l")</f>
        <v>https://www.instagram.com/p/BzD6arPHhwn/media/?size=l</v>
      </c>
      <c r="AM3425" t="s">
        <v>52</v>
      </c>
      <c r="AN3425" t="s">
        <v>53</v>
      </c>
    </row>
    <row r="3426" spans="1:40">
      <c r="A3426" t="s">
        <v>8081</v>
      </c>
      <c r="B3426" t="s">
        <v>5321</v>
      </c>
      <c r="C3426" t="s">
        <v>10803</v>
      </c>
      <c r="D3426" t="s">
        <v>52</v>
      </c>
      <c r="E3426" t="s">
        <v>10811</v>
      </c>
      <c r="F3426" t="s">
        <v>45</v>
      </c>
      <c r="G3426" t="str">
        <f>HYPERLINK("https://www.instagram.com/p/BzD5_4JnB6I")</f>
        <v>https://www.instagram.com/p/BzD5_4JnB6I</v>
      </c>
      <c r="H3426" t="s">
        <v>46</v>
      </c>
      <c r="I3426" t="s">
        <v>10812</v>
      </c>
      <c r="J3426" t="str">
        <f>HYPERLINK("http://instagram.com/goldenretrievermaverick_")</f>
        <v>http://instagram.com/goldenretrievermaverick_</v>
      </c>
      <c r="K3426">
        <v>383</v>
      </c>
      <c r="L3426" t="s">
        <v>48</v>
      </c>
      <c r="N3426" t="s">
        <v>59</v>
      </c>
      <c r="O3426" t="s">
        <v>10812</v>
      </c>
      <c r="P3426" t="str">
        <f>HYPERLINK("http://instagram.com/goldenretrievermaverick_")</f>
        <v>http://instagram.com/goldenretrievermaverick_</v>
      </c>
      <c r="Q3426">
        <v>383</v>
      </c>
      <c r="R3426" t="s">
        <v>60</v>
      </c>
      <c r="W3426">
        <v>100</v>
      </c>
      <c r="X3426">
        <v>100</v>
      </c>
      <c r="AE3426">
        <v>5</v>
      </c>
      <c r="AG3426">
        <v>117</v>
      </c>
      <c r="AI3426" t="s">
        <v>52</v>
      </c>
      <c r="AJ3426" t="s">
        <v>985</v>
      </c>
      <c r="AK3426" t="s">
        <v>52</v>
      </c>
      <c r="AL3426" t="str">
        <f>HYPERLINK("https://www.instagram.com/p/BzD5_4JnB6I/media/?size=l")</f>
        <v>https://www.instagram.com/p/BzD5_4JnB6I/media/?size=l</v>
      </c>
      <c r="AM3426" t="s">
        <v>52</v>
      </c>
      <c r="AN3426" t="s">
        <v>53</v>
      </c>
    </row>
    <row r="3427" spans="1:40">
      <c r="A3427" t="s">
        <v>8081</v>
      </c>
      <c r="B3427" t="s">
        <v>5329</v>
      </c>
      <c r="C3427" t="s">
        <v>10760</v>
      </c>
      <c r="D3427" t="s">
        <v>52</v>
      </c>
      <c r="E3427" t="s">
        <v>10813</v>
      </c>
      <c r="F3427" t="s">
        <v>45</v>
      </c>
      <c r="G3427" t="str">
        <f>HYPERLINK("https://www.instagram.com/p/BzD6Ffwpfxh")</f>
        <v>https://www.instagram.com/p/BzD6Ffwpfxh</v>
      </c>
      <c r="H3427" t="s">
        <v>46</v>
      </c>
      <c r="I3427" t="s">
        <v>10814</v>
      </c>
      <c r="J3427" t="str">
        <f>HYPERLINK("http://instagram.com/sunshinemarket562")</f>
        <v>http://instagram.com/sunshinemarket562</v>
      </c>
      <c r="K3427">
        <v>1</v>
      </c>
      <c r="N3427" t="s">
        <v>59</v>
      </c>
      <c r="O3427" t="s">
        <v>10814</v>
      </c>
      <c r="P3427" t="str">
        <f>HYPERLINK("http://instagram.com/sunshinemarket562")</f>
        <v>http://instagram.com/sunshinemarket562</v>
      </c>
      <c r="Q3427">
        <v>1</v>
      </c>
      <c r="R3427" t="s">
        <v>60</v>
      </c>
      <c r="W3427">
        <v>6</v>
      </c>
      <c r="X3427">
        <v>6</v>
      </c>
      <c r="AE3427">
        <v>2</v>
      </c>
      <c r="AI3427" t="s">
        <v>52</v>
      </c>
      <c r="AJ3427" t="s">
        <v>1853</v>
      </c>
      <c r="AK3427" t="s">
        <v>52</v>
      </c>
      <c r="AL3427" t="str">
        <f>HYPERLINK("https://www.instagram.com/p/BzD6Ffwpfxh/media/?size=l")</f>
        <v>https://www.instagram.com/p/BzD6Ffwpfxh/media/?size=l</v>
      </c>
      <c r="AM3427" t="s">
        <v>52</v>
      </c>
      <c r="AN3427" t="s">
        <v>53</v>
      </c>
    </row>
    <row r="3428" spans="1:40">
      <c r="A3428" t="s">
        <v>8081</v>
      </c>
      <c r="B3428" t="s">
        <v>5329</v>
      </c>
      <c r="C3428" t="s">
        <v>10807</v>
      </c>
      <c r="D3428" t="s">
        <v>52</v>
      </c>
      <c r="E3428" t="s">
        <v>10815</v>
      </c>
      <c r="F3428" t="s">
        <v>71</v>
      </c>
      <c r="G3428" t="str">
        <f>HYPERLINK("https://twitter.com/3341987913/status/1142850427991539713")</f>
        <v>https://twitter.com/3341987913/status/1142850427991539713</v>
      </c>
      <c r="H3428" t="s">
        <v>46</v>
      </c>
      <c r="I3428" t="s">
        <v>10816</v>
      </c>
      <c r="J3428" t="str">
        <f>HYPERLINK("http://twitter.com/yvngkt")</f>
        <v>http://twitter.com/yvngkt</v>
      </c>
      <c r="K3428">
        <v>415</v>
      </c>
      <c r="N3428" t="s">
        <v>65</v>
      </c>
      <c r="R3428" t="s">
        <v>60</v>
      </c>
      <c r="W3428">
        <v>1</v>
      </c>
      <c r="X3428">
        <v>1</v>
      </c>
      <c r="AE3428">
        <v>0</v>
      </c>
      <c r="AF3428">
        <v>1</v>
      </c>
      <c r="AM3428" t="s">
        <v>52</v>
      </c>
      <c r="AN3428" t="s">
        <v>53</v>
      </c>
    </row>
    <row r="3429" spans="1:40">
      <c r="A3429" t="s">
        <v>8081</v>
      </c>
      <c r="B3429" t="s">
        <v>10817</v>
      </c>
      <c r="C3429" t="s">
        <v>10818</v>
      </c>
      <c r="D3429" t="s">
        <v>52</v>
      </c>
      <c r="E3429" t="s">
        <v>9447</v>
      </c>
      <c r="F3429" t="s">
        <v>131</v>
      </c>
      <c r="G3429" t="str">
        <f>HYPERLINK("https://twitter.com/1140447974658646020/status/1142849818844262400")</f>
        <v>https://twitter.com/1140447974658646020/status/1142849818844262400</v>
      </c>
      <c r="H3429" t="s">
        <v>46</v>
      </c>
      <c r="I3429" t="s">
        <v>10819</v>
      </c>
      <c r="J3429" t="str">
        <f>HYPERLINK("http://twitter.com/LittleRaven131")</f>
        <v>http://twitter.com/LittleRaven131</v>
      </c>
      <c r="K3429">
        <v>0</v>
      </c>
      <c r="N3429" t="s">
        <v>65</v>
      </c>
      <c r="R3429" t="s">
        <v>60</v>
      </c>
      <c r="W3429">
        <v>0</v>
      </c>
      <c r="X3429">
        <v>0</v>
      </c>
      <c r="AE3429">
        <v>0</v>
      </c>
      <c r="AM3429" t="s">
        <v>52</v>
      </c>
      <c r="AN3429" t="s">
        <v>53</v>
      </c>
    </row>
    <row r="3430" spans="1:40">
      <c r="A3430" t="s">
        <v>8081</v>
      </c>
      <c r="B3430" t="s">
        <v>10820</v>
      </c>
      <c r="C3430" t="s">
        <v>10821</v>
      </c>
      <c r="D3430" t="s">
        <v>52</v>
      </c>
      <c r="E3430" t="s">
        <v>10822</v>
      </c>
      <c r="F3430" t="s">
        <v>45</v>
      </c>
      <c r="G3430" t="str">
        <f>HYPERLINK("https://www.instagram.com/p/BzD5yKhBovL")</f>
        <v>https://www.instagram.com/p/BzD5yKhBovL</v>
      </c>
      <c r="H3430" t="s">
        <v>46</v>
      </c>
      <c r="I3430" t="s">
        <v>10823</v>
      </c>
      <c r="J3430" t="str">
        <f>HYPERLINK("http://instagram.com/southboundrob")</f>
        <v>http://instagram.com/southboundrob</v>
      </c>
      <c r="K3430">
        <v>5306</v>
      </c>
      <c r="L3430" t="s">
        <v>48</v>
      </c>
      <c r="N3430" t="s">
        <v>59</v>
      </c>
      <c r="O3430" t="s">
        <v>10823</v>
      </c>
      <c r="P3430" t="str">
        <f>HYPERLINK("http://instagram.com/southboundrob")</f>
        <v>http://instagram.com/southboundrob</v>
      </c>
      <c r="Q3430">
        <v>5306</v>
      </c>
      <c r="R3430" t="s">
        <v>60</v>
      </c>
      <c r="S3430" t="s">
        <v>51</v>
      </c>
      <c r="T3430" t="s">
        <v>73</v>
      </c>
      <c r="U3430" t="s">
        <v>10824</v>
      </c>
      <c r="W3430">
        <v>81</v>
      </c>
      <c r="X3430">
        <v>81</v>
      </c>
      <c r="AE3430">
        <v>6</v>
      </c>
      <c r="AI3430" t="s">
        <v>52</v>
      </c>
      <c r="AJ3430" t="s">
        <v>10825</v>
      </c>
      <c r="AK3430" t="s">
        <v>52</v>
      </c>
      <c r="AL3430" t="str">
        <f>HYPERLINK("https://www.instagram.com/p/BzD5yKhBovL/media/?size=l")</f>
        <v>https://www.instagram.com/p/BzD5yKhBovL/media/?size=l</v>
      </c>
      <c r="AM3430" t="s">
        <v>52</v>
      </c>
      <c r="AN3430" t="s">
        <v>53</v>
      </c>
    </row>
    <row r="3431" spans="1:40">
      <c r="A3431" t="s">
        <v>8081</v>
      </c>
      <c r="B3431" t="s">
        <v>10820</v>
      </c>
      <c r="C3431" t="s">
        <v>10826</v>
      </c>
      <c r="D3431" t="s">
        <v>52</v>
      </c>
      <c r="E3431" t="s">
        <v>10827</v>
      </c>
      <c r="F3431" t="s">
        <v>95</v>
      </c>
      <c r="G3431" t="str">
        <f>HYPERLINK("https://twitter.com/749927628585439232/status/1142849732601176064")</f>
        <v>https://twitter.com/749927628585439232/status/1142849732601176064</v>
      </c>
      <c r="H3431" t="s">
        <v>46</v>
      </c>
      <c r="I3431" t="s">
        <v>10828</v>
      </c>
      <c r="J3431" t="str">
        <f>HYPERLINK("http://twitter.com/Kalimashe_Troy")</f>
        <v>http://twitter.com/Kalimashe_Troy</v>
      </c>
      <c r="K3431">
        <v>619</v>
      </c>
      <c r="N3431" t="s">
        <v>65</v>
      </c>
      <c r="R3431" t="s">
        <v>60</v>
      </c>
      <c r="S3431" t="s">
        <v>10829</v>
      </c>
      <c r="W3431">
        <v>0</v>
      </c>
      <c r="X3431">
        <v>0</v>
      </c>
      <c r="AE3431">
        <v>0</v>
      </c>
      <c r="AF3431">
        <v>0</v>
      </c>
      <c r="AM3431" t="s">
        <v>52</v>
      </c>
      <c r="AN3431" t="s">
        <v>53</v>
      </c>
    </row>
    <row r="3432" spans="1:40">
      <c r="A3432" t="s">
        <v>8081</v>
      </c>
      <c r="B3432" t="s">
        <v>10820</v>
      </c>
      <c r="C3432" t="s">
        <v>10543</v>
      </c>
      <c r="D3432" t="s">
        <v>10830</v>
      </c>
      <c r="E3432" t="s">
        <v>10831</v>
      </c>
      <c r="F3432" t="s">
        <v>45</v>
      </c>
      <c r="G3432" t="str">
        <f>HYPERLINK("https://www.youtube.com/watch?v=5cizFtpXz_4")</f>
        <v>https://www.youtube.com/watch?v=5cizFtpXz_4</v>
      </c>
      <c r="H3432" t="s">
        <v>46</v>
      </c>
      <c r="I3432" t="s">
        <v>10832</v>
      </c>
      <c r="J3432" t="str">
        <f>HYPERLINK("https://www.youtube.com/channel/UCPcoCE4DtNaNwkY8UNUNEhQ")</f>
        <v>https://www.youtube.com/channel/UCPcoCE4DtNaNwkY8UNUNEhQ</v>
      </c>
      <c r="K3432">
        <v>78</v>
      </c>
      <c r="N3432" t="s">
        <v>116</v>
      </c>
      <c r="O3432" t="s">
        <v>10832</v>
      </c>
      <c r="P3432" t="str">
        <f>HYPERLINK("https://www.youtube.com/channel/UCPcoCE4DtNaNwkY8UNUNEhQ")</f>
        <v>https://www.youtube.com/channel/UCPcoCE4DtNaNwkY8UNUNEhQ</v>
      </c>
      <c r="Q3432">
        <v>78</v>
      </c>
      <c r="R3432" t="s">
        <v>60</v>
      </c>
      <c r="S3432" t="s">
        <v>432</v>
      </c>
      <c r="W3432">
        <v>3</v>
      </c>
      <c r="X3432">
        <v>3</v>
      </c>
      <c r="AD3432">
        <v>0</v>
      </c>
      <c r="AE3432">
        <v>1</v>
      </c>
      <c r="AG3432">
        <v>15</v>
      </c>
      <c r="AI3432" t="s">
        <v>52</v>
      </c>
      <c r="AJ3432" t="s">
        <v>52</v>
      </c>
      <c r="AK3432" t="s">
        <v>52</v>
      </c>
      <c r="AL3432" t="str">
        <f>HYPERLINK("https://i.ytimg.com/vi/5cizFtpXz_4/hqdefault.jpg")</f>
        <v>https://i.ytimg.com/vi/5cizFtpXz_4/hqdefault.jpg</v>
      </c>
      <c r="AM3432" t="s">
        <v>52</v>
      </c>
      <c r="AN3432" t="s">
        <v>53</v>
      </c>
    </row>
    <row r="3433" spans="1:40">
      <c r="A3433" t="s">
        <v>8081</v>
      </c>
      <c r="B3433" t="s">
        <v>5339</v>
      </c>
      <c r="C3433" t="s">
        <v>10833</v>
      </c>
      <c r="D3433" t="s">
        <v>52</v>
      </c>
      <c r="E3433" t="s">
        <v>1605</v>
      </c>
      <c r="F3433" t="s">
        <v>71</v>
      </c>
      <c r="G3433" t="str">
        <f>HYPERLINK("https://twitter.com/901714869594062849/status/1142849321072771073")</f>
        <v>https://twitter.com/901714869594062849/status/1142849321072771073</v>
      </c>
      <c r="H3433" t="s">
        <v>215</v>
      </c>
      <c r="I3433" t="s">
        <v>10834</v>
      </c>
      <c r="J3433" t="str">
        <f>HYPERLINK("http://twitter.com/onwabba")</f>
        <v>http://twitter.com/onwabba</v>
      </c>
      <c r="K3433">
        <v>2164</v>
      </c>
      <c r="N3433" t="s">
        <v>65</v>
      </c>
      <c r="R3433" t="s">
        <v>60</v>
      </c>
      <c r="S3433" t="s">
        <v>1071</v>
      </c>
      <c r="T3433" t="s">
        <v>1072</v>
      </c>
      <c r="U3433" t="s">
        <v>1073</v>
      </c>
      <c r="W3433">
        <v>46</v>
      </c>
      <c r="X3433">
        <v>46</v>
      </c>
      <c r="AE3433">
        <v>4</v>
      </c>
      <c r="AF3433">
        <v>10</v>
      </c>
      <c r="AM3433" t="s">
        <v>52</v>
      </c>
      <c r="AN3433" t="s">
        <v>53</v>
      </c>
    </row>
    <row r="3434" spans="1:40">
      <c r="A3434" t="s">
        <v>8081</v>
      </c>
      <c r="B3434" t="s">
        <v>5345</v>
      </c>
      <c r="C3434" t="s">
        <v>10835</v>
      </c>
      <c r="D3434" t="s">
        <v>52</v>
      </c>
      <c r="E3434" t="s">
        <v>10836</v>
      </c>
      <c r="F3434" t="s">
        <v>71</v>
      </c>
      <c r="G3434" t="str">
        <f>HYPERLINK("https://twitter.com/537076595/status/1142849295147814912")</f>
        <v>https://twitter.com/537076595/status/1142849295147814912</v>
      </c>
      <c r="H3434" t="s">
        <v>46</v>
      </c>
      <c r="I3434" t="s">
        <v>10837</v>
      </c>
      <c r="J3434" t="str">
        <f>HYPERLINK("http://twitter.com/Pali_babz")</f>
        <v>http://twitter.com/Pali_babz</v>
      </c>
      <c r="K3434">
        <v>989</v>
      </c>
      <c r="N3434" t="s">
        <v>65</v>
      </c>
      <c r="R3434" t="s">
        <v>60</v>
      </c>
      <c r="S3434" t="s">
        <v>1071</v>
      </c>
      <c r="W3434">
        <v>0</v>
      </c>
      <c r="X3434">
        <v>0</v>
      </c>
      <c r="AE3434">
        <v>0</v>
      </c>
      <c r="AF3434">
        <v>0</v>
      </c>
      <c r="AM3434" t="s">
        <v>52</v>
      </c>
      <c r="AN3434" t="s">
        <v>53</v>
      </c>
    </row>
    <row r="3435" spans="1:40">
      <c r="A3435" t="s">
        <v>8081</v>
      </c>
      <c r="B3435" t="s">
        <v>5345</v>
      </c>
      <c r="C3435" t="s">
        <v>8569</v>
      </c>
      <c r="D3435" t="s">
        <v>52</v>
      </c>
      <c r="E3435" t="s">
        <v>10838</v>
      </c>
      <c r="F3435" t="s">
        <v>45</v>
      </c>
      <c r="G3435" t="str">
        <f>HYPERLINK("https://www.instagram.com/p/BzD5ivAgk-R")</f>
        <v>https://www.instagram.com/p/BzD5ivAgk-R</v>
      </c>
      <c r="H3435" t="s">
        <v>46</v>
      </c>
      <c r="I3435" t="s">
        <v>10839</v>
      </c>
      <c r="J3435" t="str">
        <f>HYPERLINK("http://instagram.com/shopjeaniebaby")</f>
        <v>http://instagram.com/shopjeaniebaby</v>
      </c>
      <c r="K3435">
        <v>2398</v>
      </c>
      <c r="L3435" t="s">
        <v>58</v>
      </c>
      <c r="N3435" t="s">
        <v>59</v>
      </c>
      <c r="O3435" t="s">
        <v>10839</v>
      </c>
      <c r="P3435" t="str">
        <f>HYPERLINK("http://instagram.com/shopjeaniebaby")</f>
        <v>http://instagram.com/shopjeaniebaby</v>
      </c>
      <c r="Q3435">
        <v>2398</v>
      </c>
      <c r="R3435" t="s">
        <v>60</v>
      </c>
      <c r="S3435" t="s">
        <v>51</v>
      </c>
      <c r="T3435" t="s">
        <v>173</v>
      </c>
      <c r="U3435" t="s">
        <v>1214</v>
      </c>
      <c r="W3435">
        <v>168</v>
      </c>
      <c r="X3435">
        <v>168</v>
      </c>
      <c r="AE3435">
        <v>6</v>
      </c>
      <c r="AI3435" t="s">
        <v>108</v>
      </c>
      <c r="AJ3435" t="s">
        <v>52</v>
      </c>
      <c r="AK3435" t="s">
        <v>2089</v>
      </c>
      <c r="AL3435" t="str">
        <f>HYPERLINK("https://www.instagram.com/p/BzD5ivAgk-R/media/?size=l")</f>
        <v>https://www.instagram.com/p/BzD5ivAgk-R/media/?size=l</v>
      </c>
      <c r="AM3435" t="s">
        <v>52</v>
      </c>
      <c r="AN3435" t="s">
        <v>53</v>
      </c>
    </row>
    <row r="3436" spans="1:40">
      <c r="A3436" t="s">
        <v>8081</v>
      </c>
      <c r="B3436" t="s">
        <v>5351</v>
      </c>
      <c r="C3436" t="s">
        <v>10773</v>
      </c>
      <c r="D3436" t="s">
        <v>10840</v>
      </c>
      <c r="E3436" t="s">
        <v>10841</v>
      </c>
      <c r="F3436" t="s">
        <v>95</v>
      </c>
      <c r="G3436" t="str">
        <f>HYPERLINK("https://www.breitbart.com/entertainment/2019/06/23/george-lopez-demands-ice-deport-trumps-anchor-baby-children/#comment-4513211378")</f>
        <v>https://www.breitbart.com/entertainment/2019/06/23/george-lopez-demands-ice-deport-trumps-anchor-baby-children/#comment-4513211378</v>
      </c>
      <c r="H3436" t="s">
        <v>46</v>
      </c>
      <c r="I3436" t="s">
        <v>10842</v>
      </c>
      <c r="J3436" t="str">
        <f>HYPERLINK("https://disqus.com/by/disqus_aY8hJF1vHY/")</f>
        <v>https://disqus.com/by/disqus_aY8hJF1vHY/</v>
      </c>
      <c r="K3436">
        <v>0</v>
      </c>
      <c r="N3436" t="s">
        <v>2702</v>
      </c>
      <c r="O3436" t="s">
        <v>2703</v>
      </c>
      <c r="P3436" t="str">
        <f>HYPERLINK("https://disqus.com/home/forum/breitbartproduction/")</f>
        <v>https://disqus.com/home/forum/breitbartproduction/</v>
      </c>
      <c r="R3436" t="s">
        <v>50</v>
      </c>
      <c r="W3436">
        <v>0</v>
      </c>
      <c r="X3436">
        <v>0</v>
      </c>
      <c r="AM3436" t="s">
        <v>52</v>
      </c>
      <c r="AN3436" t="s">
        <v>53</v>
      </c>
    </row>
    <row r="3437" spans="1:40">
      <c r="A3437" t="s">
        <v>8081</v>
      </c>
      <c r="B3437" t="s">
        <v>5370</v>
      </c>
      <c r="C3437" t="s">
        <v>10843</v>
      </c>
      <c r="D3437" t="s">
        <v>8722</v>
      </c>
      <c r="E3437" t="s">
        <v>10844</v>
      </c>
      <c r="F3437" t="s">
        <v>45</v>
      </c>
      <c r="G3437" t="str">
        <f>HYPERLINK("https://forums.battlefield.com/en-us/discussion/188825/which-one-is-it-i-cant-see-anyone-in-bf-v-or-spotting-was-easy-mode-glad-it-is-gone/p10#Comment_1562185")</f>
        <v>https://forums.battlefield.com/en-us/discussion/188825/which-one-is-it-i-cant-see-anyone-in-bf-v-or-spotting-was-easy-mode-glad-it-is-gone/p10#Comment_1562185</v>
      </c>
      <c r="H3437" t="s">
        <v>46</v>
      </c>
      <c r="I3437" t="s">
        <v>10845</v>
      </c>
      <c r="J3437" t="str">
        <f>HYPERLINK("https://forums.battlefield.com/en-us/discussion/188825/which-one-is-it-i-cant-see-anyone-in-bf-v-or-spotting-was-easy-mode-glad-it-is-gone/p10#Comment_1562185")</f>
        <v>https://forums.battlefield.com/en-us/discussion/188825/which-one-is-it-i-cant-see-anyone-in-bf-v-or-spotting-was-easy-mode-glad-it-is-gone/p10#Comment_1562185</v>
      </c>
      <c r="N3437" t="s">
        <v>3237</v>
      </c>
      <c r="O3437" t="s">
        <v>3238</v>
      </c>
      <c r="P3437" t="str">
        <f>HYPERLINK("https://forums.battlefield.com/en-us/categories/battlefield-v-general-discussion")</f>
        <v>https://forums.battlefield.com/en-us/categories/battlefield-v-general-discussion</v>
      </c>
      <c r="R3437" t="s">
        <v>516</v>
      </c>
      <c r="S3437" t="s">
        <v>51</v>
      </c>
      <c r="AM3437" t="s">
        <v>52</v>
      </c>
      <c r="AN3437" t="s">
        <v>53</v>
      </c>
    </row>
    <row r="3438" spans="1:40">
      <c r="A3438" t="s">
        <v>8081</v>
      </c>
      <c r="B3438" t="s">
        <v>5374</v>
      </c>
      <c r="C3438" t="s">
        <v>10297</v>
      </c>
      <c r="D3438" t="s">
        <v>10846</v>
      </c>
      <c r="E3438" t="s">
        <v>10847</v>
      </c>
      <c r="F3438" t="s">
        <v>45</v>
      </c>
      <c r="G3438" t="str">
        <f>HYPERLINK("https://www.youtube.com/watch?v=fApsmzXHJGU")</f>
        <v>https://www.youtube.com/watch?v=fApsmzXHJGU</v>
      </c>
      <c r="H3438" t="s">
        <v>46</v>
      </c>
      <c r="I3438" t="s">
        <v>10848</v>
      </c>
      <c r="J3438" t="str">
        <f>HYPERLINK("https://www.youtube.com/channel/UCoengyVdG-VXEpSPK-PjX8A")</f>
        <v>https://www.youtube.com/channel/UCoengyVdG-VXEpSPK-PjX8A</v>
      </c>
      <c r="K3438">
        <v>83</v>
      </c>
      <c r="N3438" t="s">
        <v>116</v>
      </c>
      <c r="O3438" t="s">
        <v>10848</v>
      </c>
      <c r="P3438" t="str">
        <f>HYPERLINK("https://www.youtube.com/channel/UCoengyVdG-VXEpSPK-PjX8A")</f>
        <v>https://www.youtube.com/channel/UCoengyVdG-VXEpSPK-PjX8A</v>
      </c>
      <c r="Q3438">
        <v>83</v>
      </c>
      <c r="R3438" t="s">
        <v>60</v>
      </c>
      <c r="W3438">
        <v>8</v>
      </c>
      <c r="X3438">
        <v>8</v>
      </c>
      <c r="AD3438">
        <v>0</v>
      </c>
      <c r="AE3438">
        <v>0</v>
      </c>
      <c r="AG3438">
        <v>49</v>
      </c>
      <c r="AI3438" t="s">
        <v>52</v>
      </c>
      <c r="AJ3438" t="s">
        <v>8531</v>
      </c>
      <c r="AK3438" t="s">
        <v>2986</v>
      </c>
      <c r="AL3438" t="str">
        <f>HYPERLINK("https://i.ytimg.com/vi/fApsmzXHJGU/hqdefault.jpg")</f>
        <v>https://i.ytimg.com/vi/fApsmzXHJGU/hqdefault.jpg</v>
      </c>
      <c r="AM3438" t="s">
        <v>52</v>
      </c>
      <c r="AN3438" t="s">
        <v>53</v>
      </c>
    </row>
    <row r="3439" spans="1:40">
      <c r="A3439" t="s">
        <v>8081</v>
      </c>
      <c r="B3439" t="s">
        <v>5374</v>
      </c>
      <c r="C3439" t="s">
        <v>10849</v>
      </c>
      <c r="D3439" t="s">
        <v>52</v>
      </c>
      <c r="E3439" t="s">
        <v>10850</v>
      </c>
      <c r="F3439" t="s">
        <v>45</v>
      </c>
      <c r="G3439" t="str">
        <f>HYPERLINK("https://www.instagram.com/p/BzD5EzHA4lS")</f>
        <v>https://www.instagram.com/p/BzD5EzHA4lS</v>
      </c>
      <c r="H3439" t="s">
        <v>46</v>
      </c>
      <c r="I3439" t="s">
        <v>10851</v>
      </c>
      <c r="J3439" t="str">
        <f>HYPERLINK("http://instagram.com/chefbelenon")</f>
        <v>http://instagram.com/chefbelenon</v>
      </c>
      <c r="K3439">
        <v>2427</v>
      </c>
      <c r="N3439" t="s">
        <v>59</v>
      </c>
      <c r="O3439" t="s">
        <v>10851</v>
      </c>
      <c r="P3439" t="str">
        <f>HYPERLINK("http://instagram.com/chefbelenon")</f>
        <v>http://instagram.com/chefbelenon</v>
      </c>
      <c r="Q3439">
        <v>2427</v>
      </c>
      <c r="R3439" t="s">
        <v>60</v>
      </c>
      <c r="W3439">
        <v>76</v>
      </c>
      <c r="X3439">
        <v>76</v>
      </c>
      <c r="AE3439">
        <v>2</v>
      </c>
      <c r="AI3439" t="s">
        <v>52</v>
      </c>
      <c r="AJ3439" t="s">
        <v>10852</v>
      </c>
      <c r="AK3439" t="s">
        <v>52</v>
      </c>
      <c r="AL3439" t="str">
        <f>HYPERLINK("https://www.instagram.com/p/BzD5EzHA4lS/media/?size=l")</f>
        <v>https://www.instagram.com/p/BzD5EzHA4lS/media/?size=l</v>
      </c>
      <c r="AM3439" t="s">
        <v>52</v>
      </c>
      <c r="AN3439" t="s">
        <v>53</v>
      </c>
    </row>
    <row r="3440" spans="1:40">
      <c r="A3440" t="s">
        <v>8081</v>
      </c>
      <c r="B3440" t="s">
        <v>5383</v>
      </c>
      <c r="C3440" t="s">
        <v>10821</v>
      </c>
      <c r="D3440" t="s">
        <v>52</v>
      </c>
      <c r="E3440" t="s">
        <v>6428</v>
      </c>
      <c r="F3440" t="s">
        <v>131</v>
      </c>
      <c r="G3440" t="str">
        <f>HYPERLINK("https://twitter.com/902285565177069568/status/1142847800897617920")</f>
        <v>https://twitter.com/902285565177069568/status/1142847800897617920</v>
      </c>
      <c r="H3440" t="s">
        <v>46</v>
      </c>
      <c r="I3440" t="s">
        <v>10853</v>
      </c>
      <c r="J3440" t="str">
        <f>HYPERLINK("http://twitter.com/justsomegirl81")</f>
        <v>http://twitter.com/justsomegirl81</v>
      </c>
      <c r="K3440">
        <v>48242</v>
      </c>
      <c r="N3440" t="s">
        <v>65</v>
      </c>
      <c r="R3440" t="s">
        <v>60</v>
      </c>
      <c r="S3440" t="s">
        <v>4488</v>
      </c>
      <c r="T3440" t="s">
        <v>10854</v>
      </c>
      <c r="U3440" t="s">
        <v>10855</v>
      </c>
      <c r="W3440">
        <v>0</v>
      </c>
      <c r="X3440">
        <v>0</v>
      </c>
      <c r="AE3440">
        <v>0</v>
      </c>
      <c r="AM3440" t="s">
        <v>52</v>
      </c>
      <c r="AN3440" t="s">
        <v>53</v>
      </c>
    </row>
    <row r="3441" spans="1:40">
      <c r="A3441" t="s">
        <v>8081</v>
      </c>
      <c r="B3441" t="s">
        <v>5387</v>
      </c>
      <c r="C3441" t="s">
        <v>10856</v>
      </c>
      <c r="D3441" t="s">
        <v>52</v>
      </c>
      <c r="E3441" t="s">
        <v>10857</v>
      </c>
      <c r="F3441" t="s">
        <v>45</v>
      </c>
      <c r="G3441" t="str">
        <f>HYPERLINK("https://twitter.com/2654551751/status/1142847783591956481")</f>
        <v>https://twitter.com/2654551751/status/1142847783591956481</v>
      </c>
      <c r="H3441" t="s">
        <v>46</v>
      </c>
      <c r="I3441" t="s">
        <v>10858</v>
      </c>
      <c r="J3441" t="str">
        <f>HYPERLINK("http://twitter.com/svtakis")</f>
        <v>http://twitter.com/svtakis</v>
      </c>
      <c r="K3441">
        <v>5407</v>
      </c>
      <c r="N3441" t="s">
        <v>65</v>
      </c>
      <c r="R3441" t="s">
        <v>60</v>
      </c>
      <c r="W3441">
        <v>0</v>
      </c>
      <c r="X3441">
        <v>0</v>
      </c>
      <c r="AE3441">
        <v>2</v>
      </c>
      <c r="AF3441">
        <v>0</v>
      </c>
      <c r="AI3441" t="s">
        <v>52</v>
      </c>
      <c r="AJ3441" t="s">
        <v>52</v>
      </c>
      <c r="AK3441" t="s">
        <v>52</v>
      </c>
      <c r="AL3441" t="str">
        <f>HYPERLINK("https://pbs.twimg.com/media/D9w1-vyXkAcLAyh.jpg")</f>
        <v>https://pbs.twimg.com/media/D9w1-vyXkAcLAyh.jpg</v>
      </c>
      <c r="AM3441" t="s">
        <v>52</v>
      </c>
      <c r="AN3441" t="s">
        <v>53</v>
      </c>
    </row>
    <row r="3442" spans="1:40">
      <c r="A3442" t="s">
        <v>8081</v>
      </c>
      <c r="B3442" t="s">
        <v>5387</v>
      </c>
      <c r="C3442" t="s">
        <v>10849</v>
      </c>
      <c r="D3442" t="s">
        <v>52</v>
      </c>
      <c r="E3442" t="s">
        <v>10859</v>
      </c>
      <c r="F3442" t="s">
        <v>45</v>
      </c>
      <c r="G3442" t="str">
        <f>HYPERLINK("https://twitter.com/51871302/status/1142847760334512135")</f>
        <v>https://twitter.com/51871302/status/1142847760334512135</v>
      </c>
      <c r="H3442" t="s">
        <v>46</v>
      </c>
      <c r="I3442" t="s">
        <v>10860</v>
      </c>
      <c r="J3442" t="str">
        <f>HYPERLINK("http://twitter.com/dajshonte")</f>
        <v>http://twitter.com/dajshonte</v>
      </c>
      <c r="K3442">
        <v>1606</v>
      </c>
      <c r="N3442" t="s">
        <v>65</v>
      </c>
      <c r="R3442" t="s">
        <v>60</v>
      </c>
      <c r="S3442" t="s">
        <v>51</v>
      </c>
      <c r="T3442" t="s">
        <v>2720</v>
      </c>
      <c r="U3442" t="s">
        <v>10861</v>
      </c>
      <c r="W3442">
        <v>0</v>
      </c>
      <c r="X3442">
        <v>0</v>
      </c>
      <c r="AE3442">
        <v>0</v>
      </c>
      <c r="AF3442">
        <v>0</v>
      </c>
      <c r="AM3442" t="s">
        <v>52</v>
      </c>
      <c r="AN3442" t="s">
        <v>53</v>
      </c>
    </row>
    <row r="3443" spans="1:40">
      <c r="A3443" t="s">
        <v>8081</v>
      </c>
      <c r="B3443" t="s">
        <v>5387</v>
      </c>
      <c r="C3443" t="s">
        <v>10862</v>
      </c>
      <c r="D3443" t="s">
        <v>52</v>
      </c>
      <c r="E3443" t="s">
        <v>10863</v>
      </c>
      <c r="F3443" t="s">
        <v>45</v>
      </c>
      <c r="G3443" t="str">
        <f>HYPERLINK("https://twitter.com/1083070567320715264/status/1142847713312043009")</f>
        <v>https://twitter.com/1083070567320715264/status/1142847713312043009</v>
      </c>
      <c r="H3443" t="s">
        <v>46</v>
      </c>
      <c r="I3443" t="s">
        <v>10864</v>
      </c>
      <c r="J3443" t="str">
        <f>HYPERLINK("http://twitter.com/muvvaaaaa")</f>
        <v>http://twitter.com/muvvaaaaa</v>
      </c>
      <c r="K3443">
        <v>37</v>
      </c>
      <c r="N3443" t="s">
        <v>65</v>
      </c>
      <c r="R3443" t="s">
        <v>60</v>
      </c>
      <c r="W3443">
        <v>0</v>
      </c>
      <c r="X3443">
        <v>0</v>
      </c>
      <c r="AE3443">
        <v>0</v>
      </c>
      <c r="AF3443">
        <v>0</v>
      </c>
      <c r="AM3443" t="s">
        <v>52</v>
      </c>
      <c r="AN3443" t="s">
        <v>53</v>
      </c>
    </row>
    <row r="3444" spans="1:40">
      <c r="A3444" t="s">
        <v>8081</v>
      </c>
      <c r="B3444" t="s">
        <v>5387</v>
      </c>
      <c r="C3444" t="s">
        <v>10865</v>
      </c>
      <c r="D3444" t="s">
        <v>52</v>
      </c>
      <c r="E3444" t="s">
        <v>10866</v>
      </c>
      <c r="F3444" t="s">
        <v>71</v>
      </c>
      <c r="G3444" t="str">
        <f>HYPERLINK("https://twitter.com/1129006459763810305/status/1142847683587117057")</f>
        <v>https://twitter.com/1129006459763810305/status/1142847683587117057</v>
      </c>
      <c r="H3444" t="s">
        <v>46</v>
      </c>
      <c r="I3444" t="s">
        <v>10867</v>
      </c>
      <c r="J3444" t="str">
        <f>HYPERLINK("http://twitter.com/atwt3k")</f>
        <v>http://twitter.com/atwt3k</v>
      </c>
      <c r="K3444">
        <v>18</v>
      </c>
      <c r="N3444" t="s">
        <v>65</v>
      </c>
      <c r="R3444" t="s">
        <v>60</v>
      </c>
      <c r="W3444">
        <v>0</v>
      </c>
      <c r="X3444">
        <v>0</v>
      </c>
      <c r="AE3444">
        <v>0</v>
      </c>
      <c r="AF3444">
        <v>0</v>
      </c>
      <c r="AM3444" t="s">
        <v>52</v>
      </c>
      <c r="AN3444" t="s">
        <v>53</v>
      </c>
    </row>
    <row r="3445" spans="1:40">
      <c r="A3445" t="s">
        <v>8081</v>
      </c>
      <c r="B3445" t="s">
        <v>5387</v>
      </c>
      <c r="C3445" t="s">
        <v>10868</v>
      </c>
      <c r="D3445" t="s">
        <v>52</v>
      </c>
      <c r="E3445" t="s">
        <v>6428</v>
      </c>
      <c r="F3445" t="s">
        <v>131</v>
      </c>
      <c r="G3445" t="str">
        <f>HYPERLINK("https://twitter.com/729238747/status/1142847634434088960")</f>
        <v>https://twitter.com/729238747/status/1142847634434088960</v>
      </c>
      <c r="H3445" t="s">
        <v>46</v>
      </c>
      <c r="I3445" t="s">
        <v>10869</v>
      </c>
      <c r="J3445" t="str">
        <f>HYPERLINK("http://twitter.com/its_me_your_mom")</f>
        <v>http://twitter.com/its_me_your_mom</v>
      </c>
      <c r="K3445">
        <v>6099</v>
      </c>
      <c r="N3445" t="s">
        <v>65</v>
      </c>
      <c r="R3445" t="s">
        <v>60</v>
      </c>
      <c r="S3445" t="s">
        <v>4114</v>
      </c>
      <c r="T3445" t="s">
        <v>10870</v>
      </c>
      <c r="U3445" t="s">
        <v>10871</v>
      </c>
      <c r="W3445">
        <v>0</v>
      </c>
      <c r="X3445">
        <v>0</v>
      </c>
      <c r="AE3445">
        <v>0</v>
      </c>
      <c r="AM3445" t="s">
        <v>52</v>
      </c>
      <c r="AN3445" t="s">
        <v>53</v>
      </c>
    </row>
    <row r="3446" spans="1:40">
      <c r="A3446" t="s">
        <v>8081</v>
      </c>
      <c r="B3446" t="s">
        <v>5392</v>
      </c>
      <c r="C3446" t="s">
        <v>10872</v>
      </c>
      <c r="D3446" t="s">
        <v>52</v>
      </c>
      <c r="E3446" t="s">
        <v>10873</v>
      </c>
      <c r="F3446" t="s">
        <v>45</v>
      </c>
      <c r="G3446" t="str">
        <f>HYPERLINK("https://www.instagram.com/p/BzD4r9EB2X8")</f>
        <v>https://www.instagram.com/p/BzD4r9EB2X8</v>
      </c>
      <c r="H3446" t="s">
        <v>46</v>
      </c>
      <c r="I3446" t="s">
        <v>10874</v>
      </c>
      <c r="J3446" t="str">
        <f>HYPERLINK("http://instagram.com/stauffersfreshfoods")</f>
        <v>http://instagram.com/stauffersfreshfoods</v>
      </c>
      <c r="K3446">
        <v>1180</v>
      </c>
      <c r="N3446" t="s">
        <v>59</v>
      </c>
      <c r="O3446" t="s">
        <v>10874</v>
      </c>
      <c r="P3446" t="str">
        <f>HYPERLINK("http://instagram.com/stauffersfreshfoods")</f>
        <v>http://instagram.com/stauffersfreshfoods</v>
      </c>
      <c r="Q3446">
        <v>1180</v>
      </c>
      <c r="R3446" t="s">
        <v>60</v>
      </c>
      <c r="S3446" t="s">
        <v>51</v>
      </c>
      <c r="T3446" t="s">
        <v>678</v>
      </c>
      <c r="U3446" t="s">
        <v>10875</v>
      </c>
      <c r="W3446">
        <v>15</v>
      </c>
      <c r="X3446">
        <v>15</v>
      </c>
      <c r="AE3446">
        <v>0</v>
      </c>
      <c r="AI3446" t="s">
        <v>108</v>
      </c>
      <c r="AJ3446" t="s">
        <v>942</v>
      </c>
      <c r="AK3446" t="s">
        <v>52</v>
      </c>
      <c r="AL3446" t="str">
        <f>HYPERLINK("https://www.instagram.com/p/BzD4r9EB2X8/media/?size=l")</f>
        <v>https://www.instagram.com/p/BzD4r9EB2X8/media/?size=l</v>
      </c>
      <c r="AM3446" t="s">
        <v>52</v>
      </c>
      <c r="AN3446" t="s">
        <v>53</v>
      </c>
    </row>
    <row r="3447" spans="1:40">
      <c r="A3447" t="s">
        <v>8081</v>
      </c>
      <c r="B3447" t="s">
        <v>5392</v>
      </c>
      <c r="C3447" t="s">
        <v>10868</v>
      </c>
      <c r="D3447" t="s">
        <v>52</v>
      </c>
      <c r="E3447" t="s">
        <v>10876</v>
      </c>
      <c r="F3447" t="s">
        <v>45</v>
      </c>
      <c r="G3447" t="str">
        <f>HYPERLINK("https://twitter.com/360453215/status/1142847332658110465")</f>
        <v>https://twitter.com/360453215/status/1142847332658110465</v>
      </c>
      <c r="H3447" t="s">
        <v>46</v>
      </c>
      <c r="I3447" t="s">
        <v>10877</v>
      </c>
      <c r="J3447" t="str">
        <f>HYPERLINK("http://twitter.com/ShawnMRussell")</f>
        <v>http://twitter.com/ShawnMRussell</v>
      </c>
      <c r="K3447">
        <v>515</v>
      </c>
      <c r="N3447" t="s">
        <v>65</v>
      </c>
      <c r="R3447" t="s">
        <v>60</v>
      </c>
      <c r="S3447" t="s">
        <v>51</v>
      </c>
      <c r="T3447" t="s">
        <v>380</v>
      </c>
      <c r="U3447" t="s">
        <v>380</v>
      </c>
      <c r="W3447">
        <v>0</v>
      </c>
      <c r="X3447">
        <v>0</v>
      </c>
      <c r="AE3447">
        <v>0</v>
      </c>
      <c r="AF3447">
        <v>0</v>
      </c>
      <c r="AM3447" t="s">
        <v>52</v>
      </c>
      <c r="AN3447" t="s">
        <v>53</v>
      </c>
    </row>
    <row r="3448" spans="1:40">
      <c r="A3448" t="s">
        <v>8081</v>
      </c>
      <c r="B3448" t="s">
        <v>10878</v>
      </c>
      <c r="C3448" t="s">
        <v>10879</v>
      </c>
      <c r="D3448" t="s">
        <v>52</v>
      </c>
      <c r="E3448" t="s">
        <v>10880</v>
      </c>
      <c r="F3448" t="s">
        <v>71</v>
      </c>
      <c r="G3448" t="str">
        <f>HYPERLINK("https://twitter.com/168540017/status/1142846701104877568")</f>
        <v>https://twitter.com/168540017/status/1142846701104877568</v>
      </c>
      <c r="H3448" t="s">
        <v>46</v>
      </c>
      <c r="I3448" t="s">
        <v>10881</v>
      </c>
      <c r="J3448" t="str">
        <f>HYPERLINK("http://twitter.com/mr_burton91")</f>
        <v>http://twitter.com/mr_burton91</v>
      </c>
      <c r="K3448">
        <v>1122</v>
      </c>
      <c r="N3448" t="s">
        <v>65</v>
      </c>
      <c r="R3448" t="s">
        <v>60</v>
      </c>
      <c r="S3448" t="s">
        <v>7641</v>
      </c>
      <c r="T3448" t="s">
        <v>10882</v>
      </c>
      <c r="U3448" t="s">
        <v>10883</v>
      </c>
      <c r="W3448">
        <v>0</v>
      </c>
      <c r="X3448">
        <v>0</v>
      </c>
      <c r="AE3448">
        <v>1</v>
      </c>
      <c r="AF3448">
        <v>1</v>
      </c>
      <c r="AI3448" t="s">
        <v>52</v>
      </c>
      <c r="AJ3448" t="s">
        <v>52</v>
      </c>
      <c r="AK3448" t="s">
        <v>52</v>
      </c>
      <c r="AL3448" t="str">
        <f>HYPERLINK("https://pbs.twimg.com/tweet_video_thumb/D9w1AqVWwAEcpLk.jpg")</f>
        <v>https://pbs.twimg.com/tweet_video_thumb/D9w1AqVWwAEcpLk.jpg</v>
      </c>
      <c r="AM3448" t="s">
        <v>52</v>
      </c>
      <c r="AN3448" t="s">
        <v>53</v>
      </c>
    </row>
    <row r="3449" spans="1:40">
      <c r="A3449" t="s">
        <v>8081</v>
      </c>
      <c r="B3449" t="s">
        <v>5408</v>
      </c>
      <c r="C3449" t="s">
        <v>10884</v>
      </c>
      <c r="D3449" t="s">
        <v>52</v>
      </c>
      <c r="E3449" t="s">
        <v>10885</v>
      </c>
      <c r="F3449" t="s">
        <v>45</v>
      </c>
      <c r="G3449" t="str">
        <f>HYPERLINK("https://www.instagram.com/p/BzD4OgugR2U")</f>
        <v>https://www.instagram.com/p/BzD4OgugR2U</v>
      </c>
      <c r="H3449" t="s">
        <v>215</v>
      </c>
      <c r="I3449" t="s">
        <v>10886</v>
      </c>
      <c r="J3449" t="str">
        <f>HYPERLINK("http://instagram.com/alishahndra")</f>
        <v>http://instagram.com/alishahndra</v>
      </c>
      <c r="K3449">
        <v>212</v>
      </c>
      <c r="L3449" t="s">
        <v>58</v>
      </c>
      <c r="N3449" t="s">
        <v>59</v>
      </c>
      <c r="O3449" t="s">
        <v>10886</v>
      </c>
      <c r="P3449" t="str">
        <f>HYPERLINK("http://instagram.com/alishahndra")</f>
        <v>http://instagram.com/alishahndra</v>
      </c>
      <c r="Q3449">
        <v>212</v>
      </c>
      <c r="R3449" t="s">
        <v>60</v>
      </c>
      <c r="W3449">
        <v>3</v>
      </c>
      <c r="X3449">
        <v>3</v>
      </c>
      <c r="AE3449">
        <v>0</v>
      </c>
      <c r="AI3449" t="s">
        <v>52</v>
      </c>
      <c r="AJ3449" t="s">
        <v>1853</v>
      </c>
      <c r="AK3449" t="s">
        <v>52</v>
      </c>
      <c r="AL3449" t="str">
        <f>HYPERLINK("https://www.instagram.com/p/BzD4OgugR2U/media/?size=l")</f>
        <v>https://www.instagram.com/p/BzD4OgugR2U/media/?size=l</v>
      </c>
      <c r="AM3449" t="s">
        <v>52</v>
      </c>
      <c r="AN3449" t="s">
        <v>53</v>
      </c>
    </row>
    <row r="3450" spans="1:40">
      <c r="A3450" t="s">
        <v>8081</v>
      </c>
      <c r="B3450" t="s">
        <v>10887</v>
      </c>
      <c r="C3450" t="s">
        <v>10888</v>
      </c>
      <c r="D3450" t="s">
        <v>52</v>
      </c>
      <c r="E3450" t="s">
        <v>10889</v>
      </c>
      <c r="F3450" t="s">
        <v>45</v>
      </c>
      <c r="G3450" t="str">
        <f>HYPERLINK("https://www.instagram.com/p/BzD4COqgPOz")</f>
        <v>https://www.instagram.com/p/BzD4COqgPOz</v>
      </c>
      <c r="H3450" t="s">
        <v>46</v>
      </c>
      <c r="I3450" t="s">
        <v>10890</v>
      </c>
      <c r="J3450" t="str">
        <f>HYPERLINK("http://instagram.com/p_a__creations")</f>
        <v>http://instagram.com/p_a__creations</v>
      </c>
      <c r="K3450">
        <v>936</v>
      </c>
      <c r="N3450" t="s">
        <v>59</v>
      </c>
      <c r="O3450" t="s">
        <v>10890</v>
      </c>
      <c r="P3450" t="str">
        <f>HYPERLINK("http://instagram.com/p_a__creations")</f>
        <v>http://instagram.com/p_a__creations</v>
      </c>
      <c r="Q3450">
        <v>936</v>
      </c>
      <c r="R3450" t="s">
        <v>60</v>
      </c>
      <c r="S3450" t="s">
        <v>1071</v>
      </c>
      <c r="T3450" t="s">
        <v>5506</v>
      </c>
      <c r="U3450" t="s">
        <v>5507</v>
      </c>
      <c r="W3450">
        <v>94</v>
      </c>
      <c r="X3450">
        <v>94</v>
      </c>
      <c r="AE3450">
        <v>0</v>
      </c>
      <c r="AI3450" t="s">
        <v>52</v>
      </c>
      <c r="AJ3450" t="s">
        <v>5828</v>
      </c>
      <c r="AK3450" t="s">
        <v>52</v>
      </c>
      <c r="AL3450" t="str">
        <f>HYPERLINK("https://www.instagram.com/p/BzD4COqgPOz/media/?size=l")</f>
        <v>https://www.instagram.com/p/BzD4COqgPOz/media/?size=l</v>
      </c>
      <c r="AM3450" t="s">
        <v>52</v>
      </c>
      <c r="AN3450" t="s">
        <v>53</v>
      </c>
    </row>
    <row r="3451" spans="1:40">
      <c r="A3451" t="s">
        <v>8081</v>
      </c>
      <c r="B3451" t="s">
        <v>10891</v>
      </c>
      <c r="C3451" t="s">
        <v>10892</v>
      </c>
      <c r="D3451" t="s">
        <v>52</v>
      </c>
      <c r="E3451" t="s">
        <v>10893</v>
      </c>
      <c r="F3451" t="s">
        <v>45</v>
      </c>
      <c r="G3451" t="str">
        <f>HYPERLINK("https://www.instagram.com/p/BzD34PXFp0u")</f>
        <v>https://www.instagram.com/p/BzD34PXFp0u</v>
      </c>
      <c r="H3451" t="s">
        <v>46</v>
      </c>
      <c r="I3451" t="s">
        <v>10894</v>
      </c>
      <c r="J3451" t="str">
        <f>HYPERLINK("http://instagram.com/alicerobsonfit")</f>
        <v>http://instagram.com/alicerobsonfit</v>
      </c>
      <c r="K3451">
        <v>9429</v>
      </c>
      <c r="L3451" t="s">
        <v>58</v>
      </c>
      <c r="N3451" t="s">
        <v>59</v>
      </c>
      <c r="O3451" t="s">
        <v>10894</v>
      </c>
      <c r="P3451" t="str">
        <f>HYPERLINK("http://instagram.com/alicerobsonfit")</f>
        <v>http://instagram.com/alicerobsonfit</v>
      </c>
      <c r="Q3451">
        <v>9429</v>
      </c>
      <c r="R3451" t="s">
        <v>60</v>
      </c>
      <c r="S3451" t="s">
        <v>97</v>
      </c>
      <c r="T3451" t="s">
        <v>177</v>
      </c>
      <c r="U3451" t="s">
        <v>10895</v>
      </c>
      <c r="W3451">
        <v>305</v>
      </c>
      <c r="X3451">
        <v>305</v>
      </c>
      <c r="AE3451">
        <v>41</v>
      </c>
      <c r="AI3451" t="s">
        <v>52</v>
      </c>
      <c r="AJ3451" t="s">
        <v>10896</v>
      </c>
      <c r="AK3451" t="s">
        <v>10897</v>
      </c>
      <c r="AL3451" t="str">
        <f>HYPERLINK("https://www.instagram.com/p/BzD34PXFp0u/media/?size=l")</f>
        <v>https://www.instagram.com/p/BzD34PXFp0u/media/?size=l</v>
      </c>
      <c r="AM3451" t="s">
        <v>52</v>
      </c>
      <c r="AN3451" t="s">
        <v>53</v>
      </c>
    </row>
    <row r="3452" spans="1:40">
      <c r="A3452" t="s">
        <v>8081</v>
      </c>
      <c r="B3452" t="s">
        <v>10898</v>
      </c>
      <c r="C3452" t="s">
        <v>6900</v>
      </c>
      <c r="D3452" t="s">
        <v>10899</v>
      </c>
      <c r="E3452" t="s">
        <v>10900</v>
      </c>
      <c r="F3452" t="s">
        <v>45</v>
      </c>
      <c r="G3452" t="str">
        <f>HYPERLINK("https://www.reddit.com/r/bangalore/comments/c3x0oq/global_reddit_meetup_day_grmd_bengaluru_22062019/?sort=new#thing_t1_erupnq0")</f>
        <v>https://www.reddit.com/r/bangalore/comments/c3x0oq/global_reddit_meetup_day_grmd_bengaluru_22062019/?sort=new#thing_t1_erupnq0</v>
      </c>
      <c r="H3452" t="s">
        <v>46</v>
      </c>
      <c r="I3452" t="s">
        <v>10901</v>
      </c>
      <c r="J3452" t="str">
        <f>HYPERLINK("https://www.reddit.com/r/bangalore/comments/c3x0oq/global_reddit_meetup_day_grmd_bengaluru_22062019/?sort=new#thing_t1_erupnq0")</f>
        <v>https://www.reddit.com/r/bangalore/comments/c3x0oq/global_reddit_meetup_day_grmd_bengaluru_22062019/?sort=new#thing_t1_erupnq0</v>
      </c>
      <c r="N3452" t="s">
        <v>545</v>
      </c>
      <c r="O3452" t="s">
        <v>10902</v>
      </c>
      <c r="P3452" t="str">
        <f>HYPERLINK("https://www.reddit.com/r/IndiaSpeaks/")</f>
        <v>https://www.reddit.com/r/IndiaSpeaks/</v>
      </c>
      <c r="R3452" t="s">
        <v>516</v>
      </c>
      <c r="S3452" t="s">
        <v>51</v>
      </c>
      <c r="AM3452" t="s">
        <v>52</v>
      </c>
      <c r="AN3452" t="s">
        <v>53</v>
      </c>
    </row>
    <row r="3453" spans="1:40">
      <c r="A3453" t="s">
        <v>8081</v>
      </c>
      <c r="B3453" t="s">
        <v>10903</v>
      </c>
      <c r="C3453" t="s">
        <v>10904</v>
      </c>
      <c r="D3453" t="s">
        <v>52</v>
      </c>
      <c r="E3453" t="s">
        <v>10905</v>
      </c>
      <c r="F3453" t="s">
        <v>95</v>
      </c>
      <c r="G3453" t="str">
        <f>HYPERLINK("https://twitter.com/1090710881011290112/status/1142845188076793856")</f>
        <v>https://twitter.com/1090710881011290112/status/1142845188076793856</v>
      </c>
      <c r="H3453" t="s">
        <v>46</v>
      </c>
      <c r="I3453" t="s">
        <v>10906</v>
      </c>
      <c r="J3453" t="str">
        <f>HYPERLINK("http://twitter.com/WithFern")</f>
        <v>http://twitter.com/WithFern</v>
      </c>
      <c r="K3453">
        <v>3</v>
      </c>
      <c r="N3453" t="s">
        <v>65</v>
      </c>
      <c r="R3453" t="s">
        <v>60</v>
      </c>
      <c r="S3453" t="s">
        <v>97</v>
      </c>
      <c r="T3453" t="s">
        <v>177</v>
      </c>
      <c r="U3453" t="s">
        <v>10907</v>
      </c>
      <c r="W3453">
        <v>3</v>
      </c>
      <c r="X3453">
        <v>3</v>
      </c>
      <c r="AE3453">
        <v>0</v>
      </c>
      <c r="AF3453">
        <v>0</v>
      </c>
      <c r="AM3453" t="s">
        <v>52</v>
      </c>
      <c r="AN3453" t="s">
        <v>53</v>
      </c>
    </row>
    <row r="3454" spans="1:40">
      <c r="A3454" t="s">
        <v>8081</v>
      </c>
      <c r="B3454" t="s">
        <v>5426</v>
      </c>
      <c r="C3454" t="s">
        <v>10908</v>
      </c>
      <c r="D3454" t="s">
        <v>52</v>
      </c>
      <c r="E3454" t="s">
        <v>10909</v>
      </c>
      <c r="F3454" t="s">
        <v>95</v>
      </c>
      <c r="G3454" t="str">
        <f>HYPERLINK("https://twitter.com/1048264603/status/1142844915111665665")</f>
        <v>https://twitter.com/1048264603/status/1142844915111665665</v>
      </c>
      <c r="H3454" t="s">
        <v>46</v>
      </c>
      <c r="I3454" t="s">
        <v>10910</v>
      </c>
      <c r="J3454" t="str">
        <f>HYPERLINK("http://twitter.com/GarethHreidmar")</f>
        <v>http://twitter.com/GarethHreidmar</v>
      </c>
      <c r="K3454">
        <v>420</v>
      </c>
      <c r="L3454" t="s">
        <v>48</v>
      </c>
      <c r="N3454" t="s">
        <v>65</v>
      </c>
      <c r="R3454" t="s">
        <v>60</v>
      </c>
      <c r="S3454" t="s">
        <v>51</v>
      </c>
      <c r="T3454" t="s">
        <v>79</v>
      </c>
      <c r="U3454" t="s">
        <v>3754</v>
      </c>
      <c r="W3454">
        <v>1</v>
      </c>
      <c r="X3454">
        <v>1</v>
      </c>
      <c r="AE3454">
        <v>1</v>
      </c>
      <c r="AF3454">
        <v>0</v>
      </c>
      <c r="AM3454" t="s">
        <v>52</v>
      </c>
      <c r="AN3454" t="s">
        <v>53</v>
      </c>
    </row>
    <row r="3455" spans="1:40">
      <c r="A3455" t="s">
        <v>8081</v>
      </c>
      <c r="B3455" t="s">
        <v>5435</v>
      </c>
      <c r="C3455" t="s">
        <v>10884</v>
      </c>
      <c r="D3455" t="s">
        <v>52</v>
      </c>
      <c r="E3455" t="s">
        <v>10911</v>
      </c>
      <c r="F3455" t="s">
        <v>45</v>
      </c>
      <c r="G3455" t="str">
        <f>HYPERLINK("https://twitter.com/19445034/status/1142844663692451841")</f>
        <v>https://twitter.com/19445034/status/1142844663692451841</v>
      </c>
      <c r="H3455" t="s">
        <v>46</v>
      </c>
      <c r="I3455" t="s">
        <v>10912</v>
      </c>
      <c r="J3455" t="str">
        <f>HYPERLINK("http://twitter.com/Leehads")</f>
        <v>http://twitter.com/Leehads</v>
      </c>
      <c r="K3455">
        <v>181</v>
      </c>
      <c r="L3455" t="s">
        <v>58</v>
      </c>
      <c r="N3455" t="s">
        <v>65</v>
      </c>
      <c r="R3455" t="s">
        <v>60</v>
      </c>
      <c r="S3455" t="s">
        <v>51</v>
      </c>
      <c r="T3455" t="s">
        <v>152</v>
      </c>
      <c r="U3455" t="s">
        <v>10913</v>
      </c>
      <c r="W3455">
        <v>1</v>
      </c>
      <c r="X3455">
        <v>1</v>
      </c>
      <c r="AE3455">
        <v>0</v>
      </c>
      <c r="AF3455">
        <v>0</v>
      </c>
      <c r="AI3455" t="s">
        <v>52</v>
      </c>
      <c r="AJ3455" t="s">
        <v>52</v>
      </c>
      <c r="AK3455" t="s">
        <v>52</v>
      </c>
      <c r="AL3455" t="str">
        <f>HYPERLINK("https://pbs.twimg.com/media/D9wzKKdXkAIbUTi.jpg")</f>
        <v>https://pbs.twimg.com/media/D9wzKKdXkAIbUTi.jpg</v>
      </c>
      <c r="AM3455" t="s">
        <v>52</v>
      </c>
      <c r="AN3455" t="s">
        <v>53</v>
      </c>
    </row>
    <row r="3456" spans="1:40">
      <c r="A3456" t="s">
        <v>8081</v>
      </c>
      <c r="B3456" t="s">
        <v>5435</v>
      </c>
      <c r="C3456" t="s">
        <v>10914</v>
      </c>
      <c r="D3456" t="s">
        <v>52</v>
      </c>
      <c r="E3456" t="s">
        <v>6280</v>
      </c>
      <c r="F3456" t="s">
        <v>71</v>
      </c>
      <c r="G3456" t="str">
        <f>HYPERLINK("https://twitter.com/163834755/status/1142844612140290048")</f>
        <v>https://twitter.com/163834755/status/1142844612140290048</v>
      </c>
      <c r="H3456" t="s">
        <v>46</v>
      </c>
      <c r="I3456" t="s">
        <v>10915</v>
      </c>
      <c r="J3456" t="str">
        <f>HYPERLINK("http://twitter.com/melusi_ngobese")</f>
        <v>http://twitter.com/melusi_ngobese</v>
      </c>
      <c r="K3456">
        <v>357</v>
      </c>
      <c r="N3456" t="s">
        <v>65</v>
      </c>
      <c r="R3456" t="s">
        <v>60</v>
      </c>
      <c r="S3456" t="s">
        <v>1071</v>
      </c>
      <c r="T3456" t="s">
        <v>5506</v>
      </c>
      <c r="U3456" t="s">
        <v>5507</v>
      </c>
      <c r="W3456">
        <v>0</v>
      </c>
      <c r="X3456">
        <v>0</v>
      </c>
      <c r="AE3456">
        <v>0</v>
      </c>
      <c r="AF3456">
        <v>0</v>
      </c>
      <c r="AM3456" t="s">
        <v>52</v>
      </c>
      <c r="AN3456" t="s">
        <v>53</v>
      </c>
    </row>
    <row r="3457" spans="1:40">
      <c r="A3457" t="s">
        <v>8081</v>
      </c>
      <c r="B3457" t="s">
        <v>5435</v>
      </c>
      <c r="C3457" t="s">
        <v>10914</v>
      </c>
      <c r="D3457" t="s">
        <v>52</v>
      </c>
      <c r="E3457" t="s">
        <v>3749</v>
      </c>
      <c r="F3457" t="s">
        <v>71</v>
      </c>
      <c r="G3457" t="str">
        <f>HYPERLINK("https://twitter.com/260291031/status/1142844605316120576")</f>
        <v>https://twitter.com/260291031/status/1142844605316120576</v>
      </c>
      <c r="H3457" t="s">
        <v>46</v>
      </c>
      <c r="I3457" t="s">
        <v>10916</v>
      </c>
      <c r="J3457" t="str">
        <f>HYPERLINK("http://twitter.com/Snow_Mclovin")</f>
        <v>http://twitter.com/Snow_Mclovin</v>
      </c>
      <c r="K3457">
        <v>2655</v>
      </c>
      <c r="N3457" t="s">
        <v>65</v>
      </c>
      <c r="R3457" t="s">
        <v>60</v>
      </c>
      <c r="S3457" t="s">
        <v>1071</v>
      </c>
      <c r="T3457" t="s">
        <v>5506</v>
      </c>
      <c r="U3457" t="s">
        <v>10917</v>
      </c>
      <c r="W3457">
        <v>0</v>
      </c>
      <c r="X3457">
        <v>0</v>
      </c>
      <c r="AE3457">
        <v>0</v>
      </c>
      <c r="AF3457">
        <v>0</v>
      </c>
      <c r="AI3457" t="s">
        <v>108</v>
      </c>
      <c r="AJ3457" t="s">
        <v>52</v>
      </c>
      <c r="AK3457" t="s">
        <v>52</v>
      </c>
      <c r="AL3457" t="str">
        <f>HYPERLINK("https://pbs.twimg.com/media/D9sAXHUX4AA6vJs.jpg")</f>
        <v>https://pbs.twimg.com/media/D9sAXHUX4AA6vJs.jpg</v>
      </c>
      <c r="AM3457" t="s">
        <v>52</v>
      </c>
      <c r="AN3457" t="s">
        <v>53</v>
      </c>
    </row>
    <row r="3458" spans="1:40">
      <c r="A3458" t="s">
        <v>8081</v>
      </c>
      <c r="B3458" t="s">
        <v>5435</v>
      </c>
      <c r="C3458" t="s">
        <v>10918</v>
      </c>
      <c r="D3458" t="s">
        <v>52</v>
      </c>
      <c r="E3458" t="s">
        <v>10919</v>
      </c>
      <c r="F3458" t="s">
        <v>95</v>
      </c>
      <c r="G3458" t="str">
        <f>HYPERLINK("https://twitter.com/1142765044502896640/status/1142844553818337282")</f>
        <v>https://twitter.com/1142765044502896640/status/1142844553818337282</v>
      </c>
      <c r="H3458" t="s">
        <v>46</v>
      </c>
      <c r="I3458" t="s">
        <v>10920</v>
      </c>
      <c r="J3458" t="str">
        <f>HYPERLINK("http://twitter.com/WhiteKanye6")</f>
        <v>http://twitter.com/WhiteKanye6</v>
      </c>
      <c r="K3458">
        <v>1</v>
      </c>
      <c r="N3458" t="s">
        <v>65</v>
      </c>
      <c r="R3458" t="s">
        <v>60</v>
      </c>
      <c r="W3458">
        <v>0</v>
      </c>
      <c r="X3458">
        <v>0</v>
      </c>
      <c r="AE3458">
        <v>0</v>
      </c>
      <c r="AF3458">
        <v>0</v>
      </c>
      <c r="AM3458" t="s">
        <v>52</v>
      </c>
      <c r="AN3458" t="s">
        <v>53</v>
      </c>
    </row>
    <row r="3459" spans="1:40">
      <c r="A3459" t="s">
        <v>8081</v>
      </c>
      <c r="B3459" t="s">
        <v>10921</v>
      </c>
      <c r="C3459" t="s">
        <v>10918</v>
      </c>
      <c r="D3459" t="s">
        <v>52</v>
      </c>
      <c r="E3459" t="s">
        <v>10922</v>
      </c>
      <c r="F3459" t="s">
        <v>71</v>
      </c>
      <c r="G3459" t="str">
        <f>HYPERLINK("https://twitter.com/715129268712435713/status/1142844466337853446")</f>
        <v>https://twitter.com/715129268712435713/status/1142844466337853446</v>
      </c>
      <c r="H3459" t="s">
        <v>215</v>
      </c>
      <c r="I3459" t="s">
        <v>10923</v>
      </c>
      <c r="J3459" t="str">
        <f>HYPERLINK("http://twitter.com/prxde_z")</f>
        <v>http://twitter.com/prxde_z</v>
      </c>
      <c r="K3459">
        <v>287</v>
      </c>
      <c r="N3459" t="s">
        <v>65</v>
      </c>
      <c r="R3459" t="s">
        <v>60</v>
      </c>
      <c r="W3459">
        <v>0</v>
      </c>
      <c r="X3459">
        <v>0</v>
      </c>
      <c r="AE3459">
        <v>0</v>
      </c>
      <c r="AF3459">
        <v>0</v>
      </c>
      <c r="AM3459" t="s">
        <v>52</v>
      </c>
      <c r="AN3459" t="s">
        <v>53</v>
      </c>
    </row>
    <row r="3460" spans="1:40">
      <c r="A3460" t="s">
        <v>8081</v>
      </c>
      <c r="B3460" t="s">
        <v>10921</v>
      </c>
      <c r="C3460" t="s">
        <v>8658</v>
      </c>
      <c r="D3460" t="s">
        <v>52</v>
      </c>
      <c r="E3460" t="s">
        <v>10924</v>
      </c>
      <c r="F3460" t="s">
        <v>45</v>
      </c>
      <c r="G3460" t="str">
        <f>HYPERLINK("https://www.instagram.com/p/BzD3TE2gm20")</f>
        <v>https://www.instagram.com/p/BzD3TE2gm20</v>
      </c>
      <c r="H3460" t="s">
        <v>46</v>
      </c>
      <c r="I3460" t="s">
        <v>10925</v>
      </c>
      <c r="J3460" t="str">
        <f>HYPERLINK("http://instagram.com/glowyythreadxz")</f>
        <v>http://instagram.com/glowyythreadxz</v>
      </c>
      <c r="K3460">
        <v>285</v>
      </c>
      <c r="N3460" t="s">
        <v>59</v>
      </c>
      <c r="O3460" t="s">
        <v>10925</v>
      </c>
      <c r="P3460" t="str">
        <f>HYPERLINK("http://instagram.com/glowyythreadxz")</f>
        <v>http://instagram.com/glowyythreadxz</v>
      </c>
      <c r="Q3460">
        <v>285</v>
      </c>
      <c r="R3460" t="s">
        <v>60</v>
      </c>
      <c r="W3460">
        <v>31</v>
      </c>
      <c r="X3460">
        <v>31</v>
      </c>
      <c r="AE3460">
        <v>0</v>
      </c>
      <c r="AI3460" t="s">
        <v>108</v>
      </c>
      <c r="AJ3460" t="s">
        <v>3626</v>
      </c>
      <c r="AK3460" t="s">
        <v>52</v>
      </c>
      <c r="AL3460" t="str">
        <f>HYPERLINK("https://www.instagram.com/p/BzD3TE2gm20/media/?size=l")</f>
        <v>https://www.instagram.com/p/BzD3TE2gm20/media/?size=l</v>
      </c>
      <c r="AM3460" t="s">
        <v>52</v>
      </c>
      <c r="AN3460" t="s">
        <v>53</v>
      </c>
    </row>
    <row r="3461" spans="1:40">
      <c r="A3461" t="s">
        <v>8081</v>
      </c>
      <c r="B3461" t="s">
        <v>10921</v>
      </c>
      <c r="C3461" t="s">
        <v>10926</v>
      </c>
      <c r="D3461" t="s">
        <v>10927</v>
      </c>
      <c r="E3461" t="s">
        <v>10928</v>
      </c>
      <c r="F3461" t="s">
        <v>45</v>
      </c>
      <c r="G3461" t="str">
        <f>HYPERLINK("https://apkhook.com/doritos-code.html")</f>
        <v>https://apkhook.com/doritos-code.html</v>
      </c>
      <c r="H3461" t="s">
        <v>46</v>
      </c>
      <c r="N3461" t="s">
        <v>1633</v>
      </c>
      <c r="R3461" t="s">
        <v>50</v>
      </c>
      <c r="S3461" t="s">
        <v>51</v>
      </c>
      <c r="AM3461" t="s">
        <v>52</v>
      </c>
      <c r="AN3461" t="s">
        <v>53</v>
      </c>
    </row>
    <row r="3462" spans="1:40">
      <c r="A3462" t="s">
        <v>8081</v>
      </c>
      <c r="B3462" t="s">
        <v>10921</v>
      </c>
      <c r="C3462" t="s">
        <v>10926</v>
      </c>
      <c r="D3462" t="s">
        <v>10929</v>
      </c>
      <c r="E3462" t="s">
        <v>10930</v>
      </c>
      <c r="F3462" t="s">
        <v>45</v>
      </c>
      <c r="G3462" t="str">
        <f>HYPERLINK("https://apkhook.com/burrito-builder.html")</f>
        <v>https://apkhook.com/burrito-builder.html</v>
      </c>
      <c r="H3462" t="s">
        <v>46</v>
      </c>
      <c r="N3462" t="s">
        <v>1633</v>
      </c>
      <c r="R3462" t="s">
        <v>50</v>
      </c>
      <c r="S3462" t="s">
        <v>51</v>
      </c>
      <c r="AM3462" t="s">
        <v>52</v>
      </c>
      <c r="AN3462" t="s">
        <v>53</v>
      </c>
    </row>
    <row r="3463" spans="1:40">
      <c r="A3463" t="s">
        <v>8081</v>
      </c>
      <c r="B3463" t="s">
        <v>10921</v>
      </c>
      <c r="C3463" t="s">
        <v>10843</v>
      </c>
      <c r="D3463" t="s">
        <v>8722</v>
      </c>
      <c r="E3463" t="s">
        <v>10931</v>
      </c>
      <c r="F3463" t="s">
        <v>45</v>
      </c>
      <c r="G3463" t="str">
        <f>HYPERLINK("https://forums.battlefield.com/en-us/discussion/188825/which-one-is-it-i-cant-see-anyone-in-bf-v-or-spotting-was-easy-mode-glad-it-is-gone/p10#Comment_1562180")</f>
        <v>https://forums.battlefield.com/en-us/discussion/188825/which-one-is-it-i-cant-see-anyone-in-bf-v-or-spotting-was-easy-mode-glad-it-is-gone/p10#Comment_1562180</v>
      </c>
      <c r="H3463" t="s">
        <v>46</v>
      </c>
      <c r="I3463" t="s">
        <v>10932</v>
      </c>
      <c r="J3463" t="str">
        <f>HYPERLINK("https://forums.battlefield.com/en-us/discussion/188825/which-one-is-it-i-cant-see-anyone-in-bf-v-or-spotting-was-easy-mode-glad-it-is-gone/p10#Comment_1562180")</f>
        <v>https://forums.battlefield.com/en-us/discussion/188825/which-one-is-it-i-cant-see-anyone-in-bf-v-or-spotting-was-easy-mode-glad-it-is-gone/p10#Comment_1562180</v>
      </c>
      <c r="N3463" t="s">
        <v>3237</v>
      </c>
      <c r="O3463" t="s">
        <v>3238</v>
      </c>
      <c r="P3463" t="str">
        <f>HYPERLINK("https://forums.battlefield.com/en-us/categories/battlefield-v-general-discussion")</f>
        <v>https://forums.battlefield.com/en-us/categories/battlefield-v-general-discussion</v>
      </c>
      <c r="R3463" t="s">
        <v>516</v>
      </c>
      <c r="S3463" t="s">
        <v>51</v>
      </c>
      <c r="AM3463" t="s">
        <v>52</v>
      </c>
      <c r="AN3463" t="s">
        <v>53</v>
      </c>
    </row>
    <row r="3464" spans="1:40">
      <c r="A3464" t="s">
        <v>8081</v>
      </c>
      <c r="B3464" t="s">
        <v>10921</v>
      </c>
      <c r="C3464" t="s">
        <v>10933</v>
      </c>
      <c r="D3464" t="s">
        <v>10934</v>
      </c>
      <c r="E3464" t="s">
        <v>10935</v>
      </c>
      <c r="F3464" t="s">
        <v>45</v>
      </c>
      <c r="G3464" t="str">
        <f>HYPERLINK("https://apkhook.com/extra-toasty-cheez-its-reddit.html")</f>
        <v>https://apkhook.com/extra-toasty-cheez-its-reddit.html</v>
      </c>
      <c r="H3464" t="s">
        <v>46</v>
      </c>
      <c r="N3464" t="s">
        <v>1633</v>
      </c>
      <c r="R3464" t="s">
        <v>50</v>
      </c>
      <c r="S3464" t="s">
        <v>51</v>
      </c>
      <c r="AM3464" t="s">
        <v>52</v>
      </c>
      <c r="AN3464" t="s">
        <v>53</v>
      </c>
    </row>
    <row r="3465" spans="1:40">
      <c r="A3465" t="s">
        <v>8081</v>
      </c>
      <c r="B3465" t="s">
        <v>10936</v>
      </c>
      <c r="C3465" t="s">
        <v>1885</v>
      </c>
      <c r="D3465" t="s">
        <v>10570</v>
      </c>
      <c r="E3465" t="s">
        <v>10937</v>
      </c>
      <c r="F3465" t="s">
        <v>45</v>
      </c>
      <c r="G3465" t="str">
        <f>HYPERLINK("https://8ch.net/pol/res/13422179.html#reply_13426373")</f>
        <v>https://8ch.net/pol/res/13422179.html#reply_13426373</v>
      </c>
      <c r="H3465" t="s">
        <v>91</v>
      </c>
      <c r="N3465" t="s">
        <v>10572</v>
      </c>
      <c r="O3465" t="s">
        <v>10573</v>
      </c>
      <c r="P3465" t="str">
        <f>HYPERLINK("https://8ch.net/tempest.html")</f>
        <v>https://8ch.net/tempest.html</v>
      </c>
      <c r="R3465" t="s">
        <v>516</v>
      </c>
      <c r="S3465" t="s">
        <v>51</v>
      </c>
      <c r="AM3465" t="s">
        <v>52</v>
      </c>
      <c r="AN3465" t="s">
        <v>53</v>
      </c>
    </row>
    <row r="3466" spans="1:40">
      <c r="A3466" t="s">
        <v>8081</v>
      </c>
      <c r="B3466" t="s">
        <v>10938</v>
      </c>
      <c r="C3466" t="s">
        <v>10939</v>
      </c>
      <c r="D3466" t="s">
        <v>52</v>
      </c>
      <c r="E3466" t="s">
        <v>9944</v>
      </c>
      <c r="F3466" t="s">
        <v>45</v>
      </c>
      <c r="G3466" t="str">
        <f>HYPERLINK("https://twitter.com/18823758/status/1142843806578073600")</f>
        <v>https://twitter.com/18823758/status/1142843806578073600</v>
      </c>
      <c r="H3466" t="s">
        <v>46</v>
      </c>
      <c r="I3466" t="s">
        <v>9969</v>
      </c>
      <c r="J3466" t="str">
        <f>HYPERLINK("http://twitter.com/BSO")</f>
        <v>http://twitter.com/BSO</v>
      </c>
      <c r="K3466">
        <v>95826</v>
      </c>
      <c r="L3466" t="s">
        <v>48</v>
      </c>
      <c r="N3466" t="s">
        <v>65</v>
      </c>
      <c r="R3466" t="s">
        <v>60</v>
      </c>
      <c r="S3466" t="s">
        <v>51</v>
      </c>
      <c r="T3466" t="s">
        <v>173</v>
      </c>
      <c r="U3466" t="s">
        <v>1214</v>
      </c>
      <c r="W3466">
        <v>1</v>
      </c>
      <c r="X3466">
        <v>1</v>
      </c>
      <c r="AE3466">
        <v>0</v>
      </c>
      <c r="AF3466">
        <v>0</v>
      </c>
      <c r="AI3466" t="s">
        <v>9946</v>
      </c>
      <c r="AJ3466" t="s">
        <v>52</v>
      </c>
      <c r="AK3466" t="s">
        <v>9947</v>
      </c>
      <c r="AL3466" t="str">
        <f>HYPERLINK("https://pbs.twimg.com/media/D9wyYpxWsAAN_hK.jpg")</f>
        <v>https://pbs.twimg.com/media/D9wyYpxWsAAN_hK.jpg</v>
      </c>
      <c r="AM3466" t="s">
        <v>52</v>
      </c>
      <c r="AN3466" t="s">
        <v>53</v>
      </c>
    </row>
    <row r="3467" spans="1:40">
      <c r="A3467" t="s">
        <v>8081</v>
      </c>
      <c r="B3467" t="s">
        <v>10938</v>
      </c>
      <c r="C3467" t="s">
        <v>10879</v>
      </c>
      <c r="D3467" t="s">
        <v>52</v>
      </c>
      <c r="E3467" t="s">
        <v>10940</v>
      </c>
      <c r="F3467" t="s">
        <v>45</v>
      </c>
      <c r="G3467" t="str">
        <f>HYPERLINK("https://twitter.com/1060776247033245696/status/1142843794733318144")</f>
        <v>https://twitter.com/1060776247033245696/status/1142843794733318144</v>
      </c>
      <c r="H3467" t="s">
        <v>46</v>
      </c>
      <c r="I3467" t="s">
        <v>10941</v>
      </c>
      <c r="J3467" t="str">
        <f>HYPERLINK("http://twitter.com/Kaydot_9")</f>
        <v>http://twitter.com/Kaydot_9</v>
      </c>
      <c r="K3467">
        <v>275</v>
      </c>
      <c r="N3467" t="s">
        <v>65</v>
      </c>
      <c r="R3467" t="s">
        <v>60</v>
      </c>
      <c r="W3467">
        <v>0</v>
      </c>
      <c r="X3467">
        <v>0</v>
      </c>
      <c r="AE3467">
        <v>0</v>
      </c>
      <c r="AF3467">
        <v>0</v>
      </c>
      <c r="AM3467" t="s">
        <v>52</v>
      </c>
      <c r="AN3467" t="s">
        <v>53</v>
      </c>
    </row>
    <row r="3468" spans="1:40">
      <c r="A3468" t="s">
        <v>8081</v>
      </c>
      <c r="B3468" t="s">
        <v>5445</v>
      </c>
      <c r="C3468" t="s">
        <v>10892</v>
      </c>
      <c r="D3468" t="s">
        <v>52</v>
      </c>
      <c r="E3468" t="s">
        <v>8599</v>
      </c>
      <c r="F3468" t="s">
        <v>131</v>
      </c>
      <c r="G3468" t="str">
        <f>HYPERLINK("https://twitter.com/2233791876/status/1142843758276415491")</f>
        <v>https://twitter.com/2233791876/status/1142843758276415491</v>
      </c>
      <c r="H3468" t="s">
        <v>46</v>
      </c>
      <c r="I3468" t="s">
        <v>10942</v>
      </c>
      <c r="J3468" t="str">
        <f>HYPERLINK("http://twitter.com/Zoutaleaux")</f>
        <v>http://twitter.com/Zoutaleaux</v>
      </c>
      <c r="K3468">
        <v>177</v>
      </c>
      <c r="N3468" t="s">
        <v>65</v>
      </c>
      <c r="R3468" t="s">
        <v>60</v>
      </c>
      <c r="W3468">
        <v>0</v>
      </c>
      <c r="X3468">
        <v>0</v>
      </c>
      <c r="AE3468">
        <v>0</v>
      </c>
      <c r="AM3468" t="s">
        <v>52</v>
      </c>
      <c r="AN3468" t="s">
        <v>53</v>
      </c>
    </row>
    <row r="3469" spans="1:40">
      <c r="A3469" t="s">
        <v>8081</v>
      </c>
      <c r="B3469" t="s">
        <v>5445</v>
      </c>
      <c r="C3469" t="s">
        <v>10904</v>
      </c>
      <c r="D3469" t="s">
        <v>52</v>
      </c>
      <c r="E3469" t="s">
        <v>6280</v>
      </c>
      <c r="F3469" t="s">
        <v>71</v>
      </c>
      <c r="G3469" t="str">
        <f>HYPERLINK("https://twitter.com/571880091/status/1142843585248858112")</f>
        <v>https://twitter.com/571880091/status/1142843585248858112</v>
      </c>
      <c r="H3469" t="s">
        <v>46</v>
      </c>
      <c r="I3469" t="s">
        <v>10943</v>
      </c>
      <c r="J3469" t="str">
        <f>HYPERLINK("http://twitter.com/ItsYoGirl_Samie")</f>
        <v>http://twitter.com/ItsYoGirl_Samie</v>
      </c>
      <c r="K3469">
        <v>7457</v>
      </c>
      <c r="N3469" t="s">
        <v>65</v>
      </c>
      <c r="R3469" t="s">
        <v>60</v>
      </c>
      <c r="W3469">
        <v>0</v>
      </c>
      <c r="X3469">
        <v>0</v>
      </c>
      <c r="AE3469">
        <v>0</v>
      </c>
      <c r="AF3469">
        <v>0</v>
      </c>
      <c r="AM3469" t="s">
        <v>52</v>
      </c>
      <c r="AN3469" t="s">
        <v>53</v>
      </c>
    </row>
    <row r="3470" spans="1:40">
      <c r="A3470" t="s">
        <v>8081</v>
      </c>
      <c r="B3470" t="s">
        <v>5455</v>
      </c>
      <c r="C3470" t="s">
        <v>10944</v>
      </c>
      <c r="D3470" t="s">
        <v>52</v>
      </c>
      <c r="E3470" t="s">
        <v>7118</v>
      </c>
      <c r="F3470" t="s">
        <v>71</v>
      </c>
      <c r="G3470" t="str">
        <f>HYPERLINK("https://twitter.com/457682378/status/1142843425030627330")</f>
        <v>https://twitter.com/457682378/status/1142843425030627330</v>
      </c>
      <c r="H3470" t="s">
        <v>46</v>
      </c>
      <c r="I3470" t="s">
        <v>10945</v>
      </c>
      <c r="J3470" t="str">
        <f>HYPERLINK("http://twitter.com/tremaynebent")</f>
        <v>http://twitter.com/tremaynebent</v>
      </c>
      <c r="K3470">
        <v>714</v>
      </c>
      <c r="N3470" t="s">
        <v>65</v>
      </c>
      <c r="R3470" t="s">
        <v>60</v>
      </c>
      <c r="S3470" t="s">
        <v>1071</v>
      </c>
      <c r="T3470" t="s">
        <v>1072</v>
      </c>
      <c r="U3470" t="s">
        <v>1073</v>
      </c>
      <c r="W3470">
        <v>0</v>
      </c>
      <c r="X3470">
        <v>0</v>
      </c>
      <c r="AE3470">
        <v>0</v>
      </c>
      <c r="AF3470">
        <v>0</v>
      </c>
      <c r="AI3470" t="s">
        <v>108</v>
      </c>
      <c r="AJ3470" t="s">
        <v>52</v>
      </c>
      <c r="AK3470" t="s">
        <v>52</v>
      </c>
      <c r="AL3470" t="str">
        <f>HYPERLINK("https://pbs.twimg.com/media/D9sAXHUX4AA6vJs.jpg")</f>
        <v>https://pbs.twimg.com/media/D9sAXHUX4AA6vJs.jpg</v>
      </c>
      <c r="AM3470" t="s">
        <v>52</v>
      </c>
      <c r="AN3470" t="s">
        <v>53</v>
      </c>
    </row>
    <row r="3471" spans="1:40">
      <c r="A3471" t="s">
        <v>8081</v>
      </c>
      <c r="B3471" t="s">
        <v>5462</v>
      </c>
      <c r="C3471" t="s">
        <v>10946</v>
      </c>
      <c r="D3471" t="s">
        <v>52</v>
      </c>
      <c r="E3471" t="s">
        <v>10947</v>
      </c>
      <c r="F3471" t="s">
        <v>45</v>
      </c>
      <c r="G3471" t="str">
        <f>HYPERLINK("https://www.instagram.com/p/BzD2wX0FgY-")</f>
        <v>https://www.instagram.com/p/BzD2wX0FgY-</v>
      </c>
      <c r="H3471" t="s">
        <v>215</v>
      </c>
      <c r="I3471" t="s">
        <v>10948</v>
      </c>
      <c r="J3471" t="str">
        <f>HYPERLINK("http://instagram.com/therealcookingdad")</f>
        <v>http://instagram.com/therealcookingdad</v>
      </c>
      <c r="K3471">
        <v>11707</v>
      </c>
      <c r="N3471" t="s">
        <v>59</v>
      </c>
      <c r="O3471" t="s">
        <v>10948</v>
      </c>
      <c r="P3471" t="str">
        <f>HYPERLINK("http://instagram.com/therealcookingdad")</f>
        <v>http://instagram.com/therealcookingdad</v>
      </c>
      <c r="Q3471">
        <v>11707</v>
      </c>
      <c r="R3471" t="s">
        <v>60</v>
      </c>
      <c r="S3471" t="s">
        <v>51</v>
      </c>
      <c r="T3471" t="s">
        <v>66</v>
      </c>
      <c r="U3471" t="s">
        <v>10949</v>
      </c>
      <c r="W3471">
        <v>242</v>
      </c>
      <c r="X3471">
        <v>242</v>
      </c>
      <c r="AE3471">
        <v>8</v>
      </c>
      <c r="AI3471" t="s">
        <v>52</v>
      </c>
      <c r="AJ3471" t="s">
        <v>10950</v>
      </c>
      <c r="AK3471" t="s">
        <v>52</v>
      </c>
      <c r="AL3471" t="str">
        <f>HYPERLINK("https://www.instagram.com/p/BzD2wX0FgY-/media/?size=l")</f>
        <v>https://www.instagram.com/p/BzD2wX0FgY-/media/?size=l</v>
      </c>
      <c r="AM3471" t="s">
        <v>52</v>
      </c>
      <c r="AN3471" t="s">
        <v>53</v>
      </c>
    </row>
    <row r="3472" spans="1:40">
      <c r="A3472" t="s">
        <v>8081</v>
      </c>
      <c r="B3472" t="s">
        <v>5462</v>
      </c>
      <c r="C3472" t="s">
        <v>10951</v>
      </c>
      <c r="D3472" t="s">
        <v>10952</v>
      </c>
      <c r="E3472" t="s">
        <v>10953</v>
      </c>
      <c r="F3472" t="s">
        <v>45</v>
      </c>
      <c r="G3472" t="str">
        <f>HYPERLINK("https://www.youtube.com/watch?v=KTkcBpIsZRA")</f>
        <v>https://www.youtube.com/watch?v=KTkcBpIsZRA</v>
      </c>
      <c r="H3472" t="s">
        <v>46</v>
      </c>
      <c r="I3472" t="s">
        <v>10954</v>
      </c>
      <c r="J3472" t="str">
        <f>HYPERLINK("https://www.youtube.com/channel/UC_MnP5h_KvpqliAJND9u4Dw")</f>
        <v>https://www.youtube.com/channel/UC_MnP5h_KvpqliAJND9u4Dw</v>
      </c>
      <c r="N3472" t="s">
        <v>116</v>
      </c>
      <c r="O3472" t="s">
        <v>10954</v>
      </c>
      <c r="P3472" t="str">
        <f>HYPERLINK("https://www.youtube.com/channel/UC_MnP5h_KvpqliAJND9u4Dw")</f>
        <v>https://www.youtube.com/channel/UC_MnP5h_KvpqliAJND9u4Dw</v>
      </c>
      <c r="R3472" t="s">
        <v>60</v>
      </c>
      <c r="S3472" t="s">
        <v>51</v>
      </c>
      <c r="W3472">
        <v>4</v>
      </c>
      <c r="X3472">
        <v>4</v>
      </c>
      <c r="AD3472">
        <v>0</v>
      </c>
      <c r="AE3472">
        <v>0</v>
      </c>
      <c r="AG3472">
        <v>35</v>
      </c>
      <c r="AI3472" t="s">
        <v>52</v>
      </c>
      <c r="AJ3472" t="s">
        <v>6060</v>
      </c>
      <c r="AK3472" t="s">
        <v>52</v>
      </c>
      <c r="AL3472" t="str">
        <f>HYPERLINK("https://i.ytimg.com/vi/KTkcBpIsZRA/maxresdefault.jpg")</f>
        <v>https://i.ytimg.com/vi/KTkcBpIsZRA/maxresdefault.jpg</v>
      </c>
      <c r="AM3472" t="s">
        <v>52</v>
      </c>
      <c r="AN3472" t="s">
        <v>53</v>
      </c>
    </row>
    <row r="3473" spans="1:40">
      <c r="A3473" t="s">
        <v>8081</v>
      </c>
      <c r="B3473" t="s">
        <v>5471</v>
      </c>
      <c r="C3473" t="s">
        <v>10918</v>
      </c>
      <c r="D3473" t="s">
        <v>52</v>
      </c>
      <c r="E3473" t="s">
        <v>10955</v>
      </c>
      <c r="F3473" t="s">
        <v>45</v>
      </c>
      <c r="G3473" t="str">
        <f>HYPERLINK("https://twitter.com/39473881/status/1142842898234392577")</f>
        <v>https://twitter.com/39473881/status/1142842898234392577</v>
      </c>
      <c r="H3473" t="s">
        <v>46</v>
      </c>
      <c r="I3473" t="s">
        <v>10956</v>
      </c>
      <c r="J3473" t="str">
        <f>HYPERLINK("http://twitter.com/BlaqueBonnE")</f>
        <v>http://twitter.com/BlaqueBonnE</v>
      </c>
      <c r="K3473">
        <v>138</v>
      </c>
      <c r="N3473" t="s">
        <v>65</v>
      </c>
      <c r="R3473" t="s">
        <v>60</v>
      </c>
      <c r="S3473" t="s">
        <v>51</v>
      </c>
      <c r="T3473" t="s">
        <v>152</v>
      </c>
      <c r="U3473" t="s">
        <v>1958</v>
      </c>
      <c r="W3473">
        <v>6</v>
      </c>
      <c r="X3473">
        <v>6</v>
      </c>
      <c r="AE3473">
        <v>0</v>
      </c>
      <c r="AF3473">
        <v>1</v>
      </c>
      <c r="AM3473" t="s">
        <v>52</v>
      </c>
      <c r="AN3473" t="s">
        <v>53</v>
      </c>
    </row>
    <row r="3474" spans="1:40">
      <c r="A3474" t="s">
        <v>8081</v>
      </c>
      <c r="B3474" t="s">
        <v>5494</v>
      </c>
      <c r="C3474" t="s">
        <v>10957</v>
      </c>
      <c r="D3474" t="s">
        <v>52</v>
      </c>
      <c r="E3474" t="s">
        <v>2796</v>
      </c>
      <c r="F3474" t="s">
        <v>45</v>
      </c>
      <c r="G3474" t="str">
        <f>HYPERLINK("https://twitter.com/945119991304613890/status/1142841849595551746")</f>
        <v>https://twitter.com/945119991304613890/status/1142841849595551746</v>
      </c>
      <c r="H3474" t="s">
        <v>46</v>
      </c>
      <c r="I3474" t="s">
        <v>10958</v>
      </c>
      <c r="J3474" t="str">
        <f>HYPERLINK("http://twitter.com/TITANAE35")</f>
        <v>http://twitter.com/TITANAE35</v>
      </c>
      <c r="K3474">
        <v>25</v>
      </c>
      <c r="N3474" t="s">
        <v>65</v>
      </c>
      <c r="R3474" t="s">
        <v>60</v>
      </c>
      <c r="S3474" t="s">
        <v>444</v>
      </c>
      <c r="T3474" t="s">
        <v>3183</v>
      </c>
      <c r="U3474" t="s">
        <v>9241</v>
      </c>
      <c r="W3474">
        <v>0</v>
      </c>
      <c r="X3474">
        <v>0</v>
      </c>
      <c r="AE3474">
        <v>0</v>
      </c>
      <c r="AF3474">
        <v>0</v>
      </c>
      <c r="AM3474" t="s">
        <v>52</v>
      </c>
      <c r="AN3474" t="s">
        <v>53</v>
      </c>
    </row>
    <row r="3475" spans="1:40">
      <c r="A3475" t="s">
        <v>8081</v>
      </c>
      <c r="B3475" t="s">
        <v>10959</v>
      </c>
      <c r="C3475" t="s">
        <v>10957</v>
      </c>
      <c r="D3475" t="s">
        <v>10960</v>
      </c>
      <c r="E3475" t="s">
        <v>10961</v>
      </c>
      <c r="F3475" t="s">
        <v>45</v>
      </c>
      <c r="G3475" t="str">
        <f>HYPERLINK("https://cryptocoinstribune.com/as-union-pacific-unp-shares-rose-aviva-plc-has-lowered-by-31-71-million-its-stake-apple-com-aapl-holder-alexandria-capital-has-cut-stake")</f>
        <v>https://cryptocoinstribune.com/as-union-pacific-unp-shares-rose-aviva-plc-has-lowered-by-31-71-million-its-stake-apple-com-aapl-holder-alexandria-capital-has-cut-stake</v>
      </c>
      <c r="H3475" t="s">
        <v>46</v>
      </c>
      <c r="I3475" t="s">
        <v>10962</v>
      </c>
      <c r="J3475" t="str">
        <f>HYPERLINK("https://cryptocoinstribune.com/as-union-pacific-unp-shares-rose-aviva-plc-has-lowered-by-31-71-million-its-stake-apple-com-aapl-holder-alexandria-capital-has-cut-stake/")</f>
        <v>https://cryptocoinstribune.com/as-union-pacific-unp-shares-rose-aviva-plc-has-lowered-by-31-71-million-its-stake-apple-com-aapl-holder-alexandria-capital-has-cut-stake/</v>
      </c>
      <c r="N3475" t="s">
        <v>960</v>
      </c>
      <c r="R3475" t="s">
        <v>357</v>
      </c>
      <c r="S3475" t="s">
        <v>51</v>
      </c>
      <c r="AI3475" t="s">
        <v>52</v>
      </c>
      <c r="AJ3475" t="s">
        <v>52</v>
      </c>
      <c r="AK3475" t="s">
        <v>52</v>
      </c>
      <c r="AL3475" t="str">
        <f>HYPERLINK("https://cryptocoinstribune.com/wp-content/uploads/logos/Logos/UNP.png")</f>
        <v>https://cryptocoinstribune.com/wp-content/uploads/logos/Logos/UNP.png</v>
      </c>
      <c r="AM3475" t="s">
        <v>52</v>
      </c>
      <c r="AN3475" t="s">
        <v>53</v>
      </c>
    </row>
    <row r="3476" spans="1:40">
      <c r="A3476" t="s">
        <v>8081</v>
      </c>
      <c r="B3476" t="s">
        <v>10963</v>
      </c>
      <c r="C3476" t="s">
        <v>10964</v>
      </c>
      <c r="D3476" t="s">
        <v>52</v>
      </c>
      <c r="E3476" t="s">
        <v>10965</v>
      </c>
      <c r="F3476" t="s">
        <v>45</v>
      </c>
      <c r="G3476" t="str">
        <f>HYPERLINK("https://www.instagram.com/p/BzD1sVyAy8l")</f>
        <v>https://www.instagram.com/p/BzD1sVyAy8l</v>
      </c>
      <c r="H3476" t="s">
        <v>46</v>
      </c>
      <c r="I3476" t="s">
        <v>10966</v>
      </c>
      <c r="J3476" t="str">
        <f>HYPERLINK("http://instagram.com/notphil85")</f>
        <v>http://instagram.com/notphil85</v>
      </c>
      <c r="K3476">
        <v>216</v>
      </c>
      <c r="L3476" t="s">
        <v>48</v>
      </c>
      <c r="N3476" t="s">
        <v>59</v>
      </c>
      <c r="O3476" t="s">
        <v>10966</v>
      </c>
      <c r="P3476" t="str">
        <f>HYPERLINK("http://instagram.com/notphil85")</f>
        <v>http://instagram.com/notphil85</v>
      </c>
      <c r="Q3476">
        <v>216</v>
      </c>
      <c r="R3476" t="s">
        <v>60</v>
      </c>
      <c r="W3476">
        <v>7</v>
      </c>
      <c r="X3476">
        <v>7</v>
      </c>
      <c r="AE3476">
        <v>0</v>
      </c>
      <c r="AI3476" t="s">
        <v>108</v>
      </c>
      <c r="AJ3476" t="s">
        <v>52</v>
      </c>
      <c r="AK3476" t="s">
        <v>52</v>
      </c>
      <c r="AL3476" t="str">
        <f>HYPERLINK("https://www.instagram.com/p/BzD1sVyAy8l/media/?size=l")</f>
        <v>https://www.instagram.com/p/BzD1sVyAy8l/media/?size=l</v>
      </c>
      <c r="AM3476" t="s">
        <v>52</v>
      </c>
      <c r="AN3476" t="s">
        <v>53</v>
      </c>
    </row>
    <row r="3477" spans="1:40">
      <c r="A3477" t="s">
        <v>8081</v>
      </c>
      <c r="B3477" t="s">
        <v>10967</v>
      </c>
      <c r="C3477" t="s">
        <v>10968</v>
      </c>
      <c r="D3477" t="s">
        <v>52</v>
      </c>
      <c r="E3477" t="s">
        <v>10969</v>
      </c>
      <c r="F3477" t="s">
        <v>45</v>
      </c>
      <c r="G3477" t="str">
        <f>HYPERLINK("https://www.instagram.com/p/BzD1bMqg2Cx")</f>
        <v>https://www.instagram.com/p/BzD1bMqg2Cx</v>
      </c>
      <c r="H3477" t="s">
        <v>46</v>
      </c>
      <c r="I3477" t="s">
        <v>10970</v>
      </c>
      <c r="J3477" t="str">
        <f>HYPERLINK("http://instagram.com/officialneckbeard")</f>
        <v>http://instagram.com/officialneckbeard</v>
      </c>
      <c r="K3477">
        <v>9</v>
      </c>
      <c r="N3477" t="s">
        <v>59</v>
      </c>
      <c r="O3477" t="s">
        <v>10970</v>
      </c>
      <c r="P3477" t="str">
        <f>HYPERLINK("http://instagram.com/officialneckbeard")</f>
        <v>http://instagram.com/officialneckbeard</v>
      </c>
      <c r="Q3477">
        <v>9</v>
      </c>
      <c r="R3477" t="s">
        <v>60</v>
      </c>
      <c r="W3477">
        <v>6</v>
      </c>
      <c r="X3477">
        <v>6</v>
      </c>
      <c r="AE3477">
        <v>2</v>
      </c>
      <c r="AI3477" t="s">
        <v>52</v>
      </c>
      <c r="AJ3477" t="s">
        <v>10971</v>
      </c>
      <c r="AK3477" t="s">
        <v>52</v>
      </c>
      <c r="AL3477" t="str">
        <f>HYPERLINK("https://www.instagram.com/p/BzD1bMqg2Cx/media/?size=l")</f>
        <v>https://www.instagram.com/p/BzD1bMqg2Cx/media/?size=l</v>
      </c>
      <c r="AM3477" t="s">
        <v>52</v>
      </c>
      <c r="AN3477" t="s">
        <v>53</v>
      </c>
    </row>
    <row r="3478" spans="1:40">
      <c r="A3478" t="s">
        <v>8081</v>
      </c>
      <c r="B3478" t="s">
        <v>10972</v>
      </c>
      <c r="C3478" t="s">
        <v>10957</v>
      </c>
      <c r="D3478" t="s">
        <v>52</v>
      </c>
      <c r="E3478" t="s">
        <v>3749</v>
      </c>
      <c r="F3478" t="s">
        <v>71</v>
      </c>
      <c r="G3478" t="str">
        <f>HYPERLINK("https://twitter.com/2245048202/status/1142839947390357507")</f>
        <v>https://twitter.com/2245048202/status/1142839947390357507</v>
      </c>
      <c r="H3478" t="s">
        <v>46</v>
      </c>
      <c r="I3478" t="s">
        <v>10973</v>
      </c>
      <c r="J3478" t="str">
        <f>HYPERLINK("http://twitter.com/ToniBabatunde")</f>
        <v>http://twitter.com/ToniBabatunde</v>
      </c>
      <c r="K3478">
        <v>429</v>
      </c>
      <c r="N3478" t="s">
        <v>65</v>
      </c>
      <c r="R3478" t="s">
        <v>60</v>
      </c>
      <c r="S3478" t="s">
        <v>51</v>
      </c>
      <c r="T3478" t="s">
        <v>173</v>
      </c>
      <c r="W3478">
        <v>0</v>
      </c>
      <c r="X3478">
        <v>0</v>
      </c>
      <c r="AE3478">
        <v>0</v>
      </c>
      <c r="AF3478">
        <v>0</v>
      </c>
      <c r="AI3478" t="s">
        <v>108</v>
      </c>
      <c r="AJ3478" t="s">
        <v>52</v>
      </c>
      <c r="AK3478" t="s">
        <v>52</v>
      </c>
      <c r="AL3478" t="str">
        <f>HYPERLINK("https://pbs.twimg.com/media/D9sAXHUX4AA6vJs.jpg")</f>
        <v>https://pbs.twimg.com/media/D9sAXHUX4AA6vJs.jpg</v>
      </c>
      <c r="AM3478" t="s">
        <v>52</v>
      </c>
      <c r="AN3478" t="s">
        <v>53</v>
      </c>
    </row>
    <row r="3479" spans="1:40">
      <c r="A3479" t="s">
        <v>8081</v>
      </c>
      <c r="B3479" t="s">
        <v>10972</v>
      </c>
      <c r="C3479" t="s">
        <v>10957</v>
      </c>
      <c r="D3479" t="s">
        <v>52</v>
      </c>
      <c r="E3479" t="s">
        <v>10974</v>
      </c>
      <c r="F3479" t="s">
        <v>95</v>
      </c>
      <c r="G3479" t="str">
        <f>HYPERLINK("https://twitter.com/1120857306013454337/status/1142839934761353216")</f>
        <v>https://twitter.com/1120857306013454337/status/1142839934761353216</v>
      </c>
      <c r="H3479" t="s">
        <v>46</v>
      </c>
      <c r="I3479" t="s">
        <v>10975</v>
      </c>
      <c r="J3479" t="str">
        <f>HYPERLINK("http://twitter.com/Haruna_AiDee")</f>
        <v>http://twitter.com/Haruna_AiDee</v>
      </c>
      <c r="K3479">
        <v>58</v>
      </c>
      <c r="N3479" t="s">
        <v>65</v>
      </c>
      <c r="R3479" t="s">
        <v>60</v>
      </c>
      <c r="S3479" t="s">
        <v>325</v>
      </c>
      <c r="U3479" t="s">
        <v>10976</v>
      </c>
      <c r="W3479">
        <v>2</v>
      </c>
      <c r="X3479">
        <v>2</v>
      </c>
      <c r="AE3479">
        <v>2</v>
      </c>
      <c r="AF3479">
        <v>0</v>
      </c>
      <c r="AM3479" t="s">
        <v>52</v>
      </c>
      <c r="AN3479" t="s">
        <v>53</v>
      </c>
    </row>
    <row r="3480" spans="1:40">
      <c r="A3480" t="s">
        <v>8081</v>
      </c>
      <c r="B3480" t="s">
        <v>10972</v>
      </c>
      <c r="C3480" t="s">
        <v>10946</v>
      </c>
      <c r="D3480" t="s">
        <v>52</v>
      </c>
      <c r="E3480" t="s">
        <v>10977</v>
      </c>
      <c r="F3480" t="s">
        <v>95</v>
      </c>
      <c r="G3480" t="str">
        <f>HYPERLINK("https://twitter.com/2958003005/status/1142839912997146624")</f>
        <v>https://twitter.com/2958003005/status/1142839912997146624</v>
      </c>
      <c r="H3480" t="s">
        <v>46</v>
      </c>
      <c r="I3480" t="s">
        <v>10978</v>
      </c>
      <c r="J3480" t="str">
        <f>HYPERLINK("http://twitter.com/LethalJes")</f>
        <v>http://twitter.com/LethalJes</v>
      </c>
      <c r="K3480">
        <v>68</v>
      </c>
      <c r="N3480" t="s">
        <v>65</v>
      </c>
      <c r="R3480" t="s">
        <v>60</v>
      </c>
      <c r="S3480" t="s">
        <v>437</v>
      </c>
      <c r="T3480" t="s">
        <v>10979</v>
      </c>
      <c r="U3480" t="s">
        <v>10980</v>
      </c>
      <c r="W3480">
        <v>0</v>
      </c>
      <c r="X3480">
        <v>0</v>
      </c>
      <c r="AE3480">
        <v>1</v>
      </c>
      <c r="AF3480">
        <v>0</v>
      </c>
      <c r="AM3480" t="s">
        <v>52</v>
      </c>
      <c r="AN3480" t="s">
        <v>53</v>
      </c>
    </row>
    <row r="3481" spans="1:40">
      <c r="A3481" t="s">
        <v>8081</v>
      </c>
      <c r="B3481" t="s">
        <v>5524</v>
      </c>
      <c r="C3481" t="s">
        <v>10981</v>
      </c>
      <c r="D3481" t="s">
        <v>52</v>
      </c>
      <c r="E3481" t="s">
        <v>9023</v>
      </c>
      <c r="F3481" t="s">
        <v>131</v>
      </c>
      <c r="G3481" t="str">
        <f>HYPERLINK("https://twitter.com/2416451580/status/1142839730574372865")</f>
        <v>https://twitter.com/2416451580/status/1142839730574372865</v>
      </c>
      <c r="H3481" t="s">
        <v>46</v>
      </c>
      <c r="I3481" t="s">
        <v>10982</v>
      </c>
      <c r="J3481" t="str">
        <f>HYPERLINK("http://twitter.com/stylesftbucky")</f>
        <v>http://twitter.com/stylesftbucky</v>
      </c>
      <c r="K3481">
        <v>1383</v>
      </c>
      <c r="N3481" t="s">
        <v>65</v>
      </c>
      <c r="R3481" t="s">
        <v>60</v>
      </c>
      <c r="S3481" t="s">
        <v>701</v>
      </c>
      <c r="T3481" t="s">
        <v>702</v>
      </c>
      <c r="U3481" t="s">
        <v>10983</v>
      </c>
      <c r="W3481">
        <v>0</v>
      </c>
      <c r="X3481">
        <v>0</v>
      </c>
      <c r="AE3481">
        <v>0</v>
      </c>
      <c r="AI3481" t="s">
        <v>108</v>
      </c>
      <c r="AJ3481" t="s">
        <v>1182</v>
      </c>
      <c r="AK3481" t="s">
        <v>52</v>
      </c>
      <c r="AL3481" t="str">
        <f>HYPERLINK("https://pbs.twimg.com/media/D9tPJcrXoAAuJyr.jpg")</f>
        <v>https://pbs.twimg.com/media/D9tPJcrXoAAuJyr.jpg</v>
      </c>
      <c r="AM3481" t="s">
        <v>52</v>
      </c>
      <c r="AN3481" t="s">
        <v>53</v>
      </c>
    </row>
    <row r="3482" spans="1:40">
      <c r="A3482" t="s">
        <v>8081</v>
      </c>
      <c r="B3482" t="s">
        <v>5524</v>
      </c>
      <c r="C3482" t="s">
        <v>10984</v>
      </c>
      <c r="D3482" t="s">
        <v>52</v>
      </c>
      <c r="E3482" t="s">
        <v>10985</v>
      </c>
      <c r="F3482" t="s">
        <v>95</v>
      </c>
      <c r="G3482" t="str">
        <f>HYPERLINK("https://twitter.com/1120857306013454337/status/1142839713687953409")</f>
        <v>https://twitter.com/1120857306013454337/status/1142839713687953409</v>
      </c>
      <c r="H3482" t="s">
        <v>46</v>
      </c>
      <c r="I3482" t="s">
        <v>10975</v>
      </c>
      <c r="J3482" t="str">
        <f>HYPERLINK("http://twitter.com/Haruna_AiDee")</f>
        <v>http://twitter.com/Haruna_AiDee</v>
      </c>
      <c r="K3482">
        <v>58</v>
      </c>
      <c r="N3482" t="s">
        <v>65</v>
      </c>
      <c r="R3482" t="s">
        <v>60</v>
      </c>
      <c r="S3482" t="s">
        <v>325</v>
      </c>
      <c r="U3482" t="s">
        <v>10976</v>
      </c>
      <c r="W3482">
        <v>2</v>
      </c>
      <c r="X3482">
        <v>2</v>
      </c>
      <c r="AE3482">
        <v>0</v>
      </c>
      <c r="AF3482">
        <v>0</v>
      </c>
      <c r="AM3482" t="s">
        <v>52</v>
      </c>
      <c r="AN3482" t="s">
        <v>53</v>
      </c>
    </row>
    <row r="3483" spans="1:40">
      <c r="A3483" t="s">
        <v>8081</v>
      </c>
      <c r="B3483" t="s">
        <v>5524</v>
      </c>
      <c r="C3483" t="s">
        <v>10986</v>
      </c>
      <c r="D3483" t="s">
        <v>52</v>
      </c>
      <c r="E3483" t="s">
        <v>10987</v>
      </c>
      <c r="F3483" t="s">
        <v>45</v>
      </c>
      <c r="G3483" t="str">
        <f>HYPERLINK("https://twitter.com/775137891114708992/status/1142839666573492226")</f>
        <v>https://twitter.com/775137891114708992/status/1142839666573492226</v>
      </c>
      <c r="H3483" t="s">
        <v>46</v>
      </c>
      <c r="I3483" t="s">
        <v>10988</v>
      </c>
      <c r="J3483" t="str">
        <f>HYPERLINK("http://twitter.com/LailaNavarro12")</f>
        <v>http://twitter.com/LailaNavarro12</v>
      </c>
      <c r="K3483">
        <v>221</v>
      </c>
      <c r="N3483" t="s">
        <v>65</v>
      </c>
      <c r="R3483" t="s">
        <v>60</v>
      </c>
      <c r="S3483" t="s">
        <v>701</v>
      </c>
      <c r="T3483" t="s">
        <v>2321</v>
      </c>
      <c r="W3483">
        <v>4</v>
      </c>
      <c r="X3483">
        <v>4</v>
      </c>
      <c r="AE3483">
        <v>0</v>
      </c>
      <c r="AF3483">
        <v>0</v>
      </c>
      <c r="AM3483" t="s">
        <v>52</v>
      </c>
      <c r="AN3483" t="s">
        <v>53</v>
      </c>
    </row>
    <row r="3484" spans="1:40">
      <c r="A3484" t="s">
        <v>8081</v>
      </c>
      <c r="B3484" t="s">
        <v>5524</v>
      </c>
      <c r="C3484" t="s">
        <v>10989</v>
      </c>
      <c r="D3484" t="s">
        <v>52</v>
      </c>
      <c r="E3484" t="s">
        <v>10990</v>
      </c>
      <c r="F3484" t="s">
        <v>95</v>
      </c>
      <c r="G3484" t="str">
        <f>HYPERLINK("https://twitter.com/1120857306013454337/status/1142839610860457985")</f>
        <v>https://twitter.com/1120857306013454337/status/1142839610860457985</v>
      </c>
      <c r="H3484" t="s">
        <v>46</v>
      </c>
      <c r="I3484" t="s">
        <v>10975</v>
      </c>
      <c r="J3484" t="str">
        <f>HYPERLINK("http://twitter.com/Haruna_AiDee")</f>
        <v>http://twitter.com/Haruna_AiDee</v>
      </c>
      <c r="K3484">
        <v>58</v>
      </c>
      <c r="N3484" t="s">
        <v>65</v>
      </c>
      <c r="R3484" t="s">
        <v>60</v>
      </c>
      <c r="S3484" t="s">
        <v>325</v>
      </c>
      <c r="U3484" t="s">
        <v>10976</v>
      </c>
      <c r="W3484">
        <v>2</v>
      </c>
      <c r="X3484">
        <v>2</v>
      </c>
      <c r="AE3484">
        <v>0</v>
      </c>
      <c r="AF3484">
        <v>0</v>
      </c>
      <c r="AM3484" t="s">
        <v>52</v>
      </c>
      <c r="AN3484" t="s">
        <v>53</v>
      </c>
    </row>
    <row r="3485" spans="1:40">
      <c r="A3485" t="s">
        <v>8081</v>
      </c>
      <c r="B3485" t="s">
        <v>5524</v>
      </c>
      <c r="C3485" t="s">
        <v>10991</v>
      </c>
      <c r="D3485" t="s">
        <v>52</v>
      </c>
      <c r="E3485" t="s">
        <v>10992</v>
      </c>
      <c r="F3485" t="s">
        <v>45</v>
      </c>
      <c r="G3485" t="str">
        <f>HYPERLINK("https://www.instagram.com/p/BzD1I_YhQun")</f>
        <v>https://www.instagram.com/p/BzD1I_YhQun</v>
      </c>
      <c r="H3485" t="s">
        <v>46</v>
      </c>
      <c r="I3485" t="s">
        <v>4335</v>
      </c>
      <c r="J3485" t="str">
        <f>HYPERLINK("http://instagram.com/thevibepill")</f>
        <v>http://instagram.com/thevibepill</v>
      </c>
      <c r="K3485">
        <v>95</v>
      </c>
      <c r="N3485" t="s">
        <v>59</v>
      </c>
      <c r="O3485" t="s">
        <v>4335</v>
      </c>
      <c r="P3485" t="str">
        <f>HYPERLINK("http://instagram.com/thevibepill")</f>
        <v>http://instagram.com/thevibepill</v>
      </c>
      <c r="Q3485">
        <v>95</v>
      </c>
      <c r="R3485" t="s">
        <v>60</v>
      </c>
      <c r="W3485">
        <v>13</v>
      </c>
      <c r="X3485">
        <v>13</v>
      </c>
      <c r="AE3485">
        <v>1</v>
      </c>
      <c r="AI3485" t="s">
        <v>52</v>
      </c>
      <c r="AJ3485" t="s">
        <v>2467</v>
      </c>
      <c r="AK3485" t="s">
        <v>52</v>
      </c>
      <c r="AL3485" t="str">
        <f>HYPERLINK("https://www.instagram.com/p/BzD1I_YhQun/media/?size=l")</f>
        <v>https://www.instagram.com/p/BzD1I_YhQun/media/?size=l</v>
      </c>
      <c r="AM3485" t="s">
        <v>52</v>
      </c>
      <c r="AN3485" t="s">
        <v>53</v>
      </c>
    </row>
    <row r="3486" spans="1:40">
      <c r="A3486" t="s">
        <v>8081</v>
      </c>
      <c r="B3486" t="s">
        <v>10993</v>
      </c>
      <c r="C3486" t="s">
        <v>10994</v>
      </c>
      <c r="D3486" t="s">
        <v>52</v>
      </c>
      <c r="E3486" t="s">
        <v>10995</v>
      </c>
      <c r="F3486" t="s">
        <v>45</v>
      </c>
      <c r="G3486" t="str">
        <f>HYPERLINK("https://twitter.com/321275009/status/1142839073041596417")</f>
        <v>https://twitter.com/321275009/status/1142839073041596417</v>
      </c>
      <c r="H3486" t="s">
        <v>46</v>
      </c>
      <c r="I3486" t="s">
        <v>10996</v>
      </c>
      <c r="J3486" t="str">
        <f>HYPERLINK("http://twitter.com/ezekielonthewal")</f>
        <v>http://twitter.com/ezekielonthewal</v>
      </c>
      <c r="K3486">
        <v>9</v>
      </c>
      <c r="L3486" t="s">
        <v>48</v>
      </c>
      <c r="N3486" t="s">
        <v>65</v>
      </c>
      <c r="R3486" t="s">
        <v>60</v>
      </c>
      <c r="W3486">
        <v>0</v>
      </c>
      <c r="X3486">
        <v>0</v>
      </c>
      <c r="AE3486">
        <v>0</v>
      </c>
      <c r="AF3486">
        <v>0</v>
      </c>
      <c r="AM3486" t="s">
        <v>52</v>
      </c>
      <c r="AN3486" t="s">
        <v>53</v>
      </c>
    </row>
    <row r="3487" spans="1:40">
      <c r="A3487" t="s">
        <v>8081</v>
      </c>
      <c r="B3487" t="s">
        <v>10997</v>
      </c>
      <c r="C3487" t="s">
        <v>8759</v>
      </c>
      <c r="D3487" t="s">
        <v>52</v>
      </c>
      <c r="E3487" t="s">
        <v>10998</v>
      </c>
      <c r="F3487" t="s">
        <v>45</v>
      </c>
      <c r="G3487" t="str">
        <f>HYPERLINK("https://www.instagram.com/p/BzD0vjYJm5m")</f>
        <v>https://www.instagram.com/p/BzD0vjYJm5m</v>
      </c>
      <c r="H3487" t="s">
        <v>46</v>
      </c>
      <c r="I3487" t="s">
        <v>10999</v>
      </c>
      <c r="J3487" t="str">
        <f>HYPERLINK("http://instagram.com/jessicazescn")</f>
        <v>http://instagram.com/jessicazescn</v>
      </c>
      <c r="K3487">
        <v>72</v>
      </c>
      <c r="N3487" t="s">
        <v>59</v>
      </c>
      <c r="O3487" t="s">
        <v>10999</v>
      </c>
      <c r="P3487" t="str">
        <f>HYPERLINK("http://instagram.com/jessicazescn")</f>
        <v>http://instagram.com/jessicazescn</v>
      </c>
      <c r="Q3487">
        <v>72</v>
      </c>
      <c r="R3487" t="s">
        <v>60</v>
      </c>
      <c r="W3487">
        <v>11</v>
      </c>
      <c r="X3487">
        <v>11</v>
      </c>
      <c r="AE3487">
        <v>0</v>
      </c>
      <c r="AI3487" t="s">
        <v>108</v>
      </c>
      <c r="AJ3487" t="s">
        <v>52</v>
      </c>
      <c r="AK3487" t="s">
        <v>52</v>
      </c>
      <c r="AL3487" t="str">
        <f>HYPERLINK("https://www.instagram.com/p/BzD0vjYJm5m/media/?size=l")</f>
        <v>https://www.instagram.com/p/BzD0vjYJm5m/media/?size=l</v>
      </c>
      <c r="AM3487" t="s">
        <v>52</v>
      </c>
      <c r="AN3487" t="s">
        <v>53</v>
      </c>
    </row>
    <row r="3488" spans="1:40">
      <c r="A3488" t="s">
        <v>8081</v>
      </c>
      <c r="B3488" t="s">
        <v>11000</v>
      </c>
      <c r="C3488" t="s">
        <v>8768</v>
      </c>
      <c r="D3488" t="s">
        <v>11001</v>
      </c>
      <c r="E3488" t="s">
        <v>11002</v>
      </c>
      <c r="F3488" t="s">
        <v>45</v>
      </c>
      <c r="G3488" t="str">
        <f>HYPERLINK("https://www.youtube.com/watch?v=ty7OaeCKlVQ")</f>
        <v>https://www.youtube.com/watch?v=ty7OaeCKlVQ</v>
      </c>
      <c r="H3488" t="s">
        <v>46</v>
      </c>
      <c r="I3488" t="s">
        <v>4736</v>
      </c>
      <c r="J3488" t="str">
        <f>HYPERLINK("https://www.youtube.com/channel/UCb9SJ98ma6qXhtBY6XGkRHA")</f>
        <v>https://www.youtube.com/channel/UCb9SJ98ma6qXhtBY6XGkRHA</v>
      </c>
      <c r="K3488">
        <v>36</v>
      </c>
      <c r="N3488" t="s">
        <v>116</v>
      </c>
      <c r="O3488" t="s">
        <v>4736</v>
      </c>
      <c r="P3488" t="str">
        <f>HYPERLINK("https://www.youtube.com/channel/UCb9SJ98ma6qXhtBY6XGkRHA")</f>
        <v>https://www.youtube.com/channel/UCb9SJ98ma6qXhtBY6XGkRHA</v>
      </c>
      <c r="Q3488">
        <v>36</v>
      </c>
      <c r="R3488" t="s">
        <v>60</v>
      </c>
      <c r="S3488" t="s">
        <v>97</v>
      </c>
      <c r="W3488">
        <v>2</v>
      </c>
      <c r="X3488">
        <v>2</v>
      </c>
      <c r="AD3488">
        <v>0</v>
      </c>
      <c r="AE3488">
        <v>1</v>
      </c>
      <c r="AG3488">
        <v>16</v>
      </c>
      <c r="AI3488" t="s">
        <v>108</v>
      </c>
      <c r="AJ3488" t="s">
        <v>52</v>
      </c>
      <c r="AK3488" t="s">
        <v>52</v>
      </c>
      <c r="AL3488" t="str">
        <f>HYPERLINK("https://i.ytimg.com/vi/ty7OaeCKlVQ/sddefault.jpg")</f>
        <v>https://i.ytimg.com/vi/ty7OaeCKlVQ/sddefault.jpg</v>
      </c>
      <c r="AM3488" t="s">
        <v>52</v>
      </c>
      <c r="AN3488" t="s">
        <v>53</v>
      </c>
    </row>
    <row r="3489" spans="1:40">
      <c r="A3489" t="s">
        <v>8081</v>
      </c>
      <c r="B3489" t="s">
        <v>5549</v>
      </c>
      <c r="C3489" t="s">
        <v>10981</v>
      </c>
      <c r="D3489" t="s">
        <v>11003</v>
      </c>
      <c r="E3489" t="s">
        <v>11004</v>
      </c>
      <c r="F3489" t="s">
        <v>45</v>
      </c>
      <c r="G3489" t="str">
        <f>HYPERLINK("https://www.forbes.com/sites/paultassi/2019/06/23/fortnite-legend-drlupo-pulls-off-a-record-breaking-charity-stream-raising-nearly-1m")</f>
        <v>https://www.forbes.com/sites/paultassi/2019/06/23/fortnite-legend-drlupo-pulls-off-a-record-breaking-charity-stream-raising-nearly-1m</v>
      </c>
      <c r="H3489" t="s">
        <v>46</v>
      </c>
      <c r="I3489" t="s">
        <v>11005</v>
      </c>
      <c r="J3489" t="str">
        <f>HYPERLINK("https://www.forbes.com/sites/paultassi/2019/06/23/fortnite-legend-drlupo-pulls-off-a-record-breaking-charity-stream-raising-nearly-1m/")</f>
        <v>https://www.forbes.com/sites/paultassi/2019/06/23/fortnite-legend-drlupo-pulls-off-a-record-breaking-charity-stream-raising-nearly-1m/</v>
      </c>
      <c r="L3489" t="s">
        <v>48</v>
      </c>
      <c r="N3489" t="s">
        <v>11006</v>
      </c>
      <c r="R3489" t="s">
        <v>357</v>
      </c>
      <c r="S3489" t="s">
        <v>51</v>
      </c>
      <c r="AI3489" t="s">
        <v>52</v>
      </c>
      <c r="AJ3489" t="s">
        <v>233</v>
      </c>
      <c r="AK3489" t="s">
        <v>52</v>
      </c>
      <c r="AL3489" t="str">
        <f>HYPERLINK("https://specials-images.forbesimg.com/imageserve/5d0fad2b34a5c4000849350e/960x0.jpg?fit=scale")</f>
        <v>https://specials-images.forbesimg.com/imageserve/5d0fad2b34a5c4000849350e/960x0.jpg?fit=scale</v>
      </c>
      <c r="AM3489" t="s">
        <v>52</v>
      </c>
      <c r="AN3489" t="s">
        <v>53</v>
      </c>
    </row>
    <row r="3490" spans="1:40">
      <c r="A3490" t="s">
        <v>8081</v>
      </c>
      <c r="B3490" t="s">
        <v>41</v>
      </c>
      <c r="C3490" t="s">
        <v>11007</v>
      </c>
      <c r="D3490" t="s">
        <v>52</v>
      </c>
      <c r="E3490" t="s">
        <v>11008</v>
      </c>
      <c r="F3490" t="s">
        <v>95</v>
      </c>
      <c r="G3490" t="str">
        <f>HYPERLINK("https://twitter.com/2530607348/status/1142837693623230465")</f>
        <v>https://twitter.com/2530607348/status/1142837693623230465</v>
      </c>
      <c r="H3490" t="s">
        <v>46</v>
      </c>
      <c r="I3490" t="s">
        <v>11009</v>
      </c>
      <c r="J3490" t="str">
        <f>HYPERLINK("http://twitter.com/jgates1728")</f>
        <v>http://twitter.com/jgates1728</v>
      </c>
      <c r="K3490">
        <v>476</v>
      </c>
      <c r="N3490" t="s">
        <v>65</v>
      </c>
      <c r="R3490" t="s">
        <v>60</v>
      </c>
      <c r="S3490" t="s">
        <v>51</v>
      </c>
      <c r="T3490" t="s">
        <v>3136</v>
      </c>
      <c r="U3490" t="s">
        <v>11010</v>
      </c>
      <c r="W3490">
        <v>0</v>
      </c>
      <c r="X3490">
        <v>0</v>
      </c>
      <c r="AE3490">
        <v>0</v>
      </c>
      <c r="AF3490">
        <v>0</v>
      </c>
      <c r="AM3490" t="s">
        <v>52</v>
      </c>
      <c r="AN3490" t="s">
        <v>53</v>
      </c>
    </row>
    <row r="3491" spans="1:40">
      <c r="A3491" t="s">
        <v>8081</v>
      </c>
      <c r="B3491" t="s">
        <v>41</v>
      </c>
      <c r="C3491" t="s">
        <v>11011</v>
      </c>
      <c r="D3491" t="s">
        <v>52</v>
      </c>
      <c r="E3491" t="s">
        <v>3749</v>
      </c>
      <c r="F3491" t="s">
        <v>71</v>
      </c>
      <c r="G3491" t="str">
        <f>HYPERLINK("https://twitter.com/750624498517409792/status/1142837651160129537")</f>
        <v>https://twitter.com/750624498517409792/status/1142837651160129537</v>
      </c>
      <c r="H3491" t="s">
        <v>46</v>
      </c>
      <c r="I3491" t="s">
        <v>11012</v>
      </c>
      <c r="J3491" t="str">
        <f>HYPERLINK("http://twitter.com/kgee_ll")</f>
        <v>http://twitter.com/kgee_ll</v>
      </c>
      <c r="K3491">
        <v>326</v>
      </c>
      <c r="N3491" t="s">
        <v>65</v>
      </c>
      <c r="R3491" t="s">
        <v>60</v>
      </c>
      <c r="W3491">
        <v>0</v>
      </c>
      <c r="X3491">
        <v>0</v>
      </c>
      <c r="AE3491">
        <v>0</v>
      </c>
      <c r="AF3491">
        <v>0</v>
      </c>
      <c r="AI3491" t="s">
        <v>108</v>
      </c>
      <c r="AJ3491" t="s">
        <v>52</v>
      </c>
      <c r="AK3491" t="s">
        <v>52</v>
      </c>
      <c r="AL3491" t="str">
        <f>HYPERLINK("https://pbs.twimg.com/media/D9sAXHUX4AA6vJs.jpg")</f>
        <v>https://pbs.twimg.com/media/D9sAXHUX4AA6vJs.jpg</v>
      </c>
      <c r="AM3491" t="s">
        <v>52</v>
      </c>
      <c r="AN3491" t="s">
        <v>53</v>
      </c>
    </row>
    <row r="3492" spans="1:40">
      <c r="A3492" t="s">
        <v>8081</v>
      </c>
      <c r="B3492" t="s">
        <v>41</v>
      </c>
      <c r="C3492" t="s">
        <v>11011</v>
      </c>
      <c r="D3492" t="s">
        <v>52</v>
      </c>
      <c r="E3492" t="s">
        <v>11013</v>
      </c>
      <c r="F3492" t="s">
        <v>95</v>
      </c>
      <c r="G3492" t="str">
        <f>HYPERLINK("https://twitter.com/1030947879706406913/status/1142837645330006023")</f>
        <v>https://twitter.com/1030947879706406913/status/1142837645330006023</v>
      </c>
      <c r="H3492" t="s">
        <v>46</v>
      </c>
      <c r="I3492" t="s">
        <v>6198</v>
      </c>
      <c r="J3492" t="str">
        <f>HYPERLINK("http://twitter.com/__arianaj")</f>
        <v>http://twitter.com/__arianaj</v>
      </c>
      <c r="K3492">
        <v>44</v>
      </c>
      <c r="N3492" t="s">
        <v>65</v>
      </c>
      <c r="R3492" t="s">
        <v>60</v>
      </c>
      <c r="S3492" t="s">
        <v>51</v>
      </c>
      <c r="T3492" t="s">
        <v>263</v>
      </c>
      <c r="W3492">
        <v>1</v>
      </c>
      <c r="X3492">
        <v>1</v>
      </c>
      <c r="AE3492">
        <v>0</v>
      </c>
      <c r="AF3492">
        <v>0</v>
      </c>
      <c r="AM3492" t="s">
        <v>52</v>
      </c>
      <c r="AN3492" t="s">
        <v>53</v>
      </c>
    </row>
    <row r="3493" spans="1:40">
      <c r="A3493" t="s">
        <v>8081</v>
      </c>
      <c r="B3493" t="s">
        <v>41</v>
      </c>
      <c r="C3493" t="s">
        <v>11014</v>
      </c>
      <c r="D3493" t="s">
        <v>52</v>
      </c>
      <c r="E3493" t="s">
        <v>11015</v>
      </c>
      <c r="F3493" t="s">
        <v>45</v>
      </c>
      <c r="G3493" t="str">
        <f>HYPERLINK("https://www.instagram.com/p/BzD0N8gFkdb")</f>
        <v>https://www.instagram.com/p/BzD0N8gFkdb</v>
      </c>
      <c r="H3493" t="s">
        <v>46</v>
      </c>
      <c r="I3493" t="s">
        <v>11016</v>
      </c>
      <c r="J3493" t="str">
        <f>HYPERLINK("http://instagram.com/lexgurst")</f>
        <v>http://instagram.com/lexgurst</v>
      </c>
      <c r="K3493">
        <v>387</v>
      </c>
      <c r="N3493" t="s">
        <v>59</v>
      </c>
      <c r="O3493" t="s">
        <v>11016</v>
      </c>
      <c r="P3493" t="str">
        <f>HYPERLINK("http://instagram.com/lexgurst")</f>
        <v>http://instagram.com/lexgurst</v>
      </c>
      <c r="Q3493">
        <v>387</v>
      </c>
      <c r="R3493" t="s">
        <v>60</v>
      </c>
      <c r="W3493">
        <v>25</v>
      </c>
      <c r="X3493">
        <v>25</v>
      </c>
      <c r="AE3493">
        <v>1</v>
      </c>
      <c r="AI3493" t="s">
        <v>52</v>
      </c>
      <c r="AJ3493" t="s">
        <v>52</v>
      </c>
      <c r="AK3493" t="s">
        <v>11017</v>
      </c>
      <c r="AL3493" t="str">
        <f>HYPERLINK("https://www.instagram.com/p/BzD0N8gFkdb/media/?size=l")</f>
        <v>https://www.instagram.com/p/BzD0N8gFkdb/media/?size=l</v>
      </c>
      <c r="AM3493" t="s">
        <v>52</v>
      </c>
      <c r="AN3493" t="s">
        <v>53</v>
      </c>
    </row>
    <row r="3494" spans="1:40">
      <c r="A3494" t="s">
        <v>8081</v>
      </c>
      <c r="B3494" t="s">
        <v>11018</v>
      </c>
      <c r="C3494" t="s">
        <v>5259</v>
      </c>
      <c r="D3494" t="s">
        <v>52</v>
      </c>
      <c r="E3494" t="s">
        <v>11019</v>
      </c>
      <c r="F3494" t="s">
        <v>45</v>
      </c>
      <c r="G3494" t="str">
        <f>HYPERLINK("https://www.facebook.com/222876797851378/posts/1355056687966711")</f>
        <v>https://www.facebook.com/222876797851378/posts/1355056687966711</v>
      </c>
      <c r="H3494" t="s">
        <v>46</v>
      </c>
      <c r="I3494" t="s">
        <v>11020</v>
      </c>
      <c r="J3494" t="str">
        <f>HYPERLINK("https://www.facebook.com/222876797851378")</f>
        <v>https://www.facebook.com/222876797851378</v>
      </c>
      <c r="K3494">
        <v>7450</v>
      </c>
      <c r="L3494" t="s">
        <v>651</v>
      </c>
      <c r="N3494" t="s">
        <v>1792</v>
      </c>
      <c r="O3494" t="s">
        <v>11020</v>
      </c>
      <c r="P3494" t="str">
        <f>HYPERLINK("https://www.facebook.com/222876797851378")</f>
        <v>https://www.facebook.com/222876797851378</v>
      </c>
      <c r="Q3494">
        <v>7450</v>
      </c>
      <c r="R3494" t="s">
        <v>60</v>
      </c>
      <c r="S3494" t="s">
        <v>51</v>
      </c>
      <c r="W3494">
        <v>35</v>
      </c>
      <c r="X3494">
        <v>33</v>
      </c>
      <c r="Y3494">
        <v>1</v>
      </c>
      <c r="Z3494">
        <v>0</v>
      </c>
      <c r="AA3494">
        <v>1</v>
      </c>
      <c r="AB3494">
        <v>0</v>
      </c>
      <c r="AC3494">
        <v>0</v>
      </c>
      <c r="AE3494">
        <v>7</v>
      </c>
      <c r="AF3494">
        <v>5</v>
      </c>
      <c r="AI3494" t="s">
        <v>52</v>
      </c>
      <c r="AJ3494" t="s">
        <v>659</v>
      </c>
      <c r="AK3494" t="s">
        <v>52</v>
      </c>
      <c r="AL3494" t="str">
        <f>HYPERLINK("https://scontent.xx.fbcdn.net/v/t1.0-9/s720x720/64919620_1355054441300269_1939295807089934336_n.jpg?_nc_cat=100&amp;_nc_oc=AQkrBEMs_U3h41udsjcB3OY_hgI3Tn59bi2qkY-urr2oYH0ebzs-I2DLOayufOU_cuc&amp;_nc_ht=scontent.xx&amp;oh=abb5f57cd5df70aa4d172ea468b2275f&amp;oe=5D858740")</f>
        <v>https://scontent.xx.fbcdn.net/v/t1.0-9/s720x720/64919620_1355054441300269_1939295807089934336_n.jpg?_nc_cat=100&amp;_nc_oc=AQkrBEMs_U3h41udsjcB3OY_hgI3Tn59bi2qkY-urr2oYH0ebzs-I2DLOayufOU_cuc&amp;_nc_ht=scontent.xx&amp;oh=abb5f57cd5df70aa4d172ea468b2275f&amp;oe=5D858740</v>
      </c>
      <c r="AM3494" t="s">
        <v>52</v>
      </c>
      <c r="AN3494" t="s">
        <v>53</v>
      </c>
    </row>
    <row r="3495" spans="1:40">
      <c r="A3495" t="s">
        <v>8081</v>
      </c>
      <c r="B3495" t="s">
        <v>11018</v>
      </c>
      <c r="C3495" t="s">
        <v>11021</v>
      </c>
      <c r="D3495" t="s">
        <v>52</v>
      </c>
      <c r="E3495" t="s">
        <v>11022</v>
      </c>
      <c r="F3495" t="s">
        <v>45</v>
      </c>
      <c r="G3495" t="str">
        <f>HYPERLINK("https://twitter.com/1253773256/status/1142837315305377796")</f>
        <v>https://twitter.com/1253773256/status/1142837315305377796</v>
      </c>
      <c r="H3495" t="s">
        <v>215</v>
      </c>
      <c r="I3495" t="s">
        <v>11023</v>
      </c>
      <c r="J3495" t="str">
        <f>HYPERLINK("http://twitter.com/kindafunnygirl")</f>
        <v>http://twitter.com/kindafunnygirl</v>
      </c>
      <c r="K3495">
        <v>3050</v>
      </c>
      <c r="N3495" t="s">
        <v>65</v>
      </c>
      <c r="R3495" t="s">
        <v>60</v>
      </c>
      <c r="S3495" t="s">
        <v>51</v>
      </c>
      <c r="T3495" t="s">
        <v>84</v>
      </c>
      <c r="U3495" t="s">
        <v>85</v>
      </c>
      <c r="W3495">
        <v>17</v>
      </c>
      <c r="X3495">
        <v>17</v>
      </c>
      <c r="AE3495">
        <v>1</v>
      </c>
      <c r="AF3495">
        <v>0</v>
      </c>
      <c r="AM3495" t="s">
        <v>52</v>
      </c>
      <c r="AN3495" t="s">
        <v>53</v>
      </c>
    </row>
    <row r="3496" spans="1:40">
      <c r="A3496" t="s">
        <v>8081</v>
      </c>
      <c r="B3496" t="s">
        <v>11018</v>
      </c>
      <c r="C3496" t="s">
        <v>11024</v>
      </c>
      <c r="D3496" t="s">
        <v>52</v>
      </c>
      <c r="E3496" t="s">
        <v>11025</v>
      </c>
      <c r="F3496" t="s">
        <v>45</v>
      </c>
      <c r="G3496" t="str">
        <f>HYPERLINK("https://twitter.com/3046608090/status/1142837276285788161")</f>
        <v>https://twitter.com/3046608090/status/1142837276285788161</v>
      </c>
      <c r="H3496" t="s">
        <v>215</v>
      </c>
      <c r="I3496" t="s">
        <v>11026</v>
      </c>
      <c r="J3496" t="str">
        <f>HYPERLINK("http://twitter.com/Tr_Rayonn")</f>
        <v>http://twitter.com/Tr_Rayonn</v>
      </c>
      <c r="K3496">
        <v>2326</v>
      </c>
      <c r="N3496" t="s">
        <v>65</v>
      </c>
      <c r="R3496" t="s">
        <v>60</v>
      </c>
      <c r="W3496">
        <v>0</v>
      </c>
      <c r="X3496">
        <v>0</v>
      </c>
      <c r="AE3496">
        <v>0</v>
      </c>
      <c r="AF3496">
        <v>0</v>
      </c>
      <c r="AM3496" t="s">
        <v>52</v>
      </c>
      <c r="AN3496" t="s">
        <v>53</v>
      </c>
    </row>
    <row r="3497" spans="1:40">
      <c r="A3497" t="s">
        <v>8081</v>
      </c>
      <c r="B3497" t="s">
        <v>5557</v>
      </c>
      <c r="C3497" t="s">
        <v>11014</v>
      </c>
      <c r="D3497" t="s">
        <v>52</v>
      </c>
      <c r="E3497" t="s">
        <v>11027</v>
      </c>
      <c r="F3497" t="s">
        <v>45</v>
      </c>
      <c r="G3497" t="str">
        <f>HYPERLINK("https://twitter.com/1253773256/status/1142837197739102208")</f>
        <v>https://twitter.com/1253773256/status/1142837197739102208</v>
      </c>
      <c r="H3497" t="s">
        <v>215</v>
      </c>
      <c r="I3497" t="s">
        <v>11023</v>
      </c>
      <c r="J3497" t="str">
        <f>HYPERLINK("http://twitter.com/kindafunnygirl")</f>
        <v>http://twitter.com/kindafunnygirl</v>
      </c>
      <c r="K3497">
        <v>3050</v>
      </c>
      <c r="N3497" t="s">
        <v>65</v>
      </c>
      <c r="R3497" t="s">
        <v>60</v>
      </c>
      <c r="S3497" t="s">
        <v>51</v>
      </c>
      <c r="T3497" t="s">
        <v>84</v>
      </c>
      <c r="U3497" t="s">
        <v>85</v>
      </c>
      <c r="W3497">
        <v>0</v>
      </c>
      <c r="X3497">
        <v>0</v>
      </c>
      <c r="AE3497">
        <v>0</v>
      </c>
      <c r="AF3497">
        <v>0</v>
      </c>
      <c r="AM3497" t="s">
        <v>52</v>
      </c>
      <c r="AN3497" t="s">
        <v>53</v>
      </c>
    </row>
    <row r="3498" spans="1:40">
      <c r="A3498" t="s">
        <v>8081</v>
      </c>
      <c r="B3498" t="s">
        <v>5557</v>
      </c>
      <c r="C3498" t="s">
        <v>11007</v>
      </c>
      <c r="D3498" t="s">
        <v>52</v>
      </c>
      <c r="E3498" t="s">
        <v>10866</v>
      </c>
      <c r="F3498" t="s">
        <v>71</v>
      </c>
      <c r="G3498" t="str">
        <f>HYPERLINK("https://twitter.com/748230847489277952/status/1142837186250850304")</f>
        <v>https://twitter.com/748230847489277952/status/1142837186250850304</v>
      </c>
      <c r="H3498" t="s">
        <v>46</v>
      </c>
      <c r="I3498" t="s">
        <v>11028</v>
      </c>
      <c r="J3498" t="str">
        <f>HYPERLINK("http://twitter.com/junkieXjunkie")</f>
        <v>http://twitter.com/junkieXjunkie</v>
      </c>
      <c r="K3498">
        <v>974</v>
      </c>
      <c r="N3498" t="s">
        <v>65</v>
      </c>
      <c r="R3498" t="s">
        <v>60</v>
      </c>
      <c r="S3498" t="s">
        <v>51</v>
      </c>
      <c r="T3498" t="s">
        <v>2729</v>
      </c>
      <c r="W3498">
        <v>1</v>
      </c>
      <c r="X3498">
        <v>1</v>
      </c>
      <c r="AE3498">
        <v>0</v>
      </c>
      <c r="AF3498">
        <v>1</v>
      </c>
      <c r="AM3498" t="s">
        <v>52</v>
      </c>
      <c r="AN3498" t="s">
        <v>53</v>
      </c>
    </row>
    <row r="3499" spans="1:40">
      <c r="A3499" t="s">
        <v>8081</v>
      </c>
      <c r="B3499" t="s">
        <v>5581</v>
      </c>
      <c r="C3499" t="s">
        <v>11014</v>
      </c>
      <c r="D3499" t="s">
        <v>52</v>
      </c>
      <c r="E3499" t="s">
        <v>11029</v>
      </c>
      <c r="F3499" t="s">
        <v>45</v>
      </c>
      <c r="G3499" t="str">
        <f>HYPERLINK("https://twitter.com/775212774/status/1142836387701350405")</f>
        <v>https://twitter.com/775212774/status/1142836387701350405</v>
      </c>
      <c r="H3499" t="s">
        <v>46</v>
      </c>
      <c r="I3499" t="s">
        <v>11030</v>
      </c>
      <c r="J3499" t="str">
        <f>HYPERLINK("http://twitter.com/Germanscum")</f>
        <v>http://twitter.com/Germanscum</v>
      </c>
      <c r="K3499">
        <v>101</v>
      </c>
      <c r="N3499" t="s">
        <v>65</v>
      </c>
      <c r="R3499" t="s">
        <v>60</v>
      </c>
      <c r="W3499">
        <v>2</v>
      </c>
      <c r="X3499">
        <v>2</v>
      </c>
      <c r="AE3499">
        <v>0</v>
      </c>
      <c r="AF3499">
        <v>0</v>
      </c>
      <c r="AM3499" t="s">
        <v>52</v>
      </c>
      <c r="AN3499" t="s">
        <v>53</v>
      </c>
    </row>
    <row r="3500" spans="1:40">
      <c r="A3500" t="s">
        <v>8081</v>
      </c>
      <c r="B3500" t="s">
        <v>5585</v>
      </c>
      <c r="C3500" t="s">
        <v>11014</v>
      </c>
      <c r="D3500" t="s">
        <v>52</v>
      </c>
      <c r="E3500" t="s">
        <v>8599</v>
      </c>
      <c r="F3500" t="s">
        <v>131</v>
      </c>
      <c r="G3500" t="str">
        <f>HYPERLINK("https://twitter.com/402516069/status/1142836114106880005")</f>
        <v>https://twitter.com/402516069/status/1142836114106880005</v>
      </c>
      <c r="H3500" t="s">
        <v>46</v>
      </c>
      <c r="I3500" t="s">
        <v>11031</v>
      </c>
      <c r="J3500" t="str">
        <f>HYPERLINK("http://twitter.com/mnoranth")</f>
        <v>http://twitter.com/mnoranth</v>
      </c>
      <c r="K3500">
        <v>91</v>
      </c>
      <c r="N3500" t="s">
        <v>65</v>
      </c>
      <c r="R3500" t="s">
        <v>60</v>
      </c>
      <c r="W3500">
        <v>0</v>
      </c>
      <c r="X3500">
        <v>0</v>
      </c>
      <c r="AE3500">
        <v>0</v>
      </c>
      <c r="AM3500" t="s">
        <v>52</v>
      </c>
      <c r="AN3500" t="s">
        <v>53</v>
      </c>
    </row>
    <row r="3501" spans="1:40">
      <c r="A3501" t="s">
        <v>8081</v>
      </c>
      <c r="B3501" t="s">
        <v>11032</v>
      </c>
      <c r="C3501" t="s">
        <v>11033</v>
      </c>
      <c r="D3501" t="s">
        <v>52</v>
      </c>
      <c r="E3501" t="s">
        <v>9023</v>
      </c>
      <c r="F3501" t="s">
        <v>131</v>
      </c>
      <c r="G3501" t="str">
        <f>HYPERLINK("https://twitter.com/422153349/status/1142835569283624961")</f>
        <v>https://twitter.com/422153349/status/1142835569283624961</v>
      </c>
      <c r="H3501" t="s">
        <v>46</v>
      </c>
      <c r="I3501" t="s">
        <v>8903</v>
      </c>
      <c r="J3501" t="str">
        <f>HYPERLINK("http://twitter.com/jennifercruzok_")</f>
        <v>http://twitter.com/jennifercruzok_</v>
      </c>
      <c r="K3501">
        <v>1570</v>
      </c>
      <c r="L3501" t="s">
        <v>58</v>
      </c>
      <c r="N3501" t="s">
        <v>65</v>
      </c>
      <c r="R3501" t="s">
        <v>60</v>
      </c>
      <c r="W3501">
        <v>0</v>
      </c>
      <c r="X3501">
        <v>0</v>
      </c>
      <c r="AE3501">
        <v>0</v>
      </c>
      <c r="AI3501" t="s">
        <v>108</v>
      </c>
      <c r="AJ3501" t="s">
        <v>1182</v>
      </c>
      <c r="AK3501" t="s">
        <v>52</v>
      </c>
      <c r="AL3501" t="str">
        <f>HYPERLINK("https://pbs.twimg.com/media/D9tPJcrXoAAuJyr.jpg")</f>
        <v>https://pbs.twimg.com/media/D9tPJcrXoAAuJyr.jpg</v>
      </c>
      <c r="AM3501" t="s">
        <v>52</v>
      </c>
      <c r="AN3501" t="s">
        <v>53</v>
      </c>
    </row>
    <row r="3502" spans="1:40">
      <c r="A3502" t="s">
        <v>8081</v>
      </c>
      <c r="B3502" t="s">
        <v>11032</v>
      </c>
      <c r="C3502" t="s">
        <v>11014</v>
      </c>
      <c r="D3502" t="s">
        <v>52</v>
      </c>
      <c r="E3502" t="s">
        <v>11034</v>
      </c>
      <c r="F3502" t="s">
        <v>45</v>
      </c>
      <c r="G3502" t="str">
        <f>HYPERLINK("https://www.instagram.com/p/BzDzRH4lHuH")</f>
        <v>https://www.instagram.com/p/BzDzRH4lHuH</v>
      </c>
      <c r="H3502" t="s">
        <v>46</v>
      </c>
      <c r="I3502" t="s">
        <v>11035</v>
      </c>
      <c r="J3502" t="str">
        <f>HYPERLINK("http://instagram.com/mjc.shitposts")</f>
        <v>http://instagram.com/mjc.shitposts</v>
      </c>
      <c r="K3502">
        <v>5</v>
      </c>
      <c r="N3502" t="s">
        <v>59</v>
      </c>
      <c r="O3502" t="s">
        <v>11035</v>
      </c>
      <c r="P3502" t="str">
        <f>HYPERLINK("http://instagram.com/mjc.shitposts")</f>
        <v>http://instagram.com/mjc.shitposts</v>
      </c>
      <c r="Q3502">
        <v>5</v>
      </c>
      <c r="R3502" t="s">
        <v>60</v>
      </c>
      <c r="W3502">
        <v>15</v>
      </c>
      <c r="X3502">
        <v>15</v>
      </c>
      <c r="AE3502">
        <v>0</v>
      </c>
      <c r="AI3502" t="s">
        <v>52</v>
      </c>
      <c r="AJ3502" t="s">
        <v>52</v>
      </c>
      <c r="AK3502" t="s">
        <v>52</v>
      </c>
      <c r="AL3502" t="str">
        <f>HYPERLINK("https://www.instagram.com/p/BzDzRH4lHuH/media/?size=l")</f>
        <v>https://www.instagram.com/p/BzDzRH4lHuH/media/?size=l</v>
      </c>
      <c r="AM3502" t="s">
        <v>52</v>
      </c>
      <c r="AN3502" t="s">
        <v>53</v>
      </c>
    </row>
    <row r="3503" spans="1:40">
      <c r="A3503" t="s">
        <v>8081</v>
      </c>
      <c r="B3503" t="s">
        <v>11032</v>
      </c>
      <c r="C3503" t="s">
        <v>11036</v>
      </c>
      <c r="D3503" t="s">
        <v>52</v>
      </c>
      <c r="E3503" t="s">
        <v>3749</v>
      </c>
      <c r="F3503" t="s">
        <v>71</v>
      </c>
      <c r="G3503" t="str">
        <f>HYPERLINK("https://twitter.com/792083832375808000/status/1142835466498183173")</f>
        <v>https://twitter.com/792083832375808000/status/1142835466498183173</v>
      </c>
      <c r="H3503" t="s">
        <v>46</v>
      </c>
      <c r="I3503" t="s">
        <v>11037</v>
      </c>
      <c r="J3503" t="str">
        <f>HYPERLINK("http://twitter.com/Rofhiwa__Mashau")</f>
        <v>http://twitter.com/Rofhiwa__Mashau</v>
      </c>
      <c r="K3503">
        <v>255</v>
      </c>
      <c r="N3503" t="s">
        <v>65</v>
      </c>
      <c r="R3503" t="s">
        <v>60</v>
      </c>
      <c r="S3503" t="s">
        <v>1071</v>
      </c>
      <c r="T3503" t="s">
        <v>1072</v>
      </c>
      <c r="U3503" t="s">
        <v>11038</v>
      </c>
      <c r="W3503">
        <v>0</v>
      </c>
      <c r="X3503">
        <v>0</v>
      </c>
      <c r="AE3503">
        <v>0</v>
      </c>
      <c r="AF3503">
        <v>0</v>
      </c>
      <c r="AI3503" t="s">
        <v>108</v>
      </c>
      <c r="AJ3503" t="s">
        <v>52</v>
      </c>
      <c r="AK3503" t="s">
        <v>52</v>
      </c>
      <c r="AL3503" t="str">
        <f>HYPERLINK("https://pbs.twimg.com/media/D9sAXHUX4AA6vJs.jpg")</f>
        <v>https://pbs.twimg.com/media/D9sAXHUX4AA6vJs.jpg</v>
      </c>
      <c r="AM3503" t="s">
        <v>52</v>
      </c>
      <c r="AN3503" t="s">
        <v>53</v>
      </c>
    </row>
    <row r="3504" spans="1:40">
      <c r="A3504" t="s">
        <v>8081</v>
      </c>
      <c r="B3504" t="s">
        <v>5601</v>
      </c>
      <c r="C3504" t="s">
        <v>11039</v>
      </c>
      <c r="D3504" t="s">
        <v>52</v>
      </c>
      <c r="E3504" t="s">
        <v>11040</v>
      </c>
      <c r="F3504" t="s">
        <v>95</v>
      </c>
      <c r="G3504" t="str">
        <f>HYPERLINK("https://twitter.com/944877498/status/1142835301657796609")</f>
        <v>https://twitter.com/944877498/status/1142835301657796609</v>
      </c>
      <c r="H3504" t="s">
        <v>46</v>
      </c>
      <c r="I3504" t="s">
        <v>11041</v>
      </c>
      <c r="J3504" t="str">
        <f>HYPERLINK("http://twitter.com/NannersBooBoo")</f>
        <v>http://twitter.com/NannersBooBoo</v>
      </c>
      <c r="K3504">
        <v>444</v>
      </c>
      <c r="N3504" t="s">
        <v>65</v>
      </c>
      <c r="R3504" t="s">
        <v>60</v>
      </c>
      <c r="W3504">
        <v>2</v>
      </c>
      <c r="X3504">
        <v>2</v>
      </c>
      <c r="AE3504">
        <v>0</v>
      </c>
      <c r="AF3504">
        <v>0</v>
      </c>
      <c r="AM3504" t="s">
        <v>52</v>
      </c>
      <c r="AN3504" t="s">
        <v>53</v>
      </c>
    </row>
    <row r="3505" spans="1:40">
      <c r="A3505" t="s">
        <v>8081</v>
      </c>
      <c r="B3505" t="s">
        <v>11042</v>
      </c>
      <c r="C3505" t="s">
        <v>11043</v>
      </c>
      <c r="D3505" t="s">
        <v>52</v>
      </c>
      <c r="E3505" t="s">
        <v>11044</v>
      </c>
      <c r="F3505" t="s">
        <v>71</v>
      </c>
      <c r="G3505" t="str">
        <f>HYPERLINK("https://twitter.com/1097668728022593536/status/1142834816469131266")</f>
        <v>https://twitter.com/1097668728022593536/status/1142834816469131266</v>
      </c>
      <c r="H3505" t="s">
        <v>46</v>
      </c>
      <c r="I3505" t="s">
        <v>11045</v>
      </c>
      <c r="J3505" t="str">
        <f>HYPERLINK("http://twitter.com/shoottokiII")</f>
        <v>http://twitter.com/shoottokiII</v>
      </c>
      <c r="K3505">
        <v>380</v>
      </c>
      <c r="N3505" t="s">
        <v>65</v>
      </c>
      <c r="R3505" t="s">
        <v>60</v>
      </c>
      <c r="S3505" t="s">
        <v>444</v>
      </c>
      <c r="T3505" t="s">
        <v>6145</v>
      </c>
      <c r="U3505" t="s">
        <v>11046</v>
      </c>
      <c r="W3505">
        <v>1</v>
      </c>
      <c r="X3505">
        <v>1</v>
      </c>
      <c r="AE3505">
        <v>0</v>
      </c>
      <c r="AF3505">
        <v>0</v>
      </c>
      <c r="AM3505" t="s">
        <v>52</v>
      </c>
      <c r="AN3505" t="s">
        <v>53</v>
      </c>
    </row>
    <row r="3506" spans="1:40">
      <c r="A3506" t="s">
        <v>8081</v>
      </c>
      <c r="B3506" t="s">
        <v>11047</v>
      </c>
      <c r="C3506" t="s">
        <v>8839</v>
      </c>
      <c r="D3506" t="s">
        <v>52</v>
      </c>
      <c r="E3506" t="s">
        <v>11048</v>
      </c>
      <c r="F3506" t="s">
        <v>45</v>
      </c>
      <c r="G3506" t="str">
        <f>HYPERLINK("https://www.instagram.com/p/BzDy6iiBduq")</f>
        <v>https://www.instagram.com/p/BzDy6iiBduq</v>
      </c>
      <c r="H3506" t="s">
        <v>46</v>
      </c>
      <c r="I3506" t="s">
        <v>11049</v>
      </c>
      <c r="J3506" t="str">
        <f>HYPERLINK("http://instagram.com/quick_boy2")</f>
        <v>http://instagram.com/quick_boy2</v>
      </c>
      <c r="K3506">
        <v>92</v>
      </c>
      <c r="N3506" t="s">
        <v>59</v>
      </c>
      <c r="O3506" t="s">
        <v>11049</v>
      </c>
      <c r="P3506" t="str">
        <f>HYPERLINK("http://instagram.com/quick_boy2")</f>
        <v>http://instagram.com/quick_boy2</v>
      </c>
      <c r="Q3506">
        <v>92</v>
      </c>
      <c r="R3506" t="s">
        <v>60</v>
      </c>
      <c r="S3506" t="s">
        <v>432</v>
      </c>
      <c r="T3506" t="s">
        <v>4451</v>
      </c>
      <c r="U3506" t="s">
        <v>11050</v>
      </c>
      <c r="W3506">
        <v>23</v>
      </c>
      <c r="X3506">
        <v>23</v>
      </c>
      <c r="AE3506">
        <v>0</v>
      </c>
      <c r="AI3506" t="s">
        <v>108</v>
      </c>
      <c r="AJ3506" t="s">
        <v>5656</v>
      </c>
      <c r="AK3506" t="s">
        <v>52</v>
      </c>
      <c r="AL3506" t="str">
        <f>HYPERLINK("https://www.instagram.com/p/BzDy6iiBduq/media/?size=l")</f>
        <v>https://www.instagram.com/p/BzDy6iiBduq/media/?size=l</v>
      </c>
      <c r="AM3506" t="s">
        <v>52</v>
      </c>
      <c r="AN3506" t="s">
        <v>53</v>
      </c>
    </row>
    <row r="3507" spans="1:40">
      <c r="A3507" t="s">
        <v>8081</v>
      </c>
      <c r="B3507" t="s">
        <v>5610</v>
      </c>
      <c r="C3507" t="s">
        <v>11036</v>
      </c>
      <c r="D3507" t="s">
        <v>8088</v>
      </c>
      <c r="E3507" t="s">
        <v>11051</v>
      </c>
      <c r="F3507" t="s">
        <v>45</v>
      </c>
      <c r="G3507" t="str">
        <f>HYPERLINK("https://www.longroom.com/discussion/1534555/esports-player-ninja-fails-to-qualify-for-fortnite-world-cup")</f>
        <v>https://www.longroom.com/discussion/1534555/esports-player-ninja-fails-to-qualify-for-fortnite-world-cup</v>
      </c>
      <c r="H3507" t="s">
        <v>46</v>
      </c>
      <c r="I3507" t="s">
        <v>11052</v>
      </c>
      <c r="J3507" t="str">
        <f>HYPERLINK("https://www.longroom.com/discussion/1534555/esports-player-ninja-fails-to-qualify-for-fortnite-world-cup")</f>
        <v>https://www.longroom.com/discussion/1534555/esports-player-ninja-fails-to-qualify-for-fortnite-world-cup</v>
      </c>
      <c r="L3507" t="s">
        <v>48</v>
      </c>
      <c r="N3507" t="s">
        <v>11053</v>
      </c>
      <c r="R3507" t="s">
        <v>357</v>
      </c>
      <c r="S3507" t="s">
        <v>51</v>
      </c>
      <c r="AI3507" t="s">
        <v>52</v>
      </c>
      <c r="AJ3507" t="s">
        <v>52</v>
      </c>
      <c r="AK3507" t="s">
        <v>300</v>
      </c>
      <c r="AL3507" t="str">
        <f>HYPERLINK("https://cnet3.cbsistatic.com/img/QMTT0k3yMQPOR5Y2pKANNdPFwyg=/756x567/2019/06/23/5b22c4eb-2127-44f3-b10a-d1e30d656bb9/gettyimages-1054462188.jpg")</f>
        <v>https://cnet3.cbsistatic.com/img/QMTT0k3yMQPOR5Y2pKANNdPFwyg=/756x567/2019/06/23/5b22c4eb-2127-44f3-b10a-d1e30d656bb9/gettyimages-1054462188.jpg</v>
      </c>
      <c r="AM3507" t="s">
        <v>52</v>
      </c>
      <c r="AN3507" t="s">
        <v>53</v>
      </c>
    </row>
    <row r="3508" spans="1:40">
      <c r="A3508" t="s">
        <v>8081</v>
      </c>
      <c r="B3508" t="s">
        <v>5619</v>
      </c>
      <c r="C3508" t="s">
        <v>11054</v>
      </c>
      <c r="D3508" t="s">
        <v>52</v>
      </c>
      <c r="E3508" t="s">
        <v>11055</v>
      </c>
      <c r="F3508" t="s">
        <v>95</v>
      </c>
      <c r="G3508" t="str">
        <f>HYPERLINK("https://twitter.com/474150842/status/1142833974764609537")</f>
        <v>https://twitter.com/474150842/status/1142833974764609537</v>
      </c>
      <c r="H3508" t="s">
        <v>46</v>
      </c>
      <c r="I3508" t="s">
        <v>11056</v>
      </c>
      <c r="J3508" t="str">
        <f>HYPERLINK("http://twitter.com/NotThatRawlings")</f>
        <v>http://twitter.com/NotThatRawlings</v>
      </c>
      <c r="K3508">
        <v>459</v>
      </c>
      <c r="N3508" t="s">
        <v>65</v>
      </c>
      <c r="R3508" t="s">
        <v>60</v>
      </c>
      <c r="S3508" t="s">
        <v>51</v>
      </c>
      <c r="T3508" t="s">
        <v>73</v>
      </c>
      <c r="U3508" t="s">
        <v>4527</v>
      </c>
      <c r="W3508">
        <v>1</v>
      </c>
      <c r="X3508">
        <v>1</v>
      </c>
      <c r="AE3508">
        <v>0</v>
      </c>
      <c r="AF3508">
        <v>0</v>
      </c>
      <c r="AM3508" t="s">
        <v>52</v>
      </c>
      <c r="AN3508" t="s">
        <v>53</v>
      </c>
    </row>
    <row r="3509" spans="1:40">
      <c r="A3509" t="s">
        <v>8081</v>
      </c>
      <c r="B3509" t="s">
        <v>5619</v>
      </c>
      <c r="C3509" t="s">
        <v>11014</v>
      </c>
      <c r="D3509" t="s">
        <v>52</v>
      </c>
      <c r="E3509" t="s">
        <v>11057</v>
      </c>
      <c r="F3509" t="s">
        <v>45</v>
      </c>
      <c r="G3509" t="str">
        <f>HYPERLINK("https://www.instagram.com/p/BzDylUqpp3h")</f>
        <v>https://www.instagram.com/p/BzDylUqpp3h</v>
      </c>
      <c r="H3509" t="s">
        <v>46</v>
      </c>
      <c r="I3509" t="s">
        <v>11058</v>
      </c>
      <c r="J3509" t="str">
        <f>HYPERLINK("http://instagram.com/loverbean7")</f>
        <v>http://instagram.com/loverbean7</v>
      </c>
      <c r="K3509">
        <v>340</v>
      </c>
      <c r="N3509" t="s">
        <v>59</v>
      </c>
      <c r="O3509" t="s">
        <v>11058</v>
      </c>
      <c r="P3509" t="str">
        <f>HYPERLINK("http://instagram.com/loverbean7")</f>
        <v>http://instagram.com/loverbean7</v>
      </c>
      <c r="Q3509">
        <v>340</v>
      </c>
      <c r="R3509" t="s">
        <v>60</v>
      </c>
      <c r="W3509">
        <v>19</v>
      </c>
      <c r="X3509">
        <v>19</v>
      </c>
      <c r="AE3509">
        <v>0</v>
      </c>
      <c r="AI3509" t="s">
        <v>52</v>
      </c>
      <c r="AJ3509" t="s">
        <v>6178</v>
      </c>
      <c r="AK3509" t="s">
        <v>11059</v>
      </c>
      <c r="AL3509" t="str">
        <f>HYPERLINK("https://www.instagram.com/p/BzDylUqpp3h/media/?size=l")</f>
        <v>https://www.instagram.com/p/BzDylUqpp3h/media/?size=l</v>
      </c>
      <c r="AM3509" t="s">
        <v>52</v>
      </c>
      <c r="AN3509" t="s">
        <v>53</v>
      </c>
    </row>
    <row r="3510" spans="1:40">
      <c r="A3510" t="s">
        <v>8081</v>
      </c>
      <c r="B3510" t="s">
        <v>11060</v>
      </c>
      <c r="C3510" t="s">
        <v>11061</v>
      </c>
      <c r="D3510" t="s">
        <v>52</v>
      </c>
      <c r="E3510" t="s">
        <v>11062</v>
      </c>
      <c r="F3510" t="s">
        <v>45</v>
      </c>
      <c r="G3510" t="str">
        <f>HYPERLINK("https://www.instagram.com/p/BzDybsijob4")</f>
        <v>https://www.instagram.com/p/BzDybsijob4</v>
      </c>
      <c r="H3510" t="s">
        <v>46</v>
      </c>
      <c r="I3510" t="s">
        <v>11063</v>
      </c>
      <c r="J3510" t="str">
        <f>HYPERLINK("http://instagram.com/amandamsquires")</f>
        <v>http://instagram.com/amandamsquires</v>
      </c>
      <c r="K3510">
        <v>125</v>
      </c>
      <c r="L3510" t="s">
        <v>651</v>
      </c>
      <c r="N3510" t="s">
        <v>59</v>
      </c>
      <c r="O3510" t="s">
        <v>11063</v>
      </c>
      <c r="P3510" t="str">
        <f>HYPERLINK("http://instagram.com/amandamsquires")</f>
        <v>http://instagram.com/amandamsquires</v>
      </c>
      <c r="Q3510">
        <v>125</v>
      </c>
      <c r="R3510" t="s">
        <v>60</v>
      </c>
      <c r="W3510">
        <v>20</v>
      </c>
      <c r="X3510">
        <v>20</v>
      </c>
      <c r="AE3510">
        <v>2</v>
      </c>
      <c r="AI3510" t="s">
        <v>52</v>
      </c>
      <c r="AJ3510" t="s">
        <v>11064</v>
      </c>
      <c r="AK3510" t="s">
        <v>52</v>
      </c>
      <c r="AL3510" t="str">
        <f>HYPERLINK("https://www.instagram.com/p/BzDybsijob4/media/?size=l")</f>
        <v>https://www.instagram.com/p/BzDybsijob4/media/?size=l</v>
      </c>
      <c r="AM3510" t="s">
        <v>52</v>
      </c>
      <c r="AN3510" t="s">
        <v>53</v>
      </c>
    </row>
    <row r="3511" spans="1:40">
      <c r="A3511" t="s">
        <v>8081</v>
      </c>
      <c r="B3511" t="s">
        <v>11060</v>
      </c>
      <c r="C3511" t="s">
        <v>11065</v>
      </c>
      <c r="D3511" t="s">
        <v>52</v>
      </c>
      <c r="E3511" t="s">
        <v>11066</v>
      </c>
      <c r="F3511" t="s">
        <v>45</v>
      </c>
      <c r="G3511" t="str">
        <f>HYPERLINK("https://twitter.com/113805063/status/1142833584568459264")</f>
        <v>https://twitter.com/113805063/status/1142833584568459264</v>
      </c>
      <c r="H3511" t="s">
        <v>46</v>
      </c>
      <c r="I3511" t="s">
        <v>11067</v>
      </c>
      <c r="J3511" t="str">
        <f>HYPERLINK("http://twitter.com/safalucian")</f>
        <v>http://twitter.com/safalucian</v>
      </c>
      <c r="K3511">
        <v>5493</v>
      </c>
      <c r="N3511" t="s">
        <v>65</v>
      </c>
      <c r="R3511" t="s">
        <v>60</v>
      </c>
      <c r="S3511" t="s">
        <v>11068</v>
      </c>
      <c r="T3511" t="s">
        <v>11069</v>
      </c>
      <c r="U3511" t="s">
        <v>11070</v>
      </c>
      <c r="W3511">
        <v>0</v>
      </c>
      <c r="X3511">
        <v>0</v>
      </c>
      <c r="AE3511">
        <v>0</v>
      </c>
      <c r="AF3511">
        <v>0</v>
      </c>
      <c r="AM3511" t="s">
        <v>52</v>
      </c>
      <c r="AN3511" t="s">
        <v>53</v>
      </c>
    </row>
    <row r="3512" spans="1:40">
      <c r="A3512" t="s">
        <v>8081</v>
      </c>
      <c r="B3512" t="s">
        <v>11071</v>
      </c>
      <c r="C3512" t="s">
        <v>11072</v>
      </c>
      <c r="D3512" t="s">
        <v>52</v>
      </c>
      <c r="E3512" t="s">
        <v>8599</v>
      </c>
      <c r="F3512" t="s">
        <v>131</v>
      </c>
      <c r="G3512" t="str">
        <f>HYPERLINK("https://twitter.com/15675168/status/1142833291365691394")</f>
        <v>https://twitter.com/15675168/status/1142833291365691394</v>
      </c>
      <c r="H3512" t="s">
        <v>46</v>
      </c>
      <c r="I3512" t="s">
        <v>11073</v>
      </c>
      <c r="J3512" t="str">
        <f>HYPERLINK("http://twitter.com/pyromanfo")</f>
        <v>http://twitter.com/pyromanfo</v>
      </c>
      <c r="K3512">
        <v>1043</v>
      </c>
      <c r="N3512" t="s">
        <v>65</v>
      </c>
      <c r="R3512" t="s">
        <v>60</v>
      </c>
      <c r="S3512" t="s">
        <v>51</v>
      </c>
      <c r="T3512" t="s">
        <v>3312</v>
      </c>
      <c r="U3512" t="s">
        <v>11074</v>
      </c>
      <c r="W3512">
        <v>0</v>
      </c>
      <c r="X3512">
        <v>0</v>
      </c>
      <c r="AE3512">
        <v>0</v>
      </c>
      <c r="AM3512" t="s">
        <v>52</v>
      </c>
      <c r="AN3512" t="s">
        <v>53</v>
      </c>
    </row>
    <row r="3513" spans="1:40">
      <c r="A3513" t="s">
        <v>8081</v>
      </c>
      <c r="B3513" t="s">
        <v>11071</v>
      </c>
      <c r="C3513" t="s">
        <v>11072</v>
      </c>
      <c r="D3513" t="s">
        <v>52</v>
      </c>
      <c r="E3513" t="s">
        <v>8599</v>
      </c>
      <c r="F3513" t="s">
        <v>131</v>
      </c>
      <c r="G3513" t="str">
        <f>HYPERLINK("https://twitter.com/3180194605/status/1142833281022472196")</f>
        <v>https://twitter.com/3180194605/status/1142833281022472196</v>
      </c>
      <c r="H3513" t="s">
        <v>46</v>
      </c>
      <c r="I3513" t="s">
        <v>11075</v>
      </c>
      <c r="J3513" t="str">
        <f>HYPERLINK("http://twitter.com/FredHesser")</f>
        <v>http://twitter.com/FredHesser</v>
      </c>
      <c r="K3513">
        <v>32</v>
      </c>
      <c r="N3513" t="s">
        <v>65</v>
      </c>
      <c r="R3513" t="s">
        <v>60</v>
      </c>
      <c r="W3513">
        <v>0</v>
      </c>
      <c r="X3513">
        <v>0</v>
      </c>
      <c r="AE3513">
        <v>0</v>
      </c>
      <c r="AM3513" t="s">
        <v>52</v>
      </c>
      <c r="AN3513" t="s">
        <v>53</v>
      </c>
    </row>
    <row r="3514" spans="1:40">
      <c r="A3514" t="s">
        <v>8081</v>
      </c>
      <c r="B3514" t="s">
        <v>11076</v>
      </c>
      <c r="C3514" t="s">
        <v>11054</v>
      </c>
      <c r="D3514" t="s">
        <v>11077</v>
      </c>
      <c r="E3514" t="s">
        <v>11078</v>
      </c>
      <c r="F3514" t="s">
        <v>45</v>
      </c>
      <c r="G3514" t="str">
        <f>HYPERLINK("https://www.youtube.com/watch?v=tsX-43K4LdA")</f>
        <v>https://www.youtube.com/watch?v=tsX-43K4LdA</v>
      </c>
      <c r="H3514" t="s">
        <v>46</v>
      </c>
      <c r="I3514" t="s">
        <v>11079</v>
      </c>
      <c r="J3514" t="str">
        <f>HYPERLINK("https://www.youtube.com/channel/UCIUy1zvLclh-okvfowXbp7g")</f>
        <v>https://www.youtube.com/channel/UCIUy1zvLclh-okvfowXbp7g</v>
      </c>
      <c r="K3514">
        <v>32</v>
      </c>
      <c r="N3514" t="s">
        <v>116</v>
      </c>
      <c r="O3514" t="s">
        <v>11079</v>
      </c>
      <c r="P3514" t="str">
        <f>HYPERLINK("https://www.youtube.com/channel/UCIUy1zvLclh-okvfowXbp7g")</f>
        <v>https://www.youtube.com/channel/UCIUy1zvLclh-okvfowXbp7g</v>
      </c>
      <c r="Q3514">
        <v>32</v>
      </c>
      <c r="R3514" t="s">
        <v>60</v>
      </c>
      <c r="W3514">
        <v>1</v>
      </c>
      <c r="X3514">
        <v>1</v>
      </c>
      <c r="AD3514">
        <v>0</v>
      </c>
      <c r="AE3514">
        <v>0</v>
      </c>
      <c r="AG3514">
        <v>11</v>
      </c>
      <c r="AI3514" t="s">
        <v>52</v>
      </c>
      <c r="AJ3514" t="s">
        <v>52</v>
      </c>
      <c r="AK3514" t="s">
        <v>52</v>
      </c>
      <c r="AL3514" t="str">
        <f>HYPERLINK("https://i.ytimg.com/vi/tsX-43K4LdA/maxresdefault.jpg")</f>
        <v>https://i.ytimg.com/vi/tsX-43K4LdA/maxresdefault.jpg</v>
      </c>
      <c r="AM3514" t="s">
        <v>52</v>
      </c>
      <c r="AN3514" t="s">
        <v>53</v>
      </c>
    </row>
    <row r="3515" spans="1:40">
      <c r="A3515" t="s">
        <v>8081</v>
      </c>
      <c r="B3515" t="s">
        <v>11080</v>
      </c>
      <c r="C3515" t="s">
        <v>8878</v>
      </c>
      <c r="D3515" t="s">
        <v>52</v>
      </c>
      <c r="E3515" t="s">
        <v>11081</v>
      </c>
      <c r="F3515" t="s">
        <v>45</v>
      </c>
      <c r="G3515" t="str">
        <f>HYPERLINK("https://www.instagram.com/p/BzDyDZkHVMr")</f>
        <v>https://www.instagram.com/p/BzDyDZkHVMr</v>
      </c>
      <c r="H3515" t="s">
        <v>46</v>
      </c>
      <c r="I3515" t="s">
        <v>11082</v>
      </c>
      <c r="J3515" t="str">
        <f>HYPERLINK("http://instagram.com/just_threads_and_niche")</f>
        <v>http://instagram.com/just_threads_and_niche</v>
      </c>
      <c r="K3515">
        <v>1533</v>
      </c>
      <c r="N3515" t="s">
        <v>59</v>
      </c>
      <c r="O3515" t="s">
        <v>11082</v>
      </c>
      <c r="P3515" t="str">
        <f>HYPERLINK("http://instagram.com/just_threads_and_niche")</f>
        <v>http://instagram.com/just_threads_and_niche</v>
      </c>
      <c r="Q3515">
        <v>1533</v>
      </c>
      <c r="R3515" t="s">
        <v>60</v>
      </c>
      <c r="W3515">
        <v>89</v>
      </c>
      <c r="X3515">
        <v>89</v>
      </c>
      <c r="AE3515">
        <v>15</v>
      </c>
      <c r="AI3515" t="s">
        <v>108</v>
      </c>
      <c r="AJ3515" t="s">
        <v>659</v>
      </c>
      <c r="AK3515" t="s">
        <v>52</v>
      </c>
      <c r="AL3515" t="str">
        <f>HYPERLINK("https://www.instagram.com/p/BzDyDZkHVMr/media/?size=l")</f>
        <v>https://www.instagram.com/p/BzDyDZkHVMr/media/?size=l</v>
      </c>
      <c r="AM3515" t="s">
        <v>52</v>
      </c>
      <c r="AN3515" t="s">
        <v>53</v>
      </c>
    </row>
    <row r="3516" spans="1:40">
      <c r="A3516" t="s">
        <v>8081</v>
      </c>
      <c r="B3516" t="s">
        <v>5627</v>
      </c>
      <c r="C3516" t="s">
        <v>11014</v>
      </c>
      <c r="D3516" t="s">
        <v>52</v>
      </c>
      <c r="E3516" t="s">
        <v>11083</v>
      </c>
      <c r="F3516" t="s">
        <v>45</v>
      </c>
      <c r="G3516" t="str">
        <f>HYPERLINK("https://www.instagram.com/p/BzDx8YEFlrB")</f>
        <v>https://www.instagram.com/p/BzDx8YEFlrB</v>
      </c>
      <c r="H3516" t="s">
        <v>46</v>
      </c>
      <c r="I3516" t="s">
        <v>11084</v>
      </c>
      <c r="J3516" t="str">
        <f>HYPERLINK("http://instagram.com/maxime__leon")</f>
        <v>http://instagram.com/maxime__leon</v>
      </c>
      <c r="K3516">
        <v>207</v>
      </c>
      <c r="N3516" t="s">
        <v>59</v>
      </c>
      <c r="O3516" t="s">
        <v>11084</v>
      </c>
      <c r="P3516" t="str">
        <f>HYPERLINK("http://instagram.com/maxime__leon")</f>
        <v>http://instagram.com/maxime__leon</v>
      </c>
      <c r="Q3516">
        <v>207</v>
      </c>
      <c r="R3516" t="s">
        <v>60</v>
      </c>
      <c r="S3516" t="s">
        <v>142</v>
      </c>
      <c r="T3516" t="s">
        <v>11085</v>
      </c>
      <c r="U3516" t="s">
        <v>11086</v>
      </c>
      <c r="W3516">
        <v>42</v>
      </c>
      <c r="X3516">
        <v>42</v>
      </c>
      <c r="AE3516">
        <v>0</v>
      </c>
      <c r="AI3516" t="s">
        <v>52</v>
      </c>
      <c r="AJ3516" t="s">
        <v>52</v>
      </c>
      <c r="AK3516" t="s">
        <v>3901</v>
      </c>
      <c r="AL3516" t="str">
        <f>HYPERLINK("https://www.instagram.com/p/BzDx8YEFlrB/media/?size=l")</f>
        <v>https://www.instagram.com/p/BzDx8YEFlrB/media/?size=l</v>
      </c>
      <c r="AM3516" t="s">
        <v>52</v>
      </c>
      <c r="AN3516" t="s">
        <v>53</v>
      </c>
    </row>
    <row r="3517" spans="1:40">
      <c r="A3517" t="s">
        <v>8081</v>
      </c>
      <c r="B3517" t="s">
        <v>5627</v>
      </c>
      <c r="C3517" t="s">
        <v>8961</v>
      </c>
      <c r="D3517" t="s">
        <v>52</v>
      </c>
      <c r="E3517" t="s">
        <v>11087</v>
      </c>
      <c r="F3517" t="s">
        <v>45</v>
      </c>
      <c r="G3517" t="str">
        <f>HYPERLINK("https://www.instagram.com/p/BzDx5UoAJFf")</f>
        <v>https://www.instagram.com/p/BzDx5UoAJFf</v>
      </c>
      <c r="H3517" t="s">
        <v>46</v>
      </c>
      <c r="I3517" t="s">
        <v>52</v>
      </c>
      <c r="J3517" t="str">
        <f>HYPERLINK("http://instagram.com/bestfilms_here")</f>
        <v>http://instagram.com/bestfilms_here</v>
      </c>
      <c r="K3517">
        <v>485</v>
      </c>
      <c r="N3517" t="s">
        <v>59</v>
      </c>
      <c r="O3517" t="s">
        <v>52</v>
      </c>
      <c r="P3517" t="str">
        <f>HYPERLINK("http://instagram.com/bestfilms_here")</f>
        <v>http://instagram.com/bestfilms_here</v>
      </c>
      <c r="Q3517">
        <v>485</v>
      </c>
      <c r="R3517" t="s">
        <v>60</v>
      </c>
      <c r="W3517">
        <v>39</v>
      </c>
      <c r="X3517">
        <v>39</v>
      </c>
      <c r="AE3517">
        <v>2</v>
      </c>
      <c r="AI3517" t="s">
        <v>108</v>
      </c>
      <c r="AJ3517" t="s">
        <v>703</v>
      </c>
      <c r="AK3517" t="s">
        <v>52</v>
      </c>
      <c r="AL3517" t="str">
        <f>HYPERLINK("https://www.instagram.com/p/BzDx5UoAJFf/media/?size=l")</f>
        <v>https://www.instagram.com/p/BzDx5UoAJFf/media/?size=l</v>
      </c>
      <c r="AM3517" t="s">
        <v>52</v>
      </c>
      <c r="AN3517" t="s">
        <v>53</v>
      </c>
    </row>
    <row r="3518" spans="1:40">
      <c r="A3518" t="s">
        <v>8081</v>
      </c>
      <c r="B3518" t="s">
        <v>5630</v>
      </c>
      <c r="C3518" t="s">
        <v>9039</v>
      </c>
      <c r="D3518" t="s">
        <v>11088</v>
      </c>
      <c r="E3518" t="s">
        <v>11089</v>
      </c>
      <c r="F3518" t="s">
        <v>45</v>
      </c>
      <c r="G3518" t="str">
        <f>HYPERLINK("http://www.scandinavianhomestaging.com/mountain-dew-machine.html")</f>
        <v>http://www.scandinavianhomestaging.com/mountain-dew-machine.html</v>
      </c>
      <c r="H3518" t="s">
        <v>46</v>
      </c>
      <c r="N3518" t="s">
        <v>7165</v>
      </c>
      <c r="R3518" t="s">
        <v>50</v>
      </c>
      <c r="S3518" t="s">
        <v>51</v>
      </c>
      <c r="AM3518" t="s">
        <v>52</v>
      </c>
      <c r="AN3518" t="s">
        <v>53</v>
      </c>
    </row>
    <row r="3519" spans="1:40">
      <c r="A3519" t="s">
        <v>8081</v>
      </c>
      <c r="B3519" t="s">
        <v>5630</v>
      </c>
      <c r="C3519" t="s">
        <v>11090</v>
      </c>
      <c r="D3519" t="s">
        <v>52</v>
      </c>
      <c r="E3519" t="s">
        <v>11091</v>
      </c>
      <c r="F3519" t="s">
        <v>45</v>
      </c>
      <c r="G3519" t="str">
        <f>HYPERLINK("https://twitter.com/1129424124865069056/status/1142831934336307201")</f>
        <v>https://twitter.com/1129424124865069056/status/1142831934336307201</v>
      </c>
      <c r="H3519" t="s">
        <v>46</v>
      </c>
      <c r="I3519" t="s">
        <v>11092</v>
      </c>
      <c r="J3519" t="str">
        <f>HYPERLINK("http://twitter.com/woahitshercules")</f>
        <v>http://twitter.com/woahitshercules</v>
      </c>
      <c r="K3519">
        <v>151</v>
      </c>
      <c r="N3519" t="s">
        <v>65</v>
      </c>
      <c r="R3519" t="s">
        <v>60</v>
      </c>
      <c r="S3519" t="s">
        <v>4276</v>
      </c>
      <c r="T3519" t="s">
        <v>11093</v>
      </c>
      <c r="U3519" t="s">
        <v>11094</v>
      </c>
      <c r="W3519">
        <v>1</v>
      </c>
      <c r="X3519">
        <v>1</v>
      </c>
      <c r="AE3519">
        <v>9</v>
      </c>
      <c r="AF3519">
        <v>0</v>
      </c>
      <c r="AM3519" t="s">
        <v>52</v>
      </c>
      <c r="AN3519" t="s">
        <v>53</v>
      </c>
    </row>
    <row r="3520" spans="1:40">
      <c r="A3520" t="s">
        <v>8081</v>
      </c>
      <c r="B3520" t="s">
        <v>5636</v>
      </c>
      <c r="C3520" t="s">
        <v>11095</v>
      </c>
      <c r="D3520" t="s">
        <v>52</v>
      </c>
      <c r="E3520" t="s">
        <v>11096</v>
      </c>
      <c r="F3520" t="s">
        <v>45</v>
      </c>
      <c r="G3520" t="str">
        <f>HYPERLINK("https://www.instagram.com/p/BzDxnFjAsvS")</f>
        <v>https://www.instagram.com/p/BzDxnFjAsvS</v>
      </c>
      <c r="H3520" t="s">
        <v>46</v>
      </c>
      <c r="I3520" t="s">
        <v>11097</v>
      </c>
      <c r="J3520" t="str">
        <f>HYPERLINK("http://instagram.com/1coinonly")</f>
        <v>http://instagram.com/1coinonly</v>
      </c>
      <c r="K3520">
        <v>569</v>
      </c>
      <c r="N3520" t="s">
        <v>59</v>
      </c>
      <c r="O3520" t="s">
        <v>11097</v>
      </c>
      <c r="P3520" t="str">
        <f>HYPERLINK("http://instagram.com/1coinonly")</f>
        <v>http://instagram.com/1coinonly</v>
      </c>
      <c r="Q3520">
        <v>569</v>
      </c>
      <c r="R3520" t="s">
        <v>60</v>
      </c>
      <c r="W3520">
        <v>28</v>
      </c>
      <c r="X3520">
        <v>28</v>
      </c>
      <c r="AE3520">
        <v>0</v>
      </c>
      <c r="AI3520" t="s">
        <v>52</v>
      </c>
      <c r="AJ3520" t="s">
        <v>11098</v>
      </c>
      <c r="AK3520" t="s">
        <v>52</v>
      </c>
      <c r="AL3520" t="str">
        <f>HYPERLINK("https://www.instagram.com/p/BzDxnFjAsvS/media/?size=l")</f>
        <v>https://www.instagram.com/p/BzDxnFjAsvS/media/?size=l</v>
      </c>
      <c r="AM3520" t="s">
        <v>52</v>
      </c>
      <c r="AN3520" t="s">
        <v>53</v>
      </c>
    </row>
    <row r="3521" spans="1:40">
      <c r="A3521" t="s">
        <v>8081</v>
      </c>
      <c r="B3521" t="s">
        <v>5640</v>
      </c>
      <c r="C3521" t="s">
        <v>11099</v>
      </c>
      <c r="D3521" t="s">
        <v>52</v>
      </c>
      <c r="E3521" t="s">
        <v>11100</v>
      </c>
      <c r="F3521" t="s">
        <v>131</v>
      </c>
      <c r="G3521" t="str">
        <f>HYPERLINK("https://twitter.com/469713005/status/1142831646808399873")</f>
        <v>https://twitter.com/469713005/status/1142831646808399873</v>
      </c>
      <c r="H3521" t="s">
        <v>215</v>
      </c>
      <c r="I3521" t="s">
        <v>11101</v>
      </c>
      <c r="J3521" t="str">
        <f>HYPERLINK("http://twitter.com/Ur_gal_zee")</f>
        <v>http://twitter.com/Ur_gal_zee</v>
      </c>
      <c r="K3521">
        <v>4308</v>
      </c>
      <c r="N3521" t="s">
        <v>65</v>
      </c>
      <c r="R3521" t="s">
        <v>60</v>
      </c>
      <c r="S3521" t="s">
        <v>11102</v>
      </c>
      <c r="W3521">
        <v>0</v>
      </c>
      <c r="X3521">
        <v>0</v>
      </c>
      <c r="AE3521">
        <v>0</v>
      </c>
      <c r="AM3521" t="s">
        <v>52</v>
      </c>
      <c r="AN3521" t="s">
        <v>53</v>
      </c>
    </row>
    <row r="3522" spans="1:40">
      <c r="A3522" t="s">
        <v>8081</v>
      </c>
      <c r="B3522" t="s">
        <v>5640</v>
      </c>
      <c r="C3522" t="s">
        <v>11103</v>
      </c>
      <c r="D3522" t="s">
        <v>52</v>
      </c>
      <c r="E3522" t="s">
        <v>8599</v>
      </c>
      <c r="F3522" t="s">
        <v>131</v>
      </c>
      <c r="G3522" t="str">
        <f>HYPERLINK("https://twitter.com/2696722646/status/1142831546623246337")</f>
        <v>https://twitter.com/2696722646/status/1142831546623246337</v>
      </c>
      <c r="H3522" t="s">
        <v>46</v>
      </c>
      <c r="I3522" t="s">
        <v>11104</v>
      </c>
      <c r="J3522" t="str">
        <f>HYPERLINK("http://twitter.com/PearlRiverFlow")</f>
        <v>http://twitter.com/PearlRiverFlow</v>
      </c>
      <c r="K3522">
        <v>1164</v>
      </c>
      <c r="N3522" t="s">
        <v>65</v>
      </c>
      <c r="R3522" t="s">
        <v>60</v>
      </c>
      <c r="S3522" t="s">
        <v>51</v>
      </c>
      <c r="T3522" t="s">
        <v>383</v>
      </c>
      <c r="U3522" t="s">
        <v>9030</v>
      </c>
      <c r="W3522">
        <v>0</v>
      </c>
      <c r="X3522">
        <v>0</v>
      </c>
      <c r="AE3522">
        <v>0</v>
      </c>
      <c r="AM3522" t="s">
        <v>52</v>
      </c>
      <c r="AN3522" t="s">
        <v>53</v>
      </c>
    </row>
    <row r="3523" spans="1:40">
      <c r="A3523" t="s">
        <v>8081</v>
      </c>
      <c r="B3523" t="s">
        <v>5640</v>
      </c>
      <c r="C3523" t="s">
        <v>11103</v>
      </c>
      <c r="D3523" t="s">
        <v>52</v>
      </c>
      <c r="E3523" t="s">
        <v>11105</v>
      </c>
      <c r="F3523" t="s">
        <v>45</v>
      </c>
      <c r="G3523" t="str">
        <f>HYPERLINK("https://www.instagram.com/p/BzDxeLZgxDX")</f>
        <v>https://www.instagram.com/p/BzDxeLZgxDX</v>
      </c>
      <c r="H3523" t="s">
        <v>46</v>
      </c>
      <c r="I3523" t="s">
        <v>11106</v>
      </c>
      <c r="J3523" t="str">
        <f>HYPERLINK("http://instagram.com/wren_the_human")</f>
        <v>http://instagram.com/wren_the_human</v>
      </c>
      <c r="K3523">
        <v>298</v>
      </c>
      <c r="L3523" t="s">
        <v>48</v>
      </c>
      <c r="N3523" t="s">
        <v>59</v>
      </c>
      <c r="O3523" t="s">
        <v>11106</v>
      </c>
      <c r="P3523" t="str">
        <f>HYPERLINK("http://instagram.com/wren_the_human")</f>
        <v>http://instagram.com/wren_the_human</v>
      </c>
      <c r="Q3523">
        <v>298</v>
      </c>
      <c r="R3523" t="s">
        <v>60</v>
      </c>
      <c r="W3523">
        <v>21</v>
      </c>
      <c r="X3523">
        <v>21</v>
      </c>
      <c r="AE3523">
        <v>2</v>
      </c>
      <c r="AI3523" t="s">
        <v>52</v>
      </c>
      <c r="AJ3523" t="s">
        <v>11107</v>
      </c>
      <c r="AK3523" t="s">
        <v>52</v>
      </c>
      <c r="AL3523" t="str">
        <f>HYPERLINK("https://www.instagram.com/p/BzDxeLZgxDX/media/?size=l")</f>
        <v>https://www.instagram.com/p/BzDxeLZgxDX/media/?size=l</v>
      </c>
      <c r="AM3523" t="s">
        <v>52</v>
      </c>
      <c r="AN3523" t="s">
        <v>53</v>
      </c>
    </row>
    <row r="3524" spans="1:40">
      <c r="A3524" t="s">
        <v>8081</v>
      </c>
      <c r="B3524" t="s">
        <v>5640</v>
      </c>
      <c r="C3524" t="s">
        <v>11108</v>
      </c>
      <c r="D3524" t="s">
        <v>52</v>
      </c>
      <c r="E3524" t="s">
        <v>3749</v>
      </c>
      <c r="F3524" t="s">
        <v>71</v>
      </c>
      <c r="G3524" t="str">
        <f>HYPERLINK("https://twitter.com/718386596362461184/status/1142831501723275264")</f>
        <v>https://twitter.com/718386596362461184/status/1142831501723275264</v>
      </c>
      <c r="H3524" t="s">
        <v>46</v>
      </c>
      <c r="I3524" t="s">
        <v>11109</v>
      </c>
      <c r="J3524" t="str">
        <f>HYPERLINK("http://twitter.com/TumoMoh")</f>
        <v>http://twitter.com/TumoMoh</v>
      </c>
      <c r="K3524">
        <v>343</v>
      </c>
      <c r="N3524" t="s">
        <v>65</v>
      </c>
      <c r="R3524" t="s">
        <v>60</v>
      </c>
      <c r="S3524" t="s">
        <v>9305</v>
      </c>
      <c r="U3524" t="s">
        <v>11110</v>
      </c>
      <c r="W3524">
        <v>0</v>
      </c>
      <c r="X3524">
        <v>0</v>
      </c>
      <c r="AE3524">
        <v>0</v>
      </c>
      <c r="AF3524">
        <v>0</v>
      </c>
      <c r="AI3524" t="s">
        <v>108</v>
      </c>
      <c r="AJ3524" t="s">
        <v>52</v>
      </c>
      <c r="AK3524" t="s">
        <v>52</v>
      </c>
      <c r="AL3524" t="str">
        <f>HYPERLINK("https://pbs.twimg.com/media/D9sAXHUX4AA6vJs.jpg")</f>
        <v>https://pbs.twimg.com/media/D9sAXHUX4AA6vJs.jpg</v>
      </c>
      <c r="AM3524" t="s">
        <v>52</v>
      </c>
      <c r="AN3524" t="s">
        <v>53</v>
      </c>
    </row>
    <row r="3525" spans="1:40">
      <c r="A3525" t="s">
        <v>8081</v>
      </c>
      <c r="B3525" t="s">
        <v>5640</v>
      </c>
      <c r="C3525" t="s">
        <v>11108</v>
      </c>
      <c r="D3525" t="s">
        <v>52</v>
      </c>
      <c r="E3525" t="s">
        <v>7118</v>
      </c>
      <c r="F3525" t="s">
        <v>71</v>
      </c>
      <c r="G3525" t="str">
        <f>HYPERLINK("https://twitter.com/1209219685/status/1142831464851156996")</f>
        <v>https://twitter.com/1209219685/status/1142831464851156996</v>
      </c>
      <c r="H3525" t="s">
        <v>46</v>
      </c>
      <c r="I3525" t="s">
        <v>11111</v>
      </c>
      <c r="J3525" t="str">
        <f>HYPERLINK("http://twitter.com/ssakxophone")</f>
        <v>http://twitter.com/ssakxophone</v>
      </c>
      <c r="K3525">
        <v>1420</v>
      </c>
      <c r="N3525" t="s">
        <v>65</v>
      </c>
      <c r="R3525" t="s">
        <v>60</v>
      </c>
      <c r="W3525">
        <v>0</v>
      </c>
      <c r="X3525">
        <v>0</v>
      </c>
      <c r="AE3525">
        <v>0</v>
      </c>
      <c r="AF3525">
        <v>0</v>
      </c>
      <c r="AI3525" t="s">
        <v>108</v>
      </c>
      <c r="AJ3525" t="s">
        <v>52</v>
      </c>
      <c r="AK3525" t="s">
        <v>52</v>
      </c>
      <c r="AL3525" t="str">
        <f>HYPERLINK("https://pbs.twimg.com/media/D9sAXHUX4AA6vJs.jpg")</f>
        <v>https://pbs.twimg.com/media/D9sAXHUX4AA6vJs.jpg</v>
      </c>
      <c r="AM3525" t="s">
        <v>52</v>
      </c>
      <c r="AN3525" t="s">
        <v>53</v>
      </c>
    </row>
    <row r="3526" spans="1:40">
      <c r="A3526" t="s">
        <v>8081</v>
      </c>
      <c r="B3526" t="s">
        <v>5640</v>
      </c>
      <c r="C3526" t="s">
        <v>11112</v>
      </c>
      <c r="D3526" t="s">
        <v>11113</v>
      </c>
      <c r="E3526" t="s">
        <v>11114</v>
      </c>
      <c r="F3526" t="s">
        <v>45</v>
      </c>
      <c r="G3526" t="str">
        <f>HYPERLINK("https://www.newspostdaily.com/esports-player-ninja-fails-to-qualify-for-fortnite-world-cup-cnet")</f>
        <v>https://www.newspostdaily.com/esports-player-ninja-fails-to-qualify-for-fortnite-world-cup-cnet</v>
      </c>
      <c r="H3526" t="s">
        <v>46</v>
      </c>
      <c r="I3526" t="s">
        <v>11115</v>
      </c>
      <c r="J3526" t="str">
        <f>HYPERLINK("https://www.newspostdaily.com/esports-player-ninja-fails-to-qualify-for-fortnite-world-cup-cnet/")</f>
        <v>https://www.newspostdaily.com/esports-player-ninja-fails-to-qualify-for-fortnite-world-cup-cnet/</v>
      </c>
      <c r="N3526" t="s">
        <v>11116</v>
      </c>
      <c r="R3526" t="s">
        <v>357</v>
      </c>
      <c r="S3526" t="s">
        <v>387</v>
      </c>
      <c r="AM3526" t="s">
        <v>52</v>
      </c>
      <c r="AN3526" t="s">
        <v>53</v>
      </c>
    </row>
    <row r="3527" spans="1:40">
      <c r="A3527" t="s">
        <v>8081</v>
      </c>
      <c r="B3527" t="s">
        <v>5640</v>
      </c>
      <c r="C3527" t="s">
        <v>11099</v>
      </c>
      <c r="D3527" t="s">
        <v>52</v>
      </c>
      <c r="E3527" t="s">
        <v>8599</v>
      </c>
      <c r="F3527" t="s">
        <v>45</v>
      </c>
      <c r="G3527" t="str">
        <f>HYPERLINK("https://twitter.com/483521999/status/1142831429526540294")</f>
        <v>https://twitter.com/483521999/status/1142831429526540294</v>
      </c>
      <c r="H3527" t="s">
        <v>46</v>
      </c>
      <c r="I3527" t="s">
        <v>11117</v>
      </c>
      <c r="J3527" t="str">
        <f>HYPERLINK("http://twitter.com/thenib")</f>
        <v>http://twitter.com/thenib</v>
      </c>
      <c r="K3527">
        <v>54557</v>
      </c>
      <c r="N3527" t="s">
        <v>65</v>
      </c>
      <c r="R3527" t="s">
        <v>60</v>
      </c>
      <c r="W3527">
        <v>63</v>
      </c>
      <c r="X3527">
        <v>63</v>
      </c>
      <c r="AE3527">
        <v>0</v>
      </c>
      <c r="AF3527">
        <v>27</v>
      </c>
      <c r="AM3527" t="s">
        <v>52</v>
      </c>
      <c r="AN3527" t="s">
        <v>53</v>
      </c>
    </row>
    <row r="3528" spans="1:40">
      <c r="A3528" t="s">
        <v>8081</v>
      </c>
      <c r="B3528" t="s">
        <v>11118</v>
      </c>
      <c r="C3528" t="s">
        <v>11090</v>
      </c>
      <c r="D3528" t="s">
        <v>52</v>
      </c>
      <c r="E3528" t="s">
        <v>11119</v>
      </c>
      <c r="F3528" t="s">
        <v>95</v>
      </c>
      <c r="G3528" t="str">
        <f>HYPERLINK("https://twitter.com/60415865/status/1142831402121072641")</f>
        <v>https://twitter.com/60415865/status/1142831402121072641</v>
      </c>
      <c r="H3528" t="s">
        <v>46</v>
      </c>
      <c r="I3528" t="s">
        <v>11120</v>
      </c>
      <c r="J3528" t="str">
        <f>HYPERLINK("http://twitter.com/Shaydieblue")</f>
        <v>http://twitter.com/Shaydieblue</v>
      </c>
      <c r="K3528">
        <v>859</v>
      </c>
      <c r="N3528" t="s">
        <v>65</v>
      </c>
      <c r="R3528" t="s">
        <v>60</v>
      </c>
      <c r="S3528" t="s">
        <v>51</v>
      </c>
      <c r="T3528" t="s">
        <v>1785</v>
      </c>
      <c r="U3528" t="s">
        <v>1786</v>
      </c>
      <c r="W3528">
        <v>0</v>
      </c>
      <c r="X3528">
        <v>0</v>
      </c>
      <c r="AE3528">
        <v>1</v>
      </c>
      <c r="AF3528">
        <v>0</v>
      </c>
      <c r="AM3528" t="s">
        <v>52</v>
      </c>
      <c r="AN3528" t="s">
        <v>53</v>
      </c>
    </row>
    <row r="3529" spans="1:40">
      <c r="A3529" t="s">
        <v>8081</v>
      </c>
      <c r="B3529" t="s">
        <v>11118</v>
      </c>
      <c r="C3529" t="s">
        <v>11090</v>
      </c>
      <c r="D3529" t="s">
        <v>52</v>
      </c>
      <c r="E3529" t="s">
        <v>3749</v>
      </c>
      <c r="F3529" t="s">
        <v>71</v>
      </c>
      <c r="G3529" t="str">
        <f>HYPERLINK("https://twitter.com/585436049/status/1142831377777332229")</f>
        <v>https://twitter.com/585436049/status/1142831377777332229</v>
      </c>
      <c r="H3529" t="s">
        <v>46</v>
      </c>
      <c r="I3529" t="s">
        <v>11121</v>
      </c>
      <c r="J3529" t="str">
        <f>HYPERLINK("http://twitter.com/Natedwardsss")</f>
        <v>http://twitter.com/Natedwardsss</v>
      </c>
      <c r="K3529">
        <v>830</v>
      </c>
      <c r="N3529" t="s">
        <v>65</v>
      </c>
      <c r="R3529" t="s">
        <v>60</v>
      </c>
      <c r="S3529" t="s">
        <v>51</v>
      </c>
      <c r="T3529" t="s">
        <v>199</v>
      </c>
      <c r="U3529" t="s">
        <v>245</v>
      </c>
      <c r="W3529">
        <v>0</v>
      </c>
      <c r="X3529">
        <v>0</v>
      </c>
      <c r="AE3529">
        <v>0</v>
      </c>
      <c r="AF3529">
        <v>0</v>
      </c>
      <c r="AI3529" t="s">
        <v>108</v>
      </c>
      <c r="AJ3529" t="s">
        <v>52</v>
      </c>
      <c r="AK3529" t="s">
        <v>52</v>
      </c>
      <c r="AL3529" t="str">
        <f>HYPERLINK("https://pbs.twimg.com/media/D9sAXHUX4AA6vJs.jpg")</f>
        <v>https://pbs.twimg.com/media/D9sAXHUX4AA6vJs.jpg</v>
      </c>
      <c r="AM3529" t="s">
        <v>52</v>
      </c>
      <c r="AN3529" t="s">
        <v>53</v>
      </c>
    </row>
    <row r="3530" spans="1:40">
      <c r="A3530" t="s">
        <v>8081</v>
      </c>
      <c r="B3530" t="s">
        <v>11118</v>
      </c>
      <c r="C3530" t="s">
        <v>11122</v>
      </c>
      <c r="D3530" t="s">
        <v>52</v>
      </c>
      <c r="E3530" t="s">
        <v>11123</v>
      </c>
      <c r="F3530" t="s">
        <v>71</v>
      </c>
      <c r="G3530" t="str">
        <f>HYPERLINK("https://twitter.com/491367891/status/1142831299058683904")</f>
        <v>https://twitter.com/491367891/status/1142831299058683904</v>
      </c>
      <c r="H3530" t="s">
        <v>46</v>
      </c>
      <c r="I3530" t="s">
        <v>11124</v>
      </c>
      <c r="J3530" t="str">
        <f>HYPERLINK("http://twitter.com/NotTendai")</f>
        <v>http://twitter.com/NotTendai</v>
      </c>
      <c r="K3530">
        <v>51816</v>
      </c>
      <c r="N3530" t="s">
        <v>65</v>
      </c>
      <c r="R3530" t="s">
        <v>60</v>
      </c>
      <c r="S3530" t="s">
        <v>1071</v>
      </c>
      <c r="T3530" t="s">
        <v>1072</v>
      </c>
      <c r="U3530" t="s">
        <v>1073</v>
      </c>
      <c r="W3530">
        <v>0</v>
      </c>
      <c r="X3530">
        <v>0</v>
      </c>
      <c r="AE3530">
        <v>0</v>
      </c>
      <c r="AF3530">
        <v>0</v>
      </c>
      <c r="AM3530" t="s">
        <v>52</v>
      </c>
      <c r="AN3530" t="s">
        <v>53</v>
      </c>
    </row>
    <row r="3531" spans="1:40">
      <c r="A3531" t="s">
        <v>8081</v>
      </c>
      <c r="B3531" t="s">
        <v>5645</v>
      </c>
      <c r="C3531" t="s">
        <v>8983</v>
      </c>
      <c r="D3531" t="s">
        <v>52</v>
      </c>
      <c r="E3531" t="s">
        <v>11125</v>
      </c>
      <c r="F3531" t="s">
        <v>45</v>
      </c>
      <c r="G3531" t="str">
        <f>HYPERLINK("https://www.instagram.com/p/BzDxQt2hsjY")</f>
        <v>https://www.instagram.com/p/BzDxQt2hsjY</v>
      </c>
      <c r="H3531" t="s">
        <v>46</v>
      </c>
      <c r="I3531" t="s">
        <v>11126</v>
      </c>
      <c r="J3531" t="str">
        <f>HYPERLINK("http://instagram.com/rakhi_panchariya")</f>
        <v>http://instagram.com/rakhi_panchariya</v>
      </c>
      <c r="K3531">
        <v>96</v>
      </c>
      <c r="N3531" t="s">
        <v>59</v>
      </c>
      <c r="O3531" t="s">
        <v>11126</v>
      </c>
      <c r="P3531" t="str">
        <f>HYPERLINK("http://instagram.com/rakhi_panchariya")</f>
        <v>http://instagram.com/rakhi_panchariya</v>
      </c>
      <c r="Q3531">
        <v>96</v>
      </c>
      <c r="R3531" t="s">
        <v>60</v>
      </c>
      <c r="S3531" t="s">
        <v>315</v>
      </c>
      <c r="T3531" t="s">
        <v>11127</v>
      </c>
      <c r="U3531" t="s">
        <v>11128</v>
      </c>
      <c r="W3531">
        <v>27</v>
      </c>
      <c r="X3531">
        <v>27</v>
      </c>
      <c r="AE3531">
        <v>2</v>
      </c>
      <c r="AI3531" t="s">
        <v>108</v>
      </c>
      <c r="AJ3531" t="s">
        <v>11129</v>
      </c>
      <c r="AK3531" t="s">
        <v>52</v>
      </c>
      <c r="AL3531" t="str">
        <f>HYPERLINK("https://www.instagram.com/p/BzDxQt2hsjY/media/?size=l")</f>
        <v>https://www.instagram.com/p/BzDxQt2hsjY/media/?size=l</v>
      </c>
      <c r="AM3531" t="s">
        <v>52</v>
      </c>
      <c r="AN3531" t="s">
        <v>53</v>
      </c>
    </row>
    <row r="3532" spans="1:40">
      <c r="A3532" t="s">
        <v>8081</v>
      </c>
      <c r="B3532" t="s">
        <v>5645</v>
      </c>
      <c r="C3532" t="s">
        <v>11122</v>
      </c>
      <c r="D3532" t="s">
        <v>52</v>
      </c>
      <c r="E3532" t="s">
        <v>11130</v>
      </c>
      <c r="F3532" t="s">
        <v>45</v>
      </c>
      <c r="G3532" t="str">
        <f>HYPERLINK("https://www.instagram.com/p/BzDxQs7hgCH")</f>
        <v>https://www.instagram.com/p/BzDxQs7hgCH</v>
      </c>
      <c r="H3532" t="s">
        <v>46</v>
      </c>
      <c r="I3532" t="s">
        <v>11131</v>
      </c>
      <c r="J3532" t="str">
        <f>HYPERLINK("http://instagram.com/yourdailygiveaway")</f>
        <v>http://instagram.com/yourdailygiveaway</v>
      </c>
      <c r="K3532">
        <v>1329</v>
      </c>
      <c r="N3532" t="s">
        <v>59</v>
      </c>
      <c r="O3532" t="s">
        <v>11131</v>
      </c>
      <c r="P3532" t="str">
        <f>HYPERLINK("http://instagram.com/yourdailygiveaway")</f>
        <v>http://instagram.com/yourdailygiveaway</v>
      </c>
      <c r="Q3532">
        <v>1329</v>
      </c>
      <c r="R3532" t="s">
        <v>60</v>
      </c>
      <c r="W3532">
        <v>32</v>
      </c>
      <c r="X3532">
        <v>32</v>
      </c>
      <c r="AE3532">
        <v>16</v>
      </c>
      <c r="AI3532" t="s">
        <v>5469</v>
      </c>
      <c r="AJ3532" t="s">
        <v>7754</v>
      </c>
      <c r="AK3532" t="s">
        <v>52</v>
      </c>
      <c r="AL3532" t="str">
        <f>HYPERLINK("https://www.instagram.com/p/BzDxQs7hgCH/media/?size=l")</f>
        <v>https://www.instagram.com/p/BzDxQs7hgCH/media/?size=l</v>
      </c>
      <c r="AM3532" t="s">
        <v>52</v>
      </c>
      <c r="AN3532" t="s">
        <v>53</v>
      </c>
    </row>
    <row r="3533" spans="1:40">
      <c r="A3533" t="s">
        <v>8081</v>
      </c>
      <c r="B3533" t="s">
        <v>5649</v>
      </c>
      <c r="C3533" t="s">
        <v>11132</v>
      </c>
      <c r="D3533" t="s">
        <v>52</v>
      </c>
      <c r="E3533" t="s">
        <v>11133</v>
      </c>
      <c r="F3533" t="s">
        <v>71</v>
      </c>
      <c r="G3533" t="str">
        <f>HYPERLINK("https://twitter.com/465114285/status/1142830813601570816")</f>
        <v>https://twitter.com/465114285/status/1142830813601570816</v>
      </c>
      <c r="H3533" t="s">
        <v>46</v>
      </c>
      <c r="I3533" t="s">
        <v>11134</v>
      </c>
      <c r="J3533" t="str">
        <f>HYPERLINK("http://twitter.com/BriiCzyhura")</f>
        <v>http://twitter.com/BriiCzyhura</v>
      </c>
      <c r="K3533">
        <v>465</v>
      </c>
      <c r="N3533" t="s">
        <v>65</v>
      </c>
      <c r="R3533" t="s">
        <v>60</v>
      </c>
      <c r="W3533">
        <v>4</v>
      </c>
      <c r="X3533">
        <v>4</v>
      </c>
      <c r="AE3533">
        <v>0</v>
      </c>
      <c r="AF3533">
        <v>0</v>
      </c>
      <c r="AM3533" t="s">
        <v>52</v>
      </c>
      <c r="AN3533" t="s">
        <v>53</v>
      </c>
    </row>
    <row r="3534" spans="1:40">
      <c r="A3534" t="s">
        <v>8081</v>
      </c>
      <c r="B3534" t="s">
        <v>54</v>
      </c>
      <c r="C3534" t="s">
        <v>11135</v>
      </c>
      <c r="D3534" t="s">
        <v>52</v>
      </c>
      <c r="E3534" t="s">
        <v>6280</v>
      </c>
      <c r="F3534" t="s">
        <v>71</v>
      </c>
      <c r="G3534" t="str">
        <f>HYPERLINK("https://twitter.com/2741919005/status/1142830369282113537")</f>
        <v>https://twitter.com/2741919005/status/1142830369282113537</v>
      </c>
      <c r="H3534" t="s">
        <v>46</v>
      </c>
      <c r="I3534" t="s">
        <v>11136</v>
      </c>
      <c r="J3534" t="str">
        <f>HYPERLINK("http://twitter.com/Namso_Booi")</f>
        <v>http://twitter.com/Namso_Booi</v>
      </c>
      <c r="K3534">
        <v>425</v>
      </c>
      <c r="N3534" t="s">
        <v>65</v>
      </c>
      <c r="R3534" t="s">
        <v>60</v>
      </c>
      <c r="S3534" t="s">
        <v>97</v>
      </c>
      <c r="T3534" t="s">
        <v>177</v>
      </c>
      <c r="U3534" t="s">
        <v>395</v>
      </c>
      <c r="W3534">
        <v>0</v>
      </c>
      <c r="X3534">
        <v>0</v>
      </c>
      <c r="AE3534">
        <v>0</v>
      </c>
      <c r="AF3534">
        <v>0</v>
      </c>
      <c r="AM3534" t="s">
        <v>52</v>
      </c>
      <c r="AN3534" t="s">
        <v>53</v>
      </c>
    </row>
    <row r="3535" spans="1:40">
      <c r="A3535" t="s">
        <v>8081</v>
      </c>
      <c r="B3535" t="s">
        <v>5666</v>
      </c>
      <c r="C3535" t="s">
        <v>11090</v>
      </c>
      <c r="D3535" t="s">
        <v>52</v>
      </c>
      <c r="E3535" t="s">
        <v>11137</v>
      </c>
      <c r="F3535" t="s">
        <v>45</v>
      </c>
      <c r="G3535" t="str">
        <f>HYPERLINK("https://www.instagram.com/p/BzDw0BTl46a")</f>
        <v>https://www.instagram.com/p/BzDw0BTl46a</v>
      </c>
      <c r="H3535" t="s">
        <v>46</v>
      </c>
      <c r="I3535" t="s">
        <v>11138</v>
      </c>
      <c r="J3535" t="str">
        <f>HYPERLINK("http://instagram.com/poletteholland1996")</f>
        <v>http://instagram.com/poletteholland1996</v>
      </c>
      <c r="K3535">
        <v>2894</v>
      </c>
      <c r="N3535" t="s">
        <v>59</v>
      </c>
      <c r="O3535" t="s">
        <v>11138</v>
      </c>
      <c r="P3535" t="str">
        <f>HYPERLINK("http://instagram.com/poletteholland1996")</f>
        <v>http://instagram.com/poletteholland1996</v>
      </c>
      <c r="Q3535">
        <v>2894</v>
      </c>
      <c r="R3535" t="s">
        <v>60</v>
      </c>
      <c r="W3535">
        <v>542</v>
      </c>
      <c r="X3535">
        <v>542</v>
      </c>
      <c r="AE3535">
        <v>13</v>
      </c>
      <c r="AI3535" t="s">
        <v>52</v>
      </c>
      <c r="AJ3535" t="s">
        <v>458</v>
      </c>
      <c r="AK3535" t="s">
        <v>52</v>
      </c>
      <c r="AL3535" t="str">
        <f>HYPERLINK("https://www.instagram.com/p/BzDw0BTl46a/media/?size=l")</f>
        <v>https://www.instagram.com/p/BzDw0BTl46a/media/?size=l</v>
      </c>
      <c r="AM3535" t="s">
        <v>52</v>
      </c>
      <c r="AN3535" t="s">
        <v>53</v>
      </c>
    </row>
    <row r="3536" spans="1:40">
      <c r="A3536" t="s">
        <v>8081</v>
      </c>
      <c r="B3536" t="s">
        <v>5666</v>
      </c>
      <c r="C3536" t="s">
        <v>11103</v>
      </c>
      <c r="D3536" t="s">
        <v>52</v>
      </c>
      <c r="E3536" t="s">
        <v>11139</v>
      </c>
      <c r="F3536" t="s">
        <v>95</v>
      </c>
      <c r="G3536" t="str">
        <f>HYPERLINK("https://twitter.com/3515708242/status/1142830064167530498")</f>
        <v>https://twitter.com/3515708242/status/1142830064167530498</v>
      </c>
      <c r="H3536" t="s">
        <v>46</v>
      </c>
      <c r="I3536" t="s">
        <v>11140</v>
      </c>
      <c r="J3536" t="str">
        <f>HYPERLINK("http://twitter.com/DanDuctTapeBall")</f>
        <v>http://twitter.com/DanDuctTapeBall</v>
      </c>
      <c r="K3536">
        <v>58</v>
      </c>
      <c r="N3536" t="s">
        <v>65</v>
      </c>
      <c r="R3536" t="s">
        <v>60</v>
      </c>
      <c r="S3536" t="s">
        <v>51</v>
      </c>
      <c r="T3536" t="s">
        <v>199</v>
      </c>
      <c r="W3536">
        <v>1</v>
      </c>
      <c r="X3536">
        <v>1</v>
      </c>
      <c r="AE3536">
        <v>0</v>
      </c>
      <c r="AF3536">
        <v>0</v>
      </c>
      <c r="AM3536" t="s">
        <v>52</v>
      </c>
      <c r="AN3536" t="s">
        <v>53</v>
      </c>
    </row>
    <row r="3537" spans="1:40">
      <c r="A3537" t="s">
        <v>8081</v>
      </c>
      <c r="B3537" t="s">
        <v>61</v>
      </c>
      <c r="C3537" t="s">
        <v>10324</v>
      </c>
      <c r="D3537" t="s">
        <v>52</v>
      </c>
      <c r="E3537" t="s">
        <v>11141</v>
      </c>
      <c r="F3537" t="s">
        <v>45</v>
      </c>
      <c r="G3537" t="str">
        <f>HYPERLINK("https://www.facebook.com/556831647720327/posts/2771542802915856")</f>
        <v>https://www.facebook.com/556831647720327/posts/2771542802915856</v>
      </c>
      <c r="H3537" t="s">
        <v>46</v>
      </c>
      <c r="I3537" t="s">
        <v>11117</v>
      </c>
      <c r="J3537" t="str">
        <f>HYPERLINK("https://www.facebook.com/556831647720327")</f>
        <v>https://www.facebook.com/556831647720327</v>
      </c>
      <c r="K3537">
        <v>613944</v>
      </c>
      <c r="L3537" t="s">
        <v>651</v>
      </c>
      <c r="N3537" t="s">
        <v>1792</v>
      </c>
      <c r="O3537" t="s">
        <v>11117</v>
      </c>
      <c r="P3537" t="str">
        <f>HYPERLINK("https://www.facebook.com/556831647720327")</f>
        <v>https://www.facebook.com/556831647720327</v>
      </c>
      <c r="Q3537">
        <v>613944</v>
      </c>
      <c r="R3537" t="s">
        <v>60</v>
      </c>
      <c r="W3537">
        <v>255</v>
      </c>
      <c r="X3537">
        <v>227</v>
      </c>
      <c r="Y3537">
        <v>14</v>
      </c>
      <c r="Z3537">
        <v>13</v>
      </c>
      <c r="AA3537">
        <v>0</v>
      </c>
      <c r="AB3537">
        <v>0</v>
      </c>
      <c r="AC3537">
        <v>1</v>
      </c>
      <c r="AE3537">
        <v>10</v>
      </c>
      <c r="AF3537">
        <v>85</v>
      </c>
      <c r="AI3537" t="s">
        <v>52</v>
      </c>
      <c r="AJ3537" t="s">
        <v>52</v>
      </c>
      <c r="AK3537" t="s">
        <v>52</v>
      </c>
      <c r="AL3537" t="str">
        <f>HYPERLINK("https://thenib.imgix.net/usq/3f4451b4-182e-4875-b0e1-3ad1186260bc/things-that-have-been-around-longer-than-ice-tout-17f.jpeg?auto=compress,format&amp;cs=srgb&amp;h=628&amp;w=1200&amp;fit=crop&amp;crop=faces%2Cedges&amp;_=17f3cfc7d23b226ee38366c5b35d27a6")</f>
        <v>https://thenib.imgix.net/usq/3f4451b4-182e-4875-b0e1-3ad1186260bc/things-that-have-been-around-longer-than-ice-tout-17f.jpeg?auto=compress,format&amp;cs=srgb&amp;h=628&amp;w=1200&amp;fit=crop&amp;crop=faces%2Cedges&amp;_=17f3cfc7d23b226ee38366c5b35d27a6</v>
      </c>
      <c r="AM3537" t="s">
        <v>52</v>
      </c>
      <c r="AN3537" t="s">
        <v>53</v>
      </c>
    </row>
    <row r="3538" spans="1:40">
      <c r="A3538" t="s">
        <v>8081</v>
      </c>
      <c r="B3538" t="s">
        <v>5669</v>
      </c>
      <c r="C3538" t="s">
        <v>11142</v>
      </c>
      <c r="D3538" t="s">
        <v>52</v>
      </c>
      <c r="E3538" t="s">
        <v>11143</v>
      </c>
      <c r="F3538" t="s">
        <v>45</v>
      </c>
      <c r="G3538" t="str">
        <f>HYPERLINK("https://twitter.com/37972315/status/1142829644418338816")</f>
        <v>https://twitter.com/37972315/status/1142829644418338816</v>
      </c>
      <c r="H3538" t="s">
        <v>46</v>
      </c>
      <c r="I3538" t="s">
        <v>11144</v>
      </c>
      <c r="J3538" t="str">
        <f>HYPERLINK("http://twitter.com/SteelCityChick2")</f>
        <v>http://twitter.com/SteelCityChick2</v>
      </c>
      <c r="K3538">
        <v>520</v>
      </c>
      <c r="N3538" t="s">
        <v>65</v>
      </c>
      <c r="R3538" t="s">
        <v>60</v>
      </c>
      <c r="S3538" t="s">
        <v>51</v>
      </c>
      <c r="T3538" t="s">
        <v>73</v>
      </c>
      <c r="W3538">
        <v>0</v>
      </c>
      <c r="X3538">
        <v>0</v>
      </c>
      <c r="AE3538">
        <v>0</v>
      </c>
      <c r="AF3538">
        <v>0</v>
      </c>
      <c r="AM3538" t="s">
        <v>52</v>
      </c>
      <c r="AN3538" t="s">
        <v>53</v>
      </c>
    </row>
    <row r="3539" spans="1:40">
      <c r="A3539" t="s">
        <v>8081</v>
      </c>
      <c r="B3539" t="s">
        <v>5669</v>
      </c>
      <c r="C3539" t="s">
        <v>11145</v>
      </c>
      <c r="D3539" t="s">
        <v>52</v>
      </c>
      <c r="E3539" t="s">
        <v>11146</v>
      </c>
      <c r="F3539" t="s">
        <v>71</v>
      </c>
      <c r="G3539" t="str">
        <f>HYPERLINK("https://twitter.com/1370772942/status/1142829460997255173")</f>
        <v>https://twitter.com/1370772942/status/1142829460997255173</v>
      </c>
      <c r="H3539" t="s">
        <v>46</v>
      </c>
      <c r="I3539" t="s">
        <v>11147</v>
      </c>
      <c r="J3539" t="str">
        <f>HYPERLINK("http://twitter.com/MMoyocoyotzin")</f>
        <v>http://twitter.com/MMoyocoyotzin</v>
      </c>
      <c r="K3539">
        <v>373</v>
      </c>
      <c r="N3539" t="s">
        <v>65</v>
      </c>
      <c r="R3539" t="s">
        <v>60</v>
      </c>
      <c r="S3539" t="s">
        <v>7423</v>
      </c>
      <c r="W3539">
        <v>0</v>
      </c>
      <c r="X3539">
        <v>0</v>
      </c>
      <c r="AE3539">
        <v>0</v>
      </c>
      <c r="AF3539">
        <v>0</v>
      </c>
      <c r="AI3539" t="s">
        <v>108</v>
      </c>
      <c r="AJ3539" t="s">
        <v>52</v>
      </c>
      <c r="AK3539" t="s">
        <v>52</v>
      </c>
      <c r="AL3539" t="str">
        <f>HYPERLINK("https://pbs.twimg.com/media/D9sAXHUX4AA6vJs.jpg")</f>
        <v>https://pbs.twimg.com/media/D9sAXHUX4AA6vJs.jpg</v>
      </c>
      <c r="AM3539" t="s">
        <v>52</v>
      </c>
      <c r="AN3539" t="s">
        <v>53</v>
      </c>
    </row>
    <row r="3540" spans="1:40">
      <c r="A3540" t="s">
        <v>8081</v>
      </c>
      <c r="B3540" t="s">
        <v>5676</v>
      </c>
      <c r="C3540" t="s">
        <v>11148</v>
      </c>
      <c r="D3540" t="s">
        <v>8088</v>
      </c>
      <c r="E3540" t="s">
        <v>11149</v>
      </c>
      <c r="F3540" t="s">
        <v>45</v>
      </c>
      <c r="G3540" t="str">
        <f>HYPERLINK("https://www.cnet.com/news/esports-player-ninja-fails-to-qualify-for-fortnite-world-cup")</f>
        <v>https://www.cnet.com/news/esports-player-ninja-fails-to-qualify-for-fortnite-world-cup</v>
      </c>
      <c r="H3540" t="s">
        <v>46</v>
      </c>
      <c r="I3540" t="s">
        <v>11052</v>
      </c>
      <c r="J3540" t="str">
        <f>HYPERLINK("https://www.cnet.com/news/esports-player-ninja-fails-to-qualify-for-fortnite-world-cup/")</f>
        <v>https://www.cnet.com/news/esports-player-ninja-fails-to-qualify-for-fortnite-world-cup/</v>
      </c>
      <c r="L3540" t="s">
        <v>48</v>
      </c>
      <c r="N3540" t="s">
        <v>11150</v>
      </c>
      <c r="R3540" t="s">
        <v>357</v>
      </c>
      <c r="S3540" t="s">
        <v>51</v>
      </c>
      <c r="AI3540" t="s">
        <v>52</v>
      </c>
      <c r="AJ3540" t="s">
        <v>52</v>
      </c>
      <c r="AK3540" t="s">
        <v>300</v>
      </c>
      <c r="AL3540" t="str">
        <f>HYPERLINK("https://cnet2.cbsistatic.com/img/SkOGUiJ3HaGpv6PJsLJhYZ6E0aA=/1092x0/2019/06/23/5b22c4eb-2127-44f3-b10a-d1e30d656bb9/gettyimages-1054462188.jpg")</f>
        <v>https://cnet2.cbsistatic.com/img/SkOGUiJ3HaGpv6PJsLJhYZ6E0aA=/1092x0/2019/06/23/5b22c4eb-2127-44f3-b10a-d1e30d656bb9/gettyimages-1054462188.jpg</v>
      </c>
      <c r="AM3540" t="s">
        <v>52</v>
      </c>
      <c r="AN3540" t="s">
        <v>53</v>
      </c>
    </row>
    <row r="3541" spans="1:40">
      <c r="A3541" t="s">
        <v>8081</v>
      </c>
      <c r="B3541" t="s">
        <v>5676</v>
      </c>
      <c r="C3541" t="s">
        <v>11151</v>
      </c>
      <c r="D3541" t="s">
        <v>52</v>
      </c>
      <c r="E3541" t="s">
        <v>9351</v>
      </c>
      <c r="F3541" t="s">
        <v>131</v>
      </c>
      <c r="G3541" t="str">
        <f>HYPERLINK("https://twitter.com/909411180602589184/status/1142828957911400450")</f>
        <v>https://twitter.com/909411180602589184/status/1142828957911400450</v>
      </c>
      <c r="H3541" t="s">
        <v>46</v>
      </c>
      <c r="I3541" t="s">
        <v>11152</v>
      </c>
      <c r="J3541" t="str">
        <f>HYPERLINK("http://twitter.com/TecoloteL")</f>
        <v>http://twitter.com/TecoloteL</v>
      </c>
      <c r="K3541">
        <v>841</v>
      </c>
      <c r="L3541" t="s">
        <v>48</v>
      </c>
      <c r="N3541" t="s">
        <v>65</v>
      </c>
      <c r="R3541" t="s">
        <v>60</v>
      </c>
      <c r="W3541">
        <v>0</v>
      </c>
      <c r="X3541">
        <v>0</v>
      </c>
      <c r="AE3541">
        <v>0</v>
      </c>
      <c r="AI3541" t="s">
        <v>52</v>
      </c>
      <c r="AJ3541" t="s">
        <v>52</v>
      </c>
      <c r="AK3541" t="s">
        <v>52</v>
      </c>
      <c r="AL3541" t="str">
        <f>HYPERLINK("https://pbs.twimg.com/media/D9mFywEW4AY05Wr.jpg")</f>
        <v>https://pbs.twimg.com/media/D9mFywEW4AY05Wr.jpg</v>
      </c>
      <c r="AM3541" t="s">
        <v>52</v>
      </c>
      <c r="AN3541" t="s">
        <v>53</v>
      </c>
    </row>
    <row r="3542" spans="1:40">
      <c r="A3542" t="s">
        <v>8081</v>
      </c>
      <c r="B3542" t="s">
        <v>5683</v>
      </c>
      <c r="C3542" t="s">
        <v>11153</v>
      </c>
      <c r="D3542" t="s">
        <v>52</v>
      </c>
      <c r="E3542" t="s">
        <v>11154</v>
      </c>
      <c r="F3542" t="s">
        <v>131</v>
      </c>
      <c r="G3542" t="str">
        <f>HYPERLINK("https://twitter.com/3151728803/status/1142828899342024705")</f>
        <v>https://twitter.com/3151728803/status/1142828899342024705</v>
      </c>
      <c r="H3542" t="s">
        <v>46</v>
      </c>
      <c r="I3542" t="s">
        <v>11155</v>
      </c>
      <c r="J3542" t="str">
        <f>HYPERLINK("http://twitter.com/nuccimanlaflair")</f>
        <v>http://twitter.com/nuccimanlaflair</v>
      </c>
      <c r="K3542">
        <v>265</v>
      </c>
      <c r="N3542" t="s">
        <v>65</v>
      </c>
      <c r="R3542" t="s">
        <v>60</v>
      </c>
      <c r="S3542" t="s">
        <v>51</v>
      </c>
      <c r="T3542" t="s">
        <v>73</v>
      </c>
      <c r="U3542" t="s">
        <v>11156</v>
      </c>
      <c r="W3542">
        <v>0</v>
      </c>
      <c r="X3542">
        <v>0</v>
      </c>
      <c r="AE3542">
        <v>0</v>
      </c>
      <c r="AM3542" t="s">
        <v>52</v>
      </c>
      <c r="AN3542" t="s">
        <v>53</v>
      </c>
    </row>
    <row r="3543" spans="1:40">
      <c r="A3543" t="s">
        <v>8081</v>
      </c>
      <c r="B3543" t="s">
        <v>5683</v>
      </c>
      <c r="C3543" t="s">
        <v>7260</v>
      </c>
      <c r="D3543" t="s">
        <v>52</v>
      </c>
      <c r="E3543" t="s">
        <v>11157</v>
      </c>
      <c r="F3543" t="s">
        <v>45</v>
      </c>
      <c r="G3543" t="str">
        <f>HYPERLINK("https://www.facebook.com/210610655671242/posts/2325802040818749")</f>
        <v>https://www.facebook.com/210610655671242/posts/2325802040818749</v>
      </c>
      <c r="H3543" t="s">
        <v>46</v>
      </c>
      <c r="I3543" t="s">
        <v>11158</v>
      </c>
      <c r="J3543" t="str">
        <f>HYPERLINK("https://www.facebook.com/210610655671242")</f>
        <v>https://www.facebook.com/210610655671242</v>
      </c>
      <c r="K3543">
        <v>53520</v>
      </c>
      <c r="L3543" t="s">
        <v>651</v>
      </c>
      <c r="N3543" t="s">
        <v>1792</v>
      </c>
      <c r="O3543" t="s">
        <v>11158</v>
      </c>
      <c r="P3543" t="str">
        <f>HYPERLINK("https://www.facebook.com/210610655671242")</f>
        <v>https://www.facebook.com/210610655671242</v>
      </c>
      <c r="Q3543">
        <v>53520</v>
      </c>
      <c r="R3543" t="s">
        <v>60</v>
      </c>
      <c r="W3543">
        <v>3</v>
      </c>
      <c r="X3543">
        <v>2</v>
      </c>
      <c r="Y3543">
        <v>1</v>
      </c>
      <c r="Z3543">
        <v>0</v>
      </c>
      <c r="AA3543">
        <v>0</v>
      </c>
      <c r="AB3543">
        <v>0</v>
      </c>
      <c r="AC3543">
        <v>0</v>
      </c>
      <c r="AE3543">
        <v>1</v>
      </c>
      <c r="AF3543">
        <v>2</v>
      </c>
      <c r="AI3543" t="s">
        <v>52</v>
      </c>
      <c r="AJ3543" t="s">
        <v>740</v>
      </c>
      <c r="AK3543" t="s">
        <v>52</v>
      </c>
      <c r="AL3543" t="str">
        <f>HYPERLINK("https://juliassimplysouthern-com.exactdn.com/wp-content/uploads/COVER-Dorito-Taco-Salad-for-a-Crowd-with-Catalina-Dressing-Best-Recipe-Ground-Beef-Julias-Simply-Southern.jpg?strip=all&amp;lossy=1&amp;ssl=1")</f>
        <v>https://juliassimplysouthern-com.exactdn.com/wp-content/uploads/COVER-Dorito-Taco-Salad-for-a-Crowd-with-Catalina-Dressing-Best-Recipe-Ground-Beef-Julias-Simply-Southern.jpg?strip=all&amp;lossy=1&amp;ssl=1</v>
      </c>
      <c r="AM3543" t="s">
        <v>52</v>
      </c>
      <c r="AN3543" t="s">
        <v>53</v>
      </c>
    </row>
    <row r="3544" spans="1:40">
      <c r="A3544" t="s">
        <v>8081</v>
      </c>
      <c r="B3544" t="s">
        <v>5689</v>
      </c>
      <c r="C3544" t="s">
        <v>11153</v>
      </c>
      <c r="D3544" t="s">
        <v>52</v>
      </c>
      <c r="E3544" t="s">
        <v>11159</v>
      </c>
      <c r="F3544" t="s">
        <v>45</v>
      </c>
      <c r="G3544" t="str">
        <f>HYPERLINK("https://twitter.com/825057744105381888/status/1142828505446662146")</f>
        <v>https://twitter.com/825057744105381888/status/1142828505446662146</v>
      </c>
      <c r="H3544" t="s">
        <v>215</v>
      </c>
      <c r="I3544" t="s">
        <v>11160</v>
      </c>
      <c r="J3544" t="str">
        <f>HYPERLINK("http://twitter.com/quintbia_")</f>
        <v>http://twitter.com/quintbia_</v>
      </c>
      <c r="K3544">
        <v>315</v>
      </c>
      <c r="N3544" t="s">
        <v>65</v>
      </c>
      <c r="R3544" t="s">
        <v>60</v>
      </c>
      <c r="S3544" t="s">
        <v>432</v>
      </c>
      <c r="T3544" t="s">
        <v>6192</v>
      </c>
      <c r="U3544" t="s">
        <v>11161</v>
      </c>
      <c r="W3544">
        <v>0</v>
      </c>
      <c r="X3544">
        <v>0</v>
      </c>
      <c r="AE3544">
        <v>0</v>
      </c>
      <c r="AF3544">
        <v>0</v>
      </c>
      <c r="AM3544" t="s">
        <v>52</v>
      </c>
      <c r="AN3544" t="s">
        <v>53</v>
      </c>
    </row>
    <row r="3545" spans="1:40">
      <c r="A3545" t="s">
        <v>8081</v>
      </c>
      <c r="B3545" t="s">
        <v>5693</v>
      </c>
      <c r="C3545" t="s">
        <v>11162</v>
      </c>
      <c r="D3545" t="s">
        <v>52</v>
      </c>
      <c r="E3545" t="s">
        <v>11163</v>
      </c>
      <c r="F3545" t="s">
        <v>71</v>
      </c>
      <c r="G3545" t="str">
        <f>HYPERLINK("https://twitter.com/235409101/status/1142828306234040322")</f>
        <v>https://twitter.com/235409101/status/1142828306234040322</v>
      </c>
      <c r="H3545" t="s">
        <v>46</v>
      </c>
      <c r="I3545" t="s">
        <v>11164</v>
      </c>
      <c r="J3545" t="str">
        <f>HYPERLINK("http://twitter.com/ChiefJosheola")</f>
        <v>http://twitter.com/ChiefJosheola</v>
      </c>
      <c r="K3545">
        <v>1500</v>
      </c>
      <c r="N3545" t="s">
        <v>65</v>
      </c>
      <c r="R3545" t="s">
        <v>60</v>
      </c>
      <c r="S3545" t="s">
        <v>51</v>
      </c>
      <c r="T3545" t="s">
        <v>73</v>
      </c>
      <c r="U3545" t="s">
        <v>11165</v>
      </c>
      <c r="W3545">
        <v>2</v>
      </c>
      <c r="X3545">
        <v>2</v>
      </c>
      <c r="AE3545">
        <v>1</v>
      </c>
      <c r="AF3545">
        <v>0</v>
      </c>
      <c r="AI3545" t="s">
        <v>108</v>
      </c>
      <c r="AJ3545" t="s">
        <v>52</v>
      </c>
      <c r="AK3545" t="s">
        <v>52</v>
      </c>
      <c r="AL3545" t="str">
        <f>HYPERLINK("https://pbs.twimg.com/tweet_video_thumb/D9hvNNzXUAATAS3.jpg")</f>
        <v>https://pbs.twimg.com/tweet_video_thumb/D9hvNNzXUAATAS3.jpg</v>
      </c>
      <c r="AM3545" t="s">
        <v>52</v>
      </c>
      <c r="AN3545" t="s">
        <v>53</v>
      </c>
    </row>
    <row r="3546" spans="1:40">
      <c r="A3546" t="s">
        <v>8081</v>
      </c>
      <c r="B3546" t="s">
        <v>75</v>
      </c>
      <c r="C3546" t="s">
        <v>11166</v>
      </c>
      <c r="D3546" t="s">
        <v>52</v>
      </c>
      <c r="E3546" t="s">
        <v>11154</v>
      </c>
      <c r="F3546" t="s">
        <v>95</v>
      </c>
      <c r="G3546" t="str">
        <f>HYPERLINK("https://twitter.com/810163254840479744/status/1142828120799625216")</f>
        <v>https://twitter.com/810163254840479744/status/1142828120799625216</v>
      </c>
      <c r="H3546" t="s">
        <v>46</v>
      </c>
      <c r="I3546" t="s">
        <v>11167</v>
      </c>
      <c r="J3546" t="str">
        <f>HYPERLINK("http://twitter.com/trey_rowland59")</f>
        <v>http://twitter.com/trey_rowland59</v>
      </c>
      <c r="K3546">
        <v>2105</v>
      </c>
      <c r="N3546" t="s">
        <v>65</v>
      </c>
      <c r="R3546" t="s">
        <v>60</v>
      </c>
      <c r="W3546">
        <v>17</v>
      </c>
      <c r="X3546">
        <v>17</v>
      </c>
      <c r="AE3546">
        <v>2</v>
      </c>
      <c r="AF3546">
        <v>1</v>
      </c>
      <c r="AM3546" t="s">
        <v>52</v>
      </c>
      <c r="AN3546" t="s">
        <v>53</v>
      </c>
    </row>
    <row r="3547" spans="1:40">
      <c r="A3547" t="s">
        <v>8081</v>
      </c>
      <c r="B3547" t="s">
        <v>81</v>
      </c>
      <c r="C3547" t="s">
        <v>11151</v>
      </c>
      <c r="D3547" t="s">
        <v>52</v>
      </c>
      <c r="E3547" t="s">
        <v>11168</v>
      </c>
      <c r="F3547" t="s">
        <v>45</v>
      </c>
      <c r="G3547" t="str">
        <f>HYPERLINK("https://twitter.com/42880148/status/1142827897561874437")</f>
        <v>https://twitter.com/42880148/status/1142827897561874437</v>
      </c>
      <c r="H3547" t="s">
        <v>46</v>
      </c>
      <c r="I3547" t="s">
        <v>11169</v>
      </c>
      <c r="J3547" t="str">
        <f>HYPERLINK("http://twitter.com/jiidii")</f>
        <v>http://twitter.com/jiidii</v>
      </c>
      <c r="K3547">
        <v>292</v>
      </c>
      <c r="N3547" t="s">
        <v>65</v>
      </c>
      <c r="R3547" t="s">
        <v>60</v>
      </c>
      <c r="W3547">
        <v>0</v>
      </c>
      <c r="X3547">
        <v>0</v>
      </c>
      <c r="AE3547">
        <v>0</v>
      </c>
      <c r="AF3547">
        <v>0</v>
      </c>
      <c r="AM3547" t="s">
        <v>52</v>
      </c>
      <c r="AN3547" t="s">
        <v>53</v>
      </c>
    </row>
    <row r="3548" spans="1:40">
      <c r="A3548" t="s">
        <v>8081</v>
      </c>
      <c r="B3548" t="s">
        <v>88</v>
      </c>
      <c r="C3548" t="s">
        <v>11170</v>
      </c>
      <c r="D3548" t="s">
        <v>52</v>
      </c>
      <c r="E3548" t="s">
        <v>11171</v>
      </c>
      <c r="F3548" t="s">
        <v>95</v>
      </c>
      <c r="G3548" t="str">
        <f>HYPERLINK("https://twitter.com/749927628585439232/status/1142827604677922816")</f>
        <v>https://twitter.com/749927628585439232/status/1142827604677922816</v>
      </c>
      <c r="H3548" t="s">
        <v>46</v>
      </c>
      <c r="I3548" t="s">
        <v>10828</v>
      </c>
      <c r="J3548" t="str">
        <f>HYPERLINK("http://twitter.com/Kalimashe_Troy")</f>
        <v>http://twitter.com/Kalimashe_Troy</v>
      </c>
      <c r="K3548">
        <v>619</v>
      </c>
      <c r="N3548" t="s">
        <v>65</v>
      </c>
      <c r="R3548" t="s">
        <v>60</v>
      </c>
      <c r="S3548" t="s">
        <v>10829</v>
      </c>
      <c r="W3548">
        <v>1</v>
      </c>
      <c r="X3548">
        <v>1</v>
      </c>
      <c r="AE3548">
        <v>1</v>
      </c>
      <c r="AF3548">
        <v>0</v>
      </c>
      <c r="AM3548" t="s">
        <v>52</v>
      </c>
      <c r="AN3548" t="s">
        <v>53</v>
      </c>
    </row>
    <row r="3549" spans="1:40">
      <c r="A3549" t="s">
        <v>8081</v>
      </c>
      <c r="B3549" t="s">
        <v>88</v>
      </c>
      <c r="C3549" t="s">
        <v>11162</v>
      </c>
      <c r="D3549" t="s">
        <v>52</v>
      </c>
      <c r="E3549" t="s">
        <v>4256</v>
      </c>
      <c r="F3549" t="s">
        <v>131</v>
      </c>
      <c r="G3549" t="str">
        <f>HYPERLINK("https://twitter.com/14221035/status/1142827575120728066")</f>
        <v>https://twitter.com/14221035/status/1142827575120728066</v>
      </c>
      <c r="H3549" t="s">
        <v>215</v>
      </c>
      <c r="I3549" t="s">
        <v>11172</v>
      </c>
      <c r="J3549" t="str">
        <f>HYPERLINK("http://twitter.com/katieferg")</f>
        <v>http://twitter.com/katieferg</v>
      </c>
      <c r="K3549">
        <v>359</v>
      </c>
      <c r="N3549" t="s">
        <v>65</v>
      </c>
      <c r="R3549" t="s">
        <v>60</v>
      </c>
      <c r="S3549" t="s">
        <v>965</v>
      </c>
      <c r="U3549" t="s">
        <v>10534</v>
      </c>
      <c r="W3549">
        <v>0</v>
      </c>
      <c r="X3549">
        <v>0</v>
      </c>
      <c r="AE3549">
        <v>0</v>
      </c>
      <c r="AI3549" t="s">
        <v>108</v>
      </c>
      <c r="AJ3549" t="s">
        <v>52</v>
      </c>
      <c r="AK3549" t="s">
        <v>52</v>
      </c>
      <c r="AL3549" t="str">
        <f>HYPERLINK("https://pbs.twimg.com/media/D9wASdAXYAAV8vY.jpg")</f>
        <v>https://pbs.twimg.com/media/D9wASdAXYAAV8vY.jpg</v>
      </c>
      <c r="AM3549" t="s">
        <v>52</v>
      </c>
      <c r="AN3549" t="s">
        <v>53</v>
      </c>
    </row>
    <row r="3550" spans="1:40">
      <c r="A3550" t="s">
        <v>8081</v>
      </c>
      <c r="B3550" t="s">
        <v>100</v>
      </c>
      <c r="C3550" t="s">
        <v>9055</v>
      </c>
      <c r="D3550" t="s">
        <v>52</v>
      </c>
      <c r="E3550" t="s">
        <v>11173</v>
      </c>
      <c r="F3550" t="s">
        <v>45</v>
      </c>
      <c r="G3550" t="str">
        <f>HYPERLINK("https://www.instagram.com/p/BzDvigDpYIS")</f>
        <v>https://www.instagram.com/p/BzDvigDpYIS</v>
      </c>
      <c r="H3550" t="s">
        <v>46</v>
      </c>
      <c r="I3550" t="s">
        <v>11174</v>
      </c>
      <c r="J3550" t="str">
        <f>HYPERLINK("http://instagram.com/tqdrofficial")</f>
        <v>http://instagram.com/tqdrofficial</v>
      </c>
      <c r="K3550">
        <v>146</v>
      </c>
      <c r="N3550" t="s">
        <v>59</v>
      </c>
      <c r="O3550" t="s">
        <v>11174</v>
      </c>
      <c r="P3550" t="str">
        <f>HYPERLINK("http://instagram.com/tqdrofficial")</f>
        <v>http://instagram.com/tqdrofficial</v>
      </c>
      <c r="Q3550">
        <v>146</v>
      </c>
      <c r="R3550" t="s">
        <v>60</v>
      </c>
      <c r="W3550">
        <v>40</v>
      </c>
      <c r="X3550">
        <v>40</v>
      </c>
      <c r="AE3550">
        <v>10</v>
      </c>
      <c r="AI3550" t="s">
        <v>108</v>
      </c>
      <c r="AJ3550" t="s">
        <v>3626</v>
      </c>
      <c r="AK3550" t="s">
        <v>52</v>
      </c>
      <c r="AL3550" t="str">
        <f>HYPERLINK("https://www.instagram.com/p/BzDvigDpYIS/media/?size=l")</f>
        <v>https://www.instagram.com/p/BzDvigDpYIS/media/?size=l</v>
      </c>
      <c r="AM3550" t="s">
        <v>52</v>
      </c>
      <c r="AN3550" t="s">
        <v>53</v>
      </c>
    </row>
    <row r="3551" spans="1:40">
      <c r="A3551" t="s">
        <v>8081</v>
      </c>
      <c r="B3551" t="s">
        <v>111</v>
      </c>
      <c r="C3551" t="s">
        <v>11175</v>
      </c>
      <c r="D3551" t="s">
        <v>11176</v>
      </c>
      <c r="E3551" t="s">
        <v>108</v>
      </c>
      <c r="F3551" t="s">
        <v>95</v>
      </c>
      <c r="G3551" t="str">
        <f>HYPERLINK("https://www.youtube.com/watch?v=zWYhkLrfct4&amp;lc=Ugw1kaiWlaFZnXLd6Zx4AaABAg")</f>
        <v>https://www.youtube.com/watch?v=zWYhkLrfct4&amp;lc=Ugw1kaiWlaFZnXLd6Zx4AaABAg</v>
      </c>
      <c r="H3551" t="s">
        <v>215</v>
      </c>
      <c r="I3551" t="s">
        <v>11177</v>
      </c>
      <c r="J3551" t="str">
        <f>HYPERLINK("https://www.youtube.com/channel/UCi4qelhzwfr6zO9MTl0TzJA")</f>
        <v>https://www.youtube.com/channel/UCi4qelhzwfr6zO9MTl0TzJA</v>
      </c>
      <c r="K3551">
        <v>5</v>
      </c>
      <c r="L3551" t="s">
        <v>48</v>
      </c>
      <c r="N3551" t="s">
        <v>116</v>
      </c>
      <c r="O3551" t="s">
        <v>11178</v>
      </c>
      <c r="P3551" t="str">
        <f>HYPERLINK("https://www.youtube.com/channel/UCV4Q5bvRpbvAcoUhLEgE0qw")</f>
        <v>https://www.youtube.com/channel/UCV4Q5bvRpbvAcoUhLEgE0qw</v>
      </c>
      <c r="Q3551">
        <v>2099947</v>
      </c>
      <c r="R3551" t="s">
        <v>60</v>
      </c>
      <c r="W3551">
        <v>0</v>
      </c>
      <c r="X3551">
        <v>0</v>
      </c>
      <c r="AE3551">
        <v>0</v>
      </c>
      <c r="AM3551" t="s">
        <v>52</v>
      </c>
      <c r="AN3551" t="s">
        <v>53</v>
      </c>
    </row>
    <row r="3552" spans="1:40">
      <c r="A3552" t="s">
        <v>8081</v>
      </c>
      <c r="B3552" t="s">
        <v>125</v>
      </c>
      <c r="C3552" t="s">
        <v>11179</v>
      </c>
      <c r="D3552" t="s">
        <v>52</v>
      </c>
      <c r="E3552" t="s">
        <v>11180</v>
      </c>
      <c r="F3552" t="s">
        <v>45</v>
      </c>
      <c r="G3552" t="str">
        <f>HYPERLINK("https://www.instagram.com/p/BzDu88uFcQf")</f>
        <v>https://www.instagram.com/p/BzDu88uFcQf</v>
      </c>
      <c r="H3552" t="s">
        <v>46</v>
      </c>
      <c r="I3552" t="s">
        <v>11181</v>
      </c>
      <c r="J3552" t="str">
        <f>HYPERLINK("http://instagram.com/foodgasms_over_orgasms")</f>
        <v>http://instagram.com/foodgasms_over_orgasms</v>
      </c>
      <c r="K3552">
        <v>14829</v>
      </c>
      <c r="N3552" t="s">
        <v>59</v>
      </c>
      <c r="O3552" t="s">
        <v>11181</v>
      </c>
      <c r="P3552" t="str">
        <f>HYPERLINK("http://instagram.com/foodgasms_over_orgasms")</f>
        <v>http://instagram.com/foodgasms_over_orgasms</v>
      </c>
      <c r="Q3552">
        <v>14829</v>
      </c>
      <c r="R3552" t="s">
        <v>60</v>
      </c>
      <c r="S3552" t="s">
        <v>315</v>
      </c>
      <c r="T3552" t="s">
        <v>7335</v>
      </c>
      <c r="U3552" t="s">
        <v>7335</v>
      </c>
      <c r="W3552">
        <v>215</v>
      </c>
      <c r="X3552">
        <v>215</v>
      </c>
      <c r="AE3552">
        <v>5</v>
      </c>
      <c r="AI3552" t="s">
        <v>52</v>
      </c>
      <c r="AJ3552" t="s">
        <v>11182</v>
      </c>
      <c r="AK3552" t="s">
        <v>52</v>
      </c>
      <c r="AL3552" t="str">
        <f>HYPERLINK("https://www.instagram.com/p/BzDu88uFcQf/media/?size=l")</f>
        <v>https://www.instagram.com/p/BzDu88uFcQf/media/?size=l</v>
      </c>
      <c r="AM3552" t="s">
        <v>52</v>
      </c>
      <c r="AN3552" t="s">
        <v>53</v>
      </c>
    </row>
    <row r="3553" spans="1:40">
      <c r="A3553" t="s">
        <v>8081</v>
      </c>
      <c r="B3553" t="s">
        <v>125</v>
      </c>
      <c r="C3553" t="s">
        <v>10311</v>
      </c>
      <c r="D3553" t="s">
        <v>52</v>
      </c>
      <c r="E3553" t="s">
        <v>11183</v>
      </c>
      <c r="F3553" t="s">
        <v>45</v>
      </c>
      <c r="G3553" t="str">
        <f>HYPERLINK("https://www.facebook.com/1236617529699658/posts/2754944827866913")</f>
        <v>https://www.facebook.com/1236617529699658/posts/2754944827866913</v>
      </c>
      <c r="H3553" t="s">
        <v>46</v>
      </c>
      <c r="I3553" t="s">
        <v>11184</v>
      </c>
      <c r="J3553" t="str">
        <f>HYPERLINK("https://www.facebook.com/1236617529699658")</f>
        <v>https://www.facebook.com/1236617529699658</v>
      </c>
      <c r="K3553">
        <v>5985</v>
      </c>
      <c r="L3553" t="s">
        <v>651</v>
      </c>
      <c r="N3553" t="s">
        <v>1792</v>
      </c>
      <c r="O3553" t="s">
        <v>11184</v>
      </c>
      <c r="P3553" t="str">
        <f>HYPERLINK("https://www.facebook.com/1236617529699658")</f>
        <v>https://www.facebook.com/1236617529699658</v>
      </c>
      <c r="Q3553">
        <v>5985</v>
      </c>
      <c r="R3553" t="s">
        <v>60</v>
      </c>
      <c r="S3553" t="s">
        <v>51</v>
      </c>
      <c r="W3553">
        <v>48</v>
      </c>
      <c r="X3553">
        <v>45</v>
      </c>
      <c r="Y3553">
        <v>3</v>
      </c>
      <c r="Z3553">
        <v>0</v>
      </c>
      <c r="AA3553">
        <v>0</v>
      </c>
      <c r="AB3553">
        <v>0</v>
      </c>
      <c r="AC3553">
        <v>0</v>
      </c>
      <c r="AE3553">
        <v>3</v>
      </c>
      <c r="AF3553">
        <v>23</v>
      </c>
      <c r="AI3553" t="s">
        <v>52</v>
      </c>
      <c r="AJ3553" t="s">
        <v>11185</v>
      </c>
      <c r="AK3553" t="s">
        <v>52</v>
      </c>
      <c r="AL3553" t="str">
        <f>HYPERLINK("https://scontent.xx.fbcdn.net/v/t1.0-0/p480x480/64926745_2754943541200375_6826887827372900352_n.jpg?_nc_cat=105&amp;_nc_oc=AQngjvtyZ5T1v899c6WcBFJzvZTMnoUgE8lI9GO5eR5iVozH_Gku5gXh-ZQixoHen2E&amp;_nc_ht=scontent.xx&amp;oh=fe8e445f103b02ac1d3e56dab5e834be&amp;oe=5DC22E2B")</f>
        <v>https://scontent.xx.fbcdn.net/v/t1.0-0/p480x480/64926745_2754943541200375_6826887827372900352_n.jpg?_nc_cat=105&amp;_nc_oc=AQngjvtyZ5T1v899c6WcBFJzvZTMnoUgE8lI9GO5eR5iVozH_Gku5gXh-ZQixoHen2E&amp;_nc_ht=scontent.xx&amp;oh=fe8e445f103b02ac1d3e56dab5e834be&amp;oe=5DC22E2B</v>
      </c>
      <c r="AM3553" t="s">
        <v>52</v>
      </c>
      <c r="AN3553" t="s">
        <v>53</v>
      </c>
    </row>
    <row r="3554" spans="1:40">
      <c r="A3554" t="s">
        <v>8081</v>
      </c>
      <c r="B3554" t="s">
        <v>11186</v>
      </c>
      <c r="C3554" t="s">
        <v>11187</v>
      </c>
      <c r="D3554" t="s">
        <v>52</v>
      </c>
      <c r="E3554" t="s">
        <v>11188</v>
      </c>
      <c r="F3554" t="s">
        <v>95</v>
      </c>
      <c r="G3554" t="str">
        <f>HYPERLINK("https://twitter.com/264515362/status/1142825329297219584")</f>
        <v>https://twitter.com/264515362/status/1142825329297219584</v>
      </c>
      <c r="H3554" t="s">
        <v>46</v>
      </c>
      <c r="I3554" t="s">
        <v>11189</v>
      </c>
      <c r="J3554" t="str">
        <f>HYPERLINK("http://twitter.com/gatitomoliere")</f>
        <v>http://twitter.com/gatitomoliere</v>
      </c>
      <c r="K3554">
        <v>12833</v>
      </c>
      <c r="N3554" t="s">
        <v>65</v>
      </c>
      <c r="R3554" t="s">
        <v>60</v>
      </c>
      <c r="S3554" t="s">
        <v>387</v>
      </c>
      <c r="T3554" t="s">
        <v>5359</v>
      </c>
      <c r="U3554" t="s">
        <v>11190</v>
      </c>
      <c r="W3554">
        <v>4</v>
      </c>
      <c r="X3554">
        <v>4</v>
      </c>
      <c r="AE3554">
        <v>0</v>
      </c>
      <c r="AF3554">
        <v>0</v>
      </c>
      <c r="AM3554" t="s">
        <v>52</v>
      </c>
      <c r="AN3554" t="s">
        <v>53</v>
      </c>
    </row>
    <row r="3555" spans="1:40">
      <c r="A3555" t="s">
        <v>8081</v>
      </c>
      <c r="B3555" t="s">
        <v>5731</v>
      </c>
      <c r="C3555" t="s">
        <v>11191</v>
      </c>
      <c r="D3555" t="s">
        <v>11192</v>
      </c>
      <c r="E3555" t="s">
        <v>11193</v>
      </c>
      <c r="F3555" t="s">
        <v>95</v>
      </c>
      <c r="G3555" t="str">
        <f>HYPERLINK("https://www.youtube.com/watch?v=dEkvPQ43g8w&amp;lc=UgzmUGBsFm4K3skHPwZ4AaABAg")</f>
        <v>https://www.youtube.com/watch?v=dEkvPQ43g8w&amp;lc=UgzmUGBsFm4K3skHPwZ4AaABAg</v>
      </c>
      <c r="H3555" t="s">
        <v>46</v>
      </c>
      <c r="I3555" t="s">
        <v>11194</v>
      </c>
      <c r="J3555" t="str">
        <f>HYPERLINK("https://www.youtube.com/channel/UCtuL9CuaI9Y_G_mWvnBxcZw")</f>
        <v>https://www.youtube.com/channel/UCtuL9CuaI9Y_G_mWvnBxcZw</v>
      </c>
      <c r="K3555">
        <v>60</v>
      </c>
      <c r="N3555" t="s">
        <v>116</v>
      </c>
      <c r="O3555" t="s">
        <v>11194</v>
      </c>
      <c r="P3555" t="str">
        <f>HYPERLINK("https://www.youtube.com/channel/UCtuL9CuaI9Y_G_mWvnBxcZw")</f>
        <v>https://www.youtube.com/channel/UCtuL9CuaI9Y_G_mWvnBxcZw</v>
      </c>
      <c r="Q3555">
        <v>60</v>
      </c>
      <c r="R3555" t="s">
        <v>60</v>
      </c>
      <c r="W3555">
        <v>0</v>
      </c>
      <c r="X3555">
        <v>0</v>
      </c>
      <c r="AE3555">
        <v>0</v>
      </c>
      <c r="AM3555" t="s">
        <v>52</v>
      </c>
      <c r="AN3555" t="s">
        <v>53</v>
      </c>
    </row>
    <row r="3556" spans="1:40">
      <c r="A3556" t="s">
        <v>8081</v>
      </c>
      <c r="B3556" t="s">
        <v>5731</v>
      </c>
      <c r="C3556" t="s">
        <v>6886</v>
      </c>
      <c r="D3556" t="s">
        <v>52</v>
      </c>
      <c r="E3556" t="s">
        <v>11195</v>
      </c>
      <c r="F3556" t="s">
        <v>45</v>
      </c>
      <c r="G3556" t="str">
        <f>HYPERLINK("https://www.facebook.com/90753776037/posts/10158630538176038")</f>
        <v>https://www.facebook.com/90753776037/posts/10158630538176038</v>
      </c>
      <c r="H3556" t="s">
        <v>46</v>
      </c>
      <c r="I3556" t="s">
        <v>11196</v>
      </c>
      <c r="J3556" t="str">
        <f>HYPERLINK("https://www.facebook.com/90753776037")</f>
        <v>https://www.facebook.com/90753776037</v>
      </c>
      <c r="K3556">
        <v>83168</v>
      </c>
      <c r="L3556" t="s">
        <v>651</v>
      </c>
      <c r="N3556" t="s">
        <v>1792</v>
      </c>
      <c r="O3556" t="s">
        <v>11196</v>
      </c>
      <c r="P3556" t="str">
        <f>HYPERLINK("https://www.facebook.com/90753776037")</f>
        <v>https://www.facebook.com/90753776037</v>
      </c>
      <c r="Q3556">
        <v>83168</v>
      </c>
      <c r="R3556" t="s">
        <v>60</v>
      </c>
      <c r="S3556" t="s">
        <v>51</v>
      </c>
      <c r="W3556">
        <v>9</v>
      </c>
      <c r="X3556">
        <v>9</v>
      </c>
      <c r="Y3556">
        <v>0</v>
      </c>
      <c r="Z3556">
        <v>0</v>
      </c>
      <c r="AA3556">
        <v>0</v>
      </c>
      <c r="AB3556">
        <v>0</v>
      </c>
      <c r="AC3556">
        <v>0</v>
      </c>
      <c r="AE3556">
        <v>0</v>
      </c>
      <c r="AF3556">
        <v>0</v>
      </c>
      <c r="AI3556" t="s">
        <v>52</v>
      </c>
      <c r="AJ3556" t="s">
        <v>52</v>
      </c>
      <c r="AK3556" t="s">
        <v>680</v>
      </c>
      <c r="AL3556" t="str">
        <f>HYPERLINK("https://i.ytimg.com/vi/c4SkbfRsI1E/maxresdefault.jpg")</f>
        <v>https://i.ytimg.com/vi/c4SkbfRsI1E/maxresdefault.jpg</v>
      </c>
      <c r="AM3556" t="s">
        <v>52</v>
      </c>
      <c r="AN3556" t="s">
        <v>53</v>
      </c>
    </row>
    <row r="3557" spans="1:40">
      <c r="A3557" t="s">
        <v>8081</v>
      </c>
      <c r="B3557" t="s">
        <v>5731</v>
      </c>
      <c r="C3557" t="s">
        <v>11197</v>
      </c>
      <c r="D3557" t="s">
        <v>52</v>
      </c>
      <c r="E3557" t="s">
        <v>11198</v>
      </c>
      <c r="F3557" t="s">
        <v>45</v>
      </c>
      <c r="G3557" t="str">
        <f>HYPERLINK("https://www.instagram.com/p/BzDuV3ig8wn")</f>
        <v>https://www.instagram.com/p/BzDuV3ig8wn</v>
      </c>
      <c r="H3557" t="s">
        <v>46</v>
      </c>
      <c r="I3557" t="s">
        <v>2280</v>
      </c>
      <c r="J3557" t="str">
        <f>HYPERLINK("http://instagram.com/theuntroublebones")</f>
        <v>http://instagram.com/theuntroublebones</v>
      </c>
      <c r="K3557">
        <v>1136</v>
      </c>
      <c r="N3557" t="s">
        <v>59</v>
      </c>
      <c r="O3557" t="s">
        <v>2280</v>
      </c>
      <c r="P3557" t="str">
        <f>HYPERLINK("http://instagram.com/theuntroublebones")</f>
        <v>http://instagram.com/theuntroublebones</v>
      </c>
      <c r="Q3557">
        <v>1136</v>
      </c>
      <c r="R3557" t="s">
        <v>60</v>
      </c>
      <c r="S3557" t="s">
        <v>51</v>
      </c>
      <c r="T3557" t="s">
        <v>152</v>
      </c>
      <c r="U3557" t="s">
        <v>424</v>
      </c>
      <c r="W3557">
        <v>119</v>
      </c>
      <c r="X3557">
        <v>119</v>
      </c>
      <c r="AE3557">
        <v>1</v>
      </c>
      <c r="AI3557" t="s">
        <v>52</v>
      </c>
      <c r="AJ3557" t="s">
        <v>11199</v>
      </c>
      <c r="AK3557" t="s">
        <v>110</v>
      </c>
      <c r="AL3557" t="str">
        <f>HYPERLINK("https://www.instagram.com/p/BzDuV3ig8wn/media/?size=l")</f>
        <v>https://www.instagram.com/p/BzDuV3ig8wn/media/?size=l</v>
      </c>
      <c r="AM3557" t="s">
        <v>52</v>
      </c>
      <c r="AN3557" t="s">
        <v>53</v>
      </c>
    </row>
    <row r="3558" spans="1:40">
      <c r="A3558" t="s">
        <v>8081</v>
      </c>
      <c r="B3558" t="s">
        <v>149</v>
      </c>
      <c r="C3558" t="s">
        <v>9016</v>
      </c>
      <c r="D3558" t="s">
        <v>52</v>
      </c>
      <c r="E3558" t="s">
        <v>11200</v>
      </c>
      <c r="F3558" t="s">
        <v>45</v>
      </c>
      <c r="G3558" t="str">
        <f>HYPERLINK("https://www.instagram.com/p/BzDuUzEnIUt")</f>
        <v>https://www.instagram.com/p/BzDuUzEnIUt</v>
      </c>
      <c r="H3558" t="s">
        <v>46</v>
      </c>
      <c r="I3558" t="s">
        <v>11201</v>
      </c>
      <c r="J3558" t="str">
        <f>HYPERLINK("http://instagram.com/blogdeviado")</f>
        <v>http://instagram.com/blogdeviado</v>
      </c>
      <c r="K3558">
        <v>403</v>
      </c>
      <c r="N3558" t="s">
        <v>59</v>
      </c>
      <c r="O3558" t="s">
        <v>11201</v>
      </c>
      <c r="P3558" t="str">
        <f>HYPERLINK("http://instagram.com/blogdeviado")</f>
        <v>http://instagram.com/blogdeviado</v>
      </c>
      <c r="Q3558">
        <v>403</v>
      </c>
      <c r="R3558" t="s">
        <v>60</v>
      </c>
      <c r="S3558" t="s">
        <v>432</v>
      </c>
      <c r="T3558" t="s">
        <v>433</v>
      </c>
      <c r="W3558">
        <v>62</v>
      </c>
      <c r="X3558">
        <v>62</v>
      </c>
      <c r="AE3558">
        <v>0</v>
      </c>
      <c r="AI3558" t="s">
        <v>108</v>
      </c>
      <c r="AJ3558" t="s">
        <v>3551</v>
      </c>
      <c r="AK3558" t="s">
        <v>52</v>
      </c>
      <c r="AL3558" t="str">
        <f>HYPERLINK("https://www.instagram.com/p/BzDuUzEnIUt/media/?size=l")</f>
        <v>https://www.instagram.com/p/BzDuUzEnIUt/media/?size=l</v>
      </c>
      <c r="AM3558" t="s">
        <v>52</v>
      </c>
      <c r="AN3558" t="s">
        <v>53</v>
      </c>
    </row>
    <row r="3559" spans="1:40">
      <c r="A3559" t="s">
        <v>8081</v>
      </c>
      <c r="B3559" t="s">
        <v>11202</v>
      </c>
      <c r="C3559" t="s">
        <v>11175</v>
      </c>
      <c r="D3559" t="s">
        <v>11203</v>
      </c>
      <c r="E3559" t="s">
        <v>11204</v>
      </c>
      <c r="F3559" t="s">
        <v>45</v>
      </c>
      <c r="G3559" t="str">
        <f>HYPERLINK("https://www.youtube.com/watch?v=SredyORcYsE")</f>
        <v>https://www.youtube.com/watch?v=SredyORcYsE</v>
      </c>
      <c r="H3559" t="s">
        <v>46</v>
      </c>
      <c r="I3559" t="s">
        <v>4976</v>
      </c>
      <c r="J3559" t="str">
        <f>HYPERLINK("https://www.youtube.com/channel/UCx_--zZCqTOb8-m-o_r_-_w")</f>
        <v>https://www.youtube.com/channel/UCx_--zZCqTOb8-m-o_r_-_w</v>
      </c>
      <c r="K3559">
        <v>39788</v>
      </c>
      <c r="N3559" t="s">
        <v>116</v>
      </c>
      <c r="O3559" t="s">
        <v>4976</v>
      </c>
      <c r="P3559" t="str">
        <f>HYPERLINK("https://www.youtube.com/channel/UCx_--zZCqTOb8-m-o_r_-_w")</f>
        <v>https://www.youtube.com/channel/UCx_--zZCqTOb8-m-o_r_-_w</v>
      </c>
      <c r="Q3559">
        <v>39788</v>
      </c>
      <c r="R3559" t="s">
        <v>60</v>
      </c>
      <c r="S3559" t="s">
        <v>51</v>
      </c>
      <c r="W3559">
        <v>205</v>
      </c>
      <c r="X3559">
        <v>205</v>
      </c>
      <c r="AD3559">
        <v>17</v>
      </c>
      <c r="AE3559">
        <v>48</v>
      </c>
      <c r="AG3559">
        <v>2882</v>
      </c>
      <c r="AI3559" t="s">
        <v>52</v>
      </c>
      <c r="AJ3559" t="s">
        <v>4054</v>
      </c>
      <c r="AK3559" t="s">
        <v>52</v>
      </c>
      <c r="AL3559" t="str">
        <f>HYPERLINK("https://i.ytimg.com/vi/SredyORcYsE/maxresdefault.jpg")</f>
        <v>https://i.ytimg.com/vi/SredyORcYsE/maxresdefault.jpg</v>
      </c>
      <c r="AM3559" t="s">
        <v>52</v>
      </c>
      <c r="AN3559" t="s">
        <v>53</v>
      </c>
    </row>
    <row r="3560" spans="1:40">
      <c r="A3560" t="s">
        <v>8081</v>
      </c>
      <c r="B3560" t="s">
        <v>11202</v>
      </c>
      <c r="C3560" t="s">
        <v>11175</v>
      </c>
      <c r="D3560" t="s">
        <v>52</v>
      </c>
      <c r="E3560" t="s">
        <v>11205</v>
      </c>
      <c r="F3560" t="s">
        <v>95</v>
      </c>
      <c r="G3560" t="str">
        <f>HYPERLINK("https://twitter.com/941218024836816896/status/1142824214371733507")</f>
        <v>https://twitter.com/941218024836816896/status/1142824214371733507</v>
      </c>
      <c r="H3560" t="s">
        <v>46</v>
      </c>
      <c r="I3560" t="s">
        <v>11206</v>
      </c>
      <c r="J3560" t="str">
        <f>HYPERLINK("http://twitter.com/Rainbowcake218")</f>
        <v>http://twitter.com/Rainbowcake218</v>
      </c>
      <c r="K3560">
        <v>96</v>
      </c>
      <c r="N3560" t="s">
        <v>65</v>
      </c>
      <c r="R3560" t="s">
        <v>60</v>
      </c>
      <c r="W3560">
        <v>1</v>
      </c>
      <c r="X3560">
        <v>1</v>
      </c>
      <c r="AE3560">
        <v>0</v>
      </c>
      <c r="AF3560">
        <v>0</v>
      </c>
      <c r="AM3560" t="s">
        <v>52</v>
      </c>
      <c r="AN3560" t="s">
        <v>53</v>
      </c>
    </row>
    <row r="3561" spans="1:40">
      <c r="A3561" t="s">
        <v>8081</v>
      </c>
      <c r="B3561" t="s">
        <v>11207</v>
      </c>
      <c r="C3561" t="s">
        <v>11191</v>
      </c>
      <c r="D3561" t="s">
        <v>52</v>
      </c>
      <c r="E3561" t="s">
        <v>3749</v>
      </c>
      <c r="F3561" t="s">
        <v>71</v>
      </c>
      <c r="G3561" t="str">
        <f>HYPERLINK("https://twitter.com/970005844678111232/status/1142824108473888775")</f>
        <v>https://twitter.com/970005844678111232/status/1142824108473888775</v>
      </c>
      <c r="H3561" t="s">
        <v>46</v>
      </c>
      <c r="I3561" t="s">
        <v>11208</v>
      </c>
      <c r="J3561" t="str">
        <f>HYPERLINK("http://twitter.com/Leratoohilda")</f>
        <v>http://twitter.com/Leratoohilda</v>
      </c>
      <c r="K3561">
        <v>336</v>
      </c>
      <c r="N3561" t="s">
        <v>65</v>
      </c>
      <c r="R3561" t="s">
        <v>60</v>
      </c>
      <c r="S3561" t="s">
        <v>1071</v>
      </c>
      <c r="T3561" t="s">
        <v>5971</v>
      </c>
      <c r="U3561" t="s">
        <v>6207</v>
      </c>
      <c r="W3561">
        <v>0</v>
      </c>
      <c r="X3561">
        <v>0</v>
      </c>
      <c r="AE3561">
        <v>0</v>
      </c>
      <c r="AF3561">
        <v>0</v>
      </c>
      <c r="AI3561" t="s">
        <v>108</v>
      </c>
      <c r="AJ3561" t="s">
        <v>52</v>
      </c>
      <c r="AK3561" t="s">
        <v>52</v>
      </c>
      <c r="AL3561" t="str">
        <f>HYPERLINK("https://pbs.twimg.com/media/D9sAXHUX4AA6vJs.jpg")</f>
        <v>https://pbs.twimg.com/media/D9sAXHUX4AA6vJs.jpg</v>
      </c>
      <c r="AM3561" t="s">
        <v>52</v>
      </c>
      <c r="AN3561" t="s">
        <v>53</v>
      </c>
    </row>
    <row r="3562" spans="1:40">
      <c r="A3562" t="s">
        <v>8081</v>
      </c>
      <c r="B3562" t="s">
        <v>11207</v>
      </c>
      <c r="C3562" t="s">
        <v>11209</v>
      </c>
      <c r="D3562" t="s">
        <v>52</v>
      </c>
      <c r="E3562" t="s">
        <v>130</v>
      </c>
      <c r="F3562" t="s">
        <v>131</v>
      </c>
      <c r="G3562" t="str">
        <f>HYPERLINK("https://twitter.com/68788664/status/1142824031407751168")</f>
        <v>https://twitter.com/68788664/status/1142824031407751168</v>
      </c>
      <c r="H3562" t="s">
        <v>46</v>
      </c>
      <c r="I3562" t="s">
        <v>11210</v>
      </c>
      <c r="J3562" t="str">
        <f>HYPERLINK("http://twitter.com/balthlotus")</f>
        <v>http://twitter.com/balthlotus</v>
      </c>
      <c r="K3562">
        <v>319</v>
      </c>
      <c r="L3562" t="s">
        <v>58</v>
      </c>
      <c r="N3562" t="s">
        <v>65</v>
      </c>
      <c r="R3562" t="s">
        <v>60</v>
      </c>
      <c r="S3562" t="s">
        <v>97</v>
      </c>
      <c r="T3562" t="s">
        <v>177</v>
      </c>
      <c r="U3562" t="s">
        <v>4018</v>
      </c>
      <c r="W3562">
        <v>0</v>
      </c>
      <c r="X3562">
        <v>0</v>
      </c>
      <c r="AE3562">
        <v>0</v>
      </c>
      <c r="AI3562" t="s">
        <v>108</v>
      </c>
      <c r="AJ3562" t="s">
        <v>52</v>
      </c>
      <c r="AK3562" t="s">
        <v>52</v>
      </c>
      <c r="AL3562" t="str">
        <f>HYPERLINK("https://pbs.twimg.com/media/D9XTkLWW4AAOYnJ.jpg")</f>
        <v>https://pbs.twimg.com/media/D9XTkLWW4AAOYnJ.jpg</v>
      </c>
      <c r="AM3562" t="s">
        <v>52</v>
      </c>
      <c r="AN3562" t="s">
        <v>53</v>
      </c>
    </row>
    <row r="3563" spans="1:40">
      <c r="A3563" t="s">
        <v>8081</v>
      </c>
      <c r="B3563" t="s">
        <v>11207</v>
      </c>
      <c r="C3563" t="s">
        <v>11211</v>
      </c>
      <c r="D3563" t="s">
        <v>52</v>
      </c>
      <c r="E3563" t="s">
        <v>11212</v>
      </c>
      <c r="F3563" t="s">
        <v>71</v>
      </c>
      <c r="G3563" t="str">
        <f>HYPERLINK("https://twitter.com/881276834914197504/status/1142823983819173890")</f>
        <v>https://twitter.com/881276834914197504/status/1142823983819173890</v>
      </c>
      <c r="H3563" t="s">
        <v>46</v>
      </c>
      <c r="I3563" t="s">
        <v>11213</v>
      </c>
      <c r="J3563" t="str">
        <f>HYPERLINK("http://twitter.com/pinque_m")</f>
        <v>http://twitter.com/pinque_m</v>
      </c>
      <c r="K3563">
        <v>235</v>
      </c>
      <c r="N3563" t="s">
        <v>65</v>
      </c>
      <c r="R3563" t="s">
        <v>60</v>
      </c>
      <c r="S3563" t="s">
        <v>809</v>
      </c>
      <c r="U3563" t="s">
        <v>11214</v>
      </c>
      <c r="W3563">
        <v>0</v>
      </c>
      <c r="X3563">
        <v>0</v>
      </c>
      <c r="AE3563">
        <v>0</v>
      </c>
      <c r="AF3563">
        <v>0</v>
      </c>
      <c r="AM3563" t="s">
        <v>52</v>
      </c>
      <c r="AN3563" t="s">
        <v>53</v>
      </c>
    </row>
    <row r="3564" spans="1:40">
      <c r="A3564" t="s">
        <v>8081</v>
      </c>
      <c r="B3564" t="s">
        <v>11207</v>
      </c>
      <c r="C3564" t="s">
        <v>11191</v>
      </c>
      <c r="D3564" t="s">
        <v>52</v>
      </c>
      <c r="E3564" t="s">
        <v>11215</v>
      </c>
      <c r="F3564" t="s">
        <v>71</v>
      </c>
      <c r="G3564" t="str">
        <f>HYPERLINK("https://twitter.com/443179798/status/1142823917696036865")</f>
        <v>https://twitter.com/443179798/status/1142823917696036865</v>
      </c>
      <c r="H3564" t="s">
        <v>215</v>
      </c>
      <c r="I3564" t="s">
        <v>11216</v>
      </c>
      <c r="J3564" t="str">
        <f>HYPERLINK("http://twitter.com/thereallebo")</f>
        <v>http://twitter.com/thereallebo</v>
      </c>
      <c r="K3564">
        <v>11511</v>
      </c>
      <c r="N3564" t="s">
        <v>65</v>
      </c>
      <c r="R3564" t="s">
        <v>60</v>
      </c>
      <c r="S3564" t="s">
        <v>774</v>
      </c>
      <c r="T3564" t="s">
        <v>2679</v>
      </c>
      <c r="U3564" t="s">
        <v>11217</v>
      </c>
      <c r="W3564">
        <v>1</v>
      </c>
      <c r="X3564">
        <v>1</v>
      </c>
      <c r="AE3564">
        <v>0</v>
      </c>
      <c r="AF3564">
        <v>0</v>
      </c>
      <c r="AM3564" t="s">
        <v>52</v>
      </c>
      <c r="AN3564" t="s">
        <v>53</v>
      </c>
    </row>
    <row r="3565" spans="1:40">
      <c r="A3565" t="s">
        <v>8081</v>
      </c>
      <c r="B3565" t="s">
        <v>11207</v>
      </c>
      <c r="C3565" t="s">
        <v>11218</v>
      </c>
      <c r="D3565" t="s">
        <v>52</v>
      </c>
      <c r="E3565" t="s">
        <v>11219</v>
      </c>
      <c r="F3565" t="s">
        <v>71</v>
      </c>
      <c r="G3565" t="str">
        <f>HYPERLINK("https://twitter.com/1005099406960529409/status/1142823887715151872")</f>
        <v>https://twitter.com/1005099406960529409/status/1142823887715151872</v>
      </c>
      <c r="H3565" t="s">
        <v>46</v>
      </c>
      <c r="I3565" t="s">
        <v>2898</v>
      </c>
      <c r="J3565" t="str">
        <f>HYPERLINK("http://twitter.com/Antonel09452709")</f>
        <v>http://twitter.com/Antonel09452709</v>
      </c>
      <c r="K3565">
        <v>109</v>
      </c>
      <c r="L3565" t="s">
        <v>58</v>
      </c>
      <c r="N3565" t="s">
        <v>65</v>
      </c>
      <c r="R3565" t="s">
        <v>60</v>
      </c>
      <c r="W3565">
        <v>0</v>
      </c>
      <c r="X3565">
        <v>0</v>
      </c>
      <c r="AE3565">
        <v>0</v>
      </c>
      <c r="AF3565">
        <v>0</v>
      </c>
      <c r="AM3565" t="s">
        <v>52</v>
      </c>
      <c r="AN3565" t="s">
        <v>53</v>
      </c>
    </row>
    <row r="3566" spans="1:40">
      <c r="A3566" t="s">
        <v>8081</v>
      </c>
      <c r="B3566" t="s">
        <v>11220</v>
      </c>
      <c r="C3566" t="s">
        <v>11179</v>
      </c>
      <c r="D3566" t="s">
        <v>52</v>
      </c>
      <c r="E3566" t="s">
        <v>11221</v>
      </c>
      <c r="F3566" t="s">
        <v>71</v>
      </c>
      <c r="G3566" t="str">
        <f>HYPERLINK("https://twitter.com/977530608703410177/status/1142823830735532033")</f>
        <v>https://twitter.com/977530608703410177/status/1142823830735532033</v>
      </c>
      <c r="H3566" t="s">
        <v>46</v>
      </c>
      <c r="I3566" t="s">
        <v>11222</v>
      </c>
      <c r="J3566" t="str">
        <f>HYPERLINK("http://twitter.com/comescratchme")</f>
        <v>http://twitter.com/comescratchme</v>
      </c>
      <c r="K3566">
        <v>15</v>
      </c>
      <c r="L3566" t="s">
        <v>48</v>
      </c>
      <c r="N3566" t="s">
        <v>65</v>
      </c>
      <c r="R3566" t="s">
        <v>60</v>
      </c>
      <c r="S3566" t="s">
        <v>51</v>
      </c>
      <c r="T3566" t="s">
        <v>84</v>
      </c>
      <c r="U3566" t="s">
        <v>85</v>
      </c>
      <c r="W3566">
        <v>0</v>
      </c>
      <c r="X3566">
        <v>0</v>
      </c>
      <c r="AE3566">
        <v>0</v>
      </c>
      <c r="AF3566">
        <v>0</v>
      </c>
      <c r="AM3566" t="s">
        <v>52</v>
      </c>
      <c r="AN3566" t="s">
        <v>53</v>
      </c>
    </row>
    <row r="3567" spans="1:40">
      <c r="A3567" t="s">
        <v>8081</v>
      </c>
      <c r="B3567" t="s">
        <v>11220</v>
      </c>
      <c r="C3567" t="s">
        <v>11223</v>
      </c>
      <c r="D3567" t="s">
        <v>11192</v>
      </c>
      <c r="E3567" t="s">
        <v>11224</v>
      </c>
      <c r="F3567" t="s">
        <v>45</v>
      </c>
      <c r="G3567" t="str">
        <f>HYPERLINK("https://www.youtube.com/watch?v=dEkvPQ43g8w")</f>
        <v>https://www.youtube.com/watch?v=dEkvPQ43g8w</v>
      </c>
      <c r="H3567" t="s">
        <v>46</v>
      </c>
      <c r="I3567" t="s">
        <v>11194</v>
      </c>
      <c r="J3567" t="str">
        <f>HYPERLINK("https://www.youtube.com/channel/UCtuL9CuaI9Y_G_mWvnBxcZw")</f>
        <v>https://www.youtube.com/channel/UCtuL9CuaI9Y_G_mWvnBxcZw</v>
      </c>
      <c r="K3567">
        <v>60</v>
      </c>
      <c r="N3567" t="s">
        <v>116</v>
      </c>
      <c r="O3567" t="s">
        <v>11194</v>
      </c>
      <c r="P3567" t="str">
        <f>HYPERLINK("https://www.youtube.com/channel/UCtuL9CuaI9Y_G_mWvnBxcZw")</f>
        <v>https://www.youtube.com/channel/UCtuL9CuaI9Y_G_mWvnBxcZw</v>
      </c>
      <c r="Q3567">
        <v>60</v>
      </c>
      <c r="R3567" t="s">
        <v>60</v>
      </c>
      <c r="W3567">
        <v>0</v>
      </c>
      <c r="X3567">
        <v>0</v>
      </c>
      <c r="AD3567">
        <v>0</v>
      </c>
      <c r="AE3567">
        <v>1</v>
      </c>
      <c r="AG3567">
        <v>4</v>
      </c>
      <c r="AI3567" t="s">
        <v>52</v>
      </c>
      <c r="AJ3567" t="s">
        <v>52</v>
      </c>
      <c r="AK3567" t="s">
        <v>52</v>
      </c>
      <c r="AL3567" t="str">
        <f>HYPERLINK("https://i.ytimg.com/vi/dEkvPQ43g8w/sddefault.jpg")</f>
        <v>https://i.ytimg.com/vi/dEkvPQ43g8w/sddefault.jpg</v>
      </c>
      <c r="AM3567" t="s">
        <v>52</v>
      </c>
      <c r="AN3567" t="s">
        <v>53</v>
      </c>
    </row>
    <row r="3568" spans="1:40">
      <c r="A3568" t="s">
        <v>8081</v>
      </c>
      <c r="B3568" t="s">
        <v>153</v>
      </c>
      <c r="C3568" t="s">
        <v>11225</v>
      </c>
      <c r="D3568" t="s">
        <v>52</v>
      </c>
      <c r="E3568" t="s">
        <v>11226</v>
      </c>
      <c r="F3568" t="s">
        <v>45</v>
      </c>
      <c r="G3568" t="str">
        <f>HYPERLINK("https://twitter.com/228260617/status/1142823607170715648")</f>
        <v>https://twitter.com/228260617/status/1142823607170715648</v>
      </c>
      <c r="H3568" t="s">
        <v>46</v>
      </c>
      <c r="I3568" t="s">
        <v>11227</v>
      </c>
      <c r="J3568" t="str">
        <f>HYPERLINK("http://twitter.com/TheRealGerry")</f>
        <v>http://twitter.com/TheRealGerry</v>
      </c>
      <c r="K3568">
        <v>234</v>
      </c>
      <c r="N3568" t="s">
        <v>65</v>
      </c>
      <c r="R3568" t="s">
        <v>60</v>
      </c>
      <c r="S3568" t="s">
        <v>444</v>
      </c>
      <c r="T3568" t="s">
        <v>1062</v>
      </c>
      <c r="U3568" t="s">
        <v>3442</v>
      </c>
      <c r="W3568">
        <v>21</v>
      </c>
      <c r="X3568">
        <v>21</v>
      </c>
      <c r="AE3568">
        <v>4</v>
      </c>
      <c r="AF3568">
        <v>0</v>
      </c>
      <c r="AM3568" t="s">
        <v>52</v>
      </c>
      <c r="AN3568" t="s">
        <v>53</v>
      </c>
    </row>
    <row r="3569" spans="1:40">
      <c r="A3569" t="s">
        <v>8081</v>
      </c>
      <c r="B3569" t="s">
        <v>170</v>
      </c>
      <c r="C3569" t="s">
        <v>11211</v>
      </c>
      <c r="D3569" t="s">
        <v>52</v>
      </c>
      <c r="E3569" t="s">
        <v>11228</v>
      </c>
      <c r="F3569" t="s">
        <v>45</v>
      </c>
      <c r="G3569" t="str">
        <f>HYPERLINK("https://www.instagram.com/p/BzDtm6-HIrk")</f>
        <v>https://www.instagram.com/p/BzDtm6-HIrk</v>
      </c>
      <c r="H3569" t="s">
        <v>215</v>
      </c>
      <c r="I3569" t="s">
        <v>11229</v>
      </c>
      <c r="J3569" t="str">
        <f>HYPERLINK("http://instagram.com/jennrec0")</f>
        <v>http://instagram.com/jennrec0</v>
      </c>
      <c r="K3569">
        <v>213</v>
      </c>
      <c r="N3569" t="s">
        <v>59</v>
      </c>
      <c r="O3569" t="s">
        <v>11229</v>
      </c>
      <c r="P3569" t="str">
        <f>HYPERLINK("http://instagram.com/jennrec0")</f>
        <v>http://instagram.com/jennrec0</v>
      </c>
      <c r="Q3569">
        <v>213</v>
      </c>
      <c r="R3569" t="s">
        <v>60</v>
      </c>
      <c r="W3569">
        <v>17</v>
      </c>
      <c r="X3569">
        <v>17</v>
      </c>
      <c r="AE3569">
        <v>0</v>
      </c>
      <c r="AI3569" t="s">
        <v>52</v>
      </c>
      <c r="AJ3569" t="s">
        <v>11230</v>
      </c>
      <c r="AK3569" t="s">
        <v>52</v>
      </c>
      <c r="AL3569" t="str">
        <f>HYPERLINK("https://www.instagram.com/p/BzDtm6-HIrk/media/?size=l")</f>
        <v>https://www.instagram.com/p/BzDtm6-HIrk/media/?size=l</v>
      </c>
      <c r="AM3569" t="s">
        <v>52</v>
      </c>
      <c r="AN3569" t="s">
        <v>53</v>
      </c>
    </row>
    <row r="3570" spans="1:40">
      <c r="A3570" t="s">
        <v>8081</v>
      </c>
      <c r="B3570" t="s">
        <v>179</v>
      </c>
      <c r="C3570" t="s">
        <v>11231</v>
      </c>
      <c r="D3570" t="s">
        <v>52</v>
      </c>
      <c r="E3570" t="s">
        <v>130</v>
      </c>
      <c r="F3570" t="s">
        <v>131</v>
      </c>
      <c r="G3570" t="str">
        <f>HYPERLINK("https://twitter.com/875250774/status/1142822603884810240")</f>
        <v>https://twitter.com/875250774/status/1142822603884810240</v>
      </c>
      <c r="H3570" t="s">
        <v>46</v>
      </c>
      <c r="I3570" t="s">
        <v>11232</v>
      </c>
      <c r="J3570" t="str">
        <f>HYPERLINK("http://twitter.com/junkitmo")</f>
        <v>http://twitter.com/junkitmo</v>
      </c>
      <c r="K3570">
        <v>291</v>
      </c>
      <c r="N3570" t="s">
        <v>65</v>
      </c>
      <c r="R3570" t="s">
        <v>60</v>
      </c>
      <c r="S3570" t="s">
        <v>97</v>
      </c>
      <c r="T3570" t="s">
        <v>177</v>
      </c>
      <c r="U3570" t="s">
        <v>6516</v>
      </c>
      <c r="W3570">
        <v>0</v>
      </c>
      <c r="X3570">
        <v>0</v>
      </c>
      <c r="AE3570">
        <v>0</v>
      </c>
      <c r="AI3570" t="s">
        <v>108</v>
      </c>
      <c r="AJ3570" t="s">
        <v>52</v>
      </c>
      <c r="AK3570" t="s">
        <v>52</v>
      </c>
      <c r="AL3570" t="str">
        <f>HYPERLINK("https://pbs.twimg.com/media/D9XTkLWW4AAOYnJ.jpg")</f>
        <v>https://pbs.twimg.com/media/D9XTkLWW4AAOYnJ.jpg</v>
      </c>
      <c r="AM3570" t="s">
        <v>52</v>
      </c>
      <c r="AN3570" t="s">
        <v>53</v>
      </c>
    </row>
    <row r="3571" spans="1:40">
      <c r="A3571" t="s">
        <v>8081</v>
      </c>
      <c r="B3571" t="s">
        <v>179</v>
      </c>
      <c r="C3571" t="s">
        <v>11233</v>
      </c>
      <c r="D3571" t="s">
        <v>52</v>
      </c>
      <c r="E3571" t="s">
        <v>11234</v>
      </c>
      <c r="F3571" t="s">
        <v>45</v>
      </c>
      <c r="G3571" t="str">
        <f>HYPERLINK("https://www.instagram.com/p/BzDtVUWgDiA")</f>
        <v>https://www.instagram.com/p/BzDtVUWgDiA</v>
      </c>
      <c r="H3571" t="s">
        <v>46</v>
      </c>
      <c r="I3571" t="s">
        <v>9018</v>
      </c>
      <c r="J3571" t="str">
        <f>HYPERLINK("http://instagram.com/e_kitchen92")</f>
        <v>http://instagram.com/e_kitchen92</v>
      </c>
      <c r="K3571">
        <v>1409</v>
      </c>
      <c r="N3571" t="s">
        <v>59</v>
      </c>
      <c r="O3571" t="s">
        <v>9018</v>
      </c>
      <c r="P3571" t="str">
        <f>HYPERLINK("http://instagram.com/e_kitchen92")</f>
        <v>http://instagram.com/e_kitchen92</v>
      </c>
      <c r="Q3571">
        <v>1409</v>
      </c>
      <c r="R3571" t="s">
        <v>60</v>
      </c>
      <c r="W3571">
        <v>29</v>
      </c>
      <c r="X3571">
        <v>29</v>
      </c>
      <c r="AE3571">
        <v>0</v>
      </c>
      <c r="AI3571" t="s">
        <v>52</v>
      </c>
      <c r="AJ3571" t="s">
        <v>11235</v>
      </c>
      <c r="AK3571" t="s">
        <v>52</v>
      </c>
      <c r="AL3571" t="str">
        <f>HYPERLINK("https://www.instagram.com/p/BzDtVUWgDiA/media/?size=l")</f>
        <v>https://www.instagram.com/p/BzDtVUWgDiA/media/?size=l</v>
      </c>
      <c r="AM3571" t="s">
        <v>52</v>
      </c>
      <c r="AN3571" t="s">
        <v>53</v>
      </c>
    </row>
    <row r="3572" spans="1:40">
      <c r="A3572" t="s">
        <v>8081</v>
      </c>
      <c r="B3572" t="s">
        <v>191</v>
      </c>
      <c r="C3572" t="s">
        <v>11236</v>
      </c>
      <c r="D3572" t="s">
        <v>52</v>
      </c>
      <c r="E3572" t="s">
        <v>11237</v>
      </c>
      <c r="F3572" t="s">
        <v>95</v>
      </c>
      <c r="G3572" t="str">
        <f>HYPERLINK("https://twitter.com/37595146/status/1142821921492557825")</f>
        <v>https://twitter.com/37595146/status/1142821921492557825</v>
      </c>
      <c r="H3572" t="s">
        <v>215</v>
      </c>
      <c r="I3572" t="s">
        <v>11238</v>
      </c>
      <c r="J3572" t="str">
        <f>HYPERLINK("http://twitter.com/RoyalCrownBrand")</f>
        <v>http://twitter.com/RoyalCrownBrand</v>
      </c>
      <c r="K3572">
        <v>42</v>
      </c>
      <c r="N3572" t="s">
        <v>65</v>
      </c>
      <c r="R3572" t="s">
        <v>60</v>
      </c>
      <c r="W3572">
        <v>2</v>
      </c>
      <c r="X3572">
        <v>2</v>
      </c>
      <c r="AE3572">
        <v>0</v>
      </c>
      <c r="AF3572">
        <v>0</v>
      </c>
      <c r="AM3572" t="s">
        <v>52</v>
      </c>
      <c r="AN3572" t="s">
        <v>53</v>
      </c>
    </row>
    <row r="3573" spans="1:40">
      <c r="A3573" t="s">
        <v>8081</v>
      </c>
      <c r="B3573" t="s">
        <v>191</v>
      </c>
      <c r="C3573" t="s">
        <v>11233</v>
      </c>
      <c r="D3573" t="s">
        <v>52</v>
      </c>
      <c r="E3573" t="s">
        <v>3749</v>
      </c>
      <c r="F3573" t="s">
        <v>71</v>
      </c>
      <c r="G3573" t="str">
        <f>HYPERLINK("https://twitter.com/955292905/status/1142821903993753600")</f>
        <v>https://twitter.com/955292905/status/1142821903993753600</v>
      </c>
      <c r="H3573" t="s">
        <v>46</v>
      </c>
      <c r="I3573" t="s">
        <v>11239</v>
      </c>
      <c r="J3573" t="str">
        <f>HYPERLINK("http://twitter.com/_jivan")</f>
        <v>http://twitter.com/_jivan</v>
      </c>
      <c r="K3573">
        <v>1008</v>
      </c>
      <c r="N3573" t="s">
        <v>65</v>
      </c>
      <c r="R3573" t="s">
        <v>60</v>
      </c>
      <c r="S3573" t="s">
        <v>1310</v>
      </c>
      <c r="T3573" t="s">
        <v>10186</v>
      </c>
      <c r="U3573" t="s">
        <v>10187</v>
      </c>
      <c r="W3573">
        <v>0</v>
      </c>
      <c r="X3573">
        <v>0</v>
      </c>
      <c r="AE3573">
        <v>0</v>
      </c>
      <c r="AF3573">
        <v>0</v>
      </c>
      <c r="AI3573" t="s">
        <v>108</v>
      </c>
      <c r="AJ3573" t="s">
        <v>52</v>
      </c>
      <c r="AK3573" t="s">
        <v>52</v>
      </c>
      <c r="AL3573" t="str">
        <f>HYPERLINK("https://pbs.twimg.com/media/D9sAXHUX4AA6vJs.jpg")</f>
        <v>https://pbs.twimg.com/media/D9sAXHUX4AA6vJs.jpg</v>
      </c>
      <c r="AM3573" t="s">
        <v>52</v>
      </c>
      <c r="AN3573" t="s">
        <v>53</v>
      </c>
    </row>
    <row r="3574" spans="1:40">
      <c r="A3574" t="s">
        <v>8081</v>
      </c>
      <c r="B3574" t="s">
        <v>191</v>
      </c>
      <c r="C3574" t="s">
        <v>11240</v>
      </c>
      <c r="D3574" t="s">
        <v>52</v>
      </c>
      <c r="E3574" t="s">
        <v>3749</v>
      </c>
      <c r="F3574" t="s">
        <v>71</v>
      </c>
      <c r="G3574" t="str">
        <f>HYPERLINK("https://twitter.com/1917193832/status/1142821884595200001")</f>
        <v>https://twitter.com/1917193832/status/1142821884595200001</v>
      </c>
      <c r="H3574" t="s">
        <v>46</v>
      </c>
      <c r="I3574" t="s">
        <v>11241</v>
      </c>
      <c r="J3574" t="str">
        <f>HYPERLINK("http://twitter.com/kgwerano5")</f>
        <v>http://twitter.com/kgwerano5</v>
      </c>
      <c r="K3574">
        <v>1549</v>
      </c>
      <c r="N3574" t="s">
        <v>65</v>
      </c>
      <c r="R3574" t="s">
        <v>60</v>
      </c>
      <c r="S3574" t="s">
        <v>1071</v>
      </c>
      <c r="T3574" t="s">
        <v>5971</v>
      </c>
      <c r="U3574" t="s">
        <v>11242</v>
      </c>
      <c r="W3574">
        <v>0</v>
      </c>
      <c r="X3574">
        <v>0</v>
      </c>
      <c r="AE3574">
        <v>0</v>
      </c>
      <c r="AF3574">
        <v>0</v>
      </c>
      <c r="AI3574" t="s">
        <v>108</v>
      </c>
      <c r="AJ3574" t="s">
        <v>52</v>
      </c>
      <c r="AK3574" t="s">
        <v>52</v>
      </c>
      <c r="AL3574" t="str">
        <f>HYPERLINK("https://pbs.twimg.com/media/D9sAXHUX4AA6vJs.jpg")</f>
        <v>https://pbs.twimg.com/media/D9sAXHUX4AA6vJs.jpg</v>
      </c>
      <c r="AM3574" t="s">
        <v>52</v>
      </c>
      <c r="AN3574" t="s">
        <v>53</v>
      </c>
    </row>
    <row r="3575" spans="1:40">
      <c r="A3575" t="s">
        <v>8081</v>
      </c>
      <c r="B3575" t="s">
        <v>202</v>
      </c>
      <c r="C3575" t="s">
        <v>11243</v>
      </c>
      <c r="D3575" t="s">
        <v>52</v>
      </c>
      <c r="E3575" t="s">
        <v>11244</v>
      </c>
      <c r="F3575" t="s">
        <v>45</v>
      </c>
      <c r="G3575" t="str">
        <f>HYPERLINK("https://www.instagram.com/p/BzDs3taoHk6")</f>
        <v>https://www.instagram.com/p/BzDs3taoHk6</v>
      </c>
      <c r="H3575" t="s">
        <v>46</v>
      </c>
      <c r="I3575" t="s">
        <v>11245</v>
      </c>
      <c r="J3575" t="str">
        <f>HYPERLINK("http://instagram.com/mallytrendyssima")</f>
        <v>http://instagram.com/mallytrendyssima</v>
      </c>
      <c r="K3575">
        <v>349</v>
      </c>
      <c r="N3575" t="s">
        <v>59</v>
      </c>
      <c r="O3575" t="s">
        <v>11245</v>
      </c>
      <c r="P3575" t="str">
        <f>HYPERLINK("http://instagram.com/mallytrendyssima")</f>
        <v>http://instagram.com/mallytrendyssima</v>
      </c>
      <c r="Q3575">
        <v>349</v>
      </c>
      <c r="R3575" t="s">
        <v>60</v>
      </c>
      <c r="W3575">
        <v>21</v>
      </c>
      <c r="X3575">
        <v>21</v>
      </c>
      <c r="AE3575">
        <v>1</v>
      </c>
      <c r="AI3575" t="s">
        <v>108</v>
      </c>
      <c r="AJ3575" t="s">
        <v>659</v>
      </c>
      <c r="AK3575" t="s">
        <v>52</v>
      </c>
      <c r="AL3575" t="str">
        <f>HYPERLINK("https://www.instagram.com/p/BzDs3taoHk6/media/?size=l")</f>
        <v>https://www.instagram.com/p/BzDs3taoHk6/media/?size=l</v>
      </c>
      <c r="AM3575" t="s">
        <v>52</v>
      </c>
      <c r="AN3575" t="s">
        <v>53</v>
      </c>
    </row>
    <row r="3576" spans="1:40">
      <c r="A3576" t="s">
        <v>8081</v>
      </c>
      <c r="B3576" t="s">
        <v>11246</v>
      </c>
      <c r="C3576" t="s">
        <v>11247</v>
      </c>
      <c r="D3576" t="s">
        <v>52</v>
      </c>
      <c r="E3576" t="s">
        <v>11248</v>
      </c>
      <c r="F3576" t="s">
        <v>45</v>
      </c>
      <c r="G3576" t="str">
        <f>HYPERLINK("https://www.facebook.com/202296683514100/posts/621226238287807")</f>
        <v>https://www.facebook.com/202296683514100/posts/621226238287807</v>
      </c>
      <c r="H3576" t="s">
        <v>46</v>
      </c>
      <c r="I3576" t="s">
        <v>11249</v>
      </c>
      <c r="J3576" t="str">
        <f>HYPERLINK("https://www.facebook.com/202296683514100")</f>
        <v>https://www.facebook.com/202296683514100</v>
      </c>
      <c r="K3576">
        <v>8643</v>
      </c>
      <c r="L3576" t="s">
        <v>651</v>
      </c>
      <c r="N3576" t="s">
        <v>1792</v>
      </c>
      <c r="O3576" t="s">
        <v>11249</v>
      </c>
      <c r="P3576" t="str">
        <f>HYPERLINK("https://www.facebook.com/202296683514100")</f>
        <v>https://www.facebook.com/202296683514100</v>
      </c>
      <c r="Q3576">
        <v>8643</v>
      </c>
      <c r="R3576" t="s">
        <v>60</v>
      </c>
      <c r="S3576" t="s">
        <v>97</v>
      </c>
      <c r="W3576">
        <v>15</v>
      </c>
      <c r="X3576">
        <v>12</v>
      </c>
      <c r="Y3576">
        <v>3</v>
      </c>
      <c r="Z3576">
        <v>0</v>
      </c>
      <c r="AA3576">
        <v>0</v>
      </c>
      <c r="AB3576">
        <v>0</v>
      </c>
      <c r="AC3576">
        <v>0</v>
      </c>
      <c r="AE3576">
        <v>7</v>
      </c>
      <c r="AF3576">
        <v>0</v>
      </c>
      <c r="AI3576" t="s">
        <v>108</v>
      </c>
      <c r="AJ3576" t="s">
        <v>1545</v>
      </c>
      <c r="AK3576" t="s">
        <v>52</v>
      </c>
      <c r="AL3576" t="str">
        <f>HYPERLINK("https://scontent.xx.fbcdn.net/v/t1.0-9/s720x720/64838600_621226204954477_9139208072470724608_n.jpg?_nc_cat=108&amp;_nc_oc=AQlGUi9TYYiwyQjTnRPm_d_cAUffakz4HwPQA_cVijqI7DW2Fh2b_ol-6ua3mq2ofNg&amp;_nc_ht=scontent.xx&amp;oh=17d1e89a918ccc31f9c7dbbc2faee9b2&amp;oe=5D7AB8C2")</f>
        <v>https://scontent.xx.fbcdn.net/v/t1.0-9/s720x720/64838600_621226204954477_9139208072470724608_n.jpg?_nc_cat=108&amp;_nc_oc=AQlGUi9TYYiwyQjTnRPm_d_cAUffakz4HwPQA_cVijqI7DW2Fh2b_ol-6ua3mq2ofNg&amp;_nc_ht=scontent.xx&amp;oh=17d1e89a918ccc31f9c7dbbc2faee9b2&amp;oe=5D7AB8C2</v>
      </c>
      <c r="AM3576" t="s">
        <v>52</v>
      </c>
      <c r="AN3576" t="s">
        <v>53</v>
      </c>
    </row>
    <row r="3577" spans="1:40">
      <c r="A3577" t="s">
        <v>8081</v>
      </c>
      <c r="B3577" t="s">
        <v>5784</v>
      </c>
      <c r="C3577" t="s">
        <v>9164</v>
      </c>
      <c r="D3577" t="s">
        <v>52</v>
      </c>
      <c r="E3577" t="s">
        <v>11250</v>
      </c>
      <c r="F3577" t="s">
        <v>45</v>
      </c>
      <c r="G3577" t="str">
        <f>HYPERLINK("https://www.instagram.com/p/BzDsto_HH32")</f>
        <v>https://www.instagram.com/p/BzDsto_HH32</v>
      </c>
      <c r="H3577" t="s">
        <v>46</v>
      </c>
      <c r="I3577" t="s">
        <v>11251</v>
      </c>
      <c r="J3577" t="str">
        <f>HYPERLINK("http://instagram.com/rachie_at_no_16")</f>
        <v>http://instagram.com/rachie_at_no_16</v>
      </c>
      <c r="K3577">
        <v>816</v>
      </c>
      <c r="L3577" t="s">
        <v>58</v>
      </c>
      <c r="N3577" t="s">
        <v>59</v>
      </c>
      <c r="O3577" t="s">
        <v>11251</v>
      </c>
      <c r="P3577" t="str">
        <f>HYPERLINK("http://instagram.com/rachie_at_no_16")</f>
        <v>http://instagram.com/rachie_at_no_16</v>
      </c>
      <c r="Q3577">
        <v>816</v>
      </c>
      <c r="R3577" t="s">
        <v>60</v>
      </c>
      <c r="W3577">
        <v>10</v>
      </c>
      <c r="X3577">
        <v>10</v>
      </c>
      <c r="AE3577">
        <v>0</v>
      </c>
      <c r="AI3577" t="s">
        <v>108</v>
      </c>
      <c r="AJ3577" t="s">
        <v>985</v>
      </c>
      <c r="AK3577" t="s">
        <v>52</v>
      </c>
      <c r="AL3577" t="str">
        <f>HYPERLINK("https://www.instagram.com/p/BzDsto_HH32/media/?size=l")</f>
        <v>https://www.instagram.com/p/BzDsto_HH32/media/?size=l</v>
      </c>
      <c r="AM3577" t="s">
        <v>52</v>
      </c>
      <c r="AN3577" t="s">
        <v>53</v>
      </c>
    </row>
    <row r="3578" spans="1:40">
      <c r="A3578" t="s">
        <v>8081</v>
      </c>
      <c r="B3578" t="s">
        <v>5791</v>
      </c>
      <c r="C3578" t="s">
        <v>11252</v>
      </c>
      <c r="D3578" t="s">
        <v>11253</v>
      </c>
      <c r="E3578" t="s">
        <v>11254</v>
      </c>
      <c r="F3578" t="s">
        <v>45</v>
      </c>
      <c r="G3578" t="str">
        <f>HYPERLINK("https://www.youtube.com/watch?v=J3pm8r0irOA")</f>
        <v>https://www.youtube.com/watch?v=J3pm8r0irOA</v>
      </c>
      <c r="H3578" t="s">
        <v>46</v>
      </c>
      <c r="I3578" t="s">
        <v>11255</v>
      </c>
      <c r="J3578" t="str">
        <f>HYPERLINK("https://www.youtube.com/channel/UC9Vg-EaLQ7-8C2rYz2fvxjQ")</f>
        <v>https://www.youtube.com/channel/UC9Vg-EaLQ7-8C2rYz2fvxjQ</v>
      </c>
      <c r="K3578">
        <v>1433</v>
      </c>
      <c r="N3578" t="s">
        <v>116</v>
      </c>
      <c r="O3578" t="s">
        <v>11255</v>
      </c>
      <c r="P3578" t="str">
        <f>HYPERLINK("https://www.youtube.com/channel/UC9Vg-EaLQ7-8C2rYz2fvxjQ")</f>
        <v>https://www.youtube.com/channel/UC9Vg-EaLQ7-8C2rYz2fvxjQ</v>
      </c>
      <c r="Q3578">
        <v>1433</v>
      </c>
      <c r="R3578" t="s">
        <v>60</v>
      </c>
      <c r="W3578">
        <v>12</v>
      </c>
      <c r="X3578">
        <v>12</v>
      </c>
      <c r="AD3578">
        <v>0</v>
      </c>
      <c r="AE3578">
        <v>1</v>
      </c>
      <c r="AG3578">
        <v>86</v>
      </c>
      <c r="AI3578" t="s">
        <v>108</v>
      </c>
      <c r="AJ3578" t="s">
        <v>11256</v>
      </c>
      <c r="AK3578" t="s">
        <v>52</v>
      </c>
      <c r="AL3578" t="str">
        <f>HYPERLINK("https://i.ytimg.com/vi/J3pm8r0irOA/hqdefault_live.jpg")</f>
        <v>https://i.ytimg.com/vi/J3pm8r0irOA/hqdefault_live.jpg</v>
      </c>
      <c r="AM3578" t="s">
        <v>52</v>
      </c>
      <c r="AN3578" t="s">
        <v>53</v>
      </c>
    </row>
    <row r="3579" spans="1:40">
      <c r="A3579" t="s">
        <v>8081</v>
      </c>
      <c r="B3579" t="s">
        <v>206</v>
      </c>
      <c r="C3579" t="s">
        <v>11257</v>
      </c>
      <c r="D3579" t="s">
        <v>11258</v>
      </c>
      <c r="E3579" t="s">
        <v>11259</v>
      </c>
      <c r="F3579" t="s">
        <v>45</v>
      </c>
      <c r="G3579" t="str">
        <f>HYPERLINK("https://www.youtube.com/watch?v=QsBPPSrzdtw")</f>
        <v>https://www.youtube.com/watch?v=QsBPPSrzdtw</v>
      </c>
      <c r="H3579" t="s">
        <v>46</v>
      </c>
      <c r="I3579" t="s">
        <v>11260</v>
      </c>
      <c r="J3579" t="str">
        <f>HYPERLINK("https://www.youtube.com/channel/UCbcyaL_We5fODkeheazWq3A")</f>
        <v>https://www.youtube.com/channel/UCbcyaL_We5fODkeheazWq3A</v>
      </c>
      <c r="K3579">
        <v>201</v>
      </c>
      <c r="N3579" t="s">
        <v>116</v>
      </c>
      <c r="O3579" t="s">
        <v>11260</v>
      </c>
      <c r="P3579" t="str">
        <f>HYPERLINK("https://www.youtube.com/channel/UCbcyaL_We5fODkeheazWq3A")</f>
        <v>https://www.youtube.com/channel/UCbcyaL_We5fODkeheazWq3A</v>
      </c>
      <c r="Q3579">
        <v>201</v>
      </c>
      <c r="R3579" t="s">
        <v>60</v>
      </c>
      <c r="S3579" t="s">
        <v>97</v>
      </c>
      <c r="W3579">
        <v>0</v>
      </c>
      <c r="X3579">
        <v>0</v>
      </c>
      <c r="AD3579">
        <v>0</v>
      </c>
      <c r="AE3579">
        <v>0</v>
      </c>
      <c r="AG3579">
        <v>2</v>
      </c>
      <c r="AI3579" t="s">
        <v>52</v>
      </c>
      <c r="AJ3579" t="s">
        <v>52</v>
      </c>
      <c r="AK3579" t="s">
        <v>11261</v>
      </c>
      <c r="AL3579" t="str">
        <f>HYPERLINK("https://i.ytimg.com/vi/QsBPPSrzdtw/maxresdefault.jpg")</f>
        <v>https://i.ytimg.com/vi/QsBPPSrzdtw/maxresdefault.jpg</v>
      </c>
      <c r="AM3579" t="s">
        <v>52</v>
      </c>
      <c r="AN3579" t="s">
        <v>53</v>
      </c>
    </row>
    <row r="3580" spans="1:40">
      <c r="A3580" t="s">
        <v>8081</v>
      </c>
      <c r="B3580" t="s">
        <v>206</v>
      </c>
      <c r="C3580" t="s">
        <v>11262</v>
      </c>
      <c r="D3580" t="s">
        <v>52</v>
      </c>
      <c r="E3580" t="s">
        <v>11263</v>
      </c>
      <c r="F3580" t="s">
        <v>95</v>
      </c>
      <c r="G3580" t="str">
        <f>HYPERLINK("https://twitter.com/1517477816/status/1142819953550213121")</f>
        <v>https://twitter.com/1517477816/status/1142819953550213121</v>
      </c>
      <c r="H3580" t="s">
        <v>46</v>
      </c>
      <c r="I3580" t="s">
        <v>11264</v>
      </c>
      <c r="J3580" t="str">
        <f>HYPERLINK("http://twitter.com/Eagleshive")</f>
        <v>http://twitter.com/Eagleshive</v>
      </c>
      <c r="K3580">
        <v>355</v>
      </c>
      <c r="N3580" t="s">
        <v>65</v>
      </c>
      <c r="R3580" t="s">
        <v>60</v>
      </c>
      <c r="S3580" t="s">
        <v>51</v>
      </c>
      <c r="T3580" t="s">
        <v>678</v>
      </c>
      <c r="U3580" t="s">
        <v>679</v>
      </c>
      <c r="W3580">
        <v>0</v>
      </c>
      <c r="X3580">
        <v>0</v>
      </c>
      <c r="AE3580">
        <v>1</v>
      </c>
      <c r="AF3580">
        <v>0</v>
      </c>
      <c r="AM3580" t="s">
        <v>52</v>
      </c>
      <c r="AN3580" t="s">
        <v>53</v>
      </c>
    </row>
    <row r="3581" spans="1:40">
      <c r="A3581" t="s">
        <v>8081</v>
      </c>
      <c r="B3581" t="s">
        <v>206</v>
      </c>
      <c r="C3581" t="s">
        <v>11233</v>
      </c>
      <c r="D3581" t="s">
        <v>11265</v>
      </c>
      <c r="E3581" t="s">
        <v>11266</v>
      </c>
      <c r="F3581" t="s">
        <v>45</v>
      </c>
      <c r="G3581" t="str">
        <f>HYPERLINK("https://www.youtube.com/watch?v=09y1eIB3kcE")</f>
        <v>https://www.youtube.com/watch?v=09y1eIB3kcE</v>
      </c>
      <c r="H3581" t="s">
        <v>46</v>
      </c>
      <c r="I3581" t="s">
        <v>11267</v>
      </c>
      <c r="J3581" t="str">
        <f>HYPERLINK("https://www.youtube.com/channel/UCYpwYMU4OpZ5UyGe-jb8D4w")</f>
        <v>https://www.youtube.com/channel/UCYpwYMU4OpZ5UyGe-jb8D4w</v>
      </c>
      <c r="K3581">
        <v>38</v>
      </c>
      <c r="N3581" t="s">
        <v>116</v>
      </c>
      <c r="O3581" t="s">
        <v>11267</v>
      </c>
      <c r="P3581" t="str">
        <f>HYPERLINK("https://www.youtube.com/channel/UCYpwYMU4OpZ5UyGe-jb8D4w")</f>
        <v>https://www.youtube.com/channel/UCYpwYMU4OpZ5UyGe-jb8D4w</v>
      </c>
      <c r="Q3581">
        <v>38</v>
      </c>
      <c r="R3581" t="s">
        <v>60</v>
      </c>
      <c r="W3581">
        <v>1</v>
      </c>
      <c r="X3581">
        <v>1</v>
      </c>
      <c r="AD3581">
        <v>0</v>
      </c>
      <c r="AE3581">
        <v>0</v>
      </c>
      <c r="AG3581">
        <v>10</v>
      </c>
      <c r="AI3581" t="s">
        <v>52</v>
      </c>
      <c r="AJ3581" t="s">
        <v>3551</v>
      </c>
      <c r="AK3581" t="s">
        <v>52</v>
      </c>
      <c r="AL3581" t="str">
        <f>HYPERLINK("https://i.ytimg.com/vi/09y1eIB3kcE/sddefault.jpg")</f>
        <v>https://i.ytimg.com/vi/09y1eIB3kcE/sddefault.jpg</v>
      </c>
      <c r="AM3581" t="s">
        <v>52</v>
      </c>
      <c r="AN3581" t="s">
        <v>53</v>
      </c>
    </row>
    <row r="3582" spans="1:40">
      <c r="A3582" t="s">
        <v>8081</v>
      </c>
      <c r="B3582" t="s">
        <v>5820</v>
      </c>
      <c r="C3582" t="s">
        <v>11268</v>
      </c>
      <c r="D3582" t="s">
        <v>52</v>
      </c>
      <c r="E3582" t="s">
        <v>11269</v>
      </c>
      <c r="F3582" t="s">
        <v>95</v>
      </c>
      <c r="G3582" t="str">
        <f>HYPERLINK("https://twitter.com/66735043/status/1142819506655584259")</f>
        <v>https://twitter.com/66735043/status/1142819506655584259</v>
      </c>
      <c r="H3582" t="s">
        <v>46</v>
      </c>
      <c r="I3582" t="s">
        <v>11270</v>
      </c>
      <c r="J3582" t="str">
        <f>HYPERLINK("http://twitter.com/originalstevieb")</f>
        <v>http://twitter.com/originalstevieb</v>
      </c>
      <c r="K3582">
        <v>496</v>
      </c>
      <c r="N3582" t="s">
        <v>65</v>
      </c>
      <c r="R3582" t="s">
        <v>60</v>
      </c>
      <c r="S3582" t="s">
        <v>97</v>
      </c>
      <c r="T3582" t="s">
        <v>177</v>
      </c>
      <c r="U3582" t="s">
        <v>361</v>
      </c>
      <c r="W3582">
        <v>0</v>
      </c>
      <c r="X3582">
        <v>0</v>
      </c>
      <c r="AE3582">
        <v>1</v>
      </c>
      <c r="AF3582">
        <v>0</v>
      </c>
      <c r="AM3582" t="s">
        <v>52</v>
      </c>
      <c r="AN3582" t="s">
        <v>53</v>
      </c>
    </row>
    <row r="3583" spans="1:40">
      <c r="A3583" t="s">
        <v>8081</v>
      </c>
      <c r="B3583" t="s">
        <v>5820</v>
      </c>
      <c r="C3583" t="s">
        <v>11271</v>
      </c>
      <c r="D3583" t="s">
        <v>52</v>
      </c>
      <c r="E3583" t="s">
        <v>8566</v>
      </c>
      <c r="F3583" t="s">
        <v>131</v>
      </c>
      <c r="G3583" t="str">
        <f>HYPERLINK("https://twitter.com/878734835854036992/status/1142819470165106690")</f>
        <v>https://twitter.com/878734835854036992/status/1142819470165106690</v>
      </c>
      <c r="H3583" t="s">
        <v>46</v>
      </c>
      <c r="I3583" t="s">
        <v>11272</v>
      </c>
      <c r="J3583" t="str">
        <f>HYPERLINK("http://twitter.com/poppy_ti")</f>
        <v>http://twitter.com/poppy_ti</v>
      </c>
      <c r="K3583">
        <v>80</v>
      </c>
      <c r="N3583" t="s">
        <v>65</v>
      </c>
      <c r="R3583" t="s">
        <v>60</v>
      </c>
      <c r="S3583" t="s">
        <v>97</v>
      </c>
      <c r="T3583" t="s">
        <v>177</v>
      </c>
      <c r="U3583" t="s">
        <v>2031</v>
      </c>
      <c r="W3583">
        <v>0</v>
      </c>
      <c r="X3583">
        <v>0</v>
      </c>
      <c r="AE3583">
        <v>0</v>
      </c>
      <c r="AM3583" t="s">
        <v>52</v>
      </c>
      <c r="AN3583" t="s">
        <v>53</v>
      </c>
    </row>
    <row r="3584" spans="1:40">
      <c r="A3584" t="s">
        <v>8081</v>
      </c>
      <c r="B3584" t="s">
        <v>5820</v>
      </c>
      <c r="C3584" t="s">
        <v>11273</v>
      </c>
      <c r="D3584" t="s">
        <v>11274</v>
      </c>
      <c r="E3584" t="s">
        <v>11274</v>
      </c>
      <c r="F3584" t="s">
        <v>45</v>
      </c>
      <c r="G3584" t="str">
        <f>HYPERLINK("https://www.youtube.com/watch?v=e0wVLPxCsTA")</f>
        <v>https://www.youtube.com/watch?v=e0wVLPxCsTA</v>
      </c>
      <c r="H3584" t="s">
        <v>46</v>
      </c>
      <c r="I3584" t="s">
        <v>11275</v>
      </c>
      <c r="J3584" t="str">
        <f>HYPERLINK("https://www.youtube.com/channel/UCRUu-otzi60ratm-UaYon2w")</f>
        <v>https://www.youtube.com/channel/UCRUu-otzi60ratm-UaYon2w</v>
      </c>
      <c r="K3584">
        <v>76</v>
      </c>
      <c r="L3584" t="s">
        <v>48</v>
      </c>
      <c r="N3584" t="s">
        <v>116</v>
      </c>
      <c r="O3584" t="s">
        <v>11275</v>
      </c>
      <c r="P3584" t="str">
        <f>HYPERLINK("https://www.youtube.com/channel/UCRUu-otzi60ratm-UaYon2w")</f>
        <v>https://www.youtube.com/channel/UCRUu-otzi60ratm-UaYon2w</v>
      </c>
      <c r="Q3584">
        <v>76</v>
      </c>
      <c r="R3584" t="s">
        <v>60</v>
      </c>
      <c r="W3584">
        <v>13</v>
      </c>
      <c r="X3584">
        <v>13</v>
      </c>
      <c r="AD3584">
        <v>1</v>
      </c>
      <c r="AE3584">
        <v>0</v>
      </c>
      <c r="AG3584">
        <v>26</v>
      </c>
      <c r="AI3584" t="s">
        <v>52</v>
      </c>
      <c r="AJ3584" t="s">
        <v>52</v>
      </c>
      <c r="AK3584" t="s">
        <v>52</v>
      </c>
      <c r="AL3584" t="str">
        <f>HYPERLINK("https://i.ytimg.com/vi/e0wVLPxCsTA/hqdefault.jpg")</f>
        <v>https://i.ytimg.com/vi/e0wVLPxCsTA/hqdefault.jpg</v>
      </c>
      <c r="AM3584" t="s">
        <v>52</v>
      </c>
      <c r="AN3584" t="s">
        <v>53</v>
      </c>
    </row>
    <row r="3585" spans="1:40">
      <c r="A3585" t="s">
        <v>8081</v>
      </c>
      <c r="B3585" t="s">
        <v>229</v>
      </c>
      <c r="C3585" t="s">
        <v>9215</v>
      </c>
      <c r="D3585" t="s">
        <v>11276</v>
      </c>
      <c r="E3585" t="s">
        <v>11277</v>
      </c>
      <c r="F3585" t="s">
        <v>45</v>
      </c>
      <c r="G3585" t="str">
        <f>HYPERLINK("https://www.youtube.com/watch?v=JfYVuE7tB8U")</f>
        <v>https://www.youtube.com/watch?v=JfYVuE7tB8U</v>
      </c>
      <c r="H3585" t="s">
        <v>91</v>
      </c>
      <c r="I3585" t="s">
        <v>6083</v>
      </c>
      <c r="J3585" t="str">
        <f>HYPERLINK("https://www.youtube.com/channel/UCarbtkgtwIzAuIBV-B4cb7Q")</f>
        <v>https://www.youtube.com/channel/UCarbtkgtwIzAuIBV-B4cb7Q</v>
      </c>
      <c r="N3585" t="s">
        <v>116</v>
      </c>
      <c r="O3585" t="s">
        <v>6083</v>
      </c>
      <c r="P3585" t="str">
        <f>HYPERLINK("https://www.youtube.com/channel/UCarbtkgtwIzAuIBV-B4cb7Q")</f>
        <v>https://www.youtube.com/channel/UCarbtkgtwIzAuIBV-B4cb7Q</v>
      </c>
      <c r="R3585" t="s">
        <v>60</v>
      </c>
      <c r="S3585" t="s">
        <v>51</v>
      </c>
      <c r="AE3585">
        <v>0</v>
      </c>
      <c r="AG3585">
        <v>0</v>
      </c>
      <c r="AI3585" t="s">
        <v>2681</v>
      </c>
      <c r="AJ3585" t="s">
        <v>52</v>
      </c>
      <c r="AK3585" t="s">
        <v>52</v>
      </c>
      <c r="AL3585" t="str">
        <f>HYPERLINK("https://i.ytimg.com/vi/JfYVuE7tB8U/maxresdefault.jpg")</f>
        <v>https://i.ytimg.com/vi/JfYVuE7tB8U/maxresdefault.jpg</v>
      </c>
      <c r="AM3585" t="s">
        <v>52</v>
      </c>
      <c r="AN3585" t="s">
        <v>53</v>
      </c>
    </row>
    <row r="3586" spans="1:40">
      <c r="A3586" t="s">
        <v>8081</v>
      </c>
      <c r="B3586" t="s">
        <v>229</v>
      </c>
      <c r="C3586" t="s">
        <v>11268</v>
      </c>
      <c r="D3586" t="s">
        <v>52</v>
      </c>
      <c r="E3586" t="s">
        <v>11278</v>
      </c>
      <c r="F3586" t="s">
        <v>45</v>
      </c>
      <c r="G3586" t="str">
        <f>HYPERLINK("https://twitter.com/29011358/status/1142819125296680961")</f>
        <v>https://twitter.com/29011358/status/1142819125296680961</v>
      </c>
      <c r="H3586" t="s">
        <v>215</v>
      </c>
      <c r="I3586" t="s">
        <v>11279</v>
      </c>
      <c r="J3586" t="str">
        <f>HYPERLINK("http://twitter.com/antetbea")</f>
        <v>http://twitter.com/antetbea</v>
      </c>
      <c r="K3586">
        <v>349</v>
      </c>
      <c r="N3586" t="s">
        <v>65</v>
      </c>
      <c r="R3586" t="s">
        <v>60</v>
      </c>
      <c r="W3586">
        <v>0</v>
      </c>
      <c r="X3586">
        <v>0</v>
      </c>
      <c r="AE3586">
        <v>0</v>
      </c>
      <c r="AF3586">
        <v>0</v>
      </c>
      <c r="AM3586" t="s">
        <v>52</v>
      </c>
      <c r="AN3586" t="s">
        <v>53</v>
      </c>
    </row>
    <row r="3587" spans="1:40">
      <c r="A3587" t="s">
        <v>8081</v>
      </c>
      <c r="B3587" t="s">
        <v>242</v>
      </c>
      <c r="C3587" t="s">
        <v>9242</v>
      </c>
      <c r="D3587" t="s">
        <v>52</v>
      </c>
      <c r="E3587" t="s">
        <v>11280</v>
      </c>
      <c r="F3587" t="s">
        <v>45</v>
      </c>
      <c r="G3587" t="str">
        <f>HYPERLINK("https://www.instagram.com/p/BzDryopnqh4")</f>
        <v>https://www.instagram.com/p/BzDryopnqh4</v>
      </c>
      <c r="H3587" t="s">
        <v>46</v>
      </c>
      <c r="I3587" t="s">
        <v>11281</v>
      </c>
      <c r="J3587" t="str">
        <f>HYPERLINK("http://instagram.com/unik_boi")</f>
        <v>http://instagram.com/unik_boi</v>
      </c>
      <c r="K3587">
        <v>288</v>
      </c>
      <c r="N3587" t="s">
        <v>59</v>
      </c>
      <c r="O3587" t="s">
        <v>11281</v>
      </c>
      <c r="P3587" t="str">
        <f>HYPERLINK("http://instagram.com/unik_boi")</f>
        <v>http://instagram.com/unik_boi</v>
      </c>
      <c r="Q3587">
        <v>288</v>
      </c>
      <c r="R3587" t="s">
        <v>60</v>
      </c>
      <c r="W3587">
        <v>24</v>
      </c>
      <c r="X3587">
        <v>24</v>
      </c>
      <c r="AE3587">
        <v>1</v>
      </c>
      <c r="AI3587" t="s">
        <v>108</v>
      </c>
      <c r="AJ3587" t="s">
        <v>659</v>
      </c>
      <c r="AK3587" t="s">
        <v>52</v>
      </c>
      <c r="AL3587" t="str">
        <f>HYPERLINK("https://www.instagram.com/p/BzDryopnqh4/media/?size=l")</f>
        <v>https://www.instagram.com/p/BzDryopnqh4/media/?size=l</v>
      </c>
      <c r="AM3587" t="s">
        <v>52</v>
      </c>
      <c r="AN3587" t="s">
        <v>53</v>
      </c>
    </row>
    <row r="3588" spans="1:40">
      <c r="A3588" t="s">
        <v>8081</v>
      </c>
      <c r="B3588" t="s">
        <v>242</v>
      </c>
      <c r="C3588" t="s">
        <v>11282</v>
      </c>
      <c r="D3588" t="s">
        <v>52</v>
      </c>
      <c r="E3588" t="s">
        <v>3749</v>
      </c>
      <c r="F3588" t="s">
        <v>71</v>
      </c>
      <c r="G3588" t="str">
        <f>HYPERLINK("https://twitter.com/315948696/status/1142818986163408896")</f>
        <v>https://twitter.com/315948696/status/1142818986163408896</v>
      </c>
      <c r="H3588" t="s">
        <v>46</v>
      </c>
      <c r="I3588" t="s">
        <v>11283</v>
      </c>
      <c r="J3588" t="str">
        <f>HYPERLINK("http://twitter.com/miyo7890")</f>
        <v>http://twitter.com/miyo7890</v>
      </c>
      <c r="K3588">
        <v>823</v>
      </c>
      <c r="N3588" t="s">
        <v>65</v>
      </c>
      <c r="R3588" t="s">
        <v>60</v>
      </c>
      <c r="S3588" t="s">
        <v>1071</v>
      </c>
      <c r="T3588" t="s">
        <v>1072</v>
      </c>
      <c r="U3588" t="s">
        <v>1073</v>
      </c>
      <c r="W3588">
        <v>0</v>
      </c>
      <c r="X3588">
        <v>0</v>
      </c>
      <c r="AE3588">
        <v>0</v>
      </c>
      <c r="AF3588">
        <v>0</v>
      </c>
      <c r="AI3588" t="s">
        <v>108</v>
      </c>
      <c r="AJ3588" t="s">
        <v>52</v>
      </c>
      <c r="AK3588" t="s">
        <v>52</v>
      </c>
      <c r="AL3588" t="str">
        <f>HYPERLINK("https://pbs.twimg.com/media/D9sAXHUX4AA6vJs.jpg")</f>
        <v>https://pbs.twimg.com/media/D9sAXHUX4AA6vJs.jpg</v>
      </c>
      <c r="AM3588" t="s">
        <v>52</v>
      </c>
      <c r="AN3588" t="s">
        <v>53</v>
      </c>
    </row>
    <row r="3589" spans="1:40">
      <c r="A3589" t="s">
        <v>8081</v>
      </c>
      <c r="B3589" t="s">
        <v>246</v>
      </c>
      <c r="C3589" t="s">
        <v>11271</v>
      </c>
      <c r="D3589" t="s">
        <v>52</v>
      </c>
      <c r="E3589" t="s">
        <v>11284</v>
      </c>
      <c r="F3589" t="s">
        <v>95</v>
      </c>
      <c r="G3589" t="str">
        <f>HYPERLINK("https://twitter.com/827935588527403009/status/1142818833599647744")</f>
        <v>https://twitter.com/827935588527403009/status/1142818833599647744</v>
      </c>
      <c r="H3589" t="s">
        <v>46</v>
      </c>
      <c r="I3589" t="s">
        <v>11285</v>
      </c>
      <c r="J3589" t="str">
        <f>HYPERLINK("http://twitter.com/Hello86447071")</f>
        <v>http://twitter.com/Hello86447071</v>
      </c>
      <c r="K3589">
        <v>6</v>
      </c>
      <c r="N3589" t="s">
        <v>65</v>
      </c>
      <c r="R3589" t="s">
        <v>60</v>
      </c>
      <c r="W3589">
        <v>0</v>
      </c>
      <c r="X3589">
        <v>0</v>
      </c>
      <c r="AE3589">
        <v>0</v>
      </c>
      <c r="AF3589">
        <v>0</v>
      </c>
      <c r="AM3589" t="s">
        <v>52</v>
      </c>
      <c r="AN3589" t="s">
        <v>53</v>
      </c>
    </row>
    <row r="3590" spans="1:40">
      <c r="A3590" t="s">
        <v>8081</v>
      </c>
      <c r="B3590" t="s">
        <v>246</v>
      </c>
      <c r="C3590" t="s">
        <v>10946</v>
      </c>
      <c r="D3590" t="s">
        <v>11286</v>
      </c>
      <c r="E3590" t="s">
        <v>11287</v>
      </c>
      <c r="F3590" t="s">
        <v>45</v>
      </c>
      <c r="G3590" t="str">
        <f>HYPERLINK("https://www.youtube.com/watch?v=lMumt3sLZ2k")</f>
        <v>https://www.youtube.com/watch?v=lMumt3sLZ2k</v>
      </c>
      <c r="H3590" t="s">
        <v>46</v>
      </c>
      <c r="I3590" t="s">
        <v>11288</v>
      </c>
      <c r="J3590" t="str">
        <f>HYPERLINK("https://www.youtube.com/channel/UCqT3fe4g4ztWwwVPhoEqRWA")</f>
        <v>https://www.youtube.com/channel/UCqT3fe4g4ztWwwVPhoEqRWA</v>
      </c>
      <c r="K3590">
        <v>85</v>
      </c>
      <c r="N3590" t="s">
        <v>116</v>
      </c>
      <c r="O3590" t="s">
        <v>11288</v>
      </c>
      <c r="P3590" t="str">
        <f>HYPERLINK("https://www.youtube.com/channel/UCqT3fe4g4ztWwwVPhoEqRWA")</f>
        <v>https://www.youtube.com/channel/UCqT3fe4g4ztWwwVPhoEqRWA</v>
      </c>
      <c r="Q3590">
        <v>85</v>
      </c>
      <c r="R3590" t="s">
        <v>60</v>
      </c>
      <c r="S3590" t="s">
        <v>51</v>
      </c>
      <c r="W3590">
        <v>7</v>
      </c>
      <c r="X3590">
        <v>7</v>
      </c>
      <c r="AD3590">
        <v>0</v>
      </c>
      <c r="AE3590">
        <v>5</v>
      </c>
      <c r="AG3590">
        <v>53</v>
      </c>
      <c r="AI3590" t="s">
        <v>52</v>
      </c>
      <c r="AJ3590" t="s">
        <v>52</v>
      </c>
      <c r="AK3590" t="s">
        <v>52</v>
      </c>
      <c r="AL3590" t="str">
        <f>HYPERLINK("https://i.ytimg.com/vi/lMumt3sLZ2k/hqdefault.jpg")</f>
        <v>https://i.ytimg.com/vi/lMumt3sLZ2k/hqdefault.jpg</v>
      </c>
      <c r="AM3590" t="s">
        <v>52</v>
      </c>
      <c r="AN3590" t="s">
        <v>53</v>
      </c>
    </row>
    <row r="3591" spans="1:40">
      <c r="A3591" t="s">
        <v>8081</v>
      </c>
      <c r="B3591" t="s">
        <v>246</v>
      </c>
      <c r="C3591" t="s">
        <v>11268</v>
      </c>
      <c r="D3591" t="s">
        <v>52</v>
      </c>
      <c r="E3591" t="s">
        <v>3749</v>
      </c>
      <c r="F3591" t="s">
        <v>71</v>
      </c>
      <c r="G3591" t="str">
        <f>HYPERLINK("https://twitter.com/1861882508/status/1142818788129300481")</f>
        <v>https://twitter.com/1861882508/status/1142818788129300481</v>
      </c>
      <c r="H3591" t="s">
        <v>46</v>
      </c>
      <c r="I3591" t="s">
        <v>11289</v>
      </c>
      <c r="J3591" t="str">
        <f>HYPERLINK("http://twitter.com/CeezLeo_Khalifa")</f>
        <v>http://twitter.com/CeezLeo_Khalifa</v>
      </c>
      <c r="K3591">
        <v>3280</v>
      </c>
      <c r="N3591" t="s">
        <v>65</v>
      </c>
      <c r="R3591" t="s">
        <v>60</v>
      </c>
      <c r="S3591" t="s">
        <v>1071</v>
      </c>
      <c r="T3591" t="s">
        <v>1072</v>
      </c>
      <c r="U3591" t="s">
        <v>11290</v>
      </c>
      <c r="W3591">
        <v>0</v>
      </c>
      <c r="X3591">
        <v>0</v>
      </c>
      <c r="AE3591">
        <v>0</v>
      </c>
      <c r="AF3591">
        <v>0</v>
      </c>
      <c r="AI3591" t="s">
        <v>108</v>
      </c>
      <c r="AJ3591" t="s">
        <v>52</v>
      </c>
      <c r="AK3591" t="s">
        <v>52</v>
      </c>
      <c r="AL3591" t="str">
        <f>HYPERLINK("https://pbs.twimg.com/media/D9sAXHUX4AA6vJs.jpg")</f>
        <v>https://pbs.twimg.com/media/D9sAXHUX4AA6vJs.jpg</v>
      </c>
      <c r="AM3591" t="s">
        <v>52</v>
      </c>
      <c r="AN3591" t="s">
        <v>53</v>
      </c>
    </row>
    <row r="3592" spans="1:40">
      <c r="A3592" t="s">
        <v>8081</v>
      </c>
      <c r="B3592" t="s">
        <v>246</v>
      </c>
      <c r="C3592" t="s">
        <v>11291</v>
      </c>
      <c r="D3592" t="s">
        <v>52</v>
      </c>
      <c r="E3592" t="s">
        <v>11292</v>
      </c>
      <c r="F3592" t="s">
        <v>45</v>
      </c>
      <c r="G3592" t="str">
        <f>HYPERLINK("https://twitter.com/2892924021/status/1142818726812749824")</f>
        <v>https://twitter.com/2892924021/status/1142818726812749824</v>
      </c>
      <c r="H3592" t="s">
        <v>46</v>
      </c>
      <c r="I3592" t="s">
        <v>11293</v>
      </c>
      <c r="J3592" t="str">
        <f>HYPERLINK("http://twitter.com/sihlemjl")</f>
        <v>http://twitter.com/sihlemjl</v>
      </c>
      <c r="K3592">
        <v>4158</v>
      </c>
      <c r="N3592" t="s">
        <v>65</v>
      </c>
      <c r="R3592" t="s">
        <v>60</v>
      </c>
      <c r="S3592" t="s">
        <v>1071</v>
      </c>
      <c r="T3592" t="s">
        <v>1072</v>
      </c>
      <c r="U3592" t="s">
        <v>1073</v>
      </c>
      <c r="W3592">
        <v>0</v>
      </c>
      <c r="X3592">
        <v>0</v>
      </c>
      <c r="AE3592">
        <v>0</v>
      </c>
      <c r="AF3592">
        <v>0</v>
      </c>
      <c r="AM3592" t="s">
        <v>52</v>
      </c>
      <c r="AN3592" t="s">
        <v>53</v>
      </c>
    </row>
    <row r="3593" spans="1:40">
      <c r="A3593" t="s">
        <v>8081</v>
      </c>
      <c r="B3593" t="s">
        <v>5848</v>
      </c>
      <c r="C3593" t="s">
        <v>11271</v>
      </c>
      <c r="D3593" t="s">
        <v>52</v>
      </c>
      <c r="E3593" t="s">
        <v>11294</v>
      </c>
      <c r="F3593" t="s">
        <v>45</v>
      </c>
      <c r="G3593" t="str">
        <f>HYPERLINK("https://www.instagram.com/p/BzDrhwCgUe2")</f>
        <v>https://www.instagram.com/p/BzDrhwCgUe2</v>
      </c>
      <c r="H3593" t="s">
        <v>46</v>
      </c>
      <c r="I3593" t="s">
        <v>52</v>
      </c>
      <c r="J3593" t="str">
        <f>HYPERLINK("http://instagram.com/mendes_weekly")</f>
        <v>http://instagram.com/mendes_weekly</v>
      </c>
      <c r="K3593">
        <v>74</v>
      </c>
      <c r="N3593" t="s">
        <v>59</v>
      </c>
      <c r="O3593" t="s">
        <v>52</v>
      </c>
      <c r="P3593" t="str">
        <f>HYPERLINK("http://instagram.com/mendes_weekly")</f>
        <v>http://instagram.com/mendes_weekly</v>
      </c>
      <c r="Q3593">
        <v>74</v>
      </c>
      <c r="R3593" t="s">
        <v>60</v>
      </c>
      <c r="W3593">
        <v>18</v>
      </c>
      <c r="X3593">
        <v>18</v>
      </c>
      <c r="AE3593">
        <v>4</v>
      </c>
      <c r="AI3593" t="s">
        <v>108</v>
      </c>
      <c r="AJ3593" t="s">
        <v>11295</v>
      </c>
      <c r="AK3593" t="s">
        <v>52</v>
      </c>
      <c r="AL3593" t="str">
        <f>HYPERLINK("https://www.instagram.com/p/BzDrhwCgUe2/media/?size=l")</f>
        <v>https://www.instagram.com/p/BzDrhwCgUe2/media/?size=l</v>
      </c>
      <c r="AM3593" t="s">
        <v>52</v>
      </c>
      <c r="AN3593" t="s">
        <v>53</v>
      </c>
    </row>
    <row r="3594" spans="1:40">
      <c r="A3594" t="s">
        <v>8081</v>
      </c>
      <c r="B3594" t="s">
        <v>255</v>
      </c>
      <c r="C3594" t="s">
        <v>11296</v>
      </c>
      <c r="D3594" t="s">
        <v>52</v>
      </c>
      <c r="E3594" t="s">
        <v>11297</v>
      </c>
      <c r="F3594" t="s">
        <v>45</v>
      </c>
      <c r="G3594" t="str">
        <f>HYPERLINK("https://www.instagram.com/p/BzDq3NxBcak")</f>
        <v>https://www.instagram.com/p/BzDq3NxBcak</v>
      </c>
      <c r="H3594" t="s">
        <v>46</v>
      </c>
      <c r="I3594" t="s">
        <v>52</v>
      </c>
      <c r="J3594" t="str">
        <f>HYPERLINK("http://instagram.com/elriodgo")</f>
        <v>http://instagram.com/elriodgo</v>
      </c>
      <c r="K3594">
        <v>226</v>
      </c>
      <c r="N3594" t="s">
        <v>59</v>
      </c>
      <c r="O3594" t="s">
        <v>52</v>
      </c>
      <c r="P3594" t="str">
        <f>HYPERLINK("http://instagram.com/elriodgo")</f>
        <v>http://instagram.com/elriodgo</v>
      </c>
      <c r="Q3594">
        <v>226</v>
      </c>
      <c r="R3594" t="s">
        <v>60</v>
      </c>
      <c r="W3594">
        <v>6</v>
      </c>
      <c r="X3594">
        <v>6</v>
      </c>
      <c r="AE3594">
        <v>0</v>
      </c>
      <c r="AI3594" t="s">
        <v>52</v>
      </c>
      <c r="AJ3594" t="s">
        <v>3129</v>
      </c>
      <c r="AK3594" t="s">
        <v>52</v>
      </c>
      <c r="AL3594" t="str">
        <f>HYPERLINK("https://www.instagram.com/p/BzDq3NxBcak/media/?size=l")</f>
        <v>https://www.instagram.com/p/BzDq3NxBcak/media/?size=l</v>
      </c>
      <c r="AM3594" t="s">
        <v>52</v>
      </c>
      <c r="AN3594" t="s">
        <v>53</v>
      </c>
    </row>
    <row r="3595" spans="1:40">
      <c r="A3595" t="s">
        <v>8081</v>
      </c>
      <c r="B3595" t="s">
        <v>269</v>
      </c>
      <c r="C3595" t="s">
        <v>11298</v>
      </c>
      <c r="D3595" t="s">
        <v>52</v>
      </c>
      <c r="E3595" t="s">
        <v>3749</v>
      </c>
      <c r="F3595" t="s">
        <v>71</v>
      </c>
      <c r="G3595" t="str">
        <f>HYPERLINK("https://twitter.com/48078813/status/1142816329612832769")</f>
        <v>https://twitter.com/48078813/status/1142816329612832769</v>
      </c>
      <c r="H3595" t="s">
        <v>46</v>
      </c>
      <c r="I3595" t="s">
        <v>11299</v>
      </c>
      <c r="J3595" t="str">
        <f>HYPERLINK("http://twitter.com/brianmsomi")</f>
        <v>http://twitter.com/brianmsomi</v>
      </c>
      <c r="K3595">
        <v>1135</v>
      </c>
      <c r="L3595" t="s">
        <v>48</v>
      </c>
      <c r="N3595" t="s">
        <v>65</v>
      </c>
      <c r="R3595" t="s">
        <v>60</v>
      </c>
      <c r="S3595" t="s">
        <v>1071</v>
      </c>
      <c r="T3595" t="s">
        <v>1072</v>
      </c>
      <c r="U3595" t="s">
        <v>1073</v>
      </c>
      <c r="W3595">
        <v>0</v>
      </c>
      <c r="X3595">
        <v>0</v>
      </c>
      <c r="AE3595">
        <v>0</v>
      </c>
      <c r="AF3595">
        <v>0</v>
      </c>
      <c r="AI3595" t="s">
        <v>108</v>
      </c>
      <c r="AJ3595" t="s">
        <v>52</v>
      </c>
      <c r="AK3595" t="s">
        <v>52</v>
      </c>
      <c r="AL3595" t="str">
        <f>HYPERLINK("https://pbs.twimg.com/media/D9sAXHUX4AA6vJs.jpg")</f>
        <v>https://pbs.twimg.com/media/D9sAXHUX4AA6vJs.jpg</v>
      </c>
      <c r="AM3595" t="s">
        <v>52</v>
      </c>
      <c r="AN3595" t="s">
        <v>53</v>
      </c>
    </row>
    <row r="3596" spans="1:40">
      <c r="A3596" t="s">
        <v>8081</v>
      </c>
      <c r="B3596" t="s">
        <v>274</v>
      </c>
      <c r="C3596" t="s">
        <v>11300</v>
      </c>
      <c r="D3596" t="s">
        <v>52</v>
      </c>
      <c r="E3596" t="s">
        <v>11301</v>
      </c>
      <c r="F3596" t="s">
        <v>45</v>
      </c>
      <c r="G3596" t="str">
        <f>HYPERLINK("https://twitter.com/1406519276/status/1142816321035542528")</f>
        <v>https://twitter.com/1406519276/status/1142816321035542528</v>
      </c>
      <c r="H3596" t="s">
        <v>46</v>
      </c>
      <c r="I3596" t="s">
        <v>11302</v>
      </c>
      <c r="J3596" t="str">
        <f>HYPERLINK("http://twitter.com/FMacharette")</f>
        <v>http://twitter.com/FMacharette</v>
      </c>
      <c r="K3596">
        <v>372</v>
      </c>
      <c r="L3596" t="s">
        <v>48</v>
      </c>
      <c r="N3596" t="s">
        <v>65</v>
      </c>
      <c r="R3596" t="s">
        <v>60</v>
      </c>
      <c r="W3596">
        <v>0</v>
      </c>
      <c r="X3596">
        <v>0</v>
      </c>
      <c r="AE3596">
        <v>0</v>
      </c>
      <c r="AF3596">
        <v>0</v>
      </c>
      <c r="AM3596" t="s">
        <v>52</v>
      </c>
      <c r="AN3596" t="s">
        <v>53</v>
      </c>
    </row>
    <row r="3597" spans="1:40">
      <c r="A3597" t="s">
        <v>8081</v>
      </c>
      <c r="B3597" t="s">
        <v>274</v>
      </c>
      <c r="C3597" t="s">
        <v>11303</v>
      </c>
      <c r="D3597" t="s">
        <v>52</v>
      </c>
      <c r="E3597" t="s">
        <v>11304</v>
      </c>
      <c r="F3597" t="s">
        <v>45</v>
      </c>
      <c r="G3597" t="str">
        <f>HYPERLINK("https://www.instagram.com/p/BzDqTLTArZ7")</f>
        <v>https://www.instagram.com/p/BzDqTLTArZ7</v>
      </c>
      <c r="H3597" t="s">
        <v>46</v>
      </c>
      <c r="I3597" t="s">
        <v>11305</v>
      </c>
      <c r="J3597" t="str">
        <f>HYPERLINK("http://instagram.com/dowwnsouf")</f>
        <v>http://instagram.com/dowwnsouf</v>
      </c>
      <c r="K3597">
        <v>24</v>
      </c>
      <c r="N3597" t="s">
        <v>59</v>
      </c>
      <c r="O3597" t="s">
        <v>11305</v>
      </c>
      <c r="P3597" t="str">
        <f>HYPERLINK("http://instagram.com/dowwnsouf")</f>
        <v>http://instagram.com/dowwnsouf</v>
      </c>
      <c r="Q3597">
        <v>24</v>
      </c>
      <c r="R3597" t="s">
        <v>60</v>
      </c>
      <c r="W3597">
        <v>7</v>
      </c>
      <c r="X3597">
        <v>7</v>
      </c>
      <c r="AE3597">
        <v>0</v>
      </c>
      <c r="AG3597">
        <v>24</v>
      </c>
      <c r="AI3597" t="s">
        <v>52</v>
      </c>
      <c r="AJ3597" t="s">
        <v>52</v>
      </c>
      <c r="AK3597" t="s">
        <v>52</v>
      </c>
      <c r="AL3597" t="str">
        <f>HYPERLINK("https://www.instagram.com/p/BzDqTLTArZ7/media/?size=l")</f>
        <v>https://www.instagram.com/p/BzDqTLTArZ7/media/?size=l</v>
      </c>
      <c r="AM3597" t="s">
        <v>52</v>
      </c>
      <c r="AN3597" t="s">
        <v>53</v>
      </c>
    </row>
    <row r="3598" spans="1:40">
      <c r="A3598" t="s">
        <v>8081</v>
      </c>
      <c r="B3598" t="s">
        <v>5937</v>
      </c>
      <c r="C3598" t="s">
        <v>11306</v>
      </c>
      <c r="D3598" t="s">
        <v>52</v>
      </c>
      <c r="E3598" t="s">
        <v>130</v>
      </c>
      <c r="F3598" t="s">
        <v>131</v>
      </c>
      <c r="G3598" t="str">
        <f>HYPERLINK("https://twitter.com/74789800/status/1142815523689963521")</f>
        <v>https://twitter.com/74789800/status/1142815523689963521</v>
      </c>
      <c r="H3598" t="s">
        <v>46</v>
      </c>
      <c r="I3598" t="s">
        <v>11307</v>
      </c>
      <c r="J3598" t="str">
        <f>HYPERLINK("http://twitter.com/purplecatlover")</f>
        <v>http://twitter.com/purplecatlover</v>
      </c>
      <c r="K3598">
        <v>817</v>
      </c>
      <c r="N3598" t="s">
        <v>65</v>
      </c>
      <c r="R3598" t="s">
        <v>60</v>
      </c>
      <c r="S3598" t="s">
        <v>97</v>
      </c>
      <c r="T3598" t="s">
        <v>177</v>
      </c>
      <c r="W3598">
        <v>0</v>
      </c>
      <c r="X3598">
        <v>0</v>
      </c>
      <c r="AE3598">
        <v>0</v>
      </c>
      <c r="AI3598" t="s">
        <v>108</v>
      </c>
      <c r="AJ3598" t="s">
        <v>52</v>
      </c>
      <c r="AK3598" t="s">
        <v>52</v>
      </c>
      <c r="AL3598" t="str">
        <f>HYPERLINK("https://pbs.twimg.com/media/D9XTkLWW4AAOYnJ.jpg")</f>
        <v>https://pbs.twimg.com/media/D9XTkLWW4AAOYnJ.jpg</v>
      </c>
      <c r="AM3598" t="s">
        <v>52</v>
      </c>
      <c r="AN3598" t="s">
        <v>53</v>
      </c>
    </row>
    <row r="3599" spans="1:40">
      <c r="A3599" t="s">
        <v>8081</v>
      </c>
      <c r="B3599" t="s">
        <v>304</v>
      </c>
      <c r="C3599" t="s">
        <v>9347</v>
      </c>
      <c r="D3599" t="s">
        <v>52</v>
      </c>
      <c r="E3599" t="s">
        <v>11308</v>
      </c>
      <c r="F3599" t="s">
        <v>45</v>
      </c>
      <c r="G3599" t="str">
        <f>HYPERLINK("https://www.instagram.com/p/BzDpvVMFy21")</f>
        <v>https://www.instagram.com/p/BzDpvVMFy21</v>
      </c>
      <c r="H3599" t="s">
        <v>46</v>
      </c>
      <c r="I3599" t="s">
        <v>11309</v>
      </c>
      <c r="J3599" t="str">
        <f>HYPERLINK("http://instagram.com/bibandtuckerclothing")</f>
        <v>http://instagram.com/bibandtuckerclothing</v>
      </c>
      <c r="K3599">
        <v>1235</v>
      </c>
      <c r="N3599" t="s">
        <v>59</v>
      </c>
      <c r="O3599" t="s">
        <v>11309</v>
      </c>
      <c r="P3599" t="str">
        <f>HYPERLINK("http://instagram.com/bibandtuckerclothing")</f>
        <v>http://instagram.com/bibandtuckerclothing</v>
      </c>
      <c r="Q3599">
        <v>1235</v>
      </c>
      <c r="R3599" t="s">
        <v>60</v>
      </c>
      <c r="S3599" t="s">
        <v>444</v>
      </c>
      <c r="T3599" t="s">
        <v>10121</v>
      </c>
      <c r="U3599" t="s">
        <v>11310</v>
      </c>
      <c r="W3599">
        <v>36</v>
      </c>
      <c r="X3599">
        <v>36</v>
      </c>
      <c r="AE3599">
        <v>1</v>
      </c>
      <c r="AI3599" t="s">
        <v>108</v>
      </c>
      <c r="AJ3599" t="s">
        <v>52</v>
      </c>
      <c r="AK3599" t="s">
        <v>52</v>
      </c>
      <c r="AL3599" t="str">
        <f>HYPERLINK("https://www.instagram.com/p/BzDpvVMFy21/media/?size=l")</f>
        <v>https://www.instagram.com/p/BzDpvVMFy21/media/?size=l</v>
      </c>
      <c r="AM3599" t="s">
        <v>52</v>
      </c>
      <c r="AN3599" t="s">
        <v>53</v>
      </c>
    </row>
    <row r="3600" spans="1:40">
      <c r="A3600" t="s">
        <v>8081</v>
      </c>
      <c r="B3600" t="s">
        <v>304</v>
      </c>
      <c r="C3600" t="s">
        <v>11311</v>
      </c>
      <c r="D3600" t="s">
        <v>11312</v>
      </c>
      <c r="E3600" t="s">
        <v>11313</v>
      </c>
      <c r="F3600" t="s">
        <v>45</v>
      </c>
      <c r="G3600" t="str">
        <f>HYPERLINK("https://cryptocoinstribune.com/plancorp-lowered-its-apple-aapl-stake-by-370440-stock-value-rose-caterpillar-del-cat-holder-impala-asset-management-has-cut-holding")</f>
        <v>https://cryptocoinstribune.com/plancorp-lowered-its-apple-aapl-stake-by-370440-stock-value-rose-caterpillar-del-cat-holder-impala-asset-management-has-cut-holding</v>
      </c>
      <c r="H3600" t="s">
        <v>46</v>
      </c>
      <c r="I3600" t="s">
        <v>1028</v>
      </c>
      <c r="J3600" t="str">
        <f>HYPERLINK("https://cryptocoinstribune.com")</f>
        <v>https://cryptocoinstribune.com</v>
      </c>
      <c r="N3600" t="s">
        <v>960</v>
      </c>
      <c r="R3600" t="s">
        <v>357</v>
      </c>
      <c r="S3600" t="s">
        <v>51</v>
      </c>
      <c r="AI3600" t="s">
        <v>52</v>
      </c>
      <c r="AJ3600" t="s">
        <v>52</v>
      </c>
      <c r="AK3600" t="s">
        <v>52</v>
      </c>
      <c r="AL3600" t="str">
        <f>HYPERLINK("https://cryptocoinstribune.com/wp-content/uploads/logos/Logos/CAT.png")</f>
        <v>https://cryptocoinstribune.com/wp-content/uploads/logos/Logos/CAT.png</v>
      </c>
      <c r="AM3600" t="s">
        <v>52</v>
      </c>
      <c r="AN3600" t="s">
        <v>53</v>
      </c>
    </row>
    <row r="3601" spans="1:40">
      <c r="A3601" t="s">
        <v>8081</v>
      </c>
      <c r="B3601" t="s">
        <v>304</v>
      </c>
      <c r="C3601" t="s">
        <v>11314</v>
      </c>
      <c r="D3601" t="s">
        <v>52</v>
      </c>
      <c r="E3601" t="s">
        <v>276</v>
      </c>
      <c r="F3601" t="s">
        <v>131</v>
      </c>
      <c r="G3601" t="str">
        <f>HYPERLINK("https://twitter.com/994735474643296261/status/1142814385339060225")</f>
        <v>https://twitter.com/994735474643296261/status/1142814385339060225</v>
      </c>
      <c r="H3601" t="s">
        <v>46</v>
      </c>
      <c r="I3601" t="s">
        <v>11315</v>
      </c>
      <c r="J3601" t="str">
        <f>HYPERLINK("http://twitter.com/HoodGodMikey")</f>
        <v>http://twitter.com/HoodGodMikey</v>
      </c>
      <c r="K3601">
        <v>29</v>
      </c>
      <c r="N3601" t="s">
        <v>65</v>
      </c>
      <c r="R3601" t="s">
        <v>60</v>
      </c>
      <c r="S3601" t="s">
        <v>1643</v>
      </c>
      <c r="T3601" t="s">
        <v>2346</v>
      </c>
      <c r="U3601" t="s">
        <v>11316</v>
      </c>
      <c r="W3601">
        <v>0</v>
      </c>
      <c r="X3601">
        <v>0</v>
      </c>
      <c r="AE3601">
        <v>0</v>
      </c>
      <c r="AI3601" t="s">
        <v>108</v>
      </c>
      <c r="AJ3601" t="s">
        <v>52</v>
      </c>
      <c r="AK3601" t="s">
        <v>52</v>
      </c>
      <c r="AL3601" t="str">
        <f>HYPERLINK("https://pbs.twimg.com/tweet_video_thumb/D9hvNNzXUAATAS3.jpg")</f>
        <v>https://pbs.twimg.com/tweet_video_thumb/D9hvNNzXUAATAS3.jpg</v>
      </c>
      <c r="AM3601" t="s">
        <v>52</v>
      </c>
      <c r="AN3601" t="s">
        <v>53</v>
      </c>
    </row>
    <row r="3602" spans="1:40">
      <c r="A3602" t="s">
        <v>8081</v>
      </c>
      <c r="B3602" t="s">
        <v>5956</v>
      </c>
      <c r="C3602" t="s">
        <v>11303</v>
      </c>
      <c r="D3602" t="s">
        <v>52</v>
      </c>
      <c r="E3602" t="s">
        <v>11317</v>
      </c>
      <c r="F3602" t="s">
        <v>45</v>
      </c>
      <c r="G3602" t="str">
        <f>HYPERLINK("https://www.instagram.com/p/BzDppWgIqpW")</f>
        <v>https://www.instagram.com/p/BzDppWgIqpW</v>
      </c>
      <c r="H3602" t="s">
        <v>46</v>
      </c>
      <c r="I3602" t="s">
        <v>11318</v>
      </c>
      <c r="J3602" t="str">
        <f>HYPERLINK("http://instagram.com/pimtimtv")</f>
        <v>http://instagram.com/pimtimtv</v>
      </c>
      <c r="K3602">
        <v>86</v>
      </c>
      <c r="N3602" t="s">
        <v>59</v>
      </c>
      <c r="O3602" t="s">
        <v>11318</v>
      </c>
      <c r="P3602" t="str">
        <f>HYPERLINK("http://instagram.com/pimtimtv")</f>
        <v>http://instagram.com/pimtimtv</v>
      </c>
      <c r="Q3602">
        <v>86</v>
      </c>
      <c r="R3602" t="s">
        <v>60</v>
      </c>
      <c r="S3602" t="s">
        <v>1963</v>
      </c>
      <c r="T3602" t="s">
        <v>11319</v>
      </c>
      <c r="U3602" t="s">
        <v>11319</v>
      </c>
      <c r="W3602">
        <v>34</v>
      </c>
      <c r="X3602">
        <v>34</v>
      </c>
      <c r="AE3602">
        <v>1</v>
      </c>
      <c r="AI3602" t="s">
        <v>52</v>
      </c>
      <c r="AJ3602" t="s">
        <v>52</v>
      </c>
      <c r="AK3602" t="s">
        <v>581</v>
      </c>
      <c r="AL3602" t="str">
        <f>HYPERLINK("https://www.instagram.com/p/BzDppWgIqpW/media/?size=l")</f>
        <v>https://www.instagram.com/p/BzDppWgIqpW/media/?size=l</v>
      </c>
      <c r="AM3602" t="s">
        <v>52</v>
      </c>
      <c r="AN3602" t="s">
        <v>53</v>
      </c>
    </row>
    <row r="3603" spans="1:40">
      <c r="A3603" t="s">
        <v>8081</v>
      </c>
      <c r="B3603" t="s">
        <v>5956</v>
      </c>
      <c r="C3603" t="s">
        <v>9367</v>
      </c>
      <c r="D3603" t="s">
        <v>52</v>
      </c>
      <c r="E3603" t="s">
        <v>11320</v>
      </c>
      <c r="F3603" t="s">
        <v>45</v>
      </c>
      <c r="G3603" t="str">
        <f>HYPERLINK("https://www.instagram.com/p/BzDpnpGpsxz")</f>
        <v>https://www.instagram.com/p/BzDpnpGpsxz</v>
      </c>
      <c r="H3603" t="s">
        <v>46</v>
      </c>
      <c r="I3603" t="s">
        <v>52</v>
      </c>
      <c r="J3603" t="str">
        <f>HYPERLINK("http://instagram.com/niche._cherry")</f>
        <v>http://instagram.com/niche._cherry</v>
      </c>
      <c r="K3603">
        <v>80</v>
      </c>
      <c r="N3603" t="s">
        <v>59</v>
      </c>
      <c r="O3603" t="s">
        <v>52</v>
      </c>
      <c r="P3603" t="str">
        <f>HYPERLINK("http://instagram.com/niche._cherry")</f>
        <v>http://instagram.com/niche._cherry</v>
      </c>
      <c r="Q3603">
        <v>80</v>
      </c>
      <c r="R3603" t="s">
        <v>60</v>
      </c>
      <c r="W3603">
        <v>12</v>
      </c>
      <c r="X3603">
        <v>12</v>
      </c>
      <c r="AE3603">
        <v>2</v>
      </c>
      <c r="AI3603" t="s">
        <v>108</v>
      </c>
      <c r="AJ3603" t="s">
        <v>659</v>
      </c>
      <c r="AK3603" t="s">
        <v>52</v>
      </c>
      <c r="AL3603" t="str">
        <f>HYPERLINK("https://www.instagram.com/p/BzDpnpGpsxz/media/?size=l")</f>
        <v>https://www.instagram.com/p/BzDpnpGpsxz/media/?size=l</v>
      </c>
      <c r="AM3603" t="s">
        <v>52</v>
      </c>
      <c r="AN3603" t="s">
        <v>53</v>
      </c>
    </row>
    <row r="3604" spans="1:40">
      <c r="A3604" t="s">
        <v>8081</v>
      </c>
      <c r="B3604" t="s">
        <v>5956</v>
      </c>
      <c r="C3604" t="s">
        <v>11321</v>
      </c>
      <c r="D3604" t="s">
        <v>52</v>
      </c>
      <c r="E3604" t="s">
        <v>11322</v>
      </c>
      <c r="F3604" t="s">
        <v>45</v>
      </c>
      <c r="G3604" t="str">
        <f>HYPERLINK("https://www.instagram.com/p/BzDpnoJgCV6")</f>
        <v>https://www.instagram.com/p/BzDpnoJgCV6</v>
      </c>
      <c r="H3604" t="s">
        <v>91</v>
      </c>
      <c r="I3604" t="s">
        <v>52</v>
      </c>
      <c r="J3604" t="str">
        <f>HYPERLINK("http://instagram.com/mfketo82")</f>
        <v>http://instagram.com/mfketo82</v>
      </c>
      <c r="K3604">
        <v>1070</v>
      </c>
      <c r="N3604" t="s">
        <v>59</v>
      </c>
      <c r="O3604" t="s">
        <v>52</v>
      </c>
      <c r="P3604" t="str">
        <f>HYPERLINK("http://instagram.com/mfketo82")</f>
        <v>http://instagram.com/mfketo82</v>
      </c>
      <c r="Q3604">
        <v>1070</v>
      </c>
      <c r="R3604" t="s">
        <v>60</v>
      </c>
      <c r="W3604">
        <v>32</v>
      </c>
      <c r="X3604">
        <v>32</v>
      </c>
      <c r="AE3604">
        <v>5</v>
      </c>
      <c r="AI3604" t="s">
        <v>52</v>
      </c>
      <c r="AJ3604" t="s">
        <v>5204</v>
      </c>
      <c r="AK3604" t="s">
        <v>52</v>
      </c>
      <c r="AL3604" t="str">
        <f>HYPERLINK("https://www.instagram.com/p/BzDpnoJgCV6/media/?size=l")</f>
        <v>https://www.instagram.com/p/BzDpnoJgCV6/media/?size=l</v>
      </c>
      <c r="AM3604" t="s">
        <v>52</v>
      </c>
      <c r="AN3604" t="s">
        <v>53</v>
      </c>
    </row>
    <row r="3605" spans="1:40">
      <c r="A3605" t="s">
        <v>8081</v>
      </c>
      <c r="B3605" t="s">
        <v>5956</v>
      </c>
      <c r="C3605" t="s">
        <v>11321</v>
      </c>
      <c r="D3605" t="s">
        <v>52</v>
      </c>
      <c r="E3605" t="s">
        <v>11323</v>
      </c>
      <c r="F3605" t="s">
        <v>131</v>
      </c>
      <c r="G3605" t="str">
        <f>HYPERLINK("https://twitter.com/34551256/status/1142814076877324288")</f>
        <v>https://twitter.com/34551256/status/1142814076877324288</v>
      </c>
      <c r="H3605" t="s">
        <v>215</v>
      </c>
      <c r="I3605" t="s">
        <v>11324</v>
      </c>
      <c r="J3605" t="str">
        <f>HYPERLINK("http://twitter.com/mabuazzah")</f>
        <v>http://twitter.com/mabuazzah</v>
      </c>
      <c r="K3605">
        <v>1096</v>
      </c>
      <c r="L3605" t="s">
        <v>48</v>
      </c>
      <c r="N3605" t="s">
        <v>65</v>
      </c>
      <c r="R3605" t="s">
        <v>60</v>
      </c>
      <c r="S3605" t="s">
        <v>226</v>
      </c>
      <c r="U3605" t="s">
        <v>3620</v>
      </c>
      <c r="W3605">
        <v>0</v>
      </c>
      <c r="X3605">
        <v>0</v>
      </c>
      <c r="AE3605">
        <v>0</v>
      </c>
      <c r="AI3605" t="s">
        <v>52</v>
      </c>
      <c r="AJ3605" t="s">
        <v>52</v>
      </c>
      <c r="AK3605" t="s">
        <v>52</v>
      </c>
      <c r="AL3605" t="str">
        <f>HYPERLINK("https://pbs.twimg.com/media/DUCraMgXUAAdngr.jpg")</f>
        <v>https://pbs.twimg.com/media/DUCraMgXUAAdngr.jpg</v>
      </c>
      <c r="AM3605" t="s">
        <v>52</v>
      </c>
      <c r="AN3605" t="s">
        <v>53</v>
      </c>
    </row>
    <row r="3606" spans="1:40">
      <c r="A3606" t="s">
        <v>8081</v>
      </c>
      <c r="B3606" t="s">
        <v>5959</v>
      </c>
      <c r="C3606" t="s">
        <v>11325</v>
      </c>
      <c r="D3606" t="s">
        <v>11326</v>
      </c>
      <c r="E3606" t="s">
        <v>11326</v>
      </c>
      <c r="F3606" t="s">
        <v>45</v>
      </c>
      <c r="G3606" t="str">
        <f>HYPERLINK("https://www.youtube.com/watch?v=J6AnVQy7p-I")</f>
        <v>https://www.youtube.com/watch?v=J6AnVQy7p-I</v>
      </c>
      <c r="H3606" t="s">
        <v>46</v>
      </c>
      <c r="I3606" t="s">
        <v>11327</v>
      </c>
      <c r="J3606" t="str">
        <f>HYPERLINK("https://www.youtube.com/channel/UCa3qbMOVMwTnGpkjycpnt3A")</f>
        <v>https://www.youtube.com/channel/UCa3qbMOVMwTnGpkjycpnt3A</v>
      </c>
      <c r="K3606">
        <v>4</v>
      </c>
      <c r="N3606" t="s">
        <v>116</v>
      </c>
      <c r="O3606" t="s">
        <v>11327</v>
      </c>
      <c r="P3606" t="str">
        <f>HYPERLINK("https://www.youtube.com/channel/UCa3qbMOVMwTnGpkjycpnt3A")</f>
        <v>https://www.youtube.com/channel/UCa3qbMOVMwTnGpkjycpnt3A</v>
      </c>
      <c r="Q3606">
        <v>4</v>
      </c>
      <c r="R3606" t="s">
        <v>60</v>
      </c>
      <c r="W3606">
        <v>2</v>
      </c>
      <c r="X3606">
        <v>2</v>
      </c>
      <c r="AD3606">
        <v>0</v>
      </c>
      <c r="AE3606">
        <v>0</v>
      </c>
      <c r="AG3606">
        <v>4</v>
      </c>
      <c r="AI3606" t="s">
        <v>52</v>
      </c>
      <c r="AJ3606" t="s">
        <v>52</v>
      </c>
      <c r="AK3606" t="s">
        <v>581</v>
      </c>
      <c r="AL3606" t="str">
        <f>HYPERLINK("https://i.ytimg.com/vi/J6AnVQy7p-I/hqdefault.jpg")</f>
        <v>https://i.ytimg.com/vi/J6AnVQy7p-I/hqdefault.jpg</v>
      </c>
      <c r="AM3606" t="s">
        <v>52</v>
      </c>
      <c r="AN3606" t="s">
        <v>53</v>
      </c>
    </row>
    <row r="3607" spans="1:40">
      <c r="A3607" t="s">
        <v>8081</v>
      </c>
      <c r="B3607" t="s">
        <v>311</v>
      </c>
      <c r="C3607" t="s">
        <v>9350</v>
      </c>
      <c r="D3607" t="s">
        <v>11328</v>
      </c>
      <c r="E3607" t="s">
        <v>11329</v>
      </c>
      <c r="F3607" t="s">
        <v>45</v>
      </c>
      <c r="G3607" t="str">
        <f>HYPERLINK("https://www.youtube.com/watch?v=Npizrlq8bLc")</f>
        <v>https://www.youtube.com/watch?v=Npizrlq8bLc</v>
      </c>
      <c r="H3607" t="s">
        <v>46</v>
      </c>
      <c r="I3607" t="s">
        <v>11330</v>
      </c>
      <c r="J3607" t="str">
        <f>HYPERLINK("https://www.youtube.com/channel/UCxNAIqmMCLEMGpYyso2-UFA")</f>
        <v>https://www.youtube.com/channel/UCxNAIqmMCLEMGpYyso2-UFA</v>
      </c>
      <c r="K3607">
        <v>26</v>
      </c>
      <c r="L3607" t="s">
        <v>48</v>
      </c>
      <c r="N3607" t="s">
        <v>116</v>
      </c>
      <c r="O3607" t="s">
        <v>11330</v>
      </c>
      <c r="P3607" t="str">
        <f>HYPERLINK("https://www.youtube.com/channel/UCxNAIqmMCLEMGpYyso2-UFA")</f>
        <v>https://www.youtube.com/channel/UCxNAIqmMCLEMGpYyso2-UFA</v>
      </c>
      <c r="Q3607">
        <v>26</v>
      </c>
      <c r="R3607" t="s">
        <v>60</v>
      </c>
      <c r="W3607">
        <v>0</v>
      </c>
      <c r="X3607">
        <v>0</v>
      </c>
      <c r="AD3607">
        <v>0</v>
      </c>
      <c r="AE3607">
        <v>0</v>
      </c>
      <c r="AG3607">
        <v>9</v>
      </c>
      <c r="AI3607" t="s">
        <v>108</v>
      </c>
      <c r="AJ3607" t="s">
        <v>716</v>
      </c>
      <c r="AK3607" t="s">
        <v>52</v>
      </c>
      <c r="AL3607" t="str">
        <f>HYPERLINK("https://i.ytimg.com/vi/Npizrlq8bLc/maxresdefault.jpg")</f>
        <v>https://i.ytimg.com/vi/Npizrlq8bLc/maxresdefault.jpg</v>
      </c>
      <c r="AM3607" t="s">
        <v>52</v>
      </c>
      <c r="AN3607" t="s">
        <v>53</v>
      </c>
    </row>
    <row r="3608" spans="1:40">
      <c r="A3608" t="s">
        <v>8081</v>
      </c>
      <c r="B3608" t="s">
        <v>322</v>
      </c>
      <c r="C3608" t="s">
        <v>11331</v>
      </c>
      <c r="D3608" t="s">
        <v>52</v>
      </c>
      <c r="E3608" t="s">
        <v>9023</v>
      </c>
      <c r="F3608" t="s">
        <v>131</v>
      </c>
      <c r="G3608" t="str">
        <f>HYPERLINK("https://twitter.com/859247353651281920/status/1142813160954638336")</f>
        <v>https://twitter.com/859247353651281920/status/1142813160954638336</v>
      </c>
      <c r="H3608" t="s">
        <v>46</v>
      </c>
      <c r="I3608" t="s">
        <v>11332</v>
      </c>
      <c r="J3608" t="str">
        <f>HYPERLINK("http://twitter.com/rocio_canelas")</f>
        <v>http://twitter.com/rocio_canelas</v>
      </c>
      <c r="K3608">
        <v>31</v>
      </c>
      <c r="N3608" t="s">
        <v>65</v>
      </c>
      <c r="R3608" t="s">
        <v>60</v>
      </c>
      <c r="S3608" t="s">
        <v>11333</v>
      </c>
      <c r="W3608">
        <v>0</v>
      </c>
      <c r="X3608">
        <v>0</v>
      </c>
      <c r="AE3608">
        <v>0</v>
      </c>
      <c r="AI3608" t="s">
        <v>108</v>
      </c>
      <c r="AJ3608" t="s">
        <v>1182</v>
      </c>
      <c r="AK3608" t="s">
        <v>52</v>
      </c>
      <c r="AL3608" t="str">
        <f>HYPERLINK("https://pbs.twimg.com/media/D9tPJcrXoAAuJyr.jpg")</f>
        <v>https://pbs.twimg.com/media/D9tPJcrXoAAuJyr.jpg</v>
      </c>
      <c r="AM3608" t="s">
        <v>52</v>
      </c>
      <c r="AN3608" t="s">
        <v>53</v>
      </c>
    </row>
    <row r="3609" spans="1:40">
      <c r="A3609" t="s">
        <v>8081</v>
      </c>
      <c r="B3609" t="s">
        <v>322</v>
      </c>
      <c r="C3609" t="s">
        <v>11334</v>
      </c>
      <c r="D3609" t="s">
        <v>52</v>
      </c>
      <c r="E3609" t="s">
        <v>11335</v>
      </c>
      <c r="F3609" t="s">
        <v>95</v>
      </c>
      <c r="G3609" t="str">
        <f>HYPERLINK("https://twitter.com/16109918/status/1142813087294115840")</f>
        <v>https://twitter.com/16109918/status/1142813087294115840</v>
      </c>
      <c r="H3609" t="s">
        <v>46</v>
      </c>
      <c r="I3609" t="s">
        <v>11336</v>
      </c>
      <c r="J3609" t="str">
        <f>HYPERLINK("http://twitter.com/naonanana")</f>
        <v>http://twitter.com/naonanana</v>
      </c>
      <c r="K3609">
        <v>289</v>
      </c>
      <c r="L3609" t="s">
        <v>58</v>
      </c>
      <c r="N3609" t="s">
        <v>65</v>
      </c>
      <c r="R3609" t="s">
        <v>60</v>
      </c>
      <c r="S3609" t="s">
        <v>51</v>
      </c>
      <c r="T3609" t="s">
        <v>1661</v>
      </c>
      <c r="U3609" t="s">
        <v>11337</v>
      </c>
      <c r="W3609">
        <v>0</v>
      </c>
      <c r="X3609">
        <v>0</v>
      </c>
      <c r="AE3609">
        <v>1</v>
      </c>
      <c r="AF3609">
        <v>0</v>
      </c>
      <c r="AM3609" t="s">
        <v>52</v>
      </c>
      <c r="AN3609" t="s">
        <v>53</v>
      </c>
    </row>
    <row r="3610" spans="1:40">
      <c r="A3610" t="s">
        <v>8081</v>
      </c>
      <c r="B3610" t="s">
        <v>5991</v>
      </c>
      <c r="C3610" t="s">
        <v>11338</v>
      </c>
      <c r="D3610" t="s">
        <v>52</v>
      </c>
      <c r="E3610" t="s">
        <v>11339</v>
      </c>
      <c r="F3610" t="s">
        <v>45</v>
      </c>
      <c r="G3610" t="str">
        <f>HYPERLINK("https://twitter.com/1643213370/status/1142812813687250944")</f>
        <v>https://twitter.com/1643213370/status/1142812813687250944</v>
      </c>
      <c r="H3610" t="s">
        <v>46</v>
      </c>
      <c r="I3610" t="s">
        <v>11340</v>
      </c>
      <c r="J3610" t="str">
        <f>HYPERLINK("http://twitter.com/yessirSazi")</f>
        <v>http://twitter.com/yessirSazi</v>
      </c>
      <c r="K3610">
        <v>1856</v>
      </c>
      <c r="N3610" t="s">
        <v>65</v>
      </c>
      <c r="R3610" t="s">
        <v>60</v>
      </c>
      <c r="S3610" t="s">
        <v>1071</v>
      </c>
      <c r="T3610" t="s">
        <v>1072</v>
      </c>
      <c r="U3610" t="s">
        <v>1073</v>
      </c>
      <c r="W3610">
        <v>0</v>
      </c>
      <c r="X3610">
        <v>0</v>
      </c>
      <c r="AE3610">
        <v>0</v>
      </c>
      <c r="AF3610">
        <v>0</v>
      </c>
      <c r="AM3610" t="s">
        <v>52</v>
      </c>
      <c r="AN3610" t="s">
        <v>53</v>
      </c>
    </row>
    <row r="3611" spans="1:40">
      <c r="A3611" t="s">
        <v>8081</v>
      </c>
      <c r="B3611" t="s">
        <v>5994</v>
      </c>
      <c r="C3611" t="s">
        <v>11334</v>
      </c>
      <c r="D3611" t="s">
        <v>52</v>
      </c>
      <c r="E3611" t="s">
        <v>11341</v>
      </c>
      <c r="F3611" t="s">
        <v>45</v>
      </c>
      <c r="G3611" t="str">
        <f>HYPERLINK("https://www.instagram.com/p/BzDo9MhgaUl")</f>
        <v>https://www.instagram.com/p/BzDo9MhgaUl</v>
      </c>
      <c r="H3611" t="s">
        <v>46</v>
      </c>
      <c r="I3611" t="s">
        <v>11342</v>
      </c>
      <c r="J3611" t="str">
        <f>HYPERLINK("http://instagram.com/monkee.bb")</f>
        <v>http://instagram.com/monkee.bb</v>
      </c>
      <c r="K3611">
        <v>8</v>
      </c>
      <c r="N3611" t="s">
        <v>59</v>
      </c>
      <c r="O3611" t="s">
        <v>11342</v>
      </c>
      <c r="P3611" t="str">
        <f>HYPERLINK("http://instagram.com/monkee.bb")</f>
        <v>http://instagram.com/monkee.bb</v>
      </c>
      <c r="Q3611">
        <v>8</v>
      </c>
      <c r="R3611" t="s">
        <v>60</v>
      </c>
      <c r="W3611">
        <v>49</v>
      </c>
      <c r="X3611">
        <v>49</v>
      </c>
      <c r="AE3611">
        <v>0</v>
      </c>
      <c r="AI3611" t="s">
        <v>52</v>
      </c>
      <c r="AJ3611" t="s">
        <v>52</v>
      </c>
      <c r="AK3611" t="s">
        <v>110</v>
      </c>
      <c r="AL3611" t="str">
        <f>HYPERLINK("https://www.instagram.com/p/BzDo9MhgaUl/media/?size=l")</f>
        <v>https://www.instagram.com/p/BzDo9MhgaUl/media/?size=l</v>
      </c>
      <c r="AM3611" t="s">
        <v>52</v>
      </c>
      <c r="AN3611" t="s">
        <v>53</v>
      </c>
    </row>
    <row r="3612" spans="1:40">
      <c r="A3612" t="s">
        <v>8081</v>
      </c>
      <c r="B3612" t="s">
        <v>5994</v>
      </c>
      <c r="C3612" t="s">
        <v>9350</v>
      </c>
      <c r="D3612" t="s">
        <v>52</v>
      </c>
      <c r="E3612" t="s">
        <v>11343</v>
      </c>
      <c r="F3612" t="s">
        <v>45</v>
      </c>
      <c r="G3612" t="str">
        <f>HYPERLINK("https://www.instagram.com/p/BzDo6q6gY5W")</f>
        <v>https://www.instagram.com/p/BzDo6q6gY5W</v>
      </c>
      <c r="H3612" t="s">
        <v>46</v>
      </c>
      <c r="I3612" t="s">
        <v>11344</v>
      </c>
      <c r="J3612" t="str">
        <f>HYPERLINK("http://instagram.com/sweetpeprniche")</f>
        <v>http://instagram.com/sweetpeprniche</v>
      </c>
      <c r="K3612">
        <v>67</v>
      </c>
      <c r="N3612" t="s">
        <v>59</v>
      </c>
      <c r="O3612" t="s">
        <v>11344</v>
      </c>
      <c r="P3612" t="str">
        <f>HYPERLINK("http://instagram.com/sweetpeprniche")</f>
        <v>http://instagram.com/sweetpeprniche</v>
      </c>
      <c r="Q3612">
        <v>67</v>
      </c>
      <c r="R3612" t="s">
        <v>60</v>
      </c>
      <c r="W3612">
        <v>9</v>
      </c>
      <c r="X3612">
        <v>9</v>
      </c>
      <c r="AE3612">
        <v>3</v>
      </c>
      <c r="AI3612" t="s">
        <v>108</v>
      </c>
      <c r="AJ3612" t="s">
        <v>11345</v>
      </c>
      <c r="AK3612" t="s">
        <v>52</v>
      </c>
      <c r="AL3612" t="str">
        <f>HYPERLINK("https://www.instagram.com/p/BzDo6q6gY5W/media/?size=l")</f>
        <v>https://www.instagram.com/p/BzDo6q6gY5W/media/?size=l</v>
      </c>
      <c r="AM3612" t="s">
        <v>52</v>
      </c>
      <c r="AN3612" t="s">
        <v>53</v>
      </c>
    </row>
    <row r="3613" spans="1:40">
      <c r="A3613" t="s">
        <v>8081</v>
      </c>
      <c r="B3613" t="s">
        <v>6006</v>
      </c>
      <c r="C3613" t="s">
        <v>11346</v>
      </c>
      <c r="D3613" t="s">
        <v>52</v>
      </c>
      <c r="E3613" t="s">
        <v>11347</v>
      </c>
      <c r="F3613" t="s">
        <v>45</v>
      </c>
      <c r="G3613" t="str">
        <f>HYPERLINK("https://www.instagram.com/p/BzDozI3hhv1")</f>
        <v>https://www.instagram.com/p/BzDozI3hhv1</v>
      </c>
      <c r="H3613" t="s">
        <v>46</v>
      </c>
      <c r="I3613" t="s">
        <v>11348</v>
      </c>
      <c r="J3613" t="str">
        <f>HYPERLINK("http://instagram.com/peachynche")</f>
        <v>http://instagram.com/peachynche</v>
      </c>
      <c r="K3613">
        <v>23</v>
      </c>
      <c r="N3613" t="s">
        <v>59</v>
      </c>
      <c r="O3613" t="s">
        <v>11348</v>
      </c>
      <c r="P3613" t="str">
        <f>HYPERLINK("http://instagram.com/peachynche")</f>
        <v>http://instagram.com/peachynche</v>
      </c>
      <c r="Q3613">
        <v>23</v>
      </c>
      <c r="R3613" t="s">
        <v>60</v>
      </c>
      <c r="W3613">
        <v>17</v>
      </c>
      <c r="X3613">
        <v>17</v>
      </c>
      <c r="AE3613">
        <v>4</v>
      </c>
      <c r="AI3613" t="s">
        <v>108</v>
      </c>
      <c r="AJ3613" t="s">
        <v>52</v>
      </c>
      <c r="AK3613" t="s">
        <v>52</v>
      </c>
      <c r="AL3613" t="str">
        <f>HYPERLINK("https://www.instagram.com/p/BzDozI3hhv1/media/?size=l")</f>
        <v>https://www.instagram.com/p/BzDozI3hhv1/media/?size=l</v>
      </c>
      <c r="AM3613" t="s">
        <v>52</v>
      </c>
      <c r="AN3613" t="s">
        <v>53</v>
      </c>
    </row>
    <row r="3614" spans="1:40">
      <c r="A3614" t="s">
        <v>8081</v>
      </c>
      <c r="B3614" t="s">
        <v>6006</v>
      </c>
      <c r="C3614" t="s">
        <v>11349</v>
      </c>
      <c r="D3614" t="s">
        <v>52</v>
      </c>
      <c r="E3614" t="s">
        <v>11350</v>
      </c>
      <c r="F3614" t="s">
        <v>95</v>
      </c>
      <c r="G3614" t="str">
        <f>HYPERLINK("https://twitter.com/713495391900155904/status/1142812416734113792")</f>
        <v>https://twitter.com/713495391900155904/status/1142812416734113792</v>
      </c>
      <c r="H3614" t="s">
        <v>91</v>
      </c>
      <c r="I3614" t="s">
        <v>11351</v>
      </c>
      <c r="J3614" t="str">
        <f>HYPERLINK("http://twitter.com/miitomotrash")</f>
        <v>http://twitter.com/miitomotrash</v>
      </c>
      <c r="K3614">
        <v>51</v>
      </c>
      <c r="N3614" t="s">
        <v>65</v>
      </c>
      <c r="R3614" t="s">
        <v>60</v>
      </c>
      <c r="W3614">
        <v>0</v>
      </c>
      <c r="X3614">
        <v>0</v>
      </c>
      <c r="AE3614">
        <v>0</v>
      </c>
      <c r="AF3614">
        <v>0</v>
      </c>
      <c r="AM3614" t="s">
        <v>52</v>
      </c>
      <c r="AN3614" t="s">
        <v>53</v>
      </c>
    </row>
    <row r="3615" spans="1:40">
      <c r="A3615" t="s">
        <v>8081</v>
      </c>
      <c r="B3615" t="s">
        <v>6006</v>
      </c>
      <c r="C3615" t="s">
        <v>11352</v>
      </c>
      <c r="D3615" t="s">
        <v>52</v>
      </c>
      <c r="E3615" t="s">
        <v>11353</v>
      </c>
      <c r="F3615" t="s">
        <v>45</v>
      </c>
      <c r="G3615" t="str">
        <f>HYPERLINK("https://www.instagram.com/p/BzDowU5lPMc")</f>
        <v>https://www.instagram.com/p/BzDowU5lPMc</v>
      </c>
      <c r="H3615" t="s">
        <v>46</v>
      </c>
      <c r="I3615" t="s">
        <v>11354</v>
      </c>
      <c r="J3615" t="str">
        <f>HYPERLINK("http://instagram.com/gametimeblitz")</f>
        <v>http://instagram.com/gametimeblitz</v>
      </c>
      <c r="K3615">
        <v>2043</v>
      </c>
      <c r="N3615" t="s">
        <v>59</v>
      </c>
      <c r="O3615" t="s">
        <v>11354</v>
      </c>
      <c r="P3615" t="str">
        <f>HYPERLINK("http://instagram.com/gametimeblitz")</f>
        <v>http://instagram.com/gametimeblitz</v>
      </c>
      <c r="Q3615">
        <v>2043</v>
      </c>
      <c r="R3615" t="s">
        <v>60</v>
      </c>
      <c r="W3615">
        <v>16</v>
      </c>
      <c r="X3615">
        <v>16</v>
      </c>
      <c r="AE3615">
        <v>0</v>
      </c>
      <c r="AI3615" t="s">
        <v>11355</v>
      </c>
      <c r="AJ3615" t="s">
        <v>1182</v>
      </c>
      <c r="AK3615" t="s">
        <v>52</v>
      </c>
      <c r="AL3615" t="str">
        <f>HYPERLINK("https://www.instagram.com/p/BzDowU5lPMc/media/?size=l")</f>
        <v>https://www.instagram.com/p/BzDowU5lPMc/media/?size=l</v>
      </c>
      <c r="AM3615" t="s">
        <v>52</v>
      </c>
      <c r="AN3615" t="s">
        <v>53</v>
      </c>
    </row>
    <row r="3616" spans="1:40">
      <c r="A3616" t="s">
        <v>8081</v>
      </c>
      <c r="B3616" t="s">
        <v>342</v>
      </c>
      <c r="C3616" t="s">
        <v>11356</v>
      </c>
      <c r="D3616" t="s">
        <v>52</v>
      </c>
      <c r="E3616" t="s">
        <v>11357</v>
      </c>
      <c r="F3616" t="s">
        <v>45</v>
      </c>
      <c r="G3616" t="str">
        <f>HYPERLINK("https://twitter.com/1081527569751494657/status/1142811321135534080")</f>
        <v>https://twitter.com/1081527569751494657/status/1142811321135534080</v>
      </c>
      <c r="H3616" t="s">
        <v>46</v>
      </c>
      <c r="I3616" t="s">
        <v>11358</v>
      </c>
      <c r="J3616" t="str">
        <f>HYPERLINK("http://twitter.com/Seencostangen")</f>
        <v>http://twitter.com/Seencostangen</v>
      </c>
      <c r="K3616">
        <v>82</v>
      </c>
      <c r="N3616" t="s">
        <v>65</v>
      </c>
      <c r="R3616" t="s">
        <v>60</v>
      </c>
      <c r="W3616">
        <v>0</v>
      </c>
      <c r="X3616">
        <v>0</v>
      </c>
      <c r="AE3616">
        <v>1</v>
      </c>
      <c r="AF3616">
        <v>0</v>
      </c>
      <c r="AM3616" t="s">
        <v>52</v>
      </c>
      <c r="AN3616" t="s">
        <v>53</v>
      </c>
    </row>
    <row r="3617" spans="1:40">
      <c r="A3617" t="s">
        <v>8081</v>
      </c>
      <c r="B3617" t="s">
        <v>6025</v>
      </c>
      <c r="C3617" t="s">
        <v>11359</v>
      </c>
      <c r="D3617" t="s">
        <v>52</v>
      </c>
      <c r="E3617" t="s">
        <v>11360</v>
      </c>
      <c r="F3617" t="s">
        <v>45</v>
      </c>
      <c r="G3617" t="str">
        <f>HYPERLINK("https://twitter.com/868170026108542976/status/1142811190424481795")</f>
        <v>https://twitter.com/868170026108542976/status/1142811190424481795</v>
      </c>
      <c r="H3617" t="s">
        <v>46</v>
      </c>
      <c r="I3617" t="s">
        <v>11361</v>
      </c>
      <c r="J3617" t="str">
        <f>HYPERLINK("http://twitter.com/ThRealMT")</f>
        <v>http://twitter.com/ThRealMT</v>
      </c>
      <c r="K3617">
        <v>44</v>
      </c>
      <c r="N3617" t="s">
        <v>65</v>
      </c>
      <c r="R3617" t="s">
        <v>60</v>
      </c>
      <c r="S3617" t="s">
        <v>97</v>
      </c>
      <c r="T3617" t="s">
        <v>177</v>
      </c>
      <c r="W3617">
        <v>1</v>
      </c>
      <c r="X3617">
        <v>1</v>
      </c>
      <c r="AE3617">
        <v>0</v>
      </c>
      <c r="AF3617">
        <v>0</v>
      </c>
      <c r="AI3617" t="s">
        <v>52</v>
      </c>
      <c r="AJ3617" t="s">
        <v>52</v>
      </c>
      <c r="AK3617" t="s">
        <v>52</v>
      </c>
      <c r="AL3617" t="str">
        <f>HYPERLINK("https://pbs.twimg.com/media/D9wUtSXXUAIAHjT.jpg")</f>
        <v>https://pbs.twimg.com/media/D9wUtSXXUAIAHjT.jpg</v>
      </c>
      <c r="AM3617" t="s">
        <v>52</v>
      </c>
      <c r="AN3617" t="s">
        <v>53</v>
      </c>
    </row>
    <row r="3618" spans="1:40">
      <c r="A3618" t="s">
        <v>8081</v>
      </c>
      <c r="B3618" t="s">
        <v>6025</v>
      </c>
      <c r="C3618" t="s">
        <v>11362</v>
      </c>
      <c r="D3618" t="s">
        <v>52</v>
      </c>
      <c r="E3618" t="s">
        <v>3749</v>
      </c>
      <c r="F3618" t="s">
        <v>71</v>
      </c>
      <c r="G3618" t="str">
        <f>HYPERLINK("https://twitter.com/271445810/status/1142811128277475328")</f>
        <v>https://twitter.com/271445810/status/1142811128277475328</v>
      </c>
      <c r="H3618" t="s">
        <v>46</v>
      </c>
      <c r="I3618" t="s">
        <v>11363</v>
      </c>
      <c r="J3618" t="str">
        <f>HYPERLINK("http://twitter.com/Takum17")</f>
        <v>http://twitter.com/Takum17</v>
      </c>
      <c r="K3618">
        <v>2765</v>
      </c>
      <c r="N3618" t="s">
        <v>65</v>
      </c>
      <c r="R3618" t="s">
        <v>60</v>
      </c>
      <c r="W3618">
        <v>0</v>
      </c>
      <c r="X3618">
        <v>0</v>
      </c>
      <c r="AE3618">
        <v>0</v>
      </c>
      <c r="AF3618">
        <v>0</v>
      </c>
      <c r="AI3618" t="s">
        <v>108</v>
      </c>
      <c r="AJ3618" t="s">
        <v>52</v>
      </c>
      <c r="AK3618" t="s">
        <v>52</v>
      </c>
      <c r="AL3618" t="str">
        <f>HYPERLINK("https://pbs.twimg.com/media/D9sAXHUX4AA6vJs.jpg")</f>
        <v>https://pbs.twimg.com/media/D9sAXHUX4AA6vJs.jpg</v>
      </c>
      <c r="AM3618" t="s">
        <v>52</v>
      </c>
      <c r="AN3618" t="s">
        <v>53</v>
      </c>
    </row>
    <row r="3619" spans="1:40">
      <c r="A3619" t="s">
        <v>8081</v>
      </c>
      <c r="B3619" t="s">
        <v>6025</v>
      </c>
      <c r="C3619" t="s">
        <v>11325</v>
      </c>
      <c r="D3619" t="s">
        <v>52</v>
      </c>
      <c r="E3619" t="s">
        <v>11364</v>
      </c>
      <c r="F3619" t="s">
        <v>45</v>
      </c>
      <c r="G3619" t="str">
        <f>HYPERLINK("https://twitter.com/836091745666465792/status/1142811063261507584")</f>
        <v>https://twitter.com/836091745666465792/status/1142811063261507584</v>
      </c>
      <c r="H3619" t="s">
        <v>46</v>
      </c>
      <c r="I3619" t="s">
        <v>11365</v>
      </c>
      <c r="J3619" t="str">
        <f>HYPERLINK("http://twitter.com/No_Talking713")</f>
        <v>http://twitter.com/No_Talking713</v>
      </c>
      <c r="K3619">
        <v>73</v>
      </c>
      <c r="N3619" t="s">
        <v>65</v>
      </c>
      <c r="R3619" t="s">
        <v>60</v>
      </c>
      <c r="W3619">
        <v>0</v>
      </c>
      <c r="X3619">
        <v>0</v>
      </c>
      <c r="AE3619">
        <v>1</v>
      </c>
      <c r="AF3619">
        <v>0</v>
      </c>
      <c r="AM3619" t="s">
        <v>52</v>
      </c>
      <c r="AN3619" t="s">
        <v>53</v>
      </c>
    </row>
    <row r="3620" spans="1:40">
      <c r="A3620" t="s">
        <v>8081</v>
      </c>
      <c r="B3620" t="s">
        <v>345</v>
      </c>
      <c r="C3620" t="s">
        <v>11366</v>
      </c>
      <c r="D3620" t="s">
        <v>52</v>
      </c>
      <c r="E3620" t="s">
        <v>11367</v>
      </c>
      <c r="F3620" t="s">
        <v>45</v>
      </c>
      <c r="G3620" t="str">
        <f>HYPERLINK("https://twitter.com/836091745666465792/status/1142810909116645376")</f>
        <v>https://twitter.com/836091745666465792/status/1142810909116645376</v>
      </c>
      <c r="H3620" t="s">
        <v>46</v>
      </c>
      <c r="I3620" t="s">
        <v>11365</v>
      </c>
      <c r="J3620" t="str">
        <f>HYPERLINK("http://twitter.com/No_Talking713")</f>
        <v>http://twitter.com/No_Talking713</v>
      </c>
      <c r="K3620">
        <v>73</v>
      </c>
      <c r="N3620" t="s">
        <v>65</v>
      </c>
      <c r="R3620" t="s">
        <v>60</v>
      </c>
      <c r="W3620">
        <v>0</v>
      </c>
      <c r="X3620">
        <v>0</v>
      </c>
      <c r="AE3620">
        <v>0</v>
      </c>
      <c r="AF3620">
        <v>0</v>
      </c>
      <c r="AM3620" t="s">
        <v>52</v>
      </c>
      <c r="AN3620" t="s">
        <v>53</v>
      </c>
    </row>
    <row r="3621" spans="1:40">
      <c r="A3621" t="s">
        <v>8081</v>
      </c>
      <c r="B3621" t="s">
        <v>6035</v>
      </c>
      <c r="C3621" t="s">
        <v>11368</v>
      </c>
      <c r="D3621" t="s">
        <v>52</v>
      </c>
      <c r="E3621" t="s">
        <v>11369</v>
      </c>
      <c r="F3621" t="s">
        <v>95</v>
      </c>
      <c r="G3621" t="str">
        <f>HYPERLINK("https://twitter.com/1016059774822121473/status/1142810680522924036")</f>
        <v>https://twitter.com/1016059774822121473/status/1142810680522924036</v>
      </c>
      <c r="H3621" t="s">
        <v>215</v>
      </c>
      <c r="I3621" t="s">
        <v>11370</v>
      </c>
      <c r="J3621" t="str">
        <f>HYPERLINK("http://twitter.com/VouisLuittonDon")</f>
        <v>http://twitter.com/VouisLuittonDon</v>
      </c>
      <c r="K3621">
        <v>119</v>
      </c>
      <c r="N3621" t="s">
        <v>65</v>
      </c>
      <c r="R3621" t="s">
        <v>60</v>
      </c>
      <c r="W3621">
        <v>0</v>
      </c>
      <c r="X3621">
        <v>0</v>
      </c>
      <c r="AE3621">
        <v>1</v>
      </c>
      <c r="AF3621">
        <v>0</v>
      </c>
      <c r="AM3621" t="s">
        <v>52</v>
      </c>
      <c r="AN3621" t="s">
        <v>53</v>
      </c>
    </row>
    <row r="3622" spans="1:40">
      <c r="A3622" t="s">
        <v>8081</v>
      </c>
      <c r="B3622" t="s">
        <v>6035</v>
      </c>
      <c r="C3622" t="s">
        <v>11368</v>
      </c>
      <c r="D3622" t="s">
        <v>52</v>
      </c>
      <c r="E3622" t="s">
        <v>7118</v>
      </c>
      <c r="F3622" t="s">
        <v>71</v>
      </c>
      <c r="G3622" t="str">
        <f>HYPERLINK("https://twitter.com/3600295817/status/1142810623149060096")</f>
        <v>https://twitter.com/3600295817/status/1142810623149060096</v>
      </c>
      <c r="H3622" t="s">
        <v>46</v>
      </c>
      <c r="I3622" t="s">
        <v>11371</v>
      </c>
      <c r="J3622" t="str">
        <f>HYPERLINK("http://twitter.com/itsJeremyChief")</f>
        <v>http://twitter.com/itsJeremyChief</v>
      </c>
      <c r="K3622">
        <v>369</v>
      </c>
      <c r="N3622" t="s">
        <v>65</v>
      </c>
      <c r="R3622" t="s">
        <v>60</v>
      </c>
      <c r="S3622" t="s">
        <v>1071</v>
      </c>
      <c r="T3622" t="s">
        <v>1072</v>
      </c>
      <c r="U3622" t="s">
        <v>1073</v>
      </c>
      <c r="W3622">
        <v>0</v>
      </c>
      <c r="X3622">
        <v>0</v>
      </c>
      <c r="AE3622">
        <v>0</v>
      </c>
      <c r="AF3622">
        <v>0</v>
      </c>
      <c r="AI3622" t="s">
        <v>108</v>
      </c>
      <c r="AJ3622" t="s">
        <v>52</v>
      </c>
      <c r="AK3622" t="s">
        <v>52</v>
      </c>
      <c r="AL3622" t="str">
        <f>HYPERLINK("https://pbs.twimg.com/media/D9sAXHUX4AA6vJs.jpg")</f>
        <v>https://pbs.twimg.com/media/D9sAXHUX4AA6vJs.jpg</v>
      </c>
      <c r="AM3622" t="s">
        <v>52</v>
      </c>
      <c r="AN3622" t="s">
        <v>53</v>
      </c>
    </row>
    <row r="3623" spans="1:40">
      <c r="A3623" t="s">
        <v>8081</v>
      </c>
      <c r="B3623" t="s">
        <v>6035</v>
      </c>
      <c r="C3623" t="s">
        <v>11372</v>
      </c>
      <c r="D3623" t="s">
        <v>52</v>
      </c>
      <c r="E3623" t="s">
        <v>11373</v>
      </c>
      <c r="F3623" t="s">
        <v>45</v>
      </c>
      <c r="G3623" t="str">
        <f>HYPERLINK("https://www.instagram.com/p/BzDn8kenLpx")</f>
        <v>https://www.instagram.com/p/BzDn8kenLpx</v>
      </c>
      <c r="H3623" t="s">
        <v>46</v>
      </c>
      <c r="I3623" t="s">
        <v>11374</v>
      </c>
      <c r="J3623" t="str">
        <f>HYPERLINK("http://instagram.com/thehennyhome")</f>
        <v>http://instagram.com/thehennyhome</v>
      </c>
      <c r="K3623">
        <v>166</v>
      </c>
      <c r="N3623" t="s">
        <v>59</v>
      </c>
      <c r="O3623" t="s">
        <v>11374</v>
      </c>
      <c r="P3623" t="str">
        <f>HYPERLINK("http://instagram.com/thehennyhome")</f>
        <v>http://instagram.com/thehennyhome</v>
      </c>
      <c r="Q3623">
        <v>166</v>
      </c>
      <c r="R3623" t="s">
        <v>60</v>
      </c>
      <c r="S3623" t="s">
        <v>51</v>
      </c>
      <c r="T3623" t="s">
        <v>738</v>
      </c>
      <c r="U3623" t="s">
        <v>11375</v>
      </c>
      <c r="W3623">
        <v>34</v>
      </c>
      <c r="X3623">
        <v>34</v>
      </c>
      <c r="AE3623">
        <v>6</v>
      </c>
      <c r="AI3623" t="s">
        <v>52</v>
      </c>
      <c r="AJ3623" t="s">
        <v>11376</v>
      </c>
      <c r="AK3623" t="s">
        <v>52</v>
      </c>
      <c r="AL3623" t="str">
        <f>HYPERLINK("https://www.instagram.com/p/BzDn8kenLpx/media/?size=l")</f>
        <v>https://www.instagram.com/p/BzDn8kenLpx/media/?size=l</v>
      </c>
      <c r="AM3623" t="s">
        <v>52</v>
      </c>
      <c r="AN3623" t="s">
        <v>53</v>
      </c>
    </row>
    <row r="3624" spans="1:40">
      <c r="A3624" t="s">
        <v>8081</v>
      </c>
      <c r="B3624" t="s">
        <v>348</v>
      </c>
      <c r="C3624" t="s">
        <v>11362</v>
      </c>
      <c r="D3624" t="s">
        <v>52</v>
      </c>
      <c r="E3624" t="s">
        <v>11377</v>
      </c>
      <c r="F3624" t="s">
        <v>45</v>
      </c>
      <c r="G3624" t="str">
        <f>HYPERLINK("https://twitter.com/937117274770694144/status/1142810516756320256")</f>
        <v>https://twitter.com/937117274770694144/status/1142810516756320256</v>
      </c>
      <c r="H3624" t="s">
        <v>46</v>
      </c>
      <c r="I3624" t="s">
        <v>11378</v>
      </c>
      <c r="J3624" t="str">
        <f>HYPERLINK("http://twitter.com/_hunnnydipp")</f>
        <v>http://twitter.com/_hunnnydipp</v>
      </c>
      <c r="K3624">
        <v>139</v>
      </c>
      <c r="N3624" t="s">
        <v>65</v>
      </c>
      <c r="R3624" t="s">
        <v>60</v>
      </c>
      <c r="S3624" t="s">
        <v>51</v>
      </c>
      <c r="T3624" t="s">
        <v>3312</v>
      </c>
      <c r="U3624" t="s">
        <v>3313</v>
      </c>
      <c r="W3624">
        <v>0</v>
      </c>
      <c r="X3624">
        <v>0</v>
      </c>
      <c r="AE3624">
        <v>0</v>
      </c>
      <c r="AF3624">
        <v>0</v>
      </c>
      <c r="AM3624" t="s">
        <v>52</v>
      </c>
      <c r="AN3624" t="s">
        <v>53</v>
      </c>
    </row>
    <row r="3625" spans="1:40">
      <c r="A3625" t="s">
        <v>8081</v>
      </c>
      <c r="B3625" t="s">
        <v>6041</v>
      </c>
      <c r="C3625" t="s">
        <v>11379</v>
      </c>
      <c r="D3625" t="s">
        <v>52</v>
      </c>
      <c r="E3625" t="s">
        <v>11380</v>
      </c>
      <c r="F3625" t="s">
        <v>71</v>
      </c>
      <c r="G3625" t="str">
        <f>HYPERLINK("https://twitter.com/1093308248478773248/status/1142810194319032320")</f>
        <v>https://twitter.com/1093308248478773248/status/1142810194319032320</v>
      </c>
      <c r="H3625" t="s">
        <v>46</v>
      </c>
      <c r="I3625" t="s">
        <v>11381</v>
      </c>
      <c r="J3625" t="str">
        <f>HYPERLINK("http://twitter.com/samuel65789532")</f>
        <v>http://twitter.com/samuel65789532</v>
      </c>
      <c r="K3625">
        <v>2</v>
      </c>
      <c r="N3625" t="s">
        <v>65</v>
      </c>
      <c r="R3625" t="s">
        <v>60</v>
      </c>
      <c r="W3625">
        <v>0</v>
      </c>
      <c r="X3625">
        <v>0</v>
      </c>
      <c r="AE3625">
        <v>0</v>
      </c>
      <c r="AF3625">
        <v>0</v>
      </c>
      <c r="AM3625" t="s">
        <v>52</v>
      </c>
      <c r="AN3625" t="s">
        <v>53</v>
      </c>
    </row>
    <row r="3626" spans="1:40">
      <c r="A3626" t="s">
        <v>8081</v>
      </c>
      <c r="B3626" t="s">
        <v>6041</v>
      </c>
      <c r="C3626" t="s">
        <v>11382</v>
      </c>
      <c r="D3626" t="s">
        <v>52</v>
      </c>
      <c r="E3626" t="s">
        <v>11383</v>
      </c>
      <c r="F3626" t="s">
        <v>45</v>
      </c>
      <c r="G3626" t="str">
        <f>HYPERLINK("https://www.instagram.com/p/BzDnuLYptpz")</f>
        <v>https://www.instagram.com/p/BzDnuLYptpz</v>
      </c>
      <c r="H3626" t="s">
        <v>46</v>
      </c>
      <c r="I3626" t="s">
        <v>11384</v>
      </c>
      <c r="J3626" t="str">
        <f>HYPERLINK("http://instagram.com/n.w.blessingcustomleather")</f>
        <v>http://instagram.com/n.w.blessingcustomleather</v>
      </c>
      <c r="K3626">
        <v>12642</v>
      </c>
      <c r="L3626" t="s">
        <v>48</v>
      </c>
      <c r="N3626" t="s">
        <v>59</v>
      </c>
      <c r="O3626" t="s">
        <v>11384</v>
      </c>
      <c r="P3626" t="str">
        <f>HYPERLINK("http://instagram.com/n.w.blessingcustomleather")</f>
        <v>http://instagram.com/n.w.blessingcustomleather</v>
      </c>
      <c r="Q3626">
        <v>12642</v>
      </c>
      <c r="R3626" t="s">
        <v>60</v>
      </c>
      <c r="W3626">
        <v>393</v>
      </c>
      <c r="X3626">
        <v>393</v>
      </c>
      <c r="AE3626">
        <v>6</v>
      </c>
      <c r="AI3626" t="s">
        <v>52</v>
      </c>
      <c r="AJ3626" t="s">
        <v>11385</v>
      </c>
      <c r="AK3626" t="s">
        <v>52</v>
      </c>
      <c r="AL3626" t="str">
        <f>HYPERLINK("https://www.instagram.com/p/BzDnuLYptpz/media/?size=l")</f>
        <v>https://www.instagram.com/p/BzDnuLYptpz/media/?size=l</v>
      </c>
      <c r="AM3626" t="s">
        <v>52</v>
      </c>
      <c r="AN3626" t="s">
        <v>53</v>
      </c>
    </row>
    <row r="3627" spans="1:40">
      <c r="A3627" t="s">
        <v>8081</v>
      </c>
      <c r="B3627" t="s">
        <v>362</v>
      </c>
      <c r="C3627" t="s">
        <v>11379</v>
      </c>
      <c r="D3627" t="s">
        <v>52</v>
      </c>
      <c r="E3627" t="s">
        <v>11386</v>
      </c>
      <c r="F3627" t="s">
        <v>45</v>
      </c>
      <c r="G3627" t="str">
        <f>HYPERLINK("https://www.instagram.com/p/BzDni3wntms")</f>
        <v>https://www.instagram.com/p/BzDni3wntms</v>
      </c>
      <c r="H3627" t="s">
        <v>46</v>
      </c>
      <c r="I3627" t="s">
        <v>11387</v>
      </c>
      <c r="J3627" t="str">
        <f>HYPERLINK("http://instagram.com/stophj")</f>
        <v>http://instagram.com/stophj</v>
      </c>
      <c r="K3627">
        <v>532</v>
      </c>
      <c r="N3627" t="s">
        <v>59</v>
      </c>
      <c r="O3627" t="s">
        <v>11387</v>
      </c>
      <c r="P3627" t="str">
        <f>HYPERLINK("http://instagram.com/stophj")</f>
        <v>http://instagram.com/stophj</v>
      </c>
      <c r="Q3627">
        <v>532</v>
      </c>
      <c r="R3627" t="s">
        <v>60</v>
      </c>
      <c r="S3627" t="s">
        <v>51</v>
      </c>
      <c r="T3627" t="s">
        <v>2522</v>
      </c>
      <c r="U3627" t="s">
        <v>11388</v>
      </c>
      <c r="W3627">
        <v>37</v>
      </c>
      <c r="X3627">
        <v>37</v>
      </c>
      <c r="AE3627">
        <v>6</v>
      </c>
      <c r="AI3627" t="s">
        <v>108</v>
      </c>
      <c r="AJ3627" t="s">
        <v>121</v>
      </c>
      <c r="AK3627" t="s">
        <v>52</v>
      </c>
      <c r="AL3627" t="str">
        <f>HYPERLINK("https://www.instagram.com/p/BzDni3wntms/media/?size=l")</f>
        <v>https://www.instagram.com/p/BzDni3wntms/media/?size=l</v>
      </c>
      <c r="AM3627" t="s">
        <v>52</v>
      </c>
      <c r="AN3627" t="s">
        <v>53</v>
      </c>
    </row>
    <row r="3628" spans="1:40">
      <c r="A3628" t="s">
        <v>8081</v>
      </c>
      <c r="B3628" t="s">
        <v>362</v>
      </c>
      <c r="C3628" t="s">
        <v>11362</v>
      </c>
      <c r="D3628" t="s">
        <v>11389</v>
      </c>
      <c r="E3628" t="s">
        <v>11389</v>
      </c>
      <c r="F3628" t="s">
        <v>45</v>
      </c>
      <c r="G3628" t="str">
        <f>HYPERLINK("https://www.youtube.com/watch?v=tg63pOmdxN4")</f>
        <v>https://www.youtube.com/watch?v=tg63pOmdxN4</v>
      </c>
      <c r="H3628" t="s">
        <v>46</v>
      </c>
      <c r="I3628" t="s">
        <v>11390</v>
      </c>
      <c r="J3628" t="str">
        <f>HYPERLINK("https://www.youtube.com/channel/UCqvkOj0fMs1yVFJhGnxX7Yg")</f>
        <v>https://www.youtube.com/channel/UCqvkOj0fMs1yVFJhGnxX7Yg</v>
      </c>
      <c r="K3628">
        <v>7</v>
      </c>
      <c r="N3628" t="s">
        <v>116</v>
      </c>
      <c r="O3628" t="s">
        <v>11390</v>
      </c>
      <c r="P3628" t="str">
        <f>HYPERLINK("https://www.youtube.com/channel/UCqvkOj0fMs1yVFJhGnxX7Yg")</f>
        <v>https://www.youtube.com/channel/UCqvkOj0fMs1yVFJhGnxX7Yg</v>
      </c>
      <c r="Q3628">
        <v>7</v>
      </c>
      <c r="R3628" t="s">
        <v>60</v>
      </c>
      <c r="W3628">
        <v>0</v>
      </c>
      <c r="X3628">
        <v>0</v>
      </c>
      <c r="AD3628">
        <v>0</v>
      </c>
      <c r="AE3628">
        <v>0</v>
      </c>
      <c r="AG3628">
        <v>3</v>
      </c>
      <c r="AI3628" t="s">
        <v>52</v>
      </c>
      <c r="AJ3628" t="s">
        <v>52</v>
      </c>
      <c r="AK3628" t="s">
        <v>110</v>
      </c>
      <c r="AL3628" t="str">
        <f>HYPERLINK("https://i.ytimg.com/vi/tg63pOmdxN4/hqdefault.jpg")</f>
        <v>https://i.ytimg.com/vi/tg63pOmdxN4/hqdefault.jpg</v>
      </c>
      <c r="AM3628" t="s">
        <v>52</v>
      </c>
      <c r="AN3628" t="s">
        <v>53</v>
      </c>
    </row>
    <row r="3629" spans="1:40">
      <c r="A3629" t="s">
        <v>8081</v>
      </c>
      <c r="B3629" t="s">
        <v>11391</v>
      </c>
      <c r="C3629" t="s">
        <v>11392</v>
      </c>
      <c r="D3629" t="s">
        <v>52</v>
      </c>
      <c r="E3629" t="s">
        <v>11393</v>
      </c>
      <c r="F3629" t="s">
        <v>45</v>
      </c>
      <c r="G3629" t="str">
        <f>HYPERLINK("https://www.instagram.com/p/BzDncwjhvuM")</f>
        <v>https://www.instagram.com/p/BzDncwjhvuM</v>
      </c>
      <c r="H3629" t="s">
        <v>46</v>
      </c>
      <c r="I3629" t="s">
        <v>11394</v>
      </c>
      <c r="J3629" t="str">
        <f>HYPERLINK("http://instagram.com/gsdluna.labmax")</f>
        <v>http://instagram.com/gsdluna.labmax</v>
      </c>
      <c r="K3629">
        <v>300</v>
      </c>
      <c r="N3629" t="s">
        <v>59</v>
      </c>
      <c r="O3629" t="s">
        <v>11394</v>
      </c>
      <c r="P3629" t="str">
        <f>HYPERLINK("http://instagram.com/gsdluna.labmax")</f>
        <v>http://instagram.com/gsdluna.labmax</v>
      </c>
      <c r="Q3629">
        <v>300</v>
      </c>
      <c r="R3629" t="s">
        <v>60</v>
      </c>
      <c r="W3629">
        <v>19</v>
      </c>
      <c r="X3629">
        <v>19</v>
      </c>
      <c r="AE3629">
        <v>0</v>
      </c>
      <c r="AI3629" t="s">
        <v>108</v>
      </c>
      <c r="AJ3629" t="s">
        <v>985</v>
      </c>
      <c r="AK3629" t="s">
        <v>52</v>
      </c>
      <c r="AL3629" t="str">
        <f>HYPERLINK("https://www.instagram.com/p/BzDncwjhvuM/media/?size=l")</f>
        <v>https://www.instagram.com/p/BzDncwjhvuM/media/?size=l</v>
      </c>
      <c r="AM3629" t="s">
        <v>52</v>
      </c>
      <c r="AN3629" t="s">
        <v>53</v>
      </c>
    </row>
    <row r="3630" spans="1:40">
      <c r="A3630" t="s">
        <v>8081</v>
      </c>
      <c r="B3630" t="s">
        <v>11391</v>
      </c>
      <c r="C3630" t="s">
        <v>11395</v>
      </c>
      <c r="D3630" t="s">
        <v>52</v>
      </c>
      <c r="E3630" t="s">
        <v>11396</v>
      </c>
      <c r="F3630" t="s">
        <v>45</v>
      </c>
      <c r="G3630" t="str">
        <f>HYPERLINK("https://www.instagram.com/p/BzDnbuhpzes")</f>
        <v>https://www.instagram.com/p/BzDnbuhpzes</v>
      </c>
      <c r="H3630" t="s">
        <v>46</v>
      </c>
      <c r="I3630" t="s">
        <v>3375</v>
      </c>
      <c r="J3630" t="str">
        <f>HYPERLINK("http://instagram.com/los_doritos_de_los_bts_")</f>
        <v>http://instagram.com/los_doritos_de_los_bts_</v>
      </c>
      <c r="K3630">
        <v>0</v>
      </c>
      <c r="N3630" t="s">
        <v>59</v>
      </c>
      <c r="O3630" t="s">
        <v>3375</v>
      </c>
      <c r="P3630" t="str">
        <f>HYPERLINK("http://instagram.com/los_doritos_de_los_bts_")</f>
        <v>http://instagram.com/los_doritos_de_los_bts_</v>
      </c>
      <c r="Q3630">
        <v>0</v>
      </c>
      <c r="R3630" t="s">
        <v>60</v>
      </c>
      <c r="W3630">
        <v>26</v>
      </c>
      <c r="X3630">
        <v>26</v>
      </c>
      <c r="AE3630">
        <v>1</v>
      </c>
      <c r="AI3630" t="s">
        <v>52</v>
      </c>
      <c r="AJ3630" t="s">
        <v>3551</v>
      </c>
      <c r="AK3630" t="s">
        <v>52</v>
      </c>
      <c r="AL3630" t="str">
        <f>HYPERLINK("https://www.instagram.com/p/BzDnbuhpzes/media/?size=l")</f>
        <v>https://www.instagram.com/p/BzDnbuhpzes/media/?size=l</v>
      </c>
      <c r="AM3630" t="s">
        <v>52</v>
      </c>
      <c r="AN3630" t="s">
        <v>53</v>
      </c>
    </row>
    <row r="3631" spans="1:40">
      <c r="A3631" t="s">
        <v>8081</v>
      </c>
      <c r="B3631" t="s">
        <v>11391</v>
      </c>
      <c r="C3631" t="s">
        <v>11397</v>
      </c>
      <c r="D3631" t="s">
        <v>11398</v>
      </c>
      <c r="E3631" t="s">
        <v>11399</v>
      </c>
      <c r="F3631" t="s">
        <v>95</v>
      </c>
      <c r="G3631" t="str">
        <f>HYPERLINK("https://pjmedia.com/rogerlsimon/iran-to-neocon-or-not-to-neocon-is-that-the-question/#comment-4513058901")</f>
        <v>https://pjmedia.com/rogerlsimon/iran-to-neocon-or-not-to-neocon-is-that-the-question/#comment-4513058901</v>
      </c>
      <c r="H3631" t="s">
        <v>46</v>
      </c>
      <c r="I3631" t="s">
        <v>11400</v>
      </c>
      <c r="J3631" t="str">
        <f>HYPERLINK("https://disqus.com/by/disqus_4kQy99PvkO/")</f>
        <v>https://disqus.com/by/disqus_4kQy99PvkO/</v>
      </c>
      <c r="K3631">
        <v>2</v>
      </c>
      <c r="N3631" t="s">
        <v>11401</v>
      </c>
      <c r="O3631" t="s">
        <v>11402</v>
      </c>
      <c r="P3631" t="str">
        <f>HYPERLINK("https://disqus.com/home/forum/pj-media/")</f>
        <v>https://disqus.com/home/forum/pj-media/</v>
      </c>
      <c r="R3631" t="s">
        <v>50</v>
      </c>
      <c r="W3631">
        <v>0</v>
      </c>
      <c r="X3631">
        <v>0</v>
      </c>
      <c r="AM3631" t="s">
        <v>52</v>
      </c>
      <c r="AN3631" t="s">
        <v>53</v>
      </c>
    </row>
    <row r="3632" spans="1:40">
      <c r="A3632" t="s">
        <v>8081</v>
      </c>
      <c r="B3632" t="s">
        <v>367</v>
      </c>
      <c r="C3632" t="s">
        <v>11368</v>
      </c>
      <c r="D3632" t="s">
        <v>52</v>
      </c>
      <c r="E3632" t="s">
        <v>11403</v>
      </c>
      <c r="F3632" t="s">
        <v>71</v>
      </c>
      <c r="G3632" t="str">
        <f>HYPERLINK("https://twitter.com/51890338/status/1142809268023910400")</f>
        <v>https://twitter.com/51890338/status/1142809268023910400</v>
      </c>
      <c r="H3632" t="s">
        <v>46</v>
      </c>
      <c r="I3632" t="s">
        <v>11404</v>
      </c>
      <c r="J3632" t="str">
        <f>HYPERLINK("http://twitter.com/boymaison")</f>
        <v>http://twitter.com/boymaison</v>
      </c>
      <c r="K3632">
        <v>3407</v>
      </c>
      <c r="L3632" t="s">
        <v>48</v>
      </c>
      <c r="N3632" t="s">
        <v>65</v>
      </c>
      <c r="R3632" t="s">
        <v>60</v>
      </c>
      <c r="S3632" t="s">
        <v>1643</v>
      </c>
      <c r="T3632" t="s">
        <v>2346</v>
      </c>
      <c r="U3632" t="s">
        <v>11316</v>
      </c>
      <c r="W3632">
        <v>0</v>
      </c>
      <c r="X3632">
        <v>0</v>
      </c>
      <c r="AE3632">
        <v>0</v>
      </c>
      <c r="AF3632">
        <v>0</v>
      </c>
      <c r="AI3632" t="s">
        <v>108</v>
      </c>
      <c r="AJ3632" t="s">
        <v>52</v>
      </c>
      <c r="AK3632" t="s">
        <v>52</v>
      </c>
      <c r="AL3632" t="str">
        <f>HYPERLINK("https://pbs.twimg.com/media/D9sAXHUX4AA6vJs.jpg")</f>
        <v>https://pbs.twimg.com/media/D9sAXHUX4AA6vJs.jpg</v>
      </c>
      <c r="AM3632" t="s">
        <v>52</v>
      </c>
      <c r="AN3632" t="s">
        <v>53</v>
      </c>
    </row>
    <row r="3633" spans="1:40">
      <c r="A3633" t="s">
        <v>8081</v>
      </c>
      <c r="B3633" t="s">
        <v>367</v>
      </c>
      <c r="C3633" t="s">
        <v>11405</v>
      </c>
      <c r="D3633" t="s">
        <v>52</v>
      </c>
      <c r="E3633" t="s">
        <v>3749</v>
      </c>
      <c r="F3633" t="s">
        <v>71</v>
      </c>
      <c r="G3633" t="str">
        <f>HYPERLINK("https://twitter.com/869476266/status/1142809226772963329")</f>
        <v>https://twitter.com/869476266/status/1142809226772963329</v>
      </c>
      <c r="H3633" t="s">
        <v>46</v>
      </c>
      <c r="I3633" t="s">
        <v>11406</v>
      </c>
      <c r="J3633" t="str">
        <f>HYPERLINK("http://twitter.com/ClintonSamps")</f>
        <v>http://twitter.com/ClintonSamps</v>
      </c>
      <c r="K3633">
        <v>2054</v>
      </c>
      <c r="N3633" t="s">
        <v>65</v>
      </c>
      <c r="R3633" t="s">
        <v>60</v>
      </c>
      <c r="S3633" t="s">
        <v>1071</v>
      </c>
      <c r="T3633" t="s">
        <v>3751</v>
      </c>
      <c r="U3633" t="s">
        <v>3752</v>
      </c>
      <c r="W3633">
        <v>0</v>
      </c>
      <c r="X3633">
        <v>0</v>
      </c>
      <c r="AE3633">
        <v>0</v>
      </c>
      <c r="AF3633">
        <v>0</v>
      </c>
      <c r="AI3633" t="s">
        <v>108</v>
      </c>
      <c r="AJ3633" t="s">
        <v>52</v>
      </c>
      <c r="AK3633" t="s">
        <v>52</v>
      </c>
      <c r="AL3633" t="str">
        <f>HYPERLINK("https://pbs.twimg.com/media/D9sAXHUX4AA6vJs.jpg")</f>
        <v>https://pbs.twimg.com/media/D9sAXHUX4AA6vJs.jpg</v>
      </c>
      <c r="AM3633" t="s">
        <v>52</v>
      </c>
      <c r="AN3633" t="s">
        <v>53</v>
      </c>
    </row>
    <row r="3634" spans="1:40">
      <c r="A3634" t="s">
        <v>8081</v>
      </c>
      <c r="B3634" t="s">
        <v>367</v>
      </c>
      <c r="C3634" t="s">
        <v>9503</v>
      </c>
      <c r="D3634" t="s">
        <v>52</v>
      </c>
      <c r="E3634" t="s">
        <v>11407</v>
      </c>
      <c r="F3634" t="s">
        <v>45</v>
      </c>
      <c r="G3634" t="str">
        <f>HYPERLINK("https://www.instagram.com/p/BzDnT4bHfdh")</f>
        <v>https://www.instagram.com/p/BzDnT4bHfdh</v>
      </c>
      <c r="H3634" t="s">
        <v>46</v>
      </c>
      <c r="I3634" t="s">
        <v>11408</v>
      </c>
      <c r="J3634" t="str">
        <f>HYPERLINK("http://instagram.com/nichehaven_xox")</f>
        <v>http://instagram.com/nichehaven_xox</v>
      </c>
      <c r="K3634">
        <v>1</v>
      </c>
      <c r="N3634" t="s">
        <v>59</v>
      </c>
      <c r="O3634" t="s">
        <v>11408</v>
      </c>
      <c r="P3634" t="str">
        <f>HYPERLINK("http://instagram.com/nichehaven_xox")</f>
        <v>http://instagram.com/nichehaven_xox</v>
      </c>
      <c r="Q3634">
        <v>1</v>
      </c>
      <c r="R3634" t="s">
        <v>60</v>
      </c>
      <c r="W3634">
        <v>11</v>
      </c>
      <c r="X3634">
        <v>11</v>
      </c>
      <c r="AE3634">
        <v>7</v>
      </c>
      <c r="AI3634" t="s">
        <v>108</v>
      </c>
      <c r="AJ3634" t="s">
        <v>52</v>
      </c>
      <c r="AK3634" t="s">
        <v>52</v>
      </c>
      <c r="AL3634" t="str">
        <f>HYPERLINK("https://www.instagram.com/p/BzDnT4bHfdh/media/?size=l")</f>
        <v>https://www.instagram.com/p/BzDnT4bHfdh/media/?size=l</v>
      </c>
      <c r="AM3634" t="s">
        <v>52</v>
      </c>
      <c r="AN3634" t="s">
        <v>53</v>
      </c>
    </row>
    <row r="3635" spans="1:40">
      <c r="A3635" t="s">
        <v>8081</v>
      </c>
      <c r="B3635" t="s">
        <v>367</v>
      </c>
      <c r="C3635" t="s">
        <v>11392</v>
      </c>
      <c r="D3635" t="s">
        <v>52</v>
      </c>
      <c r="E3635" t="s">
        <v>3749</v>
      </c>
      <c r="F3635" t="s">
        <v>71</v>
      </c>
      <c r="G3635" t="str">
        <f>HYPERLINK("https://twitter.com/437505436/status/1142809157898264576")</f>
        <v>https://twitter.com/437505436/status/1142809157898264576</v>
      </c>
      <c r="H3635" t="s">
        <v>46</v>
      </c>
      <c r="I3635" t="s">
        <v>11409</v>
      </c>
      <c r="J3635" t="str">
        <f>HYPERLINK("http://twitter.com/kgosiboi24")</f>
        <v>http://twitter.com/kgosiboi24</v>
      </c>
      <c r="K3635">
        <v>220</v>
      </c>
      <c r="N3635" t="s">
        <v>65</v>
      </c>
      <c r="R3635" t="s">
        <v>60</v>
      </c>
      <c r="W3635">
        <v>0</v>
      </c>
      <c r="X3635">
        <v>0</v>
      </c>
      <c r="AE3635">
        <v>0</v>
      </c>
      <c r="AF3635">
        <v>0</v>
      </c>
      <c r="AI3635" t="s">
        <v>108</v>
      </c>
      <c r="AJ3635" t="s">
        <v>52</v>
      </c>
      <c r="AK3635" t="s">
        <v>52</v>
      </c>
      <c r="AL3635" t="str">
        <f>HYPERLINK("https://pbs.twimg.com/media/D9sAXHUX4AA6vJs.jpg")</f>
        <v>https://pbs.twimg.com/media/D9sAXHUX4AA6vJs.jpg</v>
      </c>
      <c r="AM3635" t="s">
        <v>52</v>
      </c>
      <c r="AN3635" t="s">
        <v>53</v>
      </c>
    </row>
    <row r="3636" spans="1:40">
      <c r="A3636" t="s">
        <v>8081</v>
      </c>
      <c r="B3636" t="s">
        <v>367</v>
      </c>
      <c r="C3636" t="s">
        <v>11395</v>
      </c>
      <c r="D3636" t="s">
        <v>52</v>
      </c>
      <c r="E3636" t="s">
        <v>11410</v>
      </c>
      <c r="F3636" t="s">
        <v>45</v>
      </c>
      <c r="G3636" t="str">
        <f>HYPERLINK("https://www.instagram.com/p/BzDnOyVjtzX")</f>
        <v>https://www.instagram.com/p/BzDnOyVjtzX</v>
      </c>
      <c r="H3636" t="s">
        <v>46</v>
      </c>
      <c r="I3636" t="s">
        <v>11411</v>
      </c>
      <c r="J3636" t="str">
        <f>HYPERLINK("http://instagram.com/alexejasimonecosplay")</f>
        <v>http://instagram.com/alexejasimonecosplay</v>
      </c>
      <c r="K3636">
        <v>2439</v>
      </c>
      <c r="N3636" t="s">
        <v>59</v>
      </c>
      <c r="O3636" t="s">
        <v>11411</v>
      </c>
      <c r="P3636" t="str">
        <f>HYPERLINK("http://instagram.com/alexejasimonecosplay")</f>
        <v>http://instagram.com/alexejasimonecosplay</v>
      </c>
      <c r="Q3636">
        <v>2439</v>
      </c>
      <c r="R3636" t="s">
        <v>60</v>
      </c>
      <c r="W3636">
        <v>50</v>
      </c>
      <c r="X3636">
        <v>50</v>
      </c>
      <c r="AE3636">
        <v>5</v>
      </c>
      <c r="AG3636">
        <v>153</v>
      </c>
      <c r="AI3636" t="s">
        <v>52</v>
      </c>
      <c r="AJ3636" t="s">
        <v>52</v>
      </c>
      <c r="AK3636" t="s">
        <v>680</v>
      </c>
      <c r="AL3636" t="str">
        <f>HYPERLINK("https://www.instagram.com/p/BzDnOyVjtzX/media/?size=l")</f>
        <v>https://www.instagram.com/p/BzDnOyVjtzX/media/?size=l</v>
      </c>
      <c r="AM3636" t="s">
        <v>52</v>
      </c>
      <c r="AN3636" t="s">
        <v>53</v>
      </c>
    </row>
    <row r="3637" spans="1:40">
      <c r="A3637" t="s">
        <v>8081</v>
      </c>
      <c r="B3637" t="s">
        <v>11412</v>
      </c>
      <c r="C3637" t="s">
        <v>11413</v>
      </c>
      <c r="D3637" t="s">
        <v>52</v>
      </c>
      <c r="E3637" t="s">
        <v>11414</v>
      </c>
      <c r="F3637" t="s">
        <v>45</v>
      </c>
      <c r="G3637" t="str">
        <f>HYPERLINK("https://www.instagram.com/p/BzDnHPWAYMF")</f>
        <v>https://www.instagram.com/p/BzDnHPWAYMF</v>
      </c>
      <c r="H3637" t="s">
        <v>46</v>
      </c>
      <c r="I3637" t="s">
        <v>11415</v>
      </c>
      <c r="J3637" t="str">
        <f>HYPERLINK("http://instagram.com/freestuffbuddy")</f>
        <v>http://instagram.com/freestuffbuddy</v>
      </c>
      <c r="K3637">
        <v>20</v>
      </c>
      <c r="N3637" t="s">
        <v>59</v>
      </c>
      <c r="O3637" t="s">
        <v>11415</v>
      </c>
      <c r="P3637" t="str">
        <f>HYPERLINK("http://instagram.com/freestuffbuddy")</f>
        <v>http://instagram.com/freestuffbuddy</v>
      </c>
      <c r="Q3637">
        <v>20</v>
      </c>
      <c r="R3637" t="s">
        <v>60</v>
      </c>
      <c r="W3637">
        <v>0</v>
      </c>
      <c r="X3637">
        <v>0</v>
      </c>
      <c r="AE3637">
        <v>0</v>
      </c>
      <c r="AI3637" t="s">
        <v>52</v>
      </c>
      <c r="AJ3637" t="s">
        <v>11416</v>
      </c>
      <c r="AK3637" t="s">
        <v>52</v>
      </c>
      <c r="AL3637" t="str">
        <f>HYPERLINK("https://www.instagram.com/p/BzDnHPWAYMF/media/?size=l")</f>
        <v>https://www.instagram.com/p/BzDnHPWAYMF/media/?size=l</v>
      </c>
      <c r="AM3637" t="s">
        <v>52</v>
      </c>
      <c r="AN3637" t="s">
        <v>53</v>
      </c>
    </row>
    <row r="3638" spans="1:40">
      <c r="A3638" t="s">
        <v>8081</v>
      </c>
      <c r="B3638" t="s">
        <v>11412</v>
      </c>
      <c r="C3638" t="s">
        <v>11395</v>
      </c>
      <c r="D3638" t="s">
        <v>52</v>
      </c>
      <c r="E3638" t="s">
        <v>11417</v>
      </c>
      <c r="F3638" t="s">
        <v>45</v>
      </c>
      <c r="G3638" t="str">
        <f>HYPERLINK("https://www.instagram.com/p/BzDnHNDgguu")</f>
        <v>https://www.instagram.com/p/BzDnHNDgguu</v>
      </c>
      <c r="H3638" t="s">
        <v>46</v>
      </c>
      <c r="I3638" t="s">
        <v>11418</v>
      </c>
      <c r="J3638" t="str">
        <f>HYPERLINK("http://instagram.com/erin.wohlz")</f>
        <v>http://instagram.com/erin.wohlz</v>
      </c>
      <c r="K3638">
        <v>344</v>
      </c>
      <c r="N3638" t="s">
        <v>59</v>
      </c>
      <c r="O3638" t="s">
        <v>11418</v>
      </c>
      <c r="P3638" t="str">
        <f>HYPERLINK("http://instagram.com/erin.wohlz")</f>
        <v>http://instagram.com/erin.wohlz</v>
      </c>
      <c r="Q3638">
        <v>344</v>
      </c>
      <c r="R3638" t="s">
        <v>60</v>
      </c>
      <c r="W3638">
        <v>10</v>
      </c>
      <c r="X3638">
        <v>10</v>
      </c>
      <c r="AE3638">
        <v>1</v>
      </c>
      <c r="AI3638" t="s">
        <v>52</v>
      </c>
      <c r="AJ3638" t="s">
        <v>52</v>
      </c>
      <c r="AK3638" t="s">
        <v>52</v>
      </c>
      <c r="AL3638" t="str">
        <f>HYPERLINK("https://www.instagram.com/p/BzDnHNDgguu/media/?size=l")</f>
        <v>https://www.instagram.com/p/BzDnHNDgguu/media/?size=l</v>
      </c>
      <c r="AM3638" t="s">
        <v>52</v>
      </c>
      <c r="AN3638" t="s">
        <v>53</v>
      </c>
    </row>
    <row r="3639" spans="1:40">
      <c r="A3639" t="s">
        <v>8081</v>
      </c>
      <c r="B3639" t="s">
        <v>11412</v>
      </c>
      <c r="C3639" t="s">
        <v>11419</v>
      </c>
      <c r="D3639" t="s">
        <v>52</v>
      </c>
      <c r="E3639" t="s">
        <v>276</v>
      </c>
      <c r="F3639" t="s">
        <v>131</v>
      </c>
      <c r="G3639" t="str">
        <f>HYPERLINK("https://twitter.com/145834384/status/1142808689776168960")</f>
        <v>https://twitter.com/145834384/status/1142808689776168960</v>
      </c>
      <c r="H3639" t="s">
        <v>46</v>
      </c>
      <c r="I3639" t="s">
        <v>11420</v>
      </c>
      <c r="J3639" t="str">
        <f>HYPERLINK("http://twitter.com/JuveeeencioC")</f>
        <v>http://twitter.com/JuveeeencioC</v>
      </c>
      <c r="K3639">
        <v>236</v>
      </c>
      <c r="N3639" t="s">
        <v>65</v>
      </c>
      <c r="R3639" t="s">
        <v>60</v>
      </c>
      <c r="S3639" t="s">
        <v>51</v>
      </c>
      <c r="T3639" t="s">
        <v>152</v>
      </c>
      <c r="W3639">
        <v>0</v>
      </c>
      <c r="X3639">
        <v>0</v>
      </c>
      <c r="AE3639">
        <v>0</v>
      </c>
      <c r="AI3639" t="s">
        <v>108</v>
      </c>
      <c r="AJ3639" t="s">
        <v>52</v>
      </c>
      <c r="AK3639" t="s">
        <v>52</v>
      </c>
      <c r="AL3639" t="str">
        <f>HYPERLINK("https://pbs.twimg.com/tweet_video_thumb/D9hvNNzXUAATAS3.jpg")</f>
        <v>https://pbs.twimg.com/tweet_video_thumb/D9hvNNzXUAATAS3.jpg</v>
      </c>
      <c r="AM3639" t="s">
        <v>52</v>
      </c>
      <c r="AN3639" t="s">
        <v>53</v>
      </c>
    </row>
    <row r="3640" spans="1:40">
      <c r="A3640" t="s">
        <v>8081</v>
      </c>
      <c r="B3640" t="s">
        <v>6065</v>
      </c>
      <c r="C3640" t="s">
        <v>11395</v>
      </c>
      <c r="D3640" t="s">
        <v>52</v>
      </c>
      <c r="E3640" t="s">
        <v>11421</v>
      </c>
      <c r="F3640" t="s">
        <v>45</v>
      </c>
      <c r="G3640" t="str">
        <f>HYPERLINK("https://www.instagram.com/p/BzDm0yunpfD")</f>
        <v>https://www.instagram.com/p/BzDm0yunpfD</v>
      </c>
      <c r="H3640" t="s">
        <v>215</v>
      </c>
      <c r="I3640" t="s">
        <v>11422</v>
      </c>
      <c r="J3640" t="str">
        <f>HYPERLINK("http://instagram.com/milasmakeupworld")</f>
        <v>http://instagram.com/milasmakeupworld</v>
      </c>
      <c r="K3640">
        <v>299</v>
      </c>
      <c r="N3640" t="s">
        <v>59</v>
      </c>
      <c r="O3640" t="s">
        <v>11422</v>
      </c>
      <c r="P3640" t="str">
        <f>HYPERLINK("http://instagram.com/milasmakeupworld")</f>
        <v>http://instagram.com/milasmakeupworld</v>
      </c>
      <c r="Q3640">
        <v>299</v>
      </c>
      <c r="R3640" t="s">
        <v>60</v>
      </c>
      <c r="W3640">
        <v>42</v>
      </c>
      <c r="X3640">
        <v>42</v>
      </c>
      <c r="AE3640">
        <v>0</v>
      </c>
      <c r="AI3640" t="s">
        <v>52</v>
      </c>
      <c r="AJ3640" t="s">
        <v>703</v>
      </c>
      <c r="AK3640" t="s">
        <v>52</v>
      </c>
      <c r="AL3640" t="str">
        <f>HYPERLINK("https://www.instagram.com/p/BzDm0yunpfD/media/?size=l")</f>
        <v>https://www.instagram.com/p/BzDm0yunpfD/media/?size=l</v>
      </c>
      <c r="AM3640" t="s">
        <v>52</v>
      </c>
      <c r="AN3640" t="s">
        <v>53</v>
      </c>
    </row>
    <row r="3641" spans="1:40">
      <c r="A3641" t="s">
        <v>8081</v>
      </c>
      <c r="B3641" t="s">
        <v>376</v>
      </c>
      <c r="C3641" t="s">
        <v>9364</v>
      </c>
      <c r="D3641" t="s">
        <v>52</v>
      </c>
      <c r="E3641" t="s">
        <v>11423</v>
      </c>
      <c r="F3641" t="s">
        <v>45</v>
      </c>
      <c r="G3641" t="str">
        <f>HYPERLINK("https://www.instagram.com/p/BzDmraYBVqJ")</f>
        <v>https://www.instagram.com/p/BzDmraYBVqJ</v>
      </c>
      <c r="H3641" t="s">
        <v>46</v>
      </c>
      <c r="I3641" t="s">
        <v>11424</v>
      </c>
      <c r="J3641" t="str">
        <f>HYPERLINK("http://instagram.com/_.nancy.aesthetic._")</f>
        <v>http://instagram.com/_.nancy.aesthetic._</v>
      </c>
      <c r="K3641">
        <v>139</v>
      </c>
      <c r="N3641" t="s">
        <v>59</v>
      </c>
      <c r="O3641" t="s">
        <v>11424</v>
      </c>
      <c r="P3641" t="str">
        <f>HYPERLINK("http://instagram.com/_.nancy.aesthetic._")</f>
        <v>http://instagram.com/_.nancy.aesthetic._</v>
      </c>
      <c r="Q3641">
        <v>139</v>
      </c>
      <c r="R3641" t="s">
        <v>60</v>
      </c>
      <c r="W3641">
        <v>13</v>
      </c>
      <c r="X3641">
        <v>13</v>
      </c>
      <c r="AE3641">
        <v>1</v>
      </c>
      <c r="AI3641" t="s">
        <v>108</v>
      </c>
      <c r="AJ3641" t="s">
        <v>52</v>
      </c>
      <c r="AK3641" t="s">
        <v>52</v>
      </c>
      <c r="AL3641" t="str">
        <f>HYPERLINK("https://www.instagram.com/p/BzDmraYBVqJ/media/?size=l")</f>
        <v>https://www.instagram.com/p/BzDmraYBVqJ/media/?size=l</v>
      </c>
      <c r="AM3641" t="s">
        <v>52</v>
      </c>
      <c r="AN3641" t="s">
        <v>53</v>
      </c>
    </row>
    <row r="3642" spans="1:40">
      <c r="A3642" t="s">
        <v>8081</v>
      </c>
      <c r="B3642" t="s">
        <v>396</v>
      </c>
      <c r="C3642" t="s">
        <v>11368</v>
      </c>
      <c r="D3642" t="s">
        <v>11425</v>
      </c>
      <c r="E3642" t="s">
        <v>11426</v>
      </c>
      <c r="F3642" t="s">
        <v>45</v>
      </c>
      <c r="G3642" t="str">
        <f>HYPERLINK("https://www.youtube.com/watch?v=d87Fc2lG8oA")</f>
        <v>https://www.youtube.com/watch?v=d87Fc2lG8oA</v>
      </c>
      <c r="H3642" t="s">
        <v>46</v>
      </c>
      <c r="I3642" t="s">
        <v>11427</v>
      </c>
      <c r="J3642" t="str">
        <f>HYPERLINK("https://www.youtube.com/channel/UCzDAfAA-bVkJX2Jaf34mRTA")</f>
        <v>https://www.youtube.com/channel/UCzDAfAA-bVkJX2Jaf34mRTA</v>
      </c>
      <c r="K3642">
        <v>46</v>
      </c>
      <c r="L3642" t="s">
        <v>48</v>
      </c>
      <c r="N3642" t="s">
        <v>116</v>
      </c>
      <c r="O3642" t="s">
        <v>11427</v>
      </c>
      <c r="P3642" t="str">
        <f>HYPERLINK("https://www.youtube.com/channel/UCzDAfAA-bVkJX2Jaf34mRTA")</f>
        <v>https://www.youtube.com/channel/UCzDAfAA-bVkJX2Jaf34mRTA</v>
      </c>
      <c r="Q3642">
        <v>46</v>
      </c>
      <c r="R3642" t="s">
        <v>60</v>
      </c>
      <c r="W3642">
        <v>11</v>
      </c>
      <c r="X3642">
        <v>11</v>
      </c>
      <c r="AD3642">
        <v>1</v>
      </c>
      <c r="AE3642">
        <v>10</v>
      </c>
      <c r="AG3642">
        <v>96</v>
      </c>
      <c r="AI3642" t="s">
        <v>52</v>
      </c>
      <c r="AJ3642" t="s">
        <v>52</v>
      </c>
      <c r="AK3642" t="s">
        <v>52</v>
      </c>
      <c r="AL3642" t="str">
        <f>HYPERLINK("https://i.ytimg.com/vi/d87Fc2lG8oA/sddefault.jpg")</f>
        <v>https://i.ytimg.com/vi/d87Fc2lG8oA/sddefault.jpg</v>
      </c>
      <c r="AM3642" t="s">
        <v>52</v>
      </c>
      <c r="AN3642" t="s">
        <v>53</v>
      </c>
    </row>
    <row r="3643" spans="1:40">
      <c r="A3643" t="s">
        <v>8081</v>
      </c>
      <c r="B3643" t="s">
        <v>6097</v>
      </c>
      <c r="C3643" t="s">
        <v>11395</v>
      </c>
      <c r="D3643" t="s">
        <v>52</v>
      </c>
      <c r="E3643" t="s">
        <v>11428</v>
      </c>
      <c r="F3643" t="s">
        <v>131</v>
      </c>
      <c r="G3643" t="str">
        <f>HYPERLINK("https://twitter.com/4188563793/status/1142806803685740545")</f>
        <v>https://twitter.com/4188563793/status/1142806803685740545</v>
      </c>
      <c r="H3643" t="s">
        <v>46</v>
      </c>
      <c r="I3643" t="s">
        <v>11429</v>
      </c>
      <c r="J3643" t="str">
        <f>HYPERLINK("http://twitter.com/Desperate4Gifts")</f>
        <v>http://twitter.com/Desperate4Gifts</v>
      </c>
      <c r="K3643">
        <v>9</v>
      </c>
      <c r="N3643" t="s">
        <v>65</v>
      </c>
      <c r="R3643" t="s">
        <v>60</v>
      </c>
      <c r="W3643">
        <v>0</v>
      </c>
      <c r="X3643">
        <v>0</v>
      </c>
      <c r="AE3643">
        <v>0</v>
      </c>
      <c r="AM3643" t="s">
        <v>52</v>
      </c>
      <c r="AN3643" t="s">
        <v>53</v>
      </c>
    </row>
    <row r="3644" spans="1:40">
      <c r="A3644" t="s">
        <v>8081</v>
      </c>
      <c r="B3644" t="s">
        <v>406</v>
      </c>
      <c r="C3644" t="s">
        <v>11366</v>
      </c>
      <c r="D3644" t="s">
        <v>52</v>
      </c>
      <c r="E3644" t="s">
        <v>11430</v>
      </c>
      <c r="F3644" t="s">
        <v>45</v>
      </c>
      <c r="G3644" t="str">
        <f>HYPERLINK("https://www.instagram.com/p/BzDmIiPFEwb")</f>
        <v>https://www.instagram.com/p/BzDmIiPFEwb</v>
      </c>
      <c r="H3644" t="s">
        <v>46</v>
      </c>
      <c r="I3644" t="s">
        <v>11431</v>
      </c>
      <c r="J3644" t="str">
        <f>HYPERLINK("http://instagram.com/chipbagupcycling")</f>
        <v>http://instagram.com/chipbagupcycling</v>
      </c>
      <c r="K3644">
        <v>14</v>
      </c>
      <c r="L3644" t="s">
        <v>48</v>
      </c>
      <c r="N3644" t="s">
        <v>59</v>
      </c>
      <c r="O3644" t="s">
        <v>11431</v>
      </c>
      <c r="P3644" t="str">
        <f>HYPERLINK("http://instagram.com/chipbagupcycling")</f>
        <v>http://instagram.com/chipbagupcycling</v>
      </c>
      <c r="Q3644">
        <v>14</v>
      </c>
      <c r="R3644" t="s">
        <v>60</v>
      </c>
      <c r="W3644">
        <v>13</v>
      </c>
      <c r="X3644">
        <v>13</v>
      </c>
      <c r="AE3644">
        <v>2</v>
      </c>
      <c r="AI3644" t="s">
        <v>52</v>
      </c>
      <c r="AJ3644" t="s">
        <v>52</v>
      </c>
      <c r="AK3644" t="s">
        <v>52</v>
      </c>
      <c r="AL3644" t="str">
        <f>HYPERLINK("https://www.instagram.com/p/BzDmIiPFEwb/media/?size=l")</f>
        <v>https://www.instagram.com/p/BzDmIiPFEwb/media/?size=l</v>
      </c>
      <c r="AM3644" t="s">
        <v>52</v>
      </c>
      <c r="AN3644" t="s">
        <v>53</v>
      </c>
    </row>
    <row r="3645" spans="1:40">
      <c r="A3645" t="s">
        <v>8081</v>
      </c>
      <c r="B3645" t="s">
        <v>6111</v>
      </c>
      <c r="C3645" t="s">
        <v>11432</v>
      </c>
      <c r="D3645" t="s">
        <v>52</v>
      </c>
      <c r="E3645" t="s">
        <v>11433</v>
      </c>
      <c r="F3645" t="s">
        <v>45</v>
      </c>
      <c r="G3645" t="str">
        <f>HYPERLINK("https://www.instagram.com/p/BzDmF0eF4_m")</f>
        <v>https://www.instagram.com/p/BzDmF0eF4_m</v>
      </c>
      <c r="H3645" t="s">
        <v>46</v>
      </c>
      <c r="I3645" t="s">
        <v>11434</v>
      </c>
      <c r="J3645" t="str">
        <f>HYPERLINK("http://instagram.com/rudumplingme")</f>
        <v>http://instagram.com/rudumplingme</v>
      </c>
      <c r="K3645">
        <v>1324</v>
      </c>
      <c r="N3645" t="s">
        <v>59</v>
      </c>
      <c r="O3645" t="s">
        <v>11434</v>
      </c>
      <c r="P3645" t="str">
        <f>HYPERLINK("http://instagram.com/rudumplingme")</f>
        <v>http://instagram.com/rudumplingme</v>
      </c>
      <c r="Q3645">
        <v>1324</v>
      </c>
      <c r="R3645" t="s">
        <v>60</v>
      </c>
      <c r="S3645" t="s">
        <v>51</v>
      </c>
      <c r="T3645" t="s">
        <v>3290</v>
      </c>
      <c r="U3645" t="s">
        <v>3586</v>
      </c>
      <c r="W3645">
        <v>136</v>
      </c>
      <c r="X3645">
        <v>136</v>
      </c>
      <c r="AE3645">
        <v>18</v>
      </c>
      <c r="AI3645" t="s">
        <v>52</v>
      </c>
      <c r="AJ3645" t="s">
        <v>11435</v>
      </c>
      <c r="AK3645" t="s">
        <v>52</v>
      </c>
      <c r="AL3645" t="str">
        <f>HYPERLINK("https://www.instagram.com/p/BzDmF0eF4_m/media/?size=l")</f>
        <v>https://www.instagram.com/p/BzDmF0eF4_m/media/?size=l</v>
      </c>
      <c r="AM3645" t="s">
        <v>52</v>
      </c>
      <c r="AN3645" t="s">
        <v>53</v>
      </c>
    </row>
    <row r="3646" spans="1:40">
      <c r="A3646" t="s">
        <v>8081</v>
      </c>
      <c r="B3646" t="s">
        <v>6111</v>
      </c>
      <c r="C3646" t="s">
        <v>11436</v>
      </c>
      <c r="D3646" t="s">
        <v>52</v>
      </c>
      <c r="E3646" t="s">
        <v>130</v>
      </c>
      <c r="F3646" t="s">
        <v>131</v>
      </c>
      <c r="G3646" t="str">
        <f>HYPERLINK("https://twitter.com/32845976/status/1142806475020148736")</f>
        <v>https://twitter.com/32845976/status/1142806475020148736</v>
      </c>
      <c r="H3646" t="s">
        <v>46</v>
      </c>
      <c r="I3646" t="s">
        <v>3757</v>
      </c>
      <c r="J3646" t="str">
        <f>HYPERLINK("http://twitter.com/life_lipstick")</f>
        <v>http://twitter.com/life_lipstick</v>
      </c>
      <c r="K3646">
        <v>1530</v>
      </c>
      <c r="L3646" t="s">
        <v>58</v>
      </c>
      <c r="N3646" t="s">
        <v>65</v>
      </c>
      <c r="R3646" t="s">
        <v>60</v>
      </c>
      <c r="S3646" t="s">
        <v>97</v>
      </c>
      <c r="T3646" t="s">
        <v>177</v>
      </c>
      <c r="U3646" t="s">
        <v>4018</v>
      </c>
      <c r="W3646">
        <v>0</v>
      </c>
      <c r="X3646">
        <v>0</v>
      </c>
      <c r="AE3646">
        <v>0</v>
      </c>
      <c r="AI3646" t="s">
        <v>108</v>
      </c>
      <c r="AJ3646" t="s">
        <v>52</v>
      </c>
      <c r="AK3646" t="s">
        <v>52</v>
      </c>
      <c r="AL3646" t="str">
        <f>HYPERLINK("https://pbs.twimg.com/media/D9XTkLWW4AAOYnJ.jpg")</f>
        <v>https://pbs.twimg.com/media/D9XTkLWW4AAOYnJ.jpg</v>
      </c>
      <c r="AM3646" t="s">
        <v>52</v>
      </c>
      <c r="AN3646" t="s">
        <v>53</v>
      </c>
    </row>
    <row r="3647" spans="1:40">
      <c r="A3647" t="s">
        <v>8081</v>
      </c>
      <c r="B3647" t="s">
        <v>411</v>
      </c>
      <c r="C3647" t="s">
        <v>11392</v>
      </c>
      <c r="D3647" t="s">
        <v>52</v>
      </c>
      <c r="E3647" t="s">
        <v>11437</v>
      </c>
      <c r="F3647" t="s">
        <v>71</v>
      </c>
      <c r="G3647" t="str">
        <f>HYPERLINK("https://twitter.com/2495292185/status/1142806052150358019")</f>
        <v>https://twitter.com/2495292185/status/1142806052150358019</v>
      </c>
      <c r="H3647" t="s">
        <v>46</v>
      </c>
      <c r="I3647" t="s">
        <v>3527</v>
      </c>
      <c r="J3647" t="str">
        <f>HYPERLINK("http://twitter.com/ChmkarOfficiel")</f>
        <v>http://twitter.com/ChmkarOfficiel</v>
      </c>
      <c r="K3647">
        <v>835</v>
      </c>
      <c r="L3647" t="s">
        <v>48</v>
      </c>
      <c r="N3647" t="s">
        <v>65</v>
      </c>
      <c r="R3647" t="s">
        <v>60</v>
      </c>
      <c r="S3647" t="s">
        <v>2187</v>
      </c>
      <c r="T3647" t="s">
        <v>11438</v>
      </c>
      <c r="U3647" t="s">
        <v>11439</v>
      </c>
      <c r="W3647">
        <v>0</v>
      </c>
      <c r="X3647">
        <v>0</v>
      </c>
      <c r="AE3647">
        <v>0</v>
      </c>
      <c r="AF3647">
        <v>0</v>
      </c>
      <c r="AI3647" t="s">
        <v>108</v>
      </c>
      <c r="AJ3647" t="s">
        <v>52</v>
      </c>
      <c r="AK3647" t="s">
        <v>52</v>
      </c>
      <c r="AL3647" t="str">
        <f>HYPERLINK("https://pbs.twimg.com/media/D9sAXHUX4AA6vJs.jpg")</f>
        <v>https://pbs.twimg.com/media/D9sAXHUX4AA6vJs.jpg</v>
      </c>
      <c r="AM3647" t="s">
        <v>52</v>
      </c>
      <c r="AN3647" t="s">
        <v>53</v>
      </c>
    </row>
    <row r="3648" spans="1:40">
      <c r="A3648" t="s">
        <v>8081</v>
      </c>
      <c r="B3648" t="s">
        <v>415</v>
      </c>
      <c r="C3648" t="s">
        <v>11440</v>
      </c>
      <c r="D3648" t="s">
        <v>52</v>
      </c>
      <c r="E3648" t="s">
        <v>11441</v>
      </c>
      <c r="F3648" t="s">
        <v>45</v>
      </c>
      <c r="G3648" t="str">
        <f>HYPERLINK("https://www.instagram.com/p/BzDlx4hAG4Q")</f>
        <v>https://www.instagram.com/p/BzDlx4hAG4Q</v>
      </c>
      <c r="H3648" t="s">
        <v>46</v>
      </c>
      <c r="I3648" t="s">
        <v>11442</v>
      </c>
      <c r="J3648" t="str">
        <f>HYPERLINK("http://instagram.com/kathryntheresa.blog")</f>
        <v>http://instagram.com/kathryntheresa.blog</v>
      </c>
      <c r="K3648">
        <v>327</v>
      </c>
      <c r="L3648" t="s">
        <v>58</v>
      </c>
      <c r="N3648" t="s">
        <v>59</v>
      </c>
      <c r="O3648" t="s">
        <v>11442</v>
      </c>
      <c r="P3648" t="str">
        <f>HYPERLINK("http://instagram.com/kathryntheresa.blog")</f>
        <v>http://instagram.com/kathryntheresa.blog</v>
      </c>
      <c r="Q3648">
        <v>327</v>
      </c>
      <c r="R3648" t="s">
        <v>60</v>
      </c>
      <c r="S3648" t="s">
        <v>51</v>
      </c>
      <c r="T3648" t="s">
        <v>84</v>
      </c>
      <c r="U3648" t="s">
        <v>85</v>
      </c>
      <c r="W3648">
        <v>35</v>
      </c>
      <c r="X3648">
        <v>35</v>
      </c>
      <c r="AE3648">
        <v>5</v>
      </c>
      <c r="AI3648" t="s">
        <v>108</v>
      </c>
      <c r="AJ3648" t="s">
        <v>52</v>
      </c>
      <c r="AK3648" t="s">
        <v>52</v>
      </c>
      <c r="AL3648" t="str">
        <f>HYPERLINK("https://www.instagram.com/p/BzDlx4hAG4Q/media/?size=l")</f>
        <v>https://www.instagram.com/p/BzDlx4hAG4Q/media/?size=l</v>
      </c>
      <c r="AM3648" t="s">
        <v>52</v>
      </c>
      <c r="AN3648" t="s">
        <v>53</v>
      </c>
    </row>
    <row r="3649" spans="1:40">
      <c r="A3649" t="s">
        <v>8081</v>
      </c>
      <c r="B3649" t="s">
        <v>415</v>
      </c>
      <c r="C3649" t="s">
        <v>11443</v>
      </c>
      <c r="D3649" t="s">
        <v>52</v>
      </c>
      <c r="E3649" t="s">
        <v>3749</v>
      </c>
      <c r="F3649" t="s">
        <v>71</v>
      </c>
      <c r="G3649" t="str">
        <f>HYPERLINK("https://twitter.com/1040569120578789376/status/1142805783836594177")</f>
        <v>https://twitter.com/1040569120578789376/status/1142805783836594177</v>
      </c>
      <c r="H3649" t="s">
        <v>46</v>
      </c>
      <c r="I3649" t="s">
        <v>11444</v>
      </c>
      <c r="J3649" t="str">
        <f>HYPERLINK("http://twitter.com/RamzOmar_")</f>
        <v>http://twitter.com/RamzOmar_</v>
      </c>
      <c r="K3649">
        <v>238</v>
      </c>
      <c r="N3649" t="s">
        <v>65</v>
      </c>
      <c r="R3649" t="s">
        <v>60</v>
      </c>
      <c r="S3649" t="s">
        <v>1071</v>
      </c>
      <c r="T3649" t="s">
        <v>1072</v>
      </c>
      <c r="U3649" t="s">
        <v>1073</v>
      </c>
      <c r="W3649">
        <v>0</v>
      </c>
      <c r="X3649">
        <v>0</v>
      </c>
      <c r="AE3649">
        <v>0</v>
      </c>
      <c r="AF3649">
        <v>0</v>
      </c>
      <c r="AI3649" t="s">
        <v>108</v>
      </c>
      <c r="AJ3649" t="s">
        <v>52</v>
      </c>
      <c r="AK3649" t="s">
        <v>52</v>
      </c>
      <c r="AL3649" t="str">
        <f>HYPERLINK("https://pbs.twimg.com/media/D9sAXHUX4AA6vJs.jpg")</f>
        <v>https://pbs.twimg.com/media/D9sAXHUX4AA6vJs.jpg</v>
      </c>
      <c r="AM3649" t="s">
        <v>52</v>
      </c>
      <c r="AN3649" t="s">
        <v>53</v>
      </c>
    </row>
    <row r="3650" spans="1:40">
      <c r="A3650" t="s">
        <v>8081</v>
      </c>
      <c r="B3650" t="s">
        <v>420</v>
      </c>
      <c r="C3650" t="s">
        <v>11436</v>
      </c>
      <c r="D3650" t="s">
        <v>52</v>
      </c>
      <c r="E3650" t="s">
        <v>11445</v>
      </c>
      <c r="F3650" t="s">
        <v>71</v>
      </c>
      <c r="G3650" t="str">
        <f>HYPERLINK("https://twitter.com/548254261/status/1142805701724712960")</f>
        <v>https://twitter.com/548254261/status/1142805701724712960</v>
      </c>
      <c r="H3650" t="s">
        <v>46</v>
      </c>
      <c r="I3650" t="s">
        <v>4306</v>
      </c>
      <c r="J3650" t="str">
        <f>HYPERLINK("http://twitter.com/Sthem056")</f>
        <v>http://twitter.com/Sthem056</v>
      </c>
      <c r="K3650">
        <v>5351</v>
      </c>
      <c r="N3650" t="s">
        <v>65</v>
      </c>
      <c r="R3650" t="s">
        <v>60</v>
      </c>
      <c r="S3650" t="s">
        <v>1071</v>
      </c>
      <c r="W3650">
        <v>0</v>
      </c>
      <c r="X3650">
        <v>0</v>
      </c>
      <c r="AE3650">
        <v>0</v>
      </c>
      <c r="AF3650">
        <v>0</v>
      </c>
      <c r="AI3650" t="s">
        <v>108</v>
      </c>
      <c r="AJ3650" t="s">
        <v>52</v>
      </c>
      <c r="AK3650" t="s">
        <v>52</v>
      </c>
      <c r="AL3650" t="str">
        <f>HYPERLINK("https://pbs.twimg.com/media/D9sAXHUX4AA6vJs.jpg")</f>
        <v>https://pbs.twimg.com/media/D9sAXHUX4AA6vJs.jpg</v>
      </c>
      <c r="AM3650" t="s">
        <v>52</v>
      </c>
      <c r="AN3650" t="s">
        <v>53</v>
      </c>
    </row>
    <row r="3651" spans="1:40">
      <c r="A3651" t="s">
        <v>8081</v>
      </c>
      <c r="B3651" t="s">
        <v>11446</v>
      </c>
      <c r="C3651" t="s">
        <v>11447</v>
      </c>
      <c r="D3651" t="s">
        <v>52</v>
      </c>
      <c r="E3651" t="s">
        <v>9447</v>
      </c>
      <c r="F3651" t="s">
        <v>131</v>
      </c>
      <c r="G3651" t="str">
        <f>HYPERLINK("https://twitter.com/803987849414471680/status/1142805470148562945")</f>
        <v>https://twitter.com/803987849414471680/status/1142805470148562945</v>
      </c>
      <c r="H3651" t="s">
        <v>46</v>
      </c>
      <c r="I3651" t="s">
        <v>11448</v>
      </c>
      <c r="J3651" t="str">
        <f>HYPERLINK("http://twitter.com/Big_Cat74")</f>
        <v>http://twitter.com/Big_Cat74</v>
      </c>
      <c r="K3651">
        <v>3725</v>
      </c>
      <c r="L3651" t="s">
        <v>48</v>
      </c>
      <c r="N3651" t="s">
        <v>65</v>
      </c>
      <c r="R3651" t="s">
        <v>60</v>
      </c>
      <c r="S3651" t="s">
        <v>51</v>
      </c>
      <c r="T3651" t="s">
        <v>173</v>
      </c>
      <c r="U3651" t="s">
        <v>1214</v>
      </c>
      <c r="W3651">
        <v>0</v>
      </c>
      <c r="X3651">
        <v>0</v>
      </c>
      <c r="AE3651">
        <v>0</v>
      </c>
      <c r="AM3651" t="s">
        <v>52</v>
      </c>
      <c r="AN3651" t="s">
        <v>53</v>
      </c>
    </row>
    <row r="3652" spans="1:40">
      <c r="A3652" t="s">
        <v>8081</v>
      </c>
      <c r="B3652" t="s">
        <v>11449</v>
      </c>
      <c r="C3652" t="s">
        <v>11447</v>
      </c>
      <c r="D3652" t="s">
        <v>52</v>
      </c>
      <c r="E3652" t="s">
        <v>11450</v>
      </c>
      <c r="F3652" t="s">
        <v>71</v>
      </c>
      <c r="G3652" t="str">
        <f>HYPERLINK("https://twitter.com/308022185/status/1142805075368337409")</f>
        <v>https://twitter.com/308022185/status/1142805075368337409</v>
      </c>
      <c r="H3652" t="s">
        <v>46</v>
      </c>
      <c r="I3652" t="s">
        <v>11451</v>
      </c>
      <c r="J3652" t="str">
        <f>HYPERLINK("http://twitter.com/The_NOXman")</f>
        <v>http://twitter.com/The_NOXman</v>
      </c>
      <c r="K3652">
        <v>624</v>
      </c>
      <c r="N3652" t="s">
        <v>65</v>
      </c>
      <c r="R3652" t="s">
        <v>60</v>
      </c>
      <c r="S3652" t="s">
        <v>1071</v>
      </c>
      <c r="T3652" t="s">
        <v>1072</v>
      </c>
      <c r="U3652" t="s">
        <v>1295</v>
      </c>
      <c r="W3652">
        <v>0</v>
      </c>
      <c r="X3652">
        <v>0</v>
      </c>
      <c r="AE3652">
        <v>0</v>
      </c>
      <c r="AF3652">
        <v>1</v>
      </c>
      <c r="AM3652" t="s">
        <v>52</v>
      </c>
      <c r="AN3652" t="s">
        <v>53</v>
      </c>
    </row>
    <row r="3653" spans="1:40">
      <c r="A3653" t="s">
        <v>8081</v>
      </c>
      <c r="B3653" t="s">
        <v>6128</v>
      </c>
      <c r="C3653" t="s">
        <v>11452</v>
      </c>
      <c r="D3653" t="s">
        <v>11453</v>
      </c>
      <c r="E3653" t="s">
        <v>11453</v>
      </c>
      <c r="F3653" t="s">
        <v>45</v>
      </c>
      <c r="G3653" t="str">
        <f>HYPERLINK("https://www.youtube.com/watch?v=fWkRUoWglKg")</f>
        <v>https://www.youtube.com/watch?v=fWkRUoWglKg</v>
      </c>
      <c r="H3653" t="s">
        <v>215</v>
      </c>
      <c r="I3653" t="s">
        <v>11454</v>
      </c>
      <c r="J3653" t="str">
        <f>HYPERLINK("https://www.youtube.com/channel/UC9cNaHCZkOhf-I2X8DrIimQ")</f>
        <v>https://www.youtube.com/channel/UC9cNaHCZkOhf-I2X8DrIimQ</v>
      </c>
      <c r="K3653">
        <v>3</v>
      </c>
      <c r="N3653" t="s">
        <v>116</v>
      </c>
      <c r="O3653" t="s">
        <v>11454</v>
      </c>
      <c r="P3653" t="str">
        <f>HYPERLINK("https://www.youtube.com/channel/UC9cNaHCZkOhf-I2X8DrIimQ")</f>
        <v>https://www.youtube.com/channel/UC9cNaHCZkOhf-I2X8DrIimQ</v>
      </c>
      <c r="Q3653">
        <v>3</v>
      </c>
      <c r="R3653" t="s">
        <v>60</v>
      </c>
      <c r="W3653">
        <v>2</v>
      </c>
      <c r="X3653">
        <v>2</v>
      </c>
      <c r="AD3653">
        <v>0</v>
      </c>
      <c r="AE3653">
        <v>0</v>
      </c>
      <c r="AG3653">
        <v>6</v>
      </c>
      <c r="AI3653" t="s">
        <v>2529</v>
      </c>
      <c r="AJ3653" t="s">
        <v>11455</v>
      </c>
      <c r="AK3653" t="s">
        <v>52</v>
      </c>
      <c r="AL3653" t="str">
        <f>HYPERLINK("https://i.ytimg.com/vi/fWkRUoWglKg/sddefault.jpg")</f>
        <v>https://i.ytimg.com/vi/fWkRUoWglKg/sddefault.jpg</v>
      </c>
      <c r="AM3653" t="s">
        <v>52</v>
      </c>
      <c r="AN3653" t="s">
        <v>53</v>
      </c>
    </row>
    <row r="3654" spans="1:40">
      <c r="A3654" t="s">
        <v>8081</v>
      </c>
      <c r="B3654" t="s">
        <v>6128</v>
      </c>
      <c r="C3654" t="s">
        <v>11456</v>
      </c>
      <c r="D3654" t="s">
        <v>52</v>
      </c>
      <c r="E3654" t="s">
        <v>130</v>
      </c>
      <c r="F3654" t="s">
        <v>131</v>
      </c>
      <c r="G3654" t="str">
        <f>HYPERLINK("https://twitter.com/228400503/status/1142804864227000322")</f>
        <v>https://twitter.com/228400503/status/1142804864227000322</v>
      </c>
      <c r="H3654" t="s">
        <v>46</v>
      </c>
      <c r="I3654" t="s">
        <v>11457</v>
      </c>
      <c r="J3654" t="str">
        <f>HYPERLINK("http://twitter.com/Marty673")</f>
        <v>http://twitter.com/Marty673</v>
      </c>
      <c r="K3654">
        <v>223</v>
      </c>
      <c r="L3654" t="s">
        <v>48</v>
      </c>
      <c r="N3654" t="s">
        <v>65</v>
      </c>
      <c r="R3654" t="s">
        <v>60</v>
      </c>
      <c r="S3654" t="s">
        <v>97</v>
      </c>
      <c r="T3654" t="s">
        <v>177</v>
      </c>
      <c r="W3654">
        <v>0</v>
      </c>
      <c r="X3654">
        <v>0</v>
      </c>
      <c r="AE3654">
        <v>0</v>
      </c>
      <c r="AI3654" t="s">
        <v>108</v>
      </c>
      <c r="AJ3654" t="s">
        <v>52</v>
      </c>
      <c r="AK3654" t="s">
        <v>52</v>
      </c>
      <c r="AL3654" t="str">
        <f>HYPERLINK("https://pbs.twimg.com/media/D9XTkLWW4AAOYnJ.jpg")</f>
        <v>https://pbs.twimg.com/media/D9XTkLWW4AAOYnJ.jpg</v>
      </c>
      <c r="AM3654" t="s">
        <v>52</v>
      </c>
      <c r="AN3654" t="s">
        <v>53</v>
      </c>
    </row>
    <row r="3655" spans="1:40">
      <c r="A3655" t="s">
        <v>8081</v>
      </c>
      <c r="B3655" t="s">
        <v>434</v>
      </c>
      <c r="C3655" t="s">
        <v>11273</v>
      </c>
      <c r="D3655" t="s">
        <v>11458</v>
      </c>
      <c r="E3655" t="s">
        <v>11459</v>
      </c>
      <c r="F3655" t="s">
        <v>45</v>
      </c>
      <c r="G3655" t="str">
        <f>HYPERLINK("https://www.youtube.com/watch?v=pHZuDM6ETWQ")</f>
        <v>https://www.youtube.com/watch?v=pHZuDM6ETWQ</v>
      </c>
      <c r="H3655" t="s">
        <v>46</v>
      </c>
      <c r="I3655" t="s">
        <v>11460</v>
      </c>
      <c r="J3655" t="str">
        <f>HYPERLINK("https://www.youtube.com/channel/UCxRjUhTXq30ECdg_IwZvEZw")</f>
        <v>https://www.youtube.com/channel/UCxRjUhTXq30ECdg_IwZvEZw</v>
      </c>
      <c r="K3655">
        <v>1</v>
      </c>
      <c r="L3655" t="s">
        <v>58</v>
      </c>
      <c r="N3655" t="s">
        <v>116</v>
      </c>
      <c r="O3655" t="s">
        <v>11460</v>
      </c>
      <c r="P3655" t="str">
        <f>HYPERLINK("https://www.youtube.com/channel/UCxRjUhTXq30ECdg_IwZvEZw")</f>
        <v>https://www.youtube.com/channel/UCxRjUhTXq30ECdg_IwZvEZw</v>
      </c>
      <c r="Q3655">
        <v>1</v>
      </c>
      <c r="R3655" t="s">
        <v>60</v>
      </c>
      <c r="W3655">
        <v>0</v>
      </c>
      <c r="X3655">
        <v>0</v>
      </c>
      <c r="AD3655">
        <v>0</v>
      </c>
      <c r="AE3655">
        <v>0</v>
      </c>
      <c r="AG3655">
        <v>0</v>
      </c>
      <c r="AI3655" t="s">
        <v>52</v>
      </c>
      <c r="AJ3655" t="s">
        <v>52</v>
      </c>
      <c r="AK3655" t="s">
        <v>52</v>
      </c>
      <c r="AL3655" t="str">
        <f>HYPERLINK("https://i.ytimg.com/vi/pHZuDM6ETWQ/maxresdefault.jpg")</f>
        <v>https://i.ytimg.com/vi/pHZuDM6ETWQ/maxresdefault.jpg</v>
      </c>
      <c r="AM3655" t="s">
        <v>52</v>
      </c>
      <c r="AN3655" t="s">
        <v>53</v>
      </c>
    </row>
    <row r="3656" spans="1:40">
      <c r="A3656" t="s">
        <v>8081</v>
      </c>
      <c r="B3656" t="s">
        <v>434</v>
      </c>
      <c r="C3656" t="s">
        <v>11461</v>
      </c>
      <c r="D3656" t="s">
        <v>52</v>
      </c>
      <c r="E3656" t="s">
        <v>4514</v>
      </c>
      <c r="F3656" t="s">
        <v>71</v>
      </c>
      <c r="G3656" t="str">
        <f>HYPERLINK("https://twitter.com/1273387790/status/1142804134237757440")</f>
        <v>https://twitter.com/1273387790/status/1142804134237757440</v>
      </c>
      <c r="H3656" t="s">
        <v>46</v>
      </c>
      <c r="I3656" t="s">
        <v>11462</v>
      </c>
      <c r="J3656" t="str">
        <f>HYPERLINK("http://twitter.com/JoseLu99EF")</f>
        <v>http://twitter.com/JoseLu99EF</v>
      </c>
      <c r="K3656">
        <v>226</v>
      </c>
      <c r="N3656" t="s">
        <v>65</v>
      </c>
      <c r="R3656" t="s">
        <v>60</v>
      </c>
      <c r="S3656" t="s">
        <v>142</v>
      </c>
      <c r="T3656" t="s">
        <v>11463</v>
      </c>
      <c r="U3656" t="s">
        <v>11464</v>
      </c>
      <c r="W3656">
        <v>0</v>
      </c>
      <c r="X3656">
        <v>0</v>
      </c>
      <c r="AE3656">
        <v>0</v>
      </c>
      <c r="AF3656">
        <v>0</v>
      </c>
      <c r="AI3656" t="s">
        <v>108</v>
      </c>
      <c r="AJ3656" t="s">
        <v>52</v>
      </c>
      <c r="AK3656" t="s">
        <v>52</v>
      </c>
      <c r="AL3656" t="str">
        <f>HYPERLINK("https://pbs.twimg.com/tweet_video_thumb/D9hvNNzXUAATAS3.jpg")</f>
        <v>https://pbs.twimg.com/tweet_video_thumb/D9hvNNzXUAATAS3.jpg</v>
      </c>
      <c r="AM3656" t="s">
        <v>52</v>
      </c>
      <c r="AN3656" t="s">
        <v>53</v>
      </c>
    </row>
    <row r="3657" spans="1:40">
      <c r="A3657" t="s">
        <v>8081</v>
      </c>
      <c r="B3657" t="s">
        <v>434</v>
      </c>
      <c r="C3657" t="s">
        <v>11465</v>
      </c>
      <c r="D3657" t="s">
        <v>52</v>
      </c>
      <c r="E3657" t="s">
        <v>3749</v>
      </c>
      <c r="F3657" t="s">
        <v>71</v>
      </c>
      <c r="G3657" t="str">
        <f>HYPERLINK("https://twitter.com/1409378430/status/1142804063941251075")</f>
        <v>https://twitter.com/1409378430/status/1142804063941251075</v>
      </c>
      <c r="H3657" t="s">
        <v>46</v>
      </c>
      <c r="I3657" t="s">
        <v>7512</v>
      </c>
      <c r="J3657" t="str">
        <f>HYPERLINK("http://twitter.com/Gaido_Kb")</f>
        <v>http://twitter.com/Gaido_Kb</v>
      </c>
      <c r="K3657">
        <v>1779</v>
      </c>
      <c r="N3657" t="s">
        <v>65</v>
      </c>
      <c r="R3657" t="s">
        <v>60</v>
      </c>
      <c r="S3657" t="s">
        <v>1071</v>
      </c>
      <c r="T3657" t="s">
        <v>1072</v>
      </c>
      <c r="U3657" t="s">
        <v>1073</v>
      </c>
      <c r="W3657">
        <v>0</v>
      </c>
      <c r="X3657">
        <v>0</v>
      </c>
      <c r="AE3657">
        <v>0</v>
      </c>
      <c r="AF3657">
        <v>0</v>
      </c>
      <c r="AI3657" t="s">
        <v>108</v>
      </c>
      <c r="AJ3657" t="s">
        <v>52</v>
      </c>
      <c r="AK3657" t="s">
        <v>52</v>
      </c>
      <c r="AL3657" t="str">
        <f>HYPERLINK("https://pbs.twimg.com/media/D9sAXHUX4AA6vJs.jpg")</f>
        <v>https://pbs.twimg.com/media/D9sAXHUX4AA6vJs.jpg</v>
      </c>
      <c r="AM3657" t="s">
        <v>52</v>
      </c>
      <c r="AN3657" t="s">
        <v>53</v>
      </c>
    </row>
    <row r="3658" spans="1:40">
      <c r="A3658" t="s">
        <v>8081</v>
      </c>
      <c r="B3658" t="s">
        <v>434</v>
      </c>
      <c r="C3658" t="s">
        <v>11465</v>
      </c>
      <c r="D3658" t="s">
        <v>52</v>
      </c>
      <c r="E3658" t="s">
        <v>9327</v>
      </c>
      <c r="F3658" t="s">
        <v>95</v>
      </c>
      <c r="G3658" t="str">
        <f>HYPERLINK("https://twitter.com/26886491/status/1142804052591415296")</f>
        <v>https://twitter.com/26886491/status/1142804052591415296</v>
      </c>
      <c r="H3658" t="s">
        <v>46</v>
      </c>
      <c r="I3658" t="s">
        <v>11466</v>
      </c>
      <c r="J3658" t="str">
        <f>HYPERLINK("http://twitter.com/RitaBarkley")</f>
        <v>http://twitter.com/RitaBarkley</v>
      </c>
      <c r="K3658">
        <v>1333</v>
      </c>
      <c r="L3658" t="s">
        <v>58</v>
      </c>
      <c r="N3658" t="s">
        <v>65</v>
      </c>
      <c r="R3658" t="s">
        <v>60</v>
      </c>
      <c r="S3658" t="s">
        <v>444</v>
      </c>
      <c r="T3658" t="s">
        <v>8442</v>
      </c>
      <c r="U3658" t="s">
        <v>8881</v>
      </c>
      <c r="W3658">
        <v>0</v>
      </c>
      <c r="X3658">
        <v>0</v>
      </c>
      <c r="AE3658">
        <v>0</v>
      </c>
      <c r="AF3658">
        <v>0</v>
      </c>
      <c r="AM3658" t="s">
        <v>52</v>
      </c>
      <c r="AN3658" t="s">
        <v>53</v>
      </c>
    </row>
    <row r="3659" spans="1:40">
      <c r="A3659" t="s">
        <v>8081</v>
      </c>
      <c r="B3659" t="s">
        <v>434</v>
      </c>
      <c r="C3659" t="s">
        <v>11467</v>
      </c>
      <c r="D3659" t="s">
        <v>52</v>
      </c>
      <c r="E3659" t="s">
        <v>276</v>
      </c>
      <c r="F3659" t="s">
        <v>131</v>
      </c>
      <c r="G3659" t="str">
        <f>HYPERLINK("https://twitter.com/962004257741459456/status/1142804030143553536")</f>
        <v>https://twitter.com/962004257741459456/status/1142804030143553536</v>
      </c>
      <c r="H3659" t="s">
        <v>46</v>
      </c>
      <c r="I3659" t="s">
        <v>11468</v>
      </c>
      <c r="J3659" t="str">
        <f>HYPERLINK("http://twitter.com/MotownSpiderMan")</f>
        <v>http://twitter.com/MotownSpiderMan</v>
      </c>
      <c r="K3659">
        <v>95</v>
      </c>
      <c r="N3659" t="s">
        <v>65</v>
      </c>
      <c r="R3659" t="s">
        <v>60</v>
      </c>
      <c r="S3659" t="s">
        <v>51</v>
      </c>
      <c r="W3659">
        <v>0</v>
      </c>
      <c r="X3659">
        <v>0</v>
      </c>
      <c r="AE3659">
        <v>0</v>
      </c>
      <c r="AI3659" t="s">
        <v>108</v>
      </c>
      <c r="AJ3659" t="s">
        <v>52</v>
      </c>
      <c r="AK3659" t="s">
        <v>52</v>
      </c>
      <c r="AL3659" t="str">
        <f>HYPERLINK("https://pbs.twimg.com/tweet_video_thumb/D9hvNNzXUAATAS3.jpg")</f>
        <v>https://pbs.twimg.com/tweet_video_thumb/D9hvNNzXUAATAS3.jpg</v>
      </c>
      <c r="AM3659" t="s">
        <v>52</v>
      </c>
      <c r="AN3659" t="s">
        <v>53</v>
      </c>
    </row>
    <row r="3660" spans="1:40">
      <c r="A3660" t="s">
        <v>8081</v>
      </c>
      <c r="B3660" t="s">
        <v>6135</v>
      </c>
      <c r="C3660" t="s">
        <v>11469</v>
      </c>
      <c r="D3660" t="s">
        <v>52</v>
      </c>
      <c r="E3660" t="s">
        <v>11470</v>
      </c>
      <c r="F3660" t="s">
        <v>95</v>
      </c>
      <c r="G3660" t="str">
        <f>HYPERLINK("https://twitter.com/399656309/status/1142803810173296640")</f>
        <v>https://twitter.com/399656309/status/1142803810173296640</v>
      </c>
      <c r="H3660" t="s">
        <v>46</v>
      </c>
      <c r="I3660" t="s">
        <v>11471</v>
      </c>
      <c r="J3660" t="str">
        <f>HYPERLINK("http://twitter.com/Josh_Wenzel")</f>
        <v>http://twitter.com/Josh_Wenzel</v>
      </c>
      <c r="K3660">
        <v>574</v>
      </c>
      <c r="N3660" t="s">
        <v>65</v>
      </c>
      <c r="R3660" t="s">
        <v>60</v>
      </c>
      <c r="S3660" t="s">
        <v>97</v>
      </c>
      <c r="T3660" t="s">
        <v>177</v>
      </c>
      <c r="U3660" t="s">
        <v>11472</v>
      </c>
      <c r="W3660">
        <v>2</v>
      </c>
      <c r="X3660">
        <v>2</v>
      </c>
      <c r="AE3660">
        <v>1</v>
      </c>
      <c r="AF3660">
        <v>0</v>
      </c>
      <c r="AM3660" t="s">
        <v>52</v>
      </c>
      <c r="AN3660" t="s">
        <v>53</v>
      </c>
    </row>
    <row r="3661" spans="1:40">
      <c r="A3661" t="s">
        <v>8081</v>
      </c>
      <c r="B3661" t="s">
        <v>11473</v>
      </c>
      <c r="C3661" t="s">
        <v>11447</v>
      </c>
      <c r="D3661" t="s">
        <v>52</v>
      </c>
      <c r="E3661" t="s">
        <v>11474</v>
      </c>
      <c r="F3661" t="s">
        <v>71</v>
      </c>
      <c r="G3661" t="str">
        <f>HYPERLINK("https://twitter.com/1929411553/status/1142803610499276802")</f>
        <v>https://twitter.com/1929411553/status/1142803610499276802</v>
      </c>
      <c r="H3661" t="s">
        <v>46</v>
      </c>
      <c r="I3661" t="s">
        <v>11475</v>
      </c>
      <c r="J3661" t="str">
        <f>HYPERLINK("http://twitter.com/mjokanebro")</f>
        <v>http://twitter.com/mjokanebro</v>
      </c>
      <c r="K3661">
        <v>1281</v>
      </c>
      <c r="N3661" t="s">
        <v>65</v>
      </c>
      <c r="R3661" t="s">
        <v>60</v>
      </c>
      <c r="W3661">
        <v>0</v>
      </c>
      <c r="X3661">
        <v>0</v>
      </c>
      <c r="AE3661">
        <v>0</v>
      </c>
      <c r="AF3661">
        <v>0</v>
      </c>
      <c r="AM3661" t="s">
        <v>52</v>
      </c>
      <c r="AN3661" t="s">
        <v>53</v>
      </c>
    </row>
    <row r="3662" spans="1:40">
      <c r="A3662" t="s">
        <v>8081</v>
      </c>
      <c r="B3662" t="s">
        <v>440</v>
      </c>
      <c r="C3662" t="s">
        <v>11476</v>
      </c>
      <c r="D3662" t="s">
        <v>52</v>
      </c>
      <c r="E3662" t="s">
        <v>11477</v>
      </c>
      <c r="F3662" t="s">
        <v>71</v>
      </c>
      <c r="G3662" t="str">
        <f>HYPERLINK("https://twitter.com/368462735/status/1142803201885949952")</f>
        <v>https://twitter.com/368462735/status/1142803201885949952</v>
      </c>
      <c r="H3662" t="s">
        <v>215</v>
      </c>
      <c r="I3662" t="s">
        <v>11478</v>
      </c>
      <c r="J3662" t="str">
        <f>HYPERLINK("http://twitter.com/GodlySbu")</f>
        <v>http://twitter.com/GodlySbu</v>
      </c>
      <c r="K3662">
        <v>474</v>
      </c>
      <c r="N3662" t="s">
        <v>65</v>
      </c>
      <c r="R3662" t="s">
        <v>60</v>
      </c>
      <c r="S3662" t="s">
        <v>1071</v>
      </c>
      <c r="T3662" t="s">
        <v>1072</v>
      </c>
      <c r="U3662" t="s">
        <v>2123</v>
      </c>
      <c r="W3662">
        <v>0</v>
      </c>
      <c r="X3662">
        <v>0</v>
      </c>
      <c r="AE3662">
        <v>0</v>
      </c>
      <c r="AF3662">
        <v>0</v>
      </c>
      <c r="AM3662" t="s">
        <v>52</v>
      </c>
      <c r="AN3662" t="s">
        <v>53</v>
      </c>
    </row>
    <row r="3663" spans="1:40">
      <c r="A3663" t="s">
        <v>8081</v>
      </c>
      <c r="B3663" t="s">
        <v>6167</v>
      </c>
      <c r="C3663" t="s">
        <v>11479</v>
      </c>
      <c r="D3663" t="s">
        <v>52</v>
      </c>
      <c r="E3663" t="s">
        <v>11480</v>
      </c>
      <c r="F3663" t="s">
        <v>95</v>
      </c>
      <c r="G3663" t="str">
        <f>HYPERLINK("https://twitter.com/2478822584/status/1142802947635417090")</f>
        <v>https://twitter.com/2478822584/status/1142802947635417090</v>
      </c>
      <c r="H3663" t="s">
        <v>215</v>
      </c>
      <c r="I3663" t="s">
        <v>11481</v>
      </c>
      <c r="J3663" t="str">
        <f>HYPERLINK("http://twitter.com/suicide_gem")</f>
        <v>http://twitter.com/suicide_gem</v>
      </c>
      <c r="K3663">
        <v>80</v>
      </c>
      <c r="N3663" t="s">
        <v>65</v>
      </c>
      <c r="R3663" t="s">
        <v>60</v>
      </c>
      <c r="W3663">
        <v>1</v>
      </c>
      <c r="X3663">
        <v>1</v>
      </c>
      <c r="AE3663">
        <v>1</v>
      </c>
      <c r="AF3663">
        <v>0</v>
      </c>
      <c r="AM3663" t="s">
        <v>52</v>
      </c>
      <c r="AN3663" t="s">
        <v>53</v>
      </c>
    </row>
    <row r="3664" spans="1:40">
      <c r="A3664" t="s">
        <v>8081</v>
      </c>
      <c r="B3664" t="s">
        <v>6167</v>
      </c>
      <c r="C3664" t="s">
        <v>11482</v>
      </c>
      <c r="D3664" t="s">
        <v>52</v>
      </c>
      <c r="E3664" t="s">
        <v>3749</v>
      </c>
      <c r="F3664" t="s">
        <v>71</v>
      </c>
      <c r="G3664" t="str">
        <f>HYPERLINK("https://twitter.com/2510545969/status/1142802929956638721")</f>
        <v>https://twitter.com/2510545969/status/1142802929956638721</v>
      </c>
      <c r="H3664" t="s">
        <v>46</v>
      </c>
      <c r="I3664" t="s">
        <v>11483</v>
      </c>
      <c r="J3664" t="str">
        <f>HYPERLINK("http://twitter.com/MELLOW_357")</f>
        <v>http://twitter.com/MELLOW_357</v>
      </c>
      <c r="K3664">
        <v>556</v>
      </c>
      <c r="N3664" t="s">
        <v>65</v>
      </c>
      <c r="R3664" t="s">
        <v>60</v>
      </c>
      <c r="S3664" t="s">
        <v>1071</v>
      </c>
      <c r="T3664" t="s">
        <v>1072</v>
      </c>
      <c r="U3664" t="s">
        <v>2123</v>
      </c>
      <c r="W3664">
        <v>0</v>
      </c>
      <c r="X3664">
        <v>0</v>
      </c>
      <c r="AE3664">
        <v>0</v>
      </c>
      <c r="AF3664">
        <v>0</v>
      </c>
      <c r="AI3664" t="s">
        <v>108</v>
      </c>
      <c r="AJ3664" t="s">
        <v>52</v>
      </c>
      <c r="AK3664" t="s">
        <v>52</v>
      </c>
      <c r="AL3664" t="str">
        <f>HYPERLINK("https://pbs.twimg.com/media/D9sAXHUX4AA6vJs.jpg")</f>
        <v>https://pbs.twimg.com/media/D9sAXHUX4AA6vJs.jpg</v>
      </c>
      <c r="AM3664" t="s">
        <v>52</v>
      </c>
      <c r="AN3664" t="s">
        <v>53</v>
      </c>
    </row>
    <row r="3665" spans="1:40">
      <c r="A3665" t="s">
        <v>8081</v>
      </c>
      <c r="B3665" t="s">
        <v>449</v>
      </c>
      <c r="C3665" t="s">
        <v>11484</v>
      </c>
      <c r="D3665" t="s">
        <v>52</v>
      </c>
      <c r="E3665" t="s">
        <v>130</v>
      </c>
      <c r="F3665" t="s">
        <v>131</v>
      </c>
      <c r="G3665" t="str">
        <f>HYPERLINK("https://twitter.com/895981645584629760/status/1142802037895307264")</f>
        <v>https://twitter.com/895981645584629760/status/1142802037895307264</v>
      </c>
      <c r="H3665" t="s">
        <v>46</v>
      </c>
      <c r="I3665" t="s">
        <v>11485</v>
      </c>
      <c r="J3665" t="str">
        <f>HYPERLINK("http://twitter.com/staceydevereaux")</f>
        <v>http://twitter.com/staceydevereaux</v>
      </c>
      <c r="K3665">
        <v>57</v>
      </c>
      <c r="N3665" t="s">
        <v>65</v>
      </c>
      <c r="R3665" t="s">
        <v>60</v>
      </c>
      <c r="W3665">
        <v>0</v>
      </c>
      <c r="X3665">
        <v>0</v>
      </c>
      <c r="AE3665">
        <v>0</v>
      </c>
      <c r="AI3665" t="s">
        <v>108</v>
      </c>
      <c r="AJ3665" t="s">
        <v>52</v>
      </c>
      <c r="AK3665" t="s">
        <v>52</v>
      </c>
      <c r="AL3665" t="str">
        <f>HYPERLINK("https://pbs.twimg.com/media/D9XTkLWW4AAOYnJ.jpg")</f>
        <v>https://pbs.twimg.com/media/D9XTkLWW4AAOYnJ.jpg</v>
      </c>
      <c r="AM3665" t="s">
        <v>52</v>
      </c>
      <c r="AN3665" t="s">
        <v>53</v>
      </c>
    </row>
    <row r="3666" spans="1:40">
      <c r="A3666" t="s">
        <v>8081</v>
      </c>
      <c r="B3666" t="s">
        <v>462</v>
      </c>
      <c r="C3666" t="s">
        <v>11467</v>
      </c>
      <c r="D3666" t="s">
        <v>52</v>
      </c>
      <c r="E3666" t="s">
        <v>11486</v>
      </c>
      <c r="F3666" t="s">
        <v>71</v>
      </c>
      <c r="G3666" t="str">
        <f>HYPERLINK("https://twitter.com/592842943/status/1142801603105132545")</f>
        <v>https://twitter.com/592842943/status/1142801603105132545</v>
      </c>
      <c r="H3666" t="s">
        <v>46</v>
      </c>
      <c r="I3666" t="s">
        <v>11487</v>
      </c>
      <c r="J3666" t="str">
        <f>HYPERLINK("http://twitter.com/Lineo__")</f>
        <v>http://twitter.com/Lineo__</v>
      </c>
      <c r="K3666">
        <v>11216</v>
      </c>
      <c r="N3666" t="s">
        <v>65</v>
      </c>
      <c r="R3666" t="s">
        <v>60</v>
      </c>
      <c r="S3666" t="s">
        <v>1071</v>
      </c>
      <c r="T3666" t="s">
        <v>5418</v>
      </c>
      <c r="U3666" t="s">
        <v>11488</v>
      </c>
      <c r="W3666">
        <v>0</v>
      </c>
      <c r="X3666">
        <v>0</v>
      </c>
      <c r="AE3666">
        <v>0</v>
      </c>
      <c r="AF3666">
        <v>0</v>
      </c>
      <c r="AM3666" t="s">
        <v>52</v>
      </c>
      <c r="AN3666" t="s">
        <v>53</v>
      </c>
    </row>
    <row r="3667" spans="1:40">
      <c r="A3667" t="s">
        <v>8081</v>
      </c>
      <c r="B3667" t="s">
        <v>11489</v>
      </c>
      <c r="C3667" t="s">
        <v>9663</v>
      </c>
      <c r="D3667" t="s">
        <v>11490</v>
      </c>
      <c r="E3667" t="s">
        <v>11490</v>
      </c>
      <c r="F3667" t="s">
        <v>45</v>
      </c>
      <c r="G3667" t="str">
        <f>HYPERLINK("https://www.youtube.com/watch?v=GnQ2glheRfs")</f>
        <v>https://www.youtube.com/watch?v=GnQ2glheRfs</v>
      </c>
      <c r="H3667" t="s">
        <v>215</v>
      </c>
      <c r="I3667" t="s">
        <v>11491</v>
      </c>
      <c r="J3667" t="str">
        <f>HYPERLINK("https://www.youtube.com/channel/UCHEOieFKfZMXnnkD843g-8g")</f>
        <v>https://www.youtube.com/channel/UCHEOieFKfZMXnnkD843g-8g</v>
      </c>
      <c r="K3667">
        <v>1</v>
      </c>
      <c r="L3667" t="s">
        <v>48</v>
      </c>
      <c r="N3667" t="s">
        <v>116</v>
      </c>
      <c r="O3667" t="s">
        <v>11491</v>
      </c>
      <c r="P3667" t="str">
        <f>HYPERLINK("https://www.youtube.com/channel/UCHEOieFKfZMXnnkD843g-8g")</f>
        <v>https://www.youtube.com/channel/UCHEOieFKfZMXnnkD843g-8g</v>
      </c>
      <c r="Q3667">
        <v>1</v>
      </c>
      <c r="R3667" t="s">
        <v>60</v>
      </c>
      <c r="W3667">
        <v>1</v>
      </c>
      <c r="X3667">
        <v>1</v>
      </c>
      <c r="AD3667">
        <v>0</v>
      </c>
      <c r="AE3667">
        <v>0</v>
      </c>
      <c r="AG3667">
        <v>7</v>
      </c>
      <c r="AI3667" t="s">
        <v>108</v>
      </c>
      <c r="AJ3667" t="s">
        <v>458</v>
      </c>
      <c r="AK3667" t="s">
        <v>110</v>
      </c>
      <c r="AL3667" t="str">
        <f>HYPERLINK("https://i.ytimg.com/vi/GnQ2glheRfs/sddefault.jpg")</f>
        <v>https://i.ytimg.com/vi/GnQ2glheRfs/sddefault.jpg</v>
      </c>
      <c r="AM3667" t="s">
        <v>52</v>
      </c>
      <c r="AN3667" t="s">
        <v>53</v>
      </c>
    </row>
    <row r="3668" spans="1:40">
      <c r="A3668" t="s">
        <v>8081</v>
      </c>
      <c r="B3668" t="s">
        <v>6171</v>
      </c>
      <c r="C3668" t="s">
        <v>11479</v>
      </c>
      <c r="D3668" t="s">
        <v>52</v>
      </c>
      <c r="E3668" t="s">
        <v>11492</v>
      </c>
      <c r="F3668" t="s">
        <v>45</v>
      </c>
      <c r="G3668" t="str">
        <f>HYPERLINK("https://www.instagram.com/p/BzDjr0KjPcs")</f>
        <v>https://www.instagram.com/p/BzDjr0KjPcs</v>
      </c>
      <c r="H3668" t="s">
        <v>46</v>
      </c>
      <c r="I3668" t="s">
        <v>11493</v>
      </c>
      <c r="J3668" t="str">
        <f>HYPERLINK("http://instagram.com/powerbaur")</f>
        <v>http://instagram.com/powerbaur</v>
      </c>
      <c r="K3668">
        <v>349</v>
      </c>
      <c r="L3668" t="s">
        <v>58</v>
      </c>
      <c r="N3668" t="s">
        <v>59</v>
      </c>
      <c r="O3668" t="s">
        <v>11493</v>
      </c>
      <c r="P3668" t="str">
        <f>HYPERLINK("http://instagram.com/powerbaur")</f>
        <v>http://instagram.com/powerbaur</v>
      </c>
      <c r="Q3668">
        <v>349</v>
      </c>
      <c r="R3668" t="s">
        <v>60</v>
      </c>
      <c r="W3668">
        <v>73</v>
      </c>
      <c r="X3668">
        <v>73</v>
      </c>
      <c r="AE3668">
        <v>2</v>
      </c>
      <c r="AI3668" t="s">
        <v>52</v>
      </c>
      <c r="AJ3668" t="s">
        <v>11494</v>
      </c>
      <c r="AK3668" t="s">
        <v>11495</v>
      </c>
      <c r="AL3668" t="str">
        <f>HYPERLINK("https://www.instagram.com/p/BzDjr0KjPcs/media/?size=l")</f>
        <v>https://www.instagram.com/p/BzDjr0KjPcs/media/?size=l</v>
      </c>
      <c r="AM3668" t="s">
        <v>52</v>
      </c>
      <c r="AN3668" t="s">
        <v>53</v>
      </c>
    </row>
    <row r="3669" spans="1:40">
      <c r="A3669" t="s">
        <v>8081</v>
      </c>
      <c r="B3669" t="s">
        <v>6184</v>
      </c>
      <c r="C3669" t="s">
        <v>11496</v>
      </c>
      <c r="D3669" t="s">
        <v>11398</v>
      </c>
      <c r="E3669" t="s">
        <v>11497</v>
      </c>
      <c r="F3669" t="s">
        <v>95</v>
      </c>
      <c r="G3669" t="str">
        <f>HYPERLINK("https://pjmedia.com/rogerlsimon/iran-to-neocon-or-not-to-neocon-is-that-the-question/#comment-4513027830")</f>
        <v>https://pjmedia.com/rogerlsimon/iran-to-neocon-or-not-to-neocon-is-that-the-question/#comment-4513027830</v>
      </c>
      <c r="H3669" t="s">
        <v>46</v>
      </c>
      <c r="I3669" t="s">
        <v>11498</v>
      </c>
      <c r="J3669" t="str">
        <f>HYPERLINK("https://disqus.com/by/itellu3times/")</f>
        <v>https://disqus.com/by/itellu3times/</v>
      </c>
      <c r="K3669">
        <v>23</v>
      </c>
      <c r="N3669" t="s">
        <v>11401</v>
      </c>
      <c r="O3669" t="s">
        <v>11402</v>
      </c>
      <c r="P3669" t="str">
        <f>HYPERLINK("https://disqus.com/home/forum/pj-media/")</f>
        <v>https://disqus.com/home/forum/pj-media/</v>
      </c>
      <c r="R3669" t="s">
        <v>50</v>
      </c>
      <c r="W3669">
        <v>1</v>
      </c>
      <c r="X3669">
        <v>1</v>
      </c>
      <c r="AM3669" t="s">
        <v>52</v>
      </c>
      <c r="AN3669" t="s">
        <v>53</v>
      </c>
    </row>
    <row r="3670" spans="1:40">
      <c r="A3670" t="s">
        <v>8081</v>
      </c>
      <c r="B3670" t="s">
        <v>6184</v>
      </c>
      <c r="C3670" t="s">
        <v>11499</v>
      </c>
      <c r="D3670" t="s">
        <v>52</v>
      </c>
      <c r="E3670" t="s">
        <v>11500</v>
      </c>
      <c r="F3670" t="s">
        <v>45</v>
      </c>
      <c r="G3670" t="str">
        <f>HYPERLINK("https://www.instagram.com/p/BzDjjuKBs_0")</f>
        <v>https://www.instagram.com/p/BzDjjuKBs_0</v>
      </c>
      <c r="H3670" t="s">
        <v>46</v>
      </c>
      <c r="I3670" t="s">
        <v>11501</v>
      </c>
      <c r="J3670" t="str">
        <f>HYPERLINK("http://instagram.com/mackedinis")</f>
        <v>http://instagram.com/mackedinis</v>
      </c>
      <c r="K3670">
        <v>913</v>
      </c>
      <c r="N3670" t="s">
        <v>59</v>
      </c>
      <c r="O3670" t="s">
        <v>11501</v>
      </c>
      <c r="P3670" t="str">
        <f>HYPERLINK("http://instagram.com/mackedinis")</f>
        <v>http://instagram.com/mackedinis</v>
      </c>
      <c r="Q3670">
        <v>913</v>
      </c>
      <c r="R3670" t="s">
        <v>60</v>
      </c>
      <c r="S3670" t="s">
        <v>2290</v>
      </c>
      <c r="T3670" t="s">
        <v>4368</v>
      </c>
      <c r="U3670" t="s">
        <v>11502</v>
      </c>
      <c r="W3670">
        <v>40</v>
      </c>
      <c r="X3670">
        <v>40</v>
      </c>
      <c r="AE3670">
        <v>1</v>
      </c>
      <c r="AI3670" t="s">
        <v>52</v>
      </c>
      <c r="AJ3670" t="s">
        <v>2445</v>
      </c>
      <c r="AK3670" t="s">
        <v>10689</v>
      </c>
      <c r="AL3670" t="str">
        <f>HYPERLINK("https://www.instagram.com/p/BzDjjuKBs_0/media/?size=l")</f>
        <v>https://www.instagram.com/p/BzDjjuKBs_0/media/?size=l</v>
      </c>
      <c r="AM3670" t="s">
        <v>52</v>
      </c>
      <c r="AN3670" t="s">
        <v>53</v>
      </c>
    </row>
    <row r="3671" spans="1:40">
      <c r="A3671" t="s">
        <v>8081</v>
      </c>
      <c r="B3671" t="s">
        <v>6184</v>
      </c>
      <c r="C3671" t="s">
        <v>11467</v>
      </c>
      <c r="D3671" t="s">
        <v>52</v>
      </c>
      <c r="E3671" t="s">
        <v>11428</v>
      </c>
      <c r="F3671" t="s">
        <v>95</v>
      </c>
      <c r="G3671" t="str">
        <f>HYPERLINK("https://twitter.com/298857763/status/1142800908515971077")</f>
        <v>https://twitter.com/298857763/status/1142800908515971077</v>
      </c>
      <c r="H3671" t="s">
        <v>46</v>
      </c>
      <c r="I3671" t="s">
        <v>11503</v>
      </c>
      <c r="J3671" t="str">
        <f>HYPERLINK("http://twitter.com/carolynordie")</f>
        <v>http://twitter.com/carolynordie</v>
      </c>
      <c r="K3671">
        <v>518</v>
      </c>
      <c r="N3671" t="s">
        <v>65</v>
      </c>
      <c r="R3671" t="s">
        <v>60</v>
      </c>
      <c r="S3671" t="s">
        <v>97</v>
      </c>
      <c r="T3671" t="s">
        <v>177</v>
      </c>
      <c r="U3671" t="s">
        <v>478</v>
      </c>
      <c r="W3671">
        <v>10</v>
      </c>
      <c r="X3671">
        <v>10</v>
      </c>
      <c r="AE3671">
        <v>0</v>
      </c>
      <c r="AF3671">
        <v>1</v>
      </c>
      <c r="AM3671" t="s">
        <v>52</v>
      </c>
      <c r="AN3671" t="s">
        <v>53</v>
      </c>
    </row>
    <row r="3672" spans="1:40">
      <c r="A3672" t="s">
        <v>8081</v>
      </c>
      <c r="B3672" t="s">
        <v>6184</v>
      </c>
      <c r="C3672" t="s">
        <v>11504</v>
      </c>
      <c r="D3672" t="s">
        <v>52</v>
      </c>
      <c r="E3672" t="s">
        <v>4514</v>
      </c>
      <c r="F3672" t="s">
        <v>71</v>
      </c>
      <c r="G3672" t="str">
        <f>HYPERLINK("https://twitter.com/2524839150/status/1142800855135064064")</f>
        <v>https://twitter.com/2524839150/status/1142800855135064064</v>
      </c>
      <c r="H3672" t="s">
        <v>46</v>
      </c>
      <c r="I3672" t="s">
        <v>11505</v>
      </c>
      <c r="J3672" t="str">
        <f>HYPERLINK("http://twitter.com/kazxmzl")</f>
        <v>http://twitter.com/kazxmzl</v>
      </c>
      <c r="K3672">
        <v>222</v>
      </c>
      <c r="N3672" t="s">
        <v>65</v>
      </c>
      <c r="R3672" t="s">
        <v>60</v>
      </c>
      <c r="S3672" t="s">
        <v>97</v>
      </c>
      <c r="T3672" t="s">
        <v>177</v>
      </c>
      <c r="U3672" t="s">
        <v>11506</v>
      </c>
      <c r="W3672">
        <v>0</v>
      </c>
      <c r="X3672">
        <v>0</v>
      </c>
      <c r="AE3672">
        <v>0</v>
      </c>
      <c r="AF3672">
        <v>0</v>
      </c>
      <c r="AI3672" t="s">
        <v>108</v>
      </c>
      <c r="AJ3672" t="s">
        <v>52</v>
      </c>
      <c r="AK3672" t="s">
        <v>52</v>
      </c>
      <c r="AL3672" t="str">
        <f>HYPERLINK("https://pbs.twimg.com/tweet_video_thumb/D9hvNNzXUAATAS3.jpg")</f>
        <v>https://pbs.twimg.com/tweet_video_thumb/D9hvNNzXUAATAS3.jpg</v>
      </c>
      <c r="AM3672" t="s">
        <v>52</v>
      </c>
      <c r="AN3672" t="s">
        <v>53</v>
      </c>
    </row>
    <row r="3673" spans="1:40">
      <c r="A3673" t="s">
        <v>8081</v>
      </c>
      <c r="B3673" t="s">
        <v>468</v>
      </c>
      <c r="C3673" t="s">
        <v>11507</v>
      </c>
      <c r="D3673" t="s">
        <v>52</v>
      </c>
      <c r="E3673" t="s">
        <v>8566</v>
      </c>
      <c r="F3673" t="s">
        <v>131</v>
      </c>
      <c r="G3673" t="str">
        <f>HYPERLINK("https://twitter.com/219380506/status/1142800550775468032")</f>
        <v>https://twitter.com/219380506/status/1142800550775468032</v>
      </c>
      <c r="H3673" t="s">
        <v>46</v>
      </c>
      <c r="I3673" t="s">
        <v>11508</v>
      </c>
      <c r="J3673" t="str">
        <f>HYPERLINK("http://twitter.com/Carolyn_Wilson")</f>
        <v>http://twitter.com/Carolyn_Wilson</v>
      </c>
      <c r="K3673">
        <v>220</v>
      </c>
      <c r="N3673" t="s">
        <v>65</v>
      </c>
      <c r="R3673" t="s">
        <v>60</v>
      </c>
      <c r="W3673">
        <v>0</v>
      </c>
      <c r="X3673">
        <v>0</v>
      </c>
      <c r="AE3673">
        <v>0</v>
      </c>
      <c r="AM3673" t="s">
        <v>52</v>
      </c>
      <c r="AN3673" t="s">
        <v>53</v>
      </c>
    </row>
    <row r="3674" spans="1:40">
      <c r="A3674" t="s">
        <v>8081</v>
      </c>
      <c r="B3674" t="s">
        <v>468</v>
      </c>
      <c r="C3674" t="s">
        <v>11499</v>
      </c>
      <c r="D3674" t="s">
        <v>52</v>
      </c>
      <c r="E3674" t="s">
        <v>11509</v>
      </c>
      <c r="F3674" t="s">
        <v>71</v>
      </c>
      <c r="G3674" t="str">
        <f>HYPERLINK("https://twitter.com/767410005448527872/status/1142800526272356353")</f>
        <v>https://twitter.com/767410005448527872/status/1142800526272356353</v>
      </c>
      <c r="H3674" t="s">
        <v>46</v>
      </c>
      <c r="I3674" t="s">
        <v>11510</v>
      </c>
      <c r="J3674" t="str">
        <f>HYPERLINK("http://twitter.com/SibuyiseloNtuli")</f>
        <v>http://twitter.com/SibuyiseloNtuli</v>
      </c>
      <c r="K3674">
        <v>1986</v>
      </c>
      <c r="N3674" t="s">
        <v>65</v>
      </c>
      <c r="R3674" t="s">
        <v>60</v>
      </c>
      <c r="W3674">
        <v>0</v>
      </c>
      <c r="X3674">
        <v>0</v>
      </c>
      <c r="AE3674">
        <v>0</v>
      </c>
      <c r="AF3674">
        <v>0</v>
      </c>
      <c r="AI3674" t="s">
        <v>108</v>
      </c>
      <c r="AJ3674" t="s">
        <v>52</v>
      </c>
      <c r="AK3674" t="s">
        <v>52</v>
      </c>
      <c r="AL3674" t="str">
        <f>HYPERLINK("https://pbs.twimg.com/media/D9sAXHUX4AA6vJs.jpg")</f>
        <v>https://pbs.twimg.com/media/D9sAXHUX4AA6vJs.jpg</v>
      </c>
      <c r="AM3674" t="s">
        <v>52</v>
      </c>
      <c r="AN3674" t="s">
        <v>53</v>
      </c>
    </row>
    <row r="3675" spans="1:40">
      <c r="A3675" t="s">
        <v>8081</v>
      </c>
      <c r="B3675" t="s">
        <v>468</v>
      </c>
      <c r="C3675" t="s">
        <v>11511</v>
      </c>
      <c r="D3675" t="s">
        <v>52</v>
      </c>
      <c r="E3675" t="s">
        <v>11512</v>
      </c>
      <c r="F3675" t="s">
        <v>45</v>
      </c>
      <c r="G3675" t="str">
        <f>HYPERLINK("https://www.instagram.com/p/BzDjYF7hQk2")</f>
        <v>https://www.instagram.com/p/BzDjYF7hQk2</v>
      </c>
      <c r="H3675" t="s">
        <v>46</v>
      </c>
      <c r="I3675" t="s">
        <v>11513</v>
      </c>
      <c r="J3675" t="str">
        <f>HYPERLINK("http://instagram.com/moonniche.xo")</f>
        <v>http://instagram.com/moonniche.xo</v>
      </c>
      <c r="K3675">
        <v>3</v>
      </c>
      <c r="N3675" t="s">
        <v>59</v>
      </c>
      <c r="O3675" t="s">
        <v>11513</v>
      </c>
      <c r="P3675" t="str">
        <f>HYPERLINK("http://instagram.com/moonniche.xo")</f>
        <v>http://instagram.com/moonniche.xo</v>
      </c>
      <c r="Q3675">
        <v>3</v>
      </c>
      <c r="R3675" t="s">
        <v>60</v>
      </c>
      <c r="W3675">
        <v>15</v>
      </c>
      <c r="X3675">
        <v>15</v>
      </c>
      <c r="AE3675">
        <v>5</v>
      </c>
      <c r="AI3675" t="s">
        <v>108</v>
      </c>
      <c r="AJ3675" t="s">
        <v>3626</v>
      </c>
      <c r="AK3675" t="s">
        <v>52</v>
      </c>
      <c r="AL3675" t="str">
        <f>HYPERLINK("https://www.instagram.com/p/BzDjYF7hQk2/media/?size=l")</f>
        <v>https://www.instagram.com/p/BzDjYF7hQk2/media/?size=l</v>
      </c>
      <c r="AM3675" t="s">
        <v>52</v>
      </c>
      <c r="AN3675" t="s">
        <v>53</v>
      </c>
    </row>
    <row r="3676" spans="1:40">
      <c r="A3676" t="s">
        <v>8081</v>
      </c>
      <c r="B3676" t="s">
        <v>6216</v>
      </c>
      <c r="C3676" t="s">
        <v>11514</v>
      </c>
      <c r="D3676" t="s">
        <v>52</v>
      </c>
      <c r="E3676" t="s">
        <v>11515</v>
      </c>
      <c r="F3676" t="s">
        <v>71</v>
      </c>
      <c r="G3676" t="str">
        <f>HYPERLINK("https://twitter.com/581723943/status/1142800338199728129")</f>
        <v>https://twitter.com/581723943/status/1142800338199728129</v>
      </c>
      <c r="H3676" t="s">
        <v>46</v>
      </c>
      <c r="I3676" t="s">
        <v>11516</v>
      </c>
      <c r="J3676" t="str">
        <f>HYPERLINK("http://twitter.com/Phiwe_Ntlabathi")</f>
        <v>http://twitter.com/Phiwe_Ntlabathi</v>
      </c>
      <c r="K3676">
        <v>359</v>
      </c>
      <c r="N3676" t="s">
        <v>65</v>
      </c>
      <c r="R3676" t="s">
        <v>60</v>
      </c>
      <c r="W3676">
        <v>0</v>
      </c>
      <c r="X3676">
        <v>0</v>
      </c>
      <c r="AE3676">
        <v>0</v>
      </c>
      <c r="AF3676">
        <v>0</v>
      </c>
      <c r="AM3676" t="s">
        <v>52</v>
      </c>
      <c r="AN3676" t="s">
        <v>53</v>
      </c>
    </row>
    <row r="3677" spans="1:40">
      <c r="A3677" t="s">
        <v>8081</v>
      </c>
      <c r="B3677" t="s">
        <v>6216</v>
      </c>
      <c r="C3677" t="s">
        <v>11517</v>
      </c>
      <c r="D3677" t="s">
        <v>52</v>
      </c>
      <c r="E3677" t="s">
        <v>10245</v>
      </c>
      <c r="F3677" t="s">
        <v>45</v>
      </c>
      <c r="G3677" t="str">
        <f>HYPERLINK("https://www.instagram.com/p/BzDjRxEJi9y")</f>
        <v>https://www.instagram.com/p/BzDjRxEJi9y</v>
      </c>
      <c r="H3677" t="s">
        <v>46</v>
      </c>
      <c r="I3677" t="s">
        <v>11518</v>
      </c>
      <c r="J3677" t="str">
        <f>HYPERLINK("http://instagram.com/dillma_vlogs")</f>
        <v>http://instagram.com/dillma_vlogs</v>
      </c>
      <c r="K3677">
        <v>182</v>
      </c>
      <c r="N3677" t="s">
        <v>59</v>
      </c>
      <c r="O3677" t="s">
        <v>11518</v>
      </c>
      <c r="P3677" t="str">
        <f>HYPERLINK("http://instagram.com/dillma_vlogs")</f>
        <v>http://instagram.com/dillma_vlogs</v>
      </c>
      <c r="Q3677">
        <v>182</v>
      </c>
      <c r="R3677" t="s">
        <v>60</v>
      </c>
      <c r="W3677">
        <v>2</v>
      </c>
      <c r="X3677">
        <v>2</v>
      </c>
      <c r="AE3677">
        <v>1</v>
      </c>
      <c r="AI3677" t="s">
        <v>108</v>
      </c>
      <c r="AJ3677" t="s">
        <v>942</v>
      </c>
      <c r="AK3677" t="s">
        <v>52</v>
      </c>
      <c r="AL3677" t="str">
        <f>HYPERLINK("https://www.instagram.com/p/BzDjRxEJi9y/media/?size=l")</f>
        <v>https://www.instagram.com/p/BzDjRxEJi9y/media/?size=l</v>
      </c>
      <c r="AM3677" t="s">
        <v>52</v>
      </c>
      <c r="AN3677" t="s">
        <v>53</v>
      </c>
    </row>
    <row r="3678" spans="1:40">
      <c r="A3678" t="s">
        <v>8081</v>
      </c>
      <c r="B3678" t="s">
        <v>6216</v>
      </c>
      <c r="C3678" t="s">
        <v>11519</v>
      </c>
      <c r="D3678" t="s">
        <v>52</v>
      </c>
      <c r="E3678" t="s">
        <v>11520</v>
      </c>
      <c r="F3678" t="s">
        <v>71</v>
      </c>
      <c r="G3678" t="str">
        <f>HYPERLINK("https://twitter.com/923829862728716288/status/1142800230376726528")</f>
        <v>https://twitter.com/923829862728716288/status/1142800230376726528</v>
      </c>
      <c r="H3678" t="s">
        <v>46</v>
      </c>
      <c r="I3678" t="s">
        <v>11521</v>
      </c>
      <c r="J3678" t="str">
        <f>HYPERLINK("http://twitter.com/illbedowntown")</f>
        <v>http://twitter.com/illbedowntown</v>
      </c>
      <c r="K3678">
        <v>698</v>
      </c>
      <c r="N3678" t="s">
        <v>65</v>
      </c>
      <c r="R3678" t="s">
        <v>60</v>
      </c>
      <c r="W3678">
        <v>1</v>
      </c>
      <c r="X3678">
        <v>1</v>
      </c>
      <c r="AE3678">
        <v>0</v>
      </c>
      <c r="AF3678">
        <v>0</v>
      </c>
      <c r="AM3678" t="s">
        <v>52</v>
      </c>
      <c r="AN3678" t="s">
        <v>53</v>
      </c>
    </row>
    <row r="3679" spans="1:40">
      <c r="A3679" t="s">
        <v>8081</v>
      </c>
      <c r="B3679" t="s">
        <v>6225</v>
      </c>
      <c r="C3679" t="s">
        <v>11484</v>
      </c>
      <c r="D3679" t="s">
        <v>52</v>
      </c>
      <c r="E3679" t="s">
        <v>7118</v>
      </c>
      <c r="F3679" t="s">
        <v>71</v>
      </c>
      <c r="G3679" t="str">
        <f>HYPERLINK("https://twitter.com/2758821175/status/1142800160373858304")</f>
        <v>https://twitter.com/2758821175/status/1142800160373858304</v>
      </c>
      <c r="H3679" t="s">
        <v>46</v>
      </c>
      <c r="I3679" t="s">
        <v>11522</v>
      </c>
      <c r="J3679" t="str">
        <f>HYPERLINK("http://twitter.com/ygdarrel1")</f>
        <v>http://twitter.com/ygdarrel1</v>
      </c>
      <c r="K3679">
        <v>222</v>
      </c>
      <c r="N3679" t="s">
        <v>65</v>
      </c>
      <c r="R3679" t="s">
        <v>60</v>
      </c>
      <c r="W3679">
        <v>0</v>
      </c>
      <c r="X3679">
        <v>0</v>
      </c>
      <c r="AE3679">
        <v>0</v>
      </c>
      <c r="AF3679">
        <v>0</v>
      </c>
      <c r="AI3679" t="s">
        <v>108</v>
      </c>
      <c r="AJ3679" t="s">
        <v>52</v>
      </c>
      <c r="AK3679" t="s">
        <v>52</v>
      </c>
      <c r="AL3679" t="str">
        <f>HYPERLINK("https://pbs.twimg.com/media/D9sAXHUX4AA6vJs.jpg")</f>
        <v>https://pbs.twimg.com/media/D9sAXHUX4AA6vJs.jpg</v>
      </c>
      <c r="AM3679" t="s">
        <v>52</v>
      </c>
      <c r="AN3679" t="s">
        <v>53</v>
      </c>
    </row>
    <row r="3680" spans="1:40">
      <c r="A3680" t="s">
        <v>8081</v>
      </c>
      <c r="B3680" t="s">
        <v>6233</v>
      </c>
      <c r="C3680" t="s">
        <v>11507</v>
      </c>
      <c r="D3680" t="s">
        <v>52</v>
      </c>
      <c r="E3680" t="s">
        <v>11523</v>
      </c>
      <c r="F3680" t="s">
        <v>45</v>
      </c>
      <c r="G3680" t="str">
        <f>HYPERLINK("https://www.instagram.com/p/BzDjA7co4KQ")</f>
        <v>https://www.instagram.com/p/BzDjA7co4KQ</v>
      </c>
      <c r="H3680" t="s">
        <v>46</v>
      </c>
      <c r="I3680" t="s">
        <v>11524</v>
      </c>
      <c r="J3680" t="str">
        <f>HYPERLINK("http://instagram.com/yaazz420")</f>
        <v>http://instagram.com/yaazz420</v>
      </c>
      <c r="K3680">
        <v>38</v>
      </c>
      <c r="N3680" t="s">
        <v>59</v>
      </c>
      <c r="O3680" t="s">
        <v>11524</v>
      </c>
      <c r="P3680" t="str">
        <f>HYPERLINK("http://instagram.com/yaazz420")</f>
        <v>http://instagram.com/yaazz420</v>
      </c>
      <c r="Q3680">
        <v>38</v>
      </c>
      <c r="R3680" t="s">
        <v>60</v>
      </c>
      <c r="S3680" t="s">
        <v>142</v>
      </c>
      <c r="T3680" t="s">
        <v>5880</v>
      </c>
      <c r="U3680" t="s">
        <v>11525</v>
      </c>
      <c r="W3680">
        <v>26</v>
      </c>
      <c r="X3680">
        <v>26</v>
      </c>
      <c r="AE3680">
        <v>1</v>
      </c>
      <c r="AI3680" t="s">
        <v>52</v>
      </c>
      <c r="AJ3680" t="s">
        <v>52</v>
      </c>
      <c r="AK3680" t="s">
        <v>52</v>
      </c>
      <c r="AL3680" t="str">
        <f>HYPERLINK("https://www.instagram.com/p/BzDjA7co4KQ/media/?size=l")</f>
        <v>https://www.instagram.com/p/BzDjA7co4KQ/media/?size=l</v>
      </c>
      <c r="AM3680" t="s">
        <v>52</v>
      </c>
      <c r="AN3680" t="s">
        <v>53</v>
      </c>
    </row>
    <row r="3681" spans="1:40">
      <c r="A3681" t="s">
        <v>8081</v>
      </c>
      <c r="B3681" t="s">
        <v>6233</v>
      </c>
      <c r="C3681" t="s">
        <v>11507</v>
      </c>
      <c r="D3681" t="s">
        <v>52</v>
      </c>
      <c r="E3681" t="s">
        <v>11526</v>
      </c>
      <c r="F3681" t="s">
        <v>45</v>
      </c>
      <c r="G3681" t="str">
        <f>HYPERLINK("https://www.instagram.com/p/BzDjA9_Fds_")</f>
        <v>https://www.instagram.com/p/BzDjA9_Fds_</v>
      </c>
      <c r="H3681" t="s">
        <v>46</v>
      </c>
      <c r="I3681" t="s">
        <v>11527</v>
      </c>
      <c r="J3681" t="str">
        <f>HYPERLINK("http://instagram.com/skylaa66")</f>
        <v>http://instagram.com/skylaa66</v>
      </c>
      <c r="K3681">
        <v>146</v>
      </c>
      <c r="N3681" t="s">
        <v>59</v>
      </c>
      <c r="O3681" t="s">
        <v>11527</v>
      </c>
      <c r="P3681" t="str">
        <f>HYPERLINK("http://instagram.com/skylaa66")</f>
        <v>http://instagram.com/skylaa66</v>
      </c>
      <c r="Q3681">
        <v>146</v>
      </c>
      <c r="R3681" t="s">
        <v>60</v>
      </c>
      <c r="W3681">
        <v>12</v>
      </c>
      <c r="X3681">
        <v>12</v>
      </c>
      <c r="AE3681">
        <v>1</v>
      </c>
      <c r="AI3681" t="s">
        <v>52</v>
      </c>
      <c r="AJ3681" t="s">
        <v>52</v>
      </c>
      <c r="AK3681" t="s">
        <v>52</v>
      </c>
      <c r="AL3681" t="str">
        <f>HYPERLINK("https://www.instagram.com/p/BzDjA9_Fds_/media/?size=l")</f>
        <v>https://www.instagram.com/p/BzDjA9_Fds_/media/?size=l</v>
      </c>
      <c r="AM3681" t="s">
        <v>52</v>
      </c>
      <c r="AN3681" t="s">
        <v>53</v>
      </c>
    </row>
    <row r="3682" spans="1:40">
      <c r="A3682" t="s">
        <v>8081</v>
      </c>
      <c r="B3682" t="s">
        <v>6237</v>
      </c>
      <c r="C3682" t="s">
        <v>11528</v>
      </c>
      <c r="D3682" t="s">
        <v>11529</v>
      </c>
      <c r="E3682" t="s">
        <v>11530</v>
      </c>
      <c r="F3682" t="s">
        <v>45</v>
      </c>
      <c r="G3682" t="str">
        <f>HYPERLINK("http://www.samdailytimes.org/2019/06/headline-june-24-2019-worlds-ineptitude.html")</f>
        <v>http://www.samdailytimes.org/2019/06/headline-june-24-2019-worlds-ineptitude.html</v>
      </c>
      <c r="H3682" t="s">
        <v>46</v>
      </c>
      <c r="I3682" t="s">
        <v>11531</v>
      </c>
      <c r="J3682" t="str">
        <f>HYPERLINK("http://www.samdailytimes.org/2019/06/headline-june-24-2019-worlds-ineptitude.html")</f>
        <v>http://www.samdailytimes.org/2019/06/headline-june-24-2019-worlds-ineptitude.html</v>
      </c>
      <c r="L3682" t="s">
        <v>48</v>
      </c>
      <c r="N3682" t="s">
        <v>11532</v>
      </c>
      <c r="R3682" t="s">
        <v>50</v>
      </c>
      <c r="S3682" t="s">
        <v>51</v>
      </c>
      <c r="AM3682" t="s">
        <v>52</v>
      </c>
      <c r="AN3682" t="s">
        <v>53</v>
      </c>
    </row>
    <row r="3683" spans="1:40">
      <c r="A3683" t="s">
        <v>8081</v>
      </c>
      <c r="B3683" t="s">
        <v>475</v>
      </c>
      <c r="C3683" t="s">
        <v>11519</v>
      </c>
      <c r="D3683" t="s">
        <v>52</v>
      </c>
      <c r="E3683" t="s">
        <v>11533</v>
      </c>
      <c r="F3683" t="s">
        <v>45</v>
      </c>
      <c r="G3683" t="str">
        <f>HYPERLINK("https://twitter.com/713417929/status/1142799316807036930")</f>
        <v>https://twitter.com/713417929/status/1142799316807036930</v>
      </c>
      <c r="H3683" t="s">
        <v>46</v>
      </c>
      <c r="I3683" t="s">
        <v>11534</v>
      </c>
      <c r="J3683" t="str">
        <f>HYPERLINK("http://twitter.com/miserycake")</f>
        <v>http://twitter.com/miserycake</v>
      </c>
      <c r="K3683">
        <v>1041</v>
      </c>
      <c r="N3683" t="s">
        <v>65</v>
      </c>
      <c r="R3683" t="s">
        <v>60</v>
      </c>
      <c r="S3683" t="s">
        <v>51</v>
      </c>
      <c r="T3683" t="s">
        <v>3290</v>
      </c>
      <c r="W3683">
        <v>3</v>
      </c>
      <c r="X3683">
        <v>3</v>
      </c>
      <c r="AE3683">
        <v>0</v>
      </c>
      <c r="AF3683">
        <v>1</v>
      </c>
      <c r="AM3683" t="s">
        <v>52</v>
      </c>
      <c r="AN3683" t="s">
        <v>53</v>
      </c>
    </row>
    <row r="3684" spans="1:40">
      <c r="A3684" t="s">
        <v>8081</v>
      </c>
      <c r="B3684" t="s">
        <v>475</v>
      </c>
      <c r="C3684" t="s">
        <v>6985</v>
      </c>
      <c r="D3684" t="s">
        <v>11535</v>
      </c>
      <c r="E3684" t="s">
        <v>11536</v>
      </c>
      <c r="F3684" t="s">
        <v>45</v>
      </c>
      <c r="G3684" t="str">
        <f>HYPERLINK("https://community.babycenter.com/post/a73857869/help#c2588268364")</f>
        <v>https://community.babycenter.com/post/a73857869/help#c2588268364</v>
      </c>
      <c r="H3684" t="s">
        <v>46</v>
      </c>
      <c r="N3684" t="s">
        <v>1506</v>
      </c>
      <c r="O3684" t="s">
        <v>52</v>
      </c>
      <c r="P3684" t="str">
        <f>HYPERLINK("https://community.babycenter.com/sitemap/posts/d20190622.xml")</f>
        <v>https://community.babycenter.com/sitemap/posts/d20190622.xml</v>
      </c>
      <c r="R3684" t="s">
        <v>516</v>
      </c>
      <c r="S3684" t="s">
        <v>51</v>
      </c>
      <c r="AM3684" t="s">
        <v>52</v>
      </c>
      <c r="AN3684" t="s">
        <v>53</v>
      </c>
    </row>
    <row r="3685" spans="1:40">
      <c r="A3685" t="s">
        <v>8081</v>
      </c>
      <c r="B3685" t="s">
        <v>479</v>
      </c>
      <c r="C3685" t="s">
        <v>11537</v>
      </c>
      <c r="D3685" t="s">
        <v>52</v>
      </c>
      <c r="E3685" t="s">
        <v>11538</v>
      </c>
      <c r="F3685" t="s">
        <v>45</v>
      </c>
      <c r="G3685" t="str">
        <f>HYPERLINK("https://www.instagram.com/p/BzDiwpOBvyz")</f>
        <v>https://www.instagram.com/p/BzDiwpOBvyz</v>
      </c>
      <c r="H3685" t="s">
        <v>46</v>
      </c>
      <c r="I3685" t="s">
        <v>11539</v>
      </c>
      <c r="J3685" t="str">
        <f>HYPERLINK("http://instagram.com/andrawatkins")</f>
        <v>http://instagram.com/andrawatkins</v>
      </c>
      <c r="K3685">
        <v>1318</v>
      </c>
      <c r="N3685" t="s">
        <v>59</v>
      </c>
      <c r="O3685" t="s">
        <v>11539</v>
      </c>
      <c r="P3685" t="str">
        <f>HYPERLINK("http://instagram.com/andrawatkins")</f>
        <v>http://instagram.com/andrawatkins</v>
      </c>
      <c r="Q3685">
        <v>1318</v>
      </c>
      <c r="R3685" t="s">
        <v>60</v>
      </c>
      <c r="S3685" t="s">
        <v>2290</v>
      </c>
      <c r="T3685" t="s">
        <v>2291</v>
      </c>
      <c r="U3685" t="s">
        <v>11540</v>
      </c>
      <c r="W3685">
        <v>33</v>
      </c>
      <c r="X3685">
        <v>33</v>
      </c>
      <c r="AE3685">
        <v>2</v>
      </c>
      <c r="AI3685" t="s">
        <v>52</v>
      </c>
      <c r="AJ3685" t="s">
        <v>52</v>
      </c>
      <c r="AK3685" t="s">
        <v>11541</v>
      </c>
      <c r="AL3685" t="str">
        <f>HYPERLINK("https://www.instagram.com/p/BzDiwpOBvyz/media/?size=l")</f>
        <v>https://www.instagram.com/p/BzDiwpOBvyz/media/?size=l</v>
      </c>
      <c r="AM3685" t="s">
        <v>52</v>
      </c>
      <c r="AN3685" t="s">
        <v>53</v>
      </c>
    </row>
    <row r="3686" spans="1:40">
      <c r="A3686" t="s">
        <v>8081</v>
      </c>
      <c r="B3686" t="s">
        <v>479</v>
      </c>
      <c r="C3686" t="s">
        <v>11542</v>
      </c>
      <c r="D3686" t="s">
        <v>52</v>
      </c>
      <c r="E3686" t="s">
        <v>11543</v>
      </c>
      <c r="F3686" t="s">
        <v>45</v>
      </c>
      <c r="G3686" t="str">
        <f>HYPERLINK("https://www.instagram.com/p/BzDis__HgyD")</f>
        <v>https://www.instagram.com/p/BzDis__HgyD</v>
      </c>
      <c r="H3686" t="s">
        <v>46</v>
      </c>
      <c r="I3686" t="s">
        <v>11544</v>
      </c>
      <c r="J3686" t="str">
        <f>HYPERLINK("http://instagram.com/lampelectric")</f>
        <v>http://instagram.com/lampelectric</v>
      </c>
      <c r="K3686">
        <v>3569</v>
      </c>
      <c r="N3686" t="s">
        <v>59</v>
      </c>
      <c r="O3686" t="s">
        <v>11544</v>
      </c>
      <c r="P3686" t="str">
        <f>HYPERLINK("http://instagram.com/lampelectric")</f>
        <v>http://instagram.com/lampelectric</v>
      </c>
      <c r="Q3686">
        <v>3569</v>
      </c>
      <c r="R3686" t="s">
        <v>60</v>
      </c>
      <c r="S3686" t="s">
        <v>51</v>
      </c>
      <c r="T3686" t="s">
        <v>173</v>
      </c>
      <c r="U3686" t="s">
        <v>1214</v>
      </c>
      <c r="W3686">
        <v>119</v>
      </c>
      <c r="X3686">
        <v>119</v>
      </c>
      <c r="AE3686">
        <v>3</v>
      </c>
      <c r="AI3686" t="s">
        <v>52</v>
      </c>
      <c r="AJ3686" t="s">
        <v>1805</v>
      </c>
      <c r="AK3686" t="s">
        <v>52</v>
      </c>
      <c r="AL3686" t="str">
        <f>HYPERLINK("https://www.instagram.com/p/BzDis__HgyD/media/?size=l")</f>
        <v>https://www.instagram.com/p/BzDis__HgyD/media/?size=l</v>
      </c>
      <c r="AM3686" t="s">
        <v>52</v>
      </c>
      <c r="AN3686" t="s">
        <v>53</v>
      </c>
    </row>
    <row r="3687" spans="1:40">
      <c r="A3687" t="s">
        <v>8081</v>
      </c>
      <c r="B3687" t="s">
        <v>494</v>
      </c>
      <c r="C3687" t="s">
        <v>11545</v>
      </c>
      <c r="D3687" t="s">
        <v>52</v>
      </c>
      <c r="E3687" t="s">
        <v>11546</v>
      </c>
      <c r="F3687" t="s">
        <v>95</v>
      </c>
      <c r="G3687" t="str">
        <f>HYPERLINK("https://twitter.com/1072985690/status/1142798574469754880")</f>
        <v>https://twitter.com/1072985690/status/1142798574469754880</v>
      </c>
      <c r="H3687" t="s">
        <v>46</v>
      </c>
      <c r="I3687" t="s">
        <v>11547</v>
      </c>
      <c r="J3687" t="str">
        <f>HYPERLINK("http://twitter.com/GTXMP")</f>
        <v>http://twitter.com/GTXMP</v>
      </c>
      <c r="K3687">
        <v>629</v>
      </c>
      <c r="N3687" t="s">
        <v>65</v>
      </c>
      <c r="R3687" t="s">
        <v>60</v>
      </c>
      <c r="S3687" t="s">
        <v>51</v>
      </c>
      <c r="T3687" t="s">
        <v>678</v>
      </c>
      <c r="U3687" t="s">
        <v>2798</v>
      </c>
      <c r="W3687">
        <v>0</v>
      </c>
      <c r="X3687">
        <v>0</v>
      </c>
      <c r="AE3687">
        <v>0</v>
      </c>
      <c r="AF3687">
        <v>0</v>
      </c>
      <c r="AM3687" t="s">
        <v>52</v>
      </c>
      <c r="AN3687" t="s">
        <v>53</v>
      </c>
    </row>
    <row r="3688" spans="1:40">
      <c r="A3688" t="s">
        <v>8081</v>
      </c>
      <c r="B3688" t="s">
        <v>499</v>
      </c>
      <c r="C3688" t="s">
        <v>11548</v>
      </c>
      <c r="D3688" t="s">
        <v>52</v>
      </c>
      <c r="E3688" t="s">
        <v>11549</v>
      </c>
      <c r="F3688" t="s">
        <v>95</v>
      </c>
      <c r="G3688" t="str">
        <f>HYPERLINK("https://twitter.com/704382199160840196/status/1142798214883676160")</f>
        <v>https://twitter.com/704382199160840196/status/1142798214883676160</v>
      </c>
      <c r="H3688" t="s">
        <v>46</v>
      </c>
      <c r="I3688" t="s">
        <v>11550</v>
      </c>
      <c r="J3688" t="str">
        <f>HYPERLINK("http://twitter.com/Assist_Ok")</f>
        <v>http://twitter.com/Assist_Ok</v>
      </c>
      <c r="K3688">
        <v>601</v>
      </c>
      <c r="N3688" t="s">
        <v>65</v>
      </c>
      <c r="R3688" t="s">
        <v>60</v>
      </c>
      <c r="S3688" t="s">
        <v>51</v>
      </c>
      <c r="T3688" t="s">
        <v>160</v>
      </c>
      <c r="U3688" t="s">
        <v>2658</v>
      </c>
      <c r="W3688">
        <v>0</v>
      </c>
      <c r="X3688">
        <v>0</v>
      </c>
      <c r="AE3688">
        <v>0</v>
      </c>
      <c r="AF3688">
        <v>0</v>
      </c>
      <c r="AM3688" t="s">
        <v>52</v>
      </c>
      <c r="AN3688" t="s">
        <v>53</v>
      </c>
    </row>
    <row r="3689" spans="1:40">
      <c r="A3689" t="s">
        <v>8081</v>
      </c>
      <c r="B3689" t="s">
        <v>6268</v>
      </c>
      <c r="C3689" t="s">
        <v>11551</v>
      </c>
      <c r="D3689" t="s">
        <v>52</v>
      </c>
      <c r="E3689" t="s">
        <v>11552</v>
      </c>
      <c r="F3689" t="s">
        <v>45</v>
      </c>
      <c r="G3689" t="str">
        <f>HYPERLINK("https://www.instagram.com/p/BzDiC8vgWn2")</f>
        <v>https://www.instagram.com/p/BzDiC8vgWn2</v>
      </c>
      <c r="H3689" t="s">
        <v>46</v>
      </c>
      <c r="I3689" t="s">
        <v>52</v>
      </c>
      <c r="J3689" t="str">
        <f>HYPERLINK("http://instagram.com/peachy.nichies")</f>
        <v>http://instagram.com/peachy.nichies</v>
      </c>
      <c r="K3689">
        <v>47</v>
      </c>
      <c r="N3689" t="s">
        <v>59</v>
      </c>
      <c r="O3689" t="s">
        <v>52</v>
      </c>
      <c r="P3689" t="str">
        <f>HYPERLINK("http://instagram.com/peachy.nichies")</f>
        <v>http://instagram.com/peachy.nichies</v>
      </c>
      <c r="Q3689">
        <v>47</v>
      </c>
      <c r="R3689" t="s">
        <v>60</v>
      </c>
      <c r="W3689">
        <v>20</v>
      </c>
      <c r="X3689">
        <v>20</v>
      </c>
      <c r="AE3689">
        <v>13</v>
      </c>
      <c r="AI3689" t="s">
        <v>108</v>
      </c>
      <c r="AJ3689" t="s">
        <v>52</v>
      </c>
      <c r="AK3689" t="s">
        <v>52</v>
      </c>
      <c r="AL3689" t="str">
        <f>HYPERLINK("https://www.instagram.com/p/BzDiC8vgWn2/media/?size=l")</f>
        <v>https://www.instagram.com/p/BzDiC8vgWn2/media/?size=l</v>
      </c>
      <c r="AM3689" t="s">
        <v>52</v>
      </c>
      <c r="AN3689" t="s">
        <v>53</v>
      </c>
    </row>
    <row r="3690" spans="1:40">
      <c r="A3690" t="s">
        <v>8081</v>
      </c>
      <c r="B3690" t="s">
        <v>6284</v>
      </c>
      <c r="C3690" t="s">
        <v>11553</v>
      </c>
      <c r="D3690" t="s">
        <v>11554</v>
      </c>
      <c r="E3690" t="s">
        <v>11554</v>
      </c>
      <c r="F3690" t="s">
        <v>45</v>
      </c>
      <c r="G3690" t="str">
        <f>HYPERLINK("https://www.youtube.com/watch?v=Yk42yVmw1U0")</f>
        <v>https://www.youtube.com/watch?v=Yk42yVmw1U0</v>
      </c>
      <c r="H3690" t="s">
        <v>46</v>
      </c>
      <c r="I3690" t="s">
        <v>11555</v>
      </c>
      <c r="J3690" t="str">
        <f>HYPERLINK("https://www.youtube.com/channel/UCJEALK-n2KjAKFoJcwp0wVg")</f>
        <v>https://www.youtube.com/channel/UCJEALK-n2KjAKFoJcwp0wVg</v>
      </c>
      <c r="K3690">
        <v>28</v>
      </c>
      <c r="N3690" t="s">
        <v>116</v>
      </c>
      <c r="O3690" t="s">
        <v>11555</v>
      </c>
      <c r="P3690" t="str">
        <f>HYPERLINK("https://www.youtube.com/channel/UCJEALK-n2KjAKFoJcwp0wVg")</f>
        <v>https://www.youtube.com/channel/UCJEALK-n2KjAKFoJcwp0wVg</v>
      </c>
      <c r="Q3690">
        <v>28</v>
      </c>
      <c r="R3690" t="s">
        <v>60</v>
      </c>
      <c r="W3690">
        <v>2</v>
      </c>
      <c r="X3690">
        <v>2</v>
      </c>
      <c r="AD3690">
        <v>0</v>
      </c>
      <c r="AE3690">
        <v>0</v>
      </c>
      <c r="AG3690">
        <v>14</v>
      </c>
      <c r="AI3690" t="s">
        <v>52</v>
      </c>
      <c r="AJ3690" t="s">
        <v>11556</v>
      </c>
      <c r="AK3690" t="s">
        <v>52</v>
      </c>
      <c r="AL3690" t="str">
        <f>HYPERLINK("https://i.ytimg.com/vi/Yk42yVmw1U0/hqdefault.jpg")</f>
        <v>https://i.ytimg.com/vi/Yk42yVmw1U0/hqdefault.jpg</v>
      </c>
      <c r="AM3690" t="s">
        <v>52</v>
      </c>
      <c r="AN3690" t="s">
        <v>53</v>
      </c>
    </row>
    <row r="3691" spans="1:40">
      <c r="A3691" t="s">
        <v>8081</v>
      </c>
      <c r="B3691" t="s">
        <v>517</v>
      </c>
      <c r="C3691" t="s">
        <v>11557</v>
      </c>
      <c r="D3691" t="s">
        <v>52</v>
      </c>
      <c r="E3691" t="s">
        <v>11558</v>
      </c>
      <c r="F3691" t="s">
        <v>45</v>
      </c>
      <c r="G3691" t="str">
        <f>HYPERLINK("https://www.instagram.com/p/BzDh1lzFmKH")</f>
        <v>https://www.instagram.com/p/BzDh1lzFmKH</v>
      </c>
      <c r="H3691" t="s">
        <v>46</v>
      </c>
      <c r="I3691" t="s">
        <v>11559</v>
      </c>
      <c r="J3691" t="str">
        <f>HYPERLINK("http://instagram.com/jxli.gfx")</f>
        <v>http://instagram.com/jxli.gfx</v>
      </c>
      <c r="K3691">
        <v>143</v>
      </c>
      <c r="N3691" t="s">
        <v>59</v>
      </c>
      <c r="O3691" t="s">
        <v>11559</v>
      </c>
      <c r="P3691" t="str">
        <f>HYPERLINK("http://instagram.com/jxli.gfx")</f>
        <v>http://instagram.com/jxli.gfx</v>
      </c>
      <c r="Q3691">
        <v>143</v>
      </c>
      <c r="R3691" t="s">
        <v>60</v>
      </c>
      <c r="W3691">
        <v>52</v>
      </c>
      <c r="X3691">
        <v>52</v>
      </c>
      <c r="AE3691">
        <v>4</v>
      </c>
      <c r="AI3691" t="s">
        <v>108</v>
      </c>
      <c r="AJ3691" t="s">
        <v>716</v>
      </c>
      <c r="AK3691" t="s">
        <v>52</v>
      </c>
      <c r="AL3691" t="str">
        <f>HYPERLINK("https://www.instagram.com/p/BzDh1lzFmKH/media/?size=l")</f>
        <v>https://www.instagram.com/p/BzDh1lzFmKH/media/?size=l</v>
      </c>
      <c r="AM3691" t="s">
        <v>52</v>
      </c>
      <c r="AN3691" t="s">
        <v>53</v>
      </c>
    </row>
    <row r="3692" spans="1:40">
      <c r="A3692" t="s">
        <v>8081</v>
      </c>
      <c r="B3692" t="s">
        <v>517</v>
      </c>
      <c r="C3692" t="s">
        <v>11560</v>
      </c>
      <c r="D3692" t="s">
        <v>52</v>
      </c>
      <c r="E3692" t="s">
        <v>11561</v>
      </c>
      <c r="F3692" t="s">
        <v>71</v>
      </c>
      <c r="G3692" t="str">
        <f>HYPERLINK("https://twitter.com/2609513063/status/1142797059495530498")</f>
        <v>https://twitter.com/2609513063/status/1142797059495530498</v>
      </c>
      <c r="H3692" t="s">
        <v>46</v>
      </c>
      <c r="I3692" t="s">
        <v>11562</v>
      </c>
      <c r="J3692" t="str">
        <f>HYPERLINK("http://twitter.com/Justinnbreda")</f>
        <v>http://twitter.com/Justinnbreda</v>
      </c>
      <c r="K3692">
        <v>765</v>
      </c>
      <c r="N3692" t="s">
        <v>65</v>
      </c>
      <c r="R3692" t="s">
        <v>60</v>
      </c>
      <c r="S3692" t="s">
        <v>1071</v>
      </c>
      <c r="T3692" t="s">
        <v>1072</v>
      </c>
      <c r="U3692" t="s">
        <v>11563</v>
      </c>
      <c r="W3692">
        <v>0</v>
      </c>
      <c r="X3692">
        <v>0</v>
      </c>
      <c r="AE3692">
        <v>0</v>
      </c>
      <c r="AF3692">
        <v>0</v>
      </c>
      <c r="AM3692" t="s">
        <v>52</v>
      </c>
      <c r="AN3692" t="s">
        <v>53</v>
      </c>
    </row>
    <row r="3693" spans="1:40">
      <c r="A3693" t="s">
        <v>8081</v>
      </c>
      <c r="B3693" t="s">
        <v>524</v>
      </c>
      <c r="C3693" t="s">
        <v>11548</v>
      </c>
      <c r="D3693" t="s">
        <v>11564</v>
      </c>
      <c r="E3693" t="s">
        <v>11565</v>
      </c>
      <c r="F3693" t="s">
        <v>45</v>
      </c>
      <c r="G3693" t="str">
        <f>HYPERLINK("https://www.youtube.com/watch?v=25wdaCWzsvw")</f>
        <v>https://www.youtube.com/watch?v=25wdaCWzsvw</v>
      </c>
      <c r="H3693" t="s">
        <v>46</v>
      </c>
      <c r="I3693" t="s">
        <v>11566</v>
      </c>
      <c r="J3693" t="str">
        <f>HYPERLINK("https://www.youtube.com/channel/UC5gNR0jl9ZC5ZdGq5FYOf4A")</f>
        <v>https://www.youtube.com/channel/UC5gNR0jl9ZC5ZdGq5FYOf4A</v>
      </c>
      <c r="K3693">
        <v>10</v>
      </c>
      <c r="N3693" t="s">
        <v>116</v>
      </c>
      <c r="O3693" t="s">
        <v>11566</v>
      </c>
      <c r="P3693" t="str">
        <f>HYPERLINK("https://www.youtube.com/channel/UC5gNR0jl9ZC5ZdGq5FYOf4A")</f>
        <v>https://www.youtube.com/channel/UC5gNR0jl9ZC5ZdGq5FYOf4A</v>
      </c>
      <c r="Q3693">
        <v>10</v>
      </c>
      <c r="R3693" t="s">
        <v>60</v>
      </c>
      <c r="W3693">
        <v>0</v>
      </c>
      <c r="X3693">
        <v>0</v>
      </c>
      <c r="AD3693">
        <v>0</v>
      </c>
      <c r="AE3693">
        <v>1</v>
      </c>
      <c r="AG3693">
        <v>1</v>
      </c>
      <c r="AI3693" t="s">
        <v>52</v>
      </c>
      <c r="AJ3693" t="s">
        <v>52</v>
      </c>
      <c r="AK3693" t="s">
        <v>52</v>
      </c>
      <c r="AL3693" t="str">
        <f>HYPERLINK("https://i.ytimg.com/vi/25wdaCWzsvw/sddefault.jpg")</f>
        <v>https://i.ytimg.com/vi/25wdaCWzsvw/sddefault.jpg</v>
      </c>
      <c r="AM3693" t="s">
        <v>52</v>
      </c>
      <c r="AN3693" t="s">
        <v>53</v>
      </c>
    </row>
    <row r="3694" spans="1:40">
      <c r="A3694" t="s">
        <v>8081</v>
      </c>
      <c r="B3694" t="s">
        <v>11567</v>
      </c>
      <c r="C3694" t="s">
        <v>11568</v>
      </c>
      <c r="D3694" t="s">
        <v>52</v>
      </c>
      <c r="E3694" t="s">
        <v>11569</v>
      </c>
      <c r="F3694" t="s">
        <v>45</v>
      </c>
      <c r="G3694" t="str">
        <f>HYPERLINK("https://www.instagram.com/p/BzDhfZSHQlt")</f>
        <v>https://www.instagram.com/p/BzDhfZSHQlt</v>
      </c>
      <c r="H3694" t="s">
        <v>46</v>
      </c>
      <c r="I3694" t="s">
        <v>52</v>
      </c>
      <c r="J3694" t="str">
        <f>HYPERLINK("http://instagram.com/condylan_")</f>
        <v>http://instagram.com/condylan_</v>
      </c>
      <c r="K3694">
        <v>15307</v>
      </c>
      <c r="N3694" t="s">
        <v>59</v>
      </c>
      <c r="O3694" t="s">
        <v>52</v>
      </c>
      <c r="P3694" t="str">
        <f>HYPERLINK("http://instagram.com/condylan_")</f>
        <v>http://instagram.com/condylan_</v>
      </c>
      <c r="Q3694">
        <v>15307</v>
      </c>
      <c r="R3694" t="s">
        <v>60</v>
      </c>
      <c r="S3694" t="s">
        <v>4293</v>
      </c>
      <c r="T3694" t="s">
        <v>4294</v>
      </c>
      <c r="U3694" t="s">
        <v>9286</v>
      </c>
      <c r="W3694">
        <v>566</v>
      </c>
      <c r="X3694">
        <v>566</v>
      </c>
      <c r="AE3694">
        <v>5</v>
      </c>
      <c r="AI3694" t="s">
        <v>52</v>
      </c>
      <c r="AJ3694" t="s">
        <v>11570</v>
      </c>
      <c r="AK3694" t="s">
        <v>11571</v>
      </c>
      <c r="AL3694" t="str">
        <f>HYPERLINK("https://www.instagram.com/p/BzDhfZSHQlt/media/?size=l")</f>
        <v>https://www.instagram.com/p/BzDhfZSHQlt/media/?size=l</v>
      </c>
      <c r="AM3694" t="s">
        <v>52</v>
      </c>
      <c r="AN3694" t="s">
        <v>53</v>
      </c>
    </row>
    <row r="3695" spans="1:40">
      <c r="A3695" t="s">
        <v>8081</v>
      </c>
      <c r="B3695" t="s">
        <v>530</v>
      </c>
      <c r="C3695" t="s">
        <v>11557</v>
      </c>
      <c r="D3695" t="s">
        <v>52</v>
      </c>
      <c r="E3695" t="s">
        <v>11572</v>
      </c>
      <c r="F3695" t="s">
        <v>95</v>
      </c>
      <c r="G3695" t="str">
        <f>HYPERLINK("https://twitter.com/1107664894852325378/status/1142796182399463429")</f>
        <v>https://twitter.com/1107664894852325378/status/1142796182399463429</v>
      </c>
      <c r="H3695" t="s">
        <v>46</v>
      </c>
      <c r="I3695" t="s">
        <v>11573</v>
      </c>
      <c r="J3695" t="str">
        <f>HYPERLINK("http://twitter.com/Glynda89568307")</f>
        <v>http://twitter.com/Glynda89568307</v>
      </c>
      <c r="K3695">
        <v>25</v>
      </c>
      <c r="N3695" t="s">
        <v>65</v>
      </c>
      <c r="R3695" t="s">
        <v>60</v>
      </c>
      <c r="S3695" t="s">
        <v>51</v>
      </c>
      <c r="T3695" t="s">
        <v>3290</v>
      </c>
      <c r="U3695" t="s">
        <v>11574</v>
      </c>
      <c r="W3695">
        <v>0</v>
      </c>
      <c r="X3695">
        <v>0</v>
      </c>
      <c r="AE3695">
        <v>2</v>
      </c>
      <c r="AF3695">
        <v>0</v>
      </c>
      <c r="AM3695" t="s">
        <v>52</v>
      </c>
      <c r="AN3695" t="s">
        <v>53</v>
      </c>
    </row>
    <row r="3696" spans="1:40">
      <c r="A3696" t="s">
        <v>8081</v>
      </c>
      <c r="B3696" t="s">
        <v>530</v>
      </c>
      <c r="C3696" t="s">
        <v>11575</v>
      </c>
      <c r="D3696" t="s">
        <v>52</v>
      </c>
      <c r="E3696" t="s">
        <v>130</v>
      </c>
      <c r="F3696" t="s">
        <v>131</v>
      </c>
      <c r="G3696" t="str">
        <f>HYPERLINK("https://twitter.com/918153255800262656/status/1142796077948657664")</f>
        <v>https://twitter.com/918153255800262656/status/1142796077948657664</v>
      </c>
      <c r="H3696" t="s">
        <v>46</v>
      </c>
      <c r="I3696" t="s">
        <v>11576</v>
      </c>
      <c r="J3696" t="str">
        <f>HYPERLINK("http://twitter.com/STORMTIGER5")</f>
        <v>http://twitter.com/STORMTIGER5</v>
      </c>
      <c r="K3696">
        <v>410</v>
      </c>
      <c r="N3696" t="s">
        <v>65</v>
      </c>
      <c r="R3696" t="s">
        <v>60</v>
      </c>
      <c r="W3696">
        <v>0</v>
      </c>
      <c r="X3696">
        <v>0</v>
      </c>
      <c r="AE3696">
        <v>0</v>
      </c>
      <c r="AI3696" t="s">
        <v>108</v>
      </c>
      <c r="AJ3696" t="s">
        <v>52</v>
      </c>
      <c r="AK3696" t="s">
        <v>52</v>
      </c>
      <c r="AL3696" t="str">
        <f>HYPERLINK("https://pbs.twimg.com/media/D9XTkLWW4AAOYnJ.jpg")</f>
        <v>https://pbs.twimg.com/media/D9XTkLWW4AAOYnJ.jpg</v>
      </c>
      <c r="AM3696" t="s">
        <v>52</v>
      </c>
      <c r="AN3696" t="s">
        <v>53</v>
      </c>
    </row>
    <row r="3697" spans="1:40">
      <c r="A3697" t="s">
        <v>8081</v>
      </c>
      <c r="B3697" t="s">
        <v>530</v>
      </c>
      <c r="C3697" t="s">
        <v>11577</v>
      </c>
      <c r="D3697" t="s">
        <v>52</v>
      </c>
      <c r="E3697" t="s">
        <v>11578</v>
      </c>
      <c r="F3697" t="s">
        <v>45</v>
      </c>
      <c r="G3697" t="str">
        <f>HYPERLINK("https://www.instagram.com/p/BzDhUGeFZkL")</f>
        <v>https://www.instagram.com/p/BzDhUGeFZkL</v>
      </c>
      <c r="H3697" t="s">
        <v>46</v>
      </c>
      <c r="I3697" t="s">
        <v>11579</v>
      </c>
      <c r="J3697" t="str">
        <f>HYPERLINK("http://instagram.com/dumy.mendez")</f>
        <v>http://instagram.com/dumy.mendez</v>
      </c>
      <c r="K3697">
        <v>775</v>
      </c>
      <c r="L3697" t="s">
        <v>58</v>
      </c>
      <c r="N3697" t="s">
        <v>59</v>
      </c>
      <c r="O3697" t="s">
        <v>11579</v>
      </c>
      <c r="P3697" t="str">
        <f>HYPERLINK("http://instagram.com/dumy.mendez")</f>
        <v>http://instagram.com/dumy.mendez</v>
      </c>
      <c r="Q3697">
        <v>775</v>
      </c>
      <c r="R3697" t="s">
        <v>60</v>
      </c>
      <c r="W3697">
        <v>18</v>
      </c>
      <c r="X3697">
        <v>18</v>
      </c>
      <c r="AE3697">
        <v>0</v>
      </c>
      <c r="AI3697" t="s">
        <v>108</v>
      </c>
      <c r="AJ3697" t="s">
        <v>1901</v>
      </c>
      <c r="AK3697" t="s">
        <v>52</v>
      </c>
      <c r="AL3697" t="str">
        <f>HYPERLINK("https://www.instagram.com/p/BzDhUGeFZkL/media/?size=l")</f>
        <v>https://www.instagram.com/p/BzDhUGeFZkL/media/?size=l</v>
      </c>
      <c r="AM3697" t="s">
        <v>52</v>
      </c>
      <c r="AN3697" t="s">
        <v>53</v>
      </c>
    </row>
    <row r="3698" spans="1:40">
      <c r="A3698" t="s">
        <v>8081</v>
      </c>
      <c r="B3698" t="s">
        <v>540</v>
      </c>
      <c r="C3698" t="s">
        <v>11580</v>
      </c>
      <c r="D3698" t="s">
        <v>52</v>
      </c>
      <c r="E3698" t="s">
        <v>11581</v>
      </c>
      <c r="F3698" t="s">
        <v>45</v>
      </c>
      <c r="G3698" t="str">
        <f>HYPERLINK("https://www.instagram.com/p/BzDhLsGncwN")</f>
        <v>https://www.instagram.com/p/BzDhLsGncwN</v>
      </c>
      <c r="H3698" t="s">
        <v>46</v>
      </c>
      <c r="I3698" t="s">
        <v>11582</v>
      </c>
      <c r="J3698" t="str">
        <f>HYPERLINK("http://instagram.com/fitnessgill")</f>
        <v>http://instagram.com/fitnessgill</v>
      </c>
      <c r="K3698">
        <v>1377</v>
      </c>
      <c r="N3698" t="s">
        <v>59</v>
      </c>
      <c r="O3698" t="s">
        <v>11582</v>
      </c>
      <c r="P3698" t="str">
        <f>HYPERLINK("http://instagram.com/fitnessgill")</f>
        <v>http://instagram.com/fitnessgill</v>
      </c>
      <c r="Q3698">
        <v>1377</v>
      </c>
      <c r="R3698" t="s">
        <v>60</v>
      </c>
      <c r="W3698">
        <v>446</v>
      </c>
      <c r="X3698">
        <v>446</v>
      </c>
      <c r="AE3698">
        <v>25</v>
      </c>
      <c r="AI3698" t="s">
        <v>52</v>
      </c>
      <c r="AJ3698" t="s">
        <v>52</v>
      </c>
      <c r="AK3698" t="s">
        <v>2565</v>
      </c>
      <c r="AL3698" t="str">
        <f>HYPERLINK("https://www.instagram.com/p/BzDhLsGncwN/media/?size=l")</f>
        <v>https://www.instagram.com/p/BzDhLsGncwN/media/?size=l</v>
      </c>
      <c r="AM3698" t="s">
        <v>52</v>
      </c>
      <c r="AN3698" t="s">
        <v>53</v>
      </c>
    </row>
    <row r="3699" spans="1:40">
      <c r="A3699" t="s">
        <v>8081</v>
      </c>
      <c r="B3699" t="s">
        <v>6311</v>
      </c>
      <c r="C3699" t="s">
        <v>11440</v>
      </c>
      <c r="D3699" t="s">
        <v>52</v>
      </c>
      <c r="E3699" t="s">
        <v>11583</v>
      </c>
      <c r="F3699" t="s">
        <v>45</v>
      </c>
      <c r="G3699" t="str">
        <f>HYPERLINK("https://www.instagram.com/p/BzDhHVVij9S")</f>
        <v>https://www.instagram.com/p/BzDhHVVij9S</v>
      </c>
      <c r="H3699" t="s">
        <v>46</v>
      </c>
      <c r="I3699" t="s">
        <v>11584</v>
      </c>
      <c r="J3699" t="str">
        <f>HYPERLINK("http://instagram.com/krofnica___339")</f>
        <v>http://instagram.com/krofnica___339</v>
      </c>
      <c r="K3699">
        <v>317</v>
      </c>
      <c r="L3699" t="s">
        <v>58</v>
      </c>
      <c r="N3699" t="s">
        <v>59</v>
      </c>
      <c r="O3699" t="s">
        <v>11584</v>
      </c>
      <c r="P3699" t="str">
        <f>HYPERLINK("http://instagram.com/krofnica___339")</f>
        <v>http://instagram.com/krofnica___339</v>
      </c>
      <c r="Q3699">
        <v>317</v>
      </c>
      <c r="R3699" t="s">
        <v>60</v>
      </c>
      <c r="S3699" t="s">
        <v>5196</v>
      </c>
      <c r="W3699">
        <v>54</v>
      </c>
      <c r="X3699">
        <v>54</v>
      </c>
      <c r="AE3699">
        <v>0</v>
      </c>
      <c r="AI3699" t="s">
        <v>52</v>
      </c>
      <c r="AJ3699" t="s">
        <v>52</v>
      </c>
      <c r="AK3699" t="s">
        <v>680</v>
      </c>
      <c r="AL3699" t="str">
        <f>HYPERLINK("https://www.instagram.com/p/BzDhHVVij9S/media/?size=l")</f>
        <v>https://www.instagram.com/p/BzDhHVVij9S/media/?size=l</v>
      </c>
      <c r="AM3699" t="s">
        <v>52</v>
      </c>
      <c r="AN3699" t="s">
        <v>53</v>
      </c>
    </row>
    <row r="3700" spans="1:40">
      <c r="A3700" t="s">
        <v>8081</v>
      </c>
      <c r="B3700" t="s">
        <v>6317</v>
      </c>
      <c r="C3700" t="s">
        <v>11557</v>
      </c>
      <c r="D3700" t="s">
        <v>52</v>
      </c>
      <c r="E3700" t="s">
        <v>11585</v>
      </c>
      <c r="F3700" t="s">
        <v>45</v>
      </c>
      <c r="G3700" t="str">
        <f>HYPERLINK("https://www.instagram.com/p/BzDhBgPg1wR")</f>
        <v>https://www.instagram.com/p/BzDhBgPg1wR</v>
      </c>
      <c r="H3700" t="s">
        <v>46</v>
      </c>
      <c r="I3700" t="s">
        <v>11586</v>
      </c>
      <c r="J3700" t="str">
        <f>HYPERLINK("http://instagram.com/coleparr")</f>
        <v>http://instagram.com/coleparr</v>
      </c>
      <c r="K3700">
        <v>258</v>
      </c>
      <c r="N3700" t="s">
        <v>59</v>
      </c>
      <c r="O3700" t="s">
        <v>11586</v>
      </c>
      <c r="P3700" t="str">
        <f>HYPERLINK("http://instagram.com/coleparr")</f>
        <v>http://instagram.com/coleparr</v>
      </c>
      <c r="Q3700">
        <v>258</v>
      </c>
      <c r="R3700" t="s">
        <v>60</v>
      </c>
      <c r="S3700" t="s">
        <v>8494</v>
      </c>
      <c r="T3700" t="s">
        <v>11587</v>
      </c>
      <c r="U3700" t="s">
        <v>11588</v>
      </c>
      <c r="W3700">
        <v>66</v>
      </c>
      <c r="X3700">
        <v>66</v>
      </c>
      <c r="AE3700">
        <v>1</v>
      </c>
      <c r="AI3700" t="s">
        <v>52</v>
      </c>
      <c r="AJ3700" t="s">
        <v>4081</v>
      </c>
      <c r="AK3700" t="s">
        <v>11589</v>
      </c>
      <c r="AL3700" t="str">
        <f>HYPERLINK("https://www.instagram.com/p/BzDhBgPg1wR/media/?size=l")</f>
        <v>https://www.instagram.com/p/BzDhBgPg1wR/media/?size=l</v>
      </c>
      <c r="AM3700" t="s">
        <v>52</v>
      </c>
      <c r="AN3700" t="s">
        <v>53</v>
      </c>
    </row>
    <row r="3701" spans="1:40">
      <c r="A3701" t="s">
        <v>8081</v>
      </c>
      <c r="B3701" t="s">
        <v>6317</v>
      </c>
      <c r="C3701" t="s">
        <v>11568</v>
      </c>
      <c r="D3701" t="s">
        <v>52</v>
      </c>
      <c r="E3701" t="s">
        <v>11590</v>
      </c>
      <c r="F3701" t="s">
        <v>45</v>
      </c>
      <c r="G3701" t="str">
        <f>HYPERLINK("https://www.instagram.com/p/BzDg95nldcl")</f>
        <v>https://www.instagram.com/p/BzDg95nldcl</v>
      </c>
      <c r="H3701" t="s">
        <v>46</v>
      </c>
      <c r="I3701" t="s">
        <v>11591</v>
      </c>
      <c r="J3701" t="str">
        <f>HYPERLINK("http://instagram.com/glauciothomaz")</f>
        <v>http://instagram.com/glauciothomaz</v>
      </c>
      <c r="K3701">
        <v>998</v>
      </c>
      <c r="N3701" t="s">
        <v>59</v>
      </c>
      <c r="O3701" t="s">
        <v>11591</v>
      </c>
      <c r="P3701" t="str">
        <f>HYPERLINK("http://instagram.com/glauciothomaz")</f>
        <v>http://instagram.com/glauciothomaz</v>
      </c>
      <c r="Q3701">
        <v>998</v>
      </c>
      <c r="R3701" t="s">
        <v>60</v>
      </c>
      <c r="S3701" t="s">
        <v>432</v>
      </c>
      <c r="T3701" t="s">
        <v>433</v>
      </c>
      <c r="W3701">
        <v>41</v>
      </c>
      <c r="X3701">
        <v>41</v>
      </c>
      <c r="AE3701">
        <v>0</v>
      </c>
      <c r="AI3701" t="s">
        <v>108</v>
      </c>
      <c r="AJ3701" t="s">
        <v>52</v>
      </c>
      <c r="AK3701" t="s">
        <v>3299</v>
      </c>
      <c r="AL3701" t="str">
        <f>HYPERLINK("https://www.instagram.com/p/BzDg95nldcl/media/?size=l")</f>
        <v>https://www.instagram.com/p/BzDg95nldcl/media/?size=l</v>
      </c>
      <c r="AM3701" t="s">
        <v>52</v>
      </c>
      <c r="AN3701" t="s">
        <v>53</v>
      </c>
    </row>
    <row r="3702" spans="1:40">
      <c r="A3702" t="s">
        <v>8081</v>
      </c>
      <c r="B3702" t="s">
        <v>6320</v>
      </c>
      <c r="C3702" t="s">
        <v>11592</v>
      </c>
      <c r="D3702" t="s">
        <v>11593</v>
      </c>
      <c r="E3702" t="s">
        <v>11594</v>
      </c>
      <c r="F3702" t="s">
        <v>45</v>
      </c>
      <c r="G3702" t="str">
        <f>HYPERLINK("https://dirtybowl.wordpress.com/2019/06/23/day-38-grants-nm")</f>
        <v>https://dirtybowl.wordpress.com/2019/06/23/day-38-grants-nm</v>
      </c>
      <c r="H3702" t="s">
        <v>215</v>
      </c>
      <c r="I3702" t="s">
        <v>11595</v>
      </c>
      <c r="J3702" t="str">
        <f>HYPERLINK("https://dirtybowl.wordpress.com/2019/06/23/day-38-grants-nm/")</f>
        <v>https://dirtybowl.wordpress.com/2019/06/23/day-38-grants-nm/</v>
      </c>
      <c r="N3702" t="s">
        <v>2991</v>
      </c>
      <c r="R3702" t="s">
        <v>50</v>
      </c>
      <c r="S3702" t="s">
        <v>51</v>
      </c>
      <c r="AM3702" t="s">
        <v>52</v>
      </c>
      <c r="AN3702" t="s">
        <v>53</v>
      </c>
    </row>
    <row r="3703" spans="1:40">
      <c r="A3703" t="s">
        <v>8081</v>
      </c>
      <c r="B3703" t="s">
        <v>547</v>
      </c>
      <c r="C3703" t="s">
        <v>11596</v>
      </c>
      <c r="D3703" t="s">
        <v>11597</v>
      </c>
      <c r="E3703" t="s">
        <v>11598</v>
      </c>
      <c r="F3703" t="s">
        <v>45</v>
      </c>
      <c r="G3703" t="str">
        <f>HYPERLINK("https://andrawatkins.com/2019/06/23/brain-doritos")</f>
        <v>https://andrawatkins.com/2019/06/23/brain-doritos</v>
      </c>
      <c r="H3703" t="s">
        <v>46</v>
      </c>
      <c r="I3703" t="s">
        <v>11539</v>
      </c>
      <c r="J3703" t="str">
        <f>HYPERLINK("https://andrawatkins.com/2019/06/23/brain-doritos/")</f>
        <v>https://andrawatkins.com/2019/06/23/brain-doritos/</v>
      </c>
      <c r="N3703" t="s">
        <v>11599</v>
      </c>
      <c r="R3703" t="s">
        <v>50</v>
      </c>
      <c r="S3703" t="s">
        <v>51</v>
      </c>
      <c r="AM3703" t="s">
        <v>52</v>
      </c>
      <c r="AN3703" t="s">
        <v>53</v>
      </c>
    </row>
    <row r="3704" spans="1:40">
      <c r="A3704" t="s">
        <v>8081</v>
      </c>
      <c r="B3704" t="s">
        <v>11600</v>
      </c>
      <c r="C3704" t="s">
        <v>11601</v>
      </c>
      <c r="D3704" t="s">
        <v>52</v>
      </c>
      <c r="E3704" t="s">
        <v>11602</v>
      </c>
      <c r="F3704" t="s">
        <v>45</v>
      </c>
      <c r="G3704" t="str">
        <f>HYPERLINK("https://www.instagram.com/p/BzDgX8dBrjq")</f>
        <v>https://www.instagram.com/p/BzDgX8dBrjq</v>
      </c>
      <c r="H3704" t="s">
        <v>46</v>
      </c>
      <c r="I3704" t="s">
        <v>11603</v>
      </c>
      <c r="J3704" t="str">
        <f>HYPERLINK("http://instagram.com/larissaflor_4")</f>
        <v>http://instagram.com/larissaflor_4</v>
      </c>
      <c r="K3704">
        <v>86883</v>
      </c>
      <c r="L3704" t="s">
        <v>58</v>
      </c>
      <c r="N3704" t="s">
        <v>59</v>
      </c>
      <c r="O3704" t="s">
        <v>11603</v>
      </c>
      <c r="P3704" t="str">
        <f>HYPERLINK("http://instagram.com/larissaflor_4")</f>
        <v>http://instagram.com/larissaflor_4</v>
      </c>
      <c r="Q3704">
        <v>86883</v>
      </c>
      <c r="R3704" t="s">
        <v>60</v>
      </c>
      <c r="S3704" t="s">
        <v>2290</v>
      </c>
      <c r="T3704" t="s">
        <v>4368</v>
      </c>
      <c r="U3704" t="s">
        <v>11604</v>
      </c>
      <c r="W3704">
        <v>3056</v>
      </c>
      <c r="X3704">
        <v>3056</v>
      </c>
      <c r="AE3704">
        <v>100</v>
      </c>
      <c r="AI3704" t="s">
        <v>108</v>
      </c>
      <c r="AJ3704" t="s">
        <v>11605</v>
      </c>
      <c r="AK3704" t="s">
        <v>1703</v>
      </c>
      <c r="AL3704" t="str">
        <f>HYPERLINK("https://www.instagram.com/p/BzDgX8dBrjq/media/?size=l")</f>
        <v>https://www.instagram.com/p/BzDgX8dBrjq/media/?size=l</v>
      </c>
      <c r="AM3704" t="s">
        <v>52</v>
      </c>
      <c r="AN3704" t="s">
        <v>53</v>
      </c>
    </row>
    <row r="3705" spans="1:40">
      <c r="A3705" t="s">
        <v>8081</v>
      </c>
      <c r="B3705" t="s">
        <v>11600</v>
      </c>
      <c r="C3705" t="s">
        <v>11580</v>
      </c>
      <c r="D3705" t="s">
        <v>52</v>
      </c>
      <c r="E3705" t="s">
        <v>11606</v>
      </c>
      <c r="F3705" t="s">
        <v>45</v>
      </c>
      <c r="G3705" t="str">
        <f>HYPERLINK("https://www.instagram.com/p/BzDgTulFuXk")</f>
        <v>https://www.instagram.com/p/BzDgTulFuXk</v>
      </c>
      <c r="H3705" t="s">
        <v>46</v>
      </c>
      <c r="I3705" t="s">
        <v>11607</v>
      </c>
      <c r="J3705" t="str">
        <f>HYPERLINK("http://instagram.com/indianahoag")</f>
        <v>http://instagram.com/indianahoag</v>
      </c>
      <c r="K3705">
        <v>2460</v>
      </c>
      <c r="L3705" t="s">
        <v>48</v>
      </c>
      <c r="N3705" t="s">
        <v>59</v>
      </c>
      <c r="O3705" t="s">
        <v>11607</v>
      </c>
      <c r="P3705" t="str">
        <f>HYPERLINK("http://instagram.com/indianahoag")</f>
        <v>http://instagram.com/indianahoag</v>
      </c>
      <c r="Q3705">
        <v>2460</v>
      </c>
      <c r="R3705" t="s">
        <v>60</v>
      </c>
      <c r="W3705">
        <v>53</v>
      </c>
      <c r="X3705">
        <v>53</v>
      </c>
      <c r="AE3705">
        <v>3</v>
      </c>
      <c r="AI3705" t="s">
        <v>52</v>
      </c>
      <c r="AJ3705" t="s">
        <v>52</v>
      </c>
      <c r="AK3705" t="s">
        <v>110</v>
      </c>
      <c r="AL3705" t="str">
        <f>HYPERLINK("https://www.instagram.com/p/BzDgTulFuXk/media/?size=l")</f>
        <v>https://www.instagram.com/p/BzDgTulFuXk/media/?size=l</v>
      </c>
      <c r="AM3705" t="s">
        <v>52</v>
      </c>
      <c r="AN3705" t="s">
        <v>53</v>
      </c>
    </row>
    <row r="3706" spans="1:40">
      <c r="A3706" t="s">
        <v>8081</v>
      </c>
      <c r="B3706" t="s">
        <v>564</v>
      </c>
      <c r="C3706" t="s">
        <v>11608</v>
      </c>
      <c r="D3706" t="s">
        <v>52</v>
      </c>
      <c r="E3706" t="s">
        <v>11609</v>
      </c>
      <c r="F3706" t="s">
        <v>131</v>
      </c>
      <c r="G3706" t="str">
        <f>HYPERLINK("https://twitter.com/2185486988/status/1142792782710530048")</f>
        <v>https://twitter.com/2185486988/status/1142792782710530048</v>
      </c>
      <c r="H3706" t="s">
        <v>46</v>
      </c>
      <c r="I3706" t="s">
        <v>11610</v>
      </c>
      <c r="J3706" t="str">
        <f>HYPERLINK("http://twitter.com/17088_pa")</f>
        <v>http://twitter.com/17088_pa</v>
      </c>
      <c r="K3706">
        <v>362</v>
      </c>
      <c r="N3706" t="s">
        <v>65</v>
      </c>
      <c r="R3706" t="s">
        <v>60</v>
      </c>
      <c r="S3706" t="s">
        <v>51</v>
      </c>
      <c r="T3706" t="s">
        <v>678</v>
      </c>
      <c r="U3706" t="s">
        <v>11611</v>
      </c>
      <c r="W3706">
        <v>0</v>
      </c>
      <c r="X3706">
        <v>0</v>
      </c>
      <c r="AE3706">
        <v>0</v>
      </c>
      <c r="AM3706" t="s">
        <v>52</v>
      </c>
      <c r="AN3706" t="s">
        <v>53</v>
      </c>
    </row>
    <row r="3707" spans="1:40">
      <c r="A3707" t="s">
        <v>8081</v>
      </c>
      <c r="B3707" t="s">
        <v>564</v>
      </c>
      <c r="C3707" t="s">
        <v>11612</v>
      </c>
      <c r="D3707" t="s">
        <v>52</v>
      </c>
      <c r="E3707" t="s">
        <v>130</v>
      </c>
      <c r="F3707" t="s">
        <v>131</v>
      </c>
      <c r="G3707" t="str">
        <f>HYPERLINK("https://twitter.com/3039964876/status/1142792709314351104")</f>
        <v>https://twitter.com/3039964876/status/1142792709314351104</v>
      </c>
      <c r="H3707" t="s">
        <v>46</v>
      </c>
      <c r="I3707" t="s">
        <v>11613</v>
      </c>
      <c r="J3707" t="str">
        <f>HYPERLINK("http://twitter.com/DaisyDooTheDog1")</f>
        <v>http://twitter.com/DaisyDooTheDog1</v>
      </c>
      <c r="K3707">
        <v>2</v>
      </c>
      <c r="L3707" t="s">
        <v>58</v>
      </c>
      <c r="N3707" t="s">
        <v>65</v>
      </c>
      <c r="R3707" t="s">
        <v>60</v>
      </c>
      <c r="S3707" t="s">
        <v>97</v>
      </c>
      <c r="T3707" t="s">
        <v>177</v>
      </c>
      <c r="W3707">
        <v>0</v>
      </c>
      <c r="X3707">
        <v>0</v>
      </c>
      <c r="AE3707">
        <v>0</v>
      </c>
      <c r="AI3707" t="s">
        <v>108</v>
      </c>
      <c r="AJ3707" t="s">
        <v>52</v>
      </c>
      <c r="AK3707" t="s">
        <v>52</v>
      </c>
      <c r="AL3707" t="str">
        <f>HYPERLINK("https://pbs.twimg.com/media/D9XTkLWW4AAOYnJ.jpg")</f>
        <v>https://pbs.twimg.com/media/D9XTkLWW4AAOYnJ.jpg</v>
      </c>
      <c r="AM3707" t="s">
        <v>52</v>
      </c>
      <c r="AN3707" t="s">
        <v>53</v>
      </c>
    </row>
    <row r="3708" spans="1:40">
      <c r="A3708" t="s">
        <v>8081</v>
      </c>
      <c r="B3708" t="s">
        <v>11614</v>
      </c>
      <c r="C3708" t="s">
        <v>11615</v>
      </c>
      <c r="D3708" t="s">
        <v>52</v>
      </c>
      <c r="E3708" t="s">
        <v>7118</v>
      </c>
      <c r="F3708" t="s">
        <v>71</v>
      </c>
      <c r="G3708" t="str">
        <f>HYPERLINK("https://twitter.com/1597409280/status/1142792636459364354")</f>
        <v>https://twitter.com/1597409280/status/1142792636459364354</v>
      </c>
      <c r="H3708" t="s">
        <v>46</v>
      </c>
      <c r="I3708" t="s">
        <v>11616</v>
      </c>
      <c r="J3708" t="str">
        <f>HYPERLINK("http://twitter.com/QueenNoxyiebabe")</f>
        <v>http://twitter.com/QueenNoxyiebabe</v>
      </c>
      <c r="K3708">
        <v>1543</v>
      </c>
      <c r="N3708" t="s">
        <v>65</v>
      </c>
      <c r="R3708" t="s">
        <v>60</v>
      </c>
      <c r="S3708" t="s">
        <v>1071</v>
      </c>
      <c r="W3708">
        <v>0</v>
      </c>
      <c r="X3708">
        <v>0</v>
      </c>
      <c r="AE3708">
        <v>0</v>
      </c>
      <c r="AF3708">
        <v>0</v>
      </c>
      <c r="AI3708" t="s">
        <v>108</v>
      </c>
      <c r="AJ3708" t="s">
        <v>52</v>
      </c>
      <c r="AK3708" t="s">
        <v>52</v>
      </c>
      <c r="AL3708" t="str">
        <f>HYPERLINK("https://pbs.twimg.com/media/D9sAXHUX4AA6vJs.jpg")</f>
        <v>https://pbs.twimg.com/media/D9sAXHUX4AA6vJs.jpg</v>
      </c>
      <c r="AM3708" t="s">
        <v>52</v>
      </c>
      <c r="AN3708" t="s">
        <v>53</v>
      </c>
    </row>
    <row r="3709" spans="1:40">
      <c r="A3709" t="s">
        <v>8081</v>
      </c>
      <c r="B3709" t="s">
        <v>11614</v>
      </c>
      <c r="C3709" t="s">
        <v>11617</v>
      </c>
      <c r="D3709" t="s">
        <v>52</v>
      </c>
      <c r="E3709" t="s">
        <v>11618</v>
      </c>
      <c r="F3709" t="s">
        <v>95</v>
      </c>
      <c r="G3709" t="str">
        <f>HYPERLINK("https://twitter.com/940469185968312320/status/1142792445899563008")</f>
        <v>https://twitter.com/940469185968312320/status/1142792445899563008</v>
      </c>
      <c r="H3709" t="s">
        <v>46</v>
      </c>
      <c r="I3709" t="s">
        <v>11619</v>
      </c>
      <c r="J3709" t="str">
        <f>HYPERLINK("http://twitter.com/InfiniteRara")</f>
        <v>http://twitter.com/InfiniteRara</v>
      </c>
      <c r="K3709">
        <v>874</v>
      </c>
      <c r="N3709" t="s">
        <v>65</v>
      </c>
      <c r="R3709" t="s">
        <v>60</v>
      </c>
      <c r="W3709">
        <v>0</v>
      </c>
      <c r="X3709">
        <v>0</v>
      </c>
      <c r="AE3709">
        <v>0</v>
      </c>
      <c r="AF3709">
        <v>0</v>
      </c>
      <c r="AM3709" t="s">
        <v>52</v>
      </c>
      <c r="AN3709" t="s">
        <v>53</v>
      </c>
    </row>
    <row r="3710" spans="1:40">
      <c r="A3710" t="s">
        <v>8081</v>
      </c>
      <c r="B3710" t="s">
        <v>11614</v>
      </c>
      <c r="C3710" t="s">
        <v>11620</v>
      </c>
      <c r="D3710" t="s">
        <v>52</v>
      </c>
      <c r="E3710" t="s">
        <v>3749</v>
      </c>
      <c r="F3710" t="s">
        <v>71</v>
      </c>
      <c r="G3710" t="str">
        <f>HYPERLINK("https://twitter.com/625694230/status/1142792444083396609")</f>
        <v>https://twitter.com/625694230/status/1142792444083396609</v>
      </c>
      <c r="H3710" t="s">
        <v>46</v>
      </c>
      <c r="I3710" t="s">
        <v>11621</v>
      </c>
      <c r="J3710" t="str">
        <f>HYPERLINK("http://twitter.com/NickSwims_")</f>
        <v>http://twitter.com/NickSwims_</v>
      </c>
      <c r="K3710">
        <v>3614</v>
      </c>
      <c r="N3710" t="s">
        <v>65</v>
      </c>
      <c r="R3710" t="s">
        <v>60</v>
      </c>
      <c r="W3710">
        <v>0</v>
      </c>
      <c r="X3710">
        <v>0</v>
      </c>
      <c r="AE3710">
        <v>0</v>
      </c>
      <c r="AF3710">
        <v>0</v>
      </c>
      <c r="AI3710" t="s">
        <v>108</v>
      </c>
      <c r="AJ3710" t="s">
        <v>52</v>
      </c>
      <c r="AK3710" t="s">
        <v>52</v>
      </c>
      <c r="AL3710" t="str">
        <f>HYPERLINK("https://pbs.twimg.com/media/D9sAXHUX4AA6vJs.jpg")</f>
        <v>https://pbs.twimg.com/media/D9sAXHUX4AA6vJs.jpg</v>
      </c>
      <c r="AM3710" t="s">
        <v>52</v>
      </c>
      <c r="AN3710" t="s">
        <v>53</v>
      </c>
    </row>
    <row r="3711" spans="1:40">
      <c r="A3711" t="s">
        <v>8081</v>
      </c>
      <c r="B3711" t="s">
        <v>567</v>
      </c>
      <c r="C3711" t="s">
        <v>11622</v>
      </c>
      <c r="D3711" t="s">
        <v>52</v>
      </c>
      <c r="E3711" t="s">
        <v>11623</v>
      </c>
      <c r="F3711" t="s">
        <v>45</v>
      </c>
      <c r="G3711" t="str">
        <f>HYPERLINK("https://www.instagram.com/p/BzDflUhFrXu")</f>
        <v>https://www.instagram.com/p/BzDflUhFrXu</v>
      </c>
      <c r="H3711" t="s">
        <v>215</v>
      </c>
      <c r="I3711" t="s">
        <v>11624</v>
      </c>
      <c r="J3711" t="str">
        <f>HYPERLINK("http://instagram.com/relatable.britishmemes")</f>
        <v>http://instagram.com/relatable.britishmemes</v>
      </c>
      <c r="K3711">
        <v>34</v>
      </c>
      <c r="N3711" t="s">
        <v>59</v>
      </c>
      <c r="O3711" t="s">
        <v>11624</v>
      </c>
      <c r="P3711" t="str">
        <f>HYPERLINK("http://instagram.com/relatable.britishmemes")</f>
        <v>http://instagram.com/relatable.britishmemes</v>
      </c>
      <c r="Q3711">
        <v>34</v>
      </c>
      <c r="R3711" t="s">
        <v>60</v>
      </c>
      <c r="W3711">
        <v>4</v>
      </c>
      <c r="X3711">
        <v>4</v>
      </c>
      <c r="AE3711">
        <v>2</v>
      </c>
      <c r="AI3711" t="s">
        <v>52</v>
      </c>
      <c r="AJ3711" t="s">
        <v>321</v>
      </c>
      <c r="AK3711" t="s">
        <v>52</v>
      </c>
      <c r="AL3711" t="str">
        <f>HYPERLINK("https://www.instagram.com/p/BzDflUhFrXu/media/?size=l")</f>
        <v>https://www.instagram.com/p/BzDflUhFrXu/media/?size=l</v>
      </c>
      <c r="AM3711" t="s">
        <v>52</v>
      </c>
      <c r="AN3711" t="s">
        <v>53</v>
      </c>
    </row>
    <row r="3712" spans="1:40">
      <c r="A3712" t="s">
        <v>8081</v>
      </c>
      <c r="B3712" t="s">
        <v>11625</v>
      </c>
      <c r="C3712" t="s">
        <v>11612</v>
      </c>
      <c r="D3712" t="s">
        <v>52</v>
      </c>
      <c r="E3712" t="s">
        <v>11626</v>
      </c>
      <c r="F3712" t="s">
        <v>71</v>
      </c>
      <c r="G3712" t="str">
        <f>HYPERLINK("https://twitter.com/966759053119643648/status/1142792156542881792")</f>
        <v>https://twitter.com/966759053119643648/status/1142792156542881792</v>
      </c>
      <c r="H3712" t="s">
        <v>46</v>
      </c>
      <c r="I3712" t="s">
        <v>11627</v>
      </c>
      <c r="J3712" t="str">
        <f>HYPERLINK("http://twitter.com/e1itejewsten00")</f>
        <v>http://twitter.com/e1itejewsten00</v>
      </c>
      <c r="K3712">
        <v>125</v>
      </c>
      <c r="N3712" t="s">
        <v>65</v>
      </c>
      <c r="R3712" t="s">
        <v>60</v>
      </c>
      <c r="S3712" t="s">
        <v>51</v>
      </c>
      <c r="T3712" t="s">
        <v>66</v>
      </c>
      <c r="U3712" t="s">
        <v>67</v>
      </c>
      <c r="W3712">
        <v>4</v>
      </c>
      <c r="X3712">
        <v>4</v>
      </c>
      <c r="AE3712">
        <v>0</v>
      </c>
      <c r="AF3712">
        <v>0</v>
      </c>
      <c r="AM3712" t="s">
        <v>52</v>
      </c>
      <c r="AN3712" t="s">
        <v>53</v>
      </c>
    </row>
    <row r="3713" spans="1:40">
      <c r="A3713" t="s">
        <v>8081</v>
      </c>
      <c r="B3713" t="s">
        <v>11625</v>
      </c>
      <c r="C3713" t="s">
        <v>11615</v>
      </c>
      <c r="D3713" t="s">
        <v>52</v>
      </c>
      <c r="E3713" t="s">
        <v>11561</v>
      </c>
      <c r="F3713" t="s">
        <v>71</v>
      </c>
      <c r="G3713" t="str">
        <f>HYPERLINK("https://twitter.com/634849158/status/1142792137668517888")</f>
        <v>https://twitter.com/634849158/status/1142792137668517888</v>
      </c>
      <c r="H3713" t="s">
        <v>46</v>
      </c>
      <c r="I3713" t="s">
        <v>11628</v>
      </c>
      <c r="J3713" t="str">
        <f>HYPERLINK("http://twitter.com/simmathebula")</f>
        <v>http://twitter.com/simmathebula</v>
      </c>
      <c r="K3713">
        <v>1098</v>
      </c>
      <c r="N3713" t="s">
        <v>65</v>
      </c>
      <c r="R3713" t="s">
        <v>60</v>
      </c>
      <c r="S3713" t="s">
        <v>1643</v>
      </c>
      <c r="T3713" t="s">
        <v>11629</v>
      </c>
      <c r="U3713" t="s">
        <v>11630</v>
      </c>
      <c r="W3713">
        <v>0</v>
      </c>
      <c r="X3713">
        <v>0</v>
      </c>
      <c r="AE3713">
        <v>0</v>
      </c>
      <c r="AF3713">
        <v>0</v>
      </c>
      <c r="AM3713" t="s">
        <v>52</v>
      </c>
      <c r="AN3713" t="s">
        <v>53</v>
      </c>
    </row>
    <row r="3714" spans="1:40">
      <c r="A3714" t="s">
        <v>8081</v>
      </c>
      <c r="B3714" t="s">
        <v>11625</v>
      </c>
      <c r="C3714" t="s">
        <v>11622</v>
      </c>
      <c r="D3714" t="s">
        <v>52</v>
      </c>
      <c r="E3714" t="s">
        <v>11631</v>
      </c>
      <c r="F3714" t="s">
        <v>45</v>
      </c>
      <c r="G3714" t="str">
        <f>HYPERLINK("https://www.instagram.com/p/BzDfjPph5ir")</f>
        <v>https://www.instagram.com/p/BzDfjPph5ir</v>
      </c>
      <c r="H3714" t="s">
        <v>46</v>
      </c>
      <c r="I3714" t="s">
        <v>11632</v>
      </c>
      <c r="J3714" t="str">
        <f>HYPERLINK("http://instagram.com/lil_donut76")</f>
        <v>http://instagram.com/lil_donut76</v>
      </c>
      <c r="K3714">
        <v>195</v>
      </c>
      <c r="N3714" t="s">
        <v>59</v>
      </c>
      <c r="O3714" t="s">
        <v>11632</v>
      </c>
      <c r="P3714" t="str">
        <f>HYPERLINK("http://instagram.com/lil_donut76")</f>
        <v>http://instagram.com/lil_donut76</v>
      </c>
      <c r="Q3714">
        <v>195</v>
      </c>
      <c r="R3714" t="s">
        <v>60</v>
      </c>
      <c r="W3714">
        <v>73</v>
      </c>
      <c r="X3714">
        <v>73</v>
      </c>
      <c r="AE3714">
        <v>0</v>
      </c>
      <c r="AI3714" t="s">
        <v>52</v>
      </c>
      <c r="AJ3714" t="s">
        <v>52</v>
      </c>
      <c r="AK3714" t="s">
        <v>52</v>
      </c>
      <c r="AL3714" t="str">
        <f>HYPERLINK("https://www.instagram.com/p/BzDfjPph5ir/media/?size=l")</f>
        <v>https://www.instagram.com/p/BzDfjPph5ir/media/?size=l</v>
      </c>
      <c r="AM3714" t="s">
        <v>52</v>
      </c>
      <c r="AN3714" t="s">
        <v>53</v>
      </c>
    </row>
    <row r="3715" spans="1:40">
      <c r="A3715" t="s">
        <v>8081</v>
      </c>
      <c r="B3715" t="s">
        <v>11633</v>
      </c>
      <c r="C3715" t="s">
        <v>11608</v>
      </c>
      <c r="D3715" t="s">
        <v>52</v>
      </c>
      <c r="E3715" t="s">
        <v>6280</v>
      </c>
      <c r="F3715" t="s">
        <v>71</v>
      </c>
      <c r="G3715" t="str">
        <f>HYPERLINK("https://twitter.com/336157748/status/1142791689133797378")</f>
        <v>https://twitter.com/336157748/status/1142791689133797378</v>
      </c>
      <c r="H3715" t="s">
        <v>46</v>
      </c>
      <c r="I3715" t="s">
        <v>11634</v>
      </c>
      <c r="J3715" t="str">
        <f>HYPERLINK("http://twitter.com/uSivuyile_")</f>
        <v>http://twitter.com/uSivuyile_</v>
      </c>
      <c r="K3715">
        <v>1073</v>
      </c>
      <c r="N3715" t="s">
        <v>65</v>
      </c>
      <c r="R3715" t="s">
        <v>60</v>
      </c>
      <c r="S3715" t="s">
        <v>226</v>
      </c>
      <c r="T3715" t="s">
        <v>11635</v>
      </c>
      <c r="U3715" t="s">
        <v>11636</v>
      </c>
      <c r="W3715">
        <v>0</v>
      </c>
      <c r="X3715">
        <v>0</v>
      </c>
      <c r="AE3715">
        <v>0</v>
      </c>
      <c r="AF3715">
        <v>0</v>
      </c>
      <c r="AM3715" t="s">
        <v>52</v>
      </c>
      <c r="AN3715" t="s">
        <v>53</v>
      </c>
    </row>
    <row r="3716" spans="1:40">
      <c r="A3716" t="s">
        <v>8081</v>
      </c>
      <c r="B3716" t="s">
        <v>11633</v>
      </c>
      <c r="C3716" t="s">
        <v>11637</v>
      </c>
      <c r="D3716" t="s">
        <v>52</v>
      </c>
      <c r="E3716" t="s">
        <v>11638</v>
      </c>
      <c r="F3716" t="s">
        <v>131</v>
      </c>
      <c r="G3716" t="str">
        <f>HYPERLINK("https://twitter.com/57491321/status/1142791669827407872")</f>
        <v>https://twitter.com/57491321/status/1142791669827407872</v>
      </c>
      <c r="H3716" t="s">
        <v>46</v>
      </c>
      <c r="I3716" t="s">
        <v>11639</v>
      </c>
      <c r="J3716" t="str">
        <f>HYPERLINK("http://twitter.com/StefaniNoire")</f>
        <v>http://twitter.com/StefaniNoire</v>
      </c>
      <c r="K3716">
        <v>1613</v>
      </c>
      <c r="L3716" t="s">
        <v>58</v>
      </c>
      <c r="N3716" t="s">
        <v>65</v>
      </c>
      <c r="R3716" t="s">
        <v>60</v>
      </c>
      <c r="W3716">
        <v>0</v>
      </c>
      <c r="X3716">
        <v>0</v>
      </c>
      <c r="AE3716">
        <v>0</v>
      </c>
      <c r="AM3716" t="s">
        <v>52</v>
      </c>
      <c r="AN3716" t="s">
        <v>53</v>
      </c>
    </row>
    <row r="3717" spans="1:40">
      <c r="A3717" t="s">
        <v>8081</v>
      </c>
      <c r="B3717" t="s">
        <v>6356</v>
      </c>
      <c r="C3717" t="s">
        <v>11637</v>
      </c>
      <c r="D3717" t="s">
        <v>52</v>
      </c>
      <c r="E3717" t="s">
        <v>11640</v>
      </c>
      <c r="F3717" t="s">
        <v>71</v>
      </c>
      <c r="G3717" t="str">
        <f>HYPERLINK("https://twitter.com/3299774128/status/1142791575891845120")</f>
        <v>https://twitter.com/3299774128/status/1142791575891845120</v>
      </c>
      <c r="H3717" t="s">
        <v>215</v>
      </c>
      <c r="I3717" t="s">
        <v>11641</v>
      </c>
      <c r="J3717" t="str">
        <f>HYPERLINK("http://twitter.com/melanatedpoet")</f>
        <v>http://twitter.com/melanatedpoet</v>
      </c>
      <c r="K3717">
        <v>2365</v>
      </c>
      <c r="N3717" t="s">
        <v>65</v>
      </c>
      <c r="R3717" t="s">
        <v>60</v>
      </c>
      <c r="S3717" t="s">
        <v>1071</v>
      </c>
      <c r="T3717" t="s">
        <v>3751</v>
      </c>
      <c r="U3717" t="s">
        <v>3752</v>
      </c>
      <c r="W3717">
        <v>0</v>
      </c>
      <c r="X3717">
        <v>0</v>
      </c>
      <c r="AE3717">
        <v>0</v>
      </c>
      <c r="AF3717">
        <v>0</v>
      </c>
      <c r="AM3717" t="s">
        <v>52</v>
      </c>
      <c r="AN3717" t="s">
        <v>53</v>
      </c>
    </row>
    <row r="3718" spans="1:40">
      <c r="A3718" t="s">
        <v>8081</v>
      </c>
      <c r="B3718" t="s">
        <v>6361</v>
      </c>
      <c r="C3718" t="s">
        <v>11642</v>
      </c>
      <c r="D3718" t="s">
        <v>11643</v>
      </c>
      <c r="E3718" t="s">
        <v>11644</v>
      </c>
      <c r="F3718" t="s">
        <v>95</v>
      </c>
      <c r="G3718" t="str">
        <f>HYPERLINK("http://www.worldstarhiphop.com/videos/video.php?v=wshhEhRl554D0J8g28iz#comment-4512994097")</f>
        <v>http://www.worldstarhiphop.com/videos/video.php?v=wshhEhRl554D0J8g28iz#comment-4512994097</v>
      </c>
      <c r="H3718" t="s">
        <v>46</v>
      </c>
      <c r="I3718" t="s">
        <v>11645</v>
      </c>
      <c r="J3718" t="str">
        <f>HYPERLINK("https://disqus.com/by/Broadstreetbullybitchhh/")</f>
        <v>https://disqus.com/by/Broadstreetbullybitchhh/</v>
      </c>
      <c r="K3718">
        <v>2</v>
      </c>
      <c r="N3718" t="s">
        <v>3966</v>
      </c>
      <c r="O3718" t="s">
        <v>3967</v>
      </c>
      <c r="P3718" t="str">
        <f>HYPERLINK("https://disqus.com/home/forum/worldstar/")</f>
        <v>https://disqus.com/home/forum/worldstar/</v>
      </c>
      <c r="R3718" t="s">
        <v>50</v>
      </c>
      <c r="W3718">
        <v>2</v>
      </c>
      <c r="X3718">
        <v>2</v>
      </c>
      <c r="AM3718" t="s">
        <v>52</v>
      </c>
      <c r="AN3718" t="s">
        <v>53</v>
      </c>
    </row>
    <row r="3719" spans="1:40">
      <c r="A3719" t="s">
        <v>8081</v>
      </c>
      <c r="B3719" t="s">
        <v>572</v>
      </c>
      <c r="C3719" t="s">
        <v>11646</v>
      </c>
      <c r="D3719" t="s">
        <v>52</v>
      </c>
      <c r="E3719" t="s">
        <v>6280</v>
      </c>
      <c r="F3719" t="s">
        <v>71</v>
      </c>
      <c r="G3719" t="str">
        <f>HYPERLINK("https://twitter.com/400728703/status/1142791009815973890")</f>
        <v>https://twitter.com/400728703/status/1142791009815973890</v>
      </c>
      <c r="H3719" t="s">
        <v>46</v>
      </c>
      <c r="I3719" t="s">
        <v>11647</v>
      </c>
      <c r="J3719" t="str">
        <f>HYPERLINK("http://twitter.com/Lue_Ngobo")</f>
        <v>http://twitter.com/Lue_Ngobo</v>
      </c>
      <c r="K3719">
        <v>9419</v>
      </c>
      <c r="N3719" t="s">
        <v>65</v>
      </c>
      <c r="R3719" t="s">
        <v>60</v>
      </c>
      <c r="S3719" t="s">
        <v>1071</v>
      </c>
      <c r="T3719" t="s">
        <v>1072</v>
      </c>
      <c r="U3719" t="s">
        <v>1073</v>
      </c>
      <c r="W3719">
        <v>0</v>
      </c>
      <c r="X3719">
        <v>0</v>
      </c>
      <c r="AE3719">
        <v>0</v>
      </c>
      <c r="AF3719">
        <v>0</v>
      </c>
      <c r="AM3719" t="s">
        <v>52</v>
      </c>
      <c r="AN3719" t="s">
        <v>53</v>
      </c>
    </row>
    <row r="3720" spans="1:40">
      <c r="A3720" t="s">
        <v>8081</v>
      </c>
      <c r="B3720" t="s">
        <v>594</v>
      </c>
      <c r="C3720" t="s">
        <v>11648</v>
      </c>
      <c r="D3720" t="s">
        <v>52</v>
      </c>
      <c r="E3720" t="s">
        <v>6280</v>
      </c>
      <c r="F3720" t="s">
        <v>71</v>
      </c>
      <c r="G3720" t="str">
        <f>HYPERLINK("https://twitter.com/788303011630157824/status/1142790590851104768")</f>
        <v>https://twitter.com/788303011630157824/status/1142790590851104768</v>
      </c>
      <c r="H3720" t="s">
        <v>46</v>
      </c>
      <c r="I3720" t="s">
        <v>11649</v>
      </c>
      <c r="J3720" t="str">
        <f>HYPERLINK("http://twitter.com/Kay_Nobangule")</f>
        <v>http://twitter.com/Kay_Nobangule</v>
      </c>
      <c r="K3720">
        <v>9424</v>
      </c>
      <c r="N3720" t="s">
        <v>65</v>
      </c>
      <c r="R3720" t="s">
        <v>60</v>
      </c>
      <c r="S3720" t="s">
        <v>97</v>
      </c>
      <c r="T3720" t="s">
        <v>177</v>
      </c>
      <c r="U3720" t="s">
        <v>395</v>
      </c>
      <c r="W3720">
        <v>35</v>
      </c>
      <c r="X3720">
        <v>35</v>
      </c>
      <c r="AE3720">
        <v>0</v>
      </c>
      <c r="AF3720">
        <v>20</v>
      </c>
      <c r="AM3720" t="s">
        <v>52</v>
      </c>
      <c r="AN3720" t="s">
        <v>53</v>
      </c>
    </row>
    <row r="3721" spans="1:40">
      <c r="A3721" t="s">
        <v>8081</v>
      </c>
      <c r="B3721" t="s">
        <v>594</v>
      </c>
      <c r="C3721" t="s">
        <v>11622</v>
      </c>
      <c r="D3721" t="s">
        <v>52</v>
      </c>
      <c r="E3721" t="s">
        <v>3749</v>
      </c>
      <c r="F3721" t="s">
        <v>71</v>
      </c>
      <c r="G3721" t="str">
        <f>HYPERLINK("https://twitter.com/2979751534/status/1142790484768808960")</f>
        <v>https://twitter.com/2979751534/status/1142790484768808960</v>
      </c>
      <c r="H3721" t="s">
        <v>46</v>
      </c>
      <c r="I3721" t="s">
        <v>11650</v>
      </c>
      <c r="J3721" t="str">
        <f>HYPERLINK("http://twitter.com/SwaeziMcluvin")</f>
        <v>http://twitter.com/SwaeziMcluvin</v>
      </c>
      <c r="K3721">
        <v>1030</v>
      </c>
      <c r="N3721" t="s">
        <v>65</v>
      </c>
      <c r="R3721" t="s">
        <v>60</v>
      </c>
      <c r="S3721" t="s">
        <v>1071</v>
      </c>
      <c r="T3721" t="s">
        <v>1072</v>
      </c>
      <c r="U3721" t="s">
        <v>1073</v>
      </c>
      <c r="W3721">
        <v>0</v>
      </c>
      <c r="X3721">
        <v>0</v>
      </c>
      <c r="AE3721">
        <v>0</v>
      </c>
      <c r="AF3721">
        <v>0</v>
      </c>
      <c r="AI3721" t="s">
        <v>108</v>
      </c>
      <c r="AJ3721" t="s">
        <v>52</v>
      </c>
      <c r="AK3721" t="s">
        <v>52</v>
      </c>
      <c r="AL3721" t="str">
        <f>HYPERLINK("https://pbs.twimg.com/media/D9sAXHUX4AA6vJs.jpg")</f>
        <v>https://pbs.twimg.com/media/D9sAXHUX4AA6vJs.jpg</v>
      </c>
      <c r="AM3721" t="s">
        <v>52</v>
      </c>
      <c r="AN3721" t="s">
        <v>53</v>
      </c>
    </row>
    <row r="3722" spans="1:40">
      <c r="A3722" t="s">
        <v>8081</v>
      </c>
      <c r="B3722" t="s">
        <v>594</v>
      </c>
      <c r="C3722" t="s">
        <v>11622</v>
      </c>
      <c r="D3722" t="s">
        <v>52</v>
      </c>
      <c r="E3722" t="s">
        <v>7118</v>
      </c>
      <c r="F3722" t="s">
        <v>71</v>
      </c>
      <c r="G3722" t="str">
        <f>HYPERLINK("https://twitter.com/1911104654/status/1142790480515805185")</f>
        <v>https://twitter.com/1911104654/status/1142790480515805185</v>
      </c>
      <c r="H3722" t="s">
        <v>46</v>
      </c>
      <c r="I3722" t="s">
        <v>11651</v>
      </c>
      <c r="J3722" t="str">
        <f>HYPERLINK("http://twitter.com/JustZeeSA")</f>
        <v>http://twitter.com/JustZeeSA</v>
      </c>
      <c r="K3722">
        <v>1487</v>
      </c>
      <c r="N3722" t="s">
        <v>65</v>
      </c>
      <c r="R3722" t="s">
        <v>60</v>
      </c>
      <c r="S3722" t="s">
        <v>1071</v>
      </c>
      <c r="T3722" t="s">
        <v>6398</v>
      </c>
      <c r="U3722" t="s">
        <v>9701</v>
      </c>
      <c r="W3722">
        <v>0</v>
      </c>
      <c r="X3722">
        <v>0</v>
      </c>
      <c r="AE3722">
        <v>0</v>
      </c>
      <c r="AF3722">
        <v>0</v>
      </c>
      <c r="AI3722" t="s">
        <v>108</v>
      </c>
      <c r="AJ3722" t="s">
        <v>52</v>
      </c>
      <c r="AK3722" t="s">
        <v>52</v>
      </c>
      <c r="AL3722" t="str">
        <f>HYPERLINK("https://pbs.twimg.com/media/D9sAXHUX4AA6vJs.jpg")</f>
        <v>https://pbs.twimg.com/media/D9sAXHUX4AA6vJs.jpg</v>
      </c>
      <c r="AM3722" t="s">
        <v>52</v>
      </c>
      <c r="AN3722" t="s">
        <v>53</v>
      </c>
    </row>
    <row r="3723" spans="1:40">
      <c r="A3723" t="s">
        <v>8081</v>
      </c>
      <c r="B3723" t="s">
        <v>597</v>
      </c>
      <c r="C3723" t="s">
        <v>11652</v>
      </c>
      <c r="D3723" t="s">
        <v>52</v>
      </c>
      <c r="E3723" t="s">
        <v>8551</v>
      </c>
      <c r="F3723" t="s">
        <v>71</v>
      </c>
      <c r="G3723" t="str">
        <f>HYPERLINK("https://twitter.com/457581637/status/1142790393303568384")</f>
        <v>https://twitter.com/457581637/status/1142790393303568384</v>
      </c>
      <c r="H3723" t="s">
        <v>46</v>
      </c>
      <c r="I3723" t="s">
        <v>10284</v>
      </c>
      <c r="J3723" t="str">
        <f>HYPERLINK("http://twitter.com/LindoMyeni")</f>
        <v>http://twitter.com/LindoMyeni</v>
      </c>
      <c r="K3723">
        <v>81666</v>
      </c>
      <c r="N3723" t="s">
        <v>65</v>
      </c>
      <c r="R3723" t="s">
        <v>60</v>
      </c>
      <c r="S3723" t="s">
        <v>1071</v>
      </c>
      <c r="T3723" t="s">
        <v>1072</v>
      </c>
      <c r="U3723" t="s">
        <v>1073</v>
      </c>
      <c r="W3723">
        <v>0</v>
      </c>
      <c r="X3723">
        <v>0</v>
      </c>
      <c r="AE3723">
        <v>0</v>
      </c>
      <c r="AF3723">
        <v>0</v>
      </c>
      <c r="AI3723" t="s">
        <v>108</v>
      </c>
      <c r="AJ3723" t="s">
        <v>52</v>
      </c>
      <c r="AK3723" t="s">
        <v>52</v>
      </c>
      <c r="AL3723" t="str">
        <f>HYPERLINK("https://pbs.twimg.com/media/D9sAXHUX4AA6vJs.jpg")</f>
        <v>https://pbs.twimg.com/media/D9sAXHUX4AA6vJs.jpg</v>
      </c>
      <c r="AM3723" t="s">
        <v>52</v>
      </c>
      <c r="AN3723" t="s">
        <v>53</v>
      </c>
    </row>
    <row r="3724" spans="1:40">
      <c r="A3724" t="s">
        <v>8081</v>
      </c>
      <c r="B3724" t="s">
        <v>597</v>
      </c>
      <c r="C3724" t="s">
        <v>11648</v>
      </c>
      <c r="D3724" t="s">
        <v>52</v>
      </c>
      <c r="E3724" t="s">
        <v>11653</v>
      </c>
      <c r="F3724" t="s">
        <v>45</v>
      </c>
      <c r="G3724" t="str">
        <f>HYPERLINK("https://twitter.com/3976500017/status/1142790342195986434")</f>
        <v>https://twitter.com/3976500017/status/1142790342195986434</v>
      </c>
      <c r="H3724" t="s">
        <v>46</v>
      </c>
      <c r="I3724" t="s">
        <v>1697</v>
      </c>
      <c r="J3724" t="str">
        <f>HYPERLINK("http://twitter.com/memerbot404")</f>
        <v>http://twitter.com/memerbot404</v>
      </c>
      <c r="K3724">
        <v>12</v>
      </c>
      <c r="L3724" t="s">
        <v>48</v>
      </c>
      <c r="N3724" t="s">
        <v>65</v>
      </c>
      <c r="R3724" t="s">
        <v>60</v>
      </c>
      <c r="S3724" t="s">
        <v>774</v>
      </c>
      <c r="W3724">
        <v>0</v>
      </c>
      <c r="X3724">
        <v>0</v>
      </c>
      <c r="AE3724">
        <v>0</v>
      </c>
      <c r="AF3724">
        <v>0</v>
      </c>
      <c r="AM3724" t="s">
        <v>52</v>
      </c>
      <c r="AN3724" t="s">
        <v>53</v>
      </c>
    </row>
    <row r="3725" spans="1:40">
      <c r="A3725" t="s">
        <v>8081</v>
      </c>
      <c r="B3725" t="s">
        <v>597</v>
      </c>
      <c r="C3725" t="s">
        <v>11654</v>
      </c>
      <c r="D3725" t="s">
        <v>52</v>
      </c>
      <c r="E3725" t="s">
        <v>8566</v>
      </c>
      <c r="F3725" t="s">
        <v>131</v>
      </c>
      <c r="G3725" t="str">
        <f>HYPERLINK("https://twitter.com/3035063321/status/1142790302236839941")</f>
        <v>https://twitter.com/3035063321/status/1142790302236839941</v>
      </c>
      <c r="H3725" t="s">
        <v>46</v>
      </c>
      <c r="I3725" t="s">
        <v>11655</v>
      </c>
      <c r="J3725" t="str">
        <f>HYPERLINK("http://twitter.com/polishkid2015")</f>
        <v>http://twitter.com/polishkid2015</v>
      </c>
      <c r="K3725">
        <v>36</v>
      </c>
      <c r="N3725" t="s">
        <v>65</v>
      </c>
      <c r="R3725" t="s">
        <v>60</v>
      </c>
      <c r="W3725">
        <v>0</v>
      </c>
      <c r="X3725">
        <v>0</v>
      </c>
      <c r="AE3725">
        <v>0</v>
      </c>
      <c r="AM3725" t="s">
        <v>52</v>
      </c>
      <c r="AN3725" t="s">
        <v>53</v>
      </c>
    </row>
    <row r="3726" spans="1:40">
      <c r="A3726" t="s">
        <v>8081</v>
      </c>
      <c r="B3726" t="s">
        <v>602</v>
      </c>
      <c r="C3726" t="s">
        <v>11648</v>
      </c>
      <c r="D3726" t="s">
        <v>52</v>
      </c>
      <c r="E3726" t="s">
        <v>4514</v>
      </c>
      <c r="F3726" t="s">
        <v>71</v>
      </c>
      <c r="G3726" t="str">
        <f>HYPERLINK("https://twitter.com/96024399/status/1142790134049492992")</f>
        <v>https://twitter.com/96024399/status/1142790134049492992</v>
      </c>
      <c r="H3726" t="s">
        <v>46</v>
      </c>
      <c r="I3726" t="s">
        <v>11656</v>
      </c>
      <c r="J3726" t="str">
        <f>HYPERLINK("http://twitter.com/Spidermansweb")</f>
        <v>http://twitter.com/Spidermansweb</v>
      </c>
      <c r="K3726">
        <v>1127</v>
      </c>
      <c r="N3726" t="s">
        <v>65</v>
      </c>
      <c r="R3726" t="s">
        <v>60</v>
      </c>
      <c r="S3726" t="s">
        <v>51</v>
      </c>
      <c r="T3726" t="s">
        <v>380</v>
      </c>
      <c r="U3726" t="s">
        <v>380</v>
      </c>
      <c r="W3726">
        <v>0</v>
      </c>
      <c r="X3726">
        <v>0</v>
      </c>
      <c r="AE3726">
        <v>0</v>
      </c>
      <c r="AF3726">
        <v>0</v>
      </c>
      <c r="AI3726" t="s">
        <v>108</v>
      </c>
      <c r="AJ3726" t="s">
        <v>52</v>
      </c>
      <c r="AK3726" t="s">
        <v>52</v>
      </c>
      <c r="AL3726" t="str">
        <f>HYPERLINK("https://pbs.twimg.com/tweet_video_thumb/D9hvNNzXUAATAS3.jpg")</f>
        <v>https://pbs.twimg.com/tweet_video_thumb/D9hvNNzXUAATAS3.jpg</v>
      </c>
      <c r="AM3726" t="s">
        <v>52</v>
      </c>
      <c r="AN3726" t="s">
        <v>53</v>
      </c>
    </row>
    <row r="3727" spans="1:40">
      <c r="A3727" t="s">
        <v>8081</v>
      </c>
      <c r="B3727" t="s">
        <v>11657</v>
      </c>
      <c r="C3727" t="s">
        <v>11620</v>
      </c>
      <c r="D3727" t="s">
        <v>52</v>
      </c>
      <c r="E3727" t="s">
        <v>11658</v>
      </c>
      <c r="F3727" t="s">
        <v>71</v>
      </c>
      <c r="G3727" t="str">
        <f>HYPERLINK("https://twitter.com/2625274079/status/1142789573585584129")</f>
        <v>https://twitter.com/2625274079/status/1142789573585584129</v>
      </c>
      <c r="H3727" t="s">
        <v>215</v>
      </c>
      <c r="I3727" t="s">
        <v>11659</v>
      </c>
      <c r="J3727" t="str">
        <f>HYPERLINK("http://twitter.com/MasegoMalesa")</f>
        <v>http://twitter.com/MasegoMalesa</v>
      </c>
      <c r="K3727">
        <v>2519</v>
      </c>
      <c r="N3727" t="s">
        <v>65</v>
      </c>
      <c r="R3727" t="s">
        <v>60</v>
      </c>
      <c r="S3727" t="s">
        <v>1071</v>
      </c>
      <c r="W3727">
        <v>1</v>
      </c>
      <c r="X3727">
        <v>1</v>
      </c>
      <c r="AE3727">
        <v>1</v>
      </c>
      <c r="AF3727">
        <v>0</v>
      </c>
      <c r="AM3727" t="s">
        <v>52</v>
      </c>
      <c r="AN3727" t="s">
        <v>53</v>
      </c>
    </row>
    <row r="3728" spans="1:40">
      <c r="A3728" t="s">
        <v>8081</v>
      </c>
      <c r="B3728" t="s">
        <v>6400</v>
      </c>
      <c r="C3728" t="s">
        <v>11660</v>
      </c>
      <c r="D3728" t="s">
        <v>52</v>
      </c>
      <c r="E3728" t="s">
        <v>11661</v>
      </c>
      <c r="F3728" t="s">
        <v>71</v>
      </c>
      <c r="G3728" t="str">
        <f>HYPERLINK("https://twitter.com/1076951943849881601/status/1142789172576563201")</f>
        <v>https://twitter.com/1076951943849881601/status/1142789172576563201</v>
      </c>
      <c r="H3728" t="s">
        <v>46</v>
      </c>
      <c r="I3728" t="s">
        <v>11662</v>
      </c>
      <c r="J3728" t="str">
        <f>HYPERLINK("http://twitter.com/doctorbigdong")</f>
        <v>http://twitter.com/doctorbigdong</v>
      </c>
      <c r="K3728">
        <v>315</v>
      </c>
      <c r="N3728" t="s">
        <v>65</v>
      </c>
      <c r="R3728" t="s">
        <v>60</v>
      </c>
      <c r="W3728">
        <v>0</v>
      </c>
      <c r="X3728">
        <v>0</v>
      </c>
      <c r="AE3728">
        <v>0</v>
      </c>
      <c r="AF3728">
        <v>0</v>
      </c>
      <c r="AI3728" t="s">
        <v>108</v>
      </c>
      <c r="AJ3728" t="s">
        <v>52</v>
      </c>
      <c r="AK3728" t="s">
        <v>52</v>
      </c>
      <c r="AL3728" t="str">
        <f>HYPERLINK("https://pbs.twimg.com/media/D9sAXHUX4AA6vJs.jpg")</f>
        <v>https://pbs.twimg.com/media/D9sAXHUX4AA6vJs.jpg</v>
      </c>
      <c r="AM3728" t="s">
        <v>52</v>
      </c>
      <c r="AN3728" t="s">
        <v>53</v>
      </c>
    </row>
    <row r="3729" spans="1:40">
      <c r="A3729" t="s">
        <v>8081</v>
      </c>
      <c r="B3729" t="s">
        <v>6407</v>
      </c>
      <c r="C3729" t="s">
        <v>11663</v>
      </c>
      <c r="D3729" t="s">
        <v>52</v>
      </c>
      <c r="E3729" t="s">
        <v>6910</v>
      </c>
      <c r="F3729" t="s">
        <v>131</v>
      </c>
      <c r="G3729" t="str">
        <f>HYPERLINK("https://twitter.com/1093609275086139392/status/1142789133472940032")</f>
        <v>https://twitter.com/1093609275086139392/status/1142789133472940032</v>
      </c>
      <c r="H3729" t="s">
        <v>46</v>
      </c>
      <c r="I3729" t="s">
        <v>11664</v>
      </c>
      <c r="J3729" t="str">
        <f>HYPERLINK("http://twitter.com/GerreHeron")</f>
        <v>http://twitter.com/GerreHeron</v>
      </c>
      <c r="K3729">
        <v>47</v>
      </c>
      <c r="L3729" t="s">
        <v>48</v>
      </c>
      <c r="N3729" t="s">
        <v>65</v>
      </c>
      <c r="R3729" t="s">
        <v>60</v>
      </c>
      <c r="S3729" t="s">
        <v>51</v>
      </c>
      <c r="T3729" t="s">
        <v>4265</v>
      </c>
      <c r="U3729" t="s">
        <v>6029</v>
      </c>
      <c r="W3729">
        <v>0</v>
      </c>
      <c r="X3729">
        <v>0</v>
      </c>
      <c r="AE3729">
        <v>0</v>
      </c>
      <c r="AM3729" t="s">
        <v>52</v>
      </c>
      <c r="AN3729" t="s">
        <v>53</v>
      </c>
    </row>
    <row r="3730" spans="1:40">
      <c r="A3730" t="s">
        <v>8081</v>
      </c>
      <c r="B3730" t="s">
        <v>6407</v>
      </c>
      <c r="C3730" t="s">
        <v>11665</v>
      </c>
      <c r="D3730" t="s">
        <v>52</v>
      </c>
      <c r="E3730" t="s">
        <v>11666</v>
      </c>
      <c r="F3730" t="s">
        <v>95</v>
      </c>
      <c r="G3730" t="str">
        <f>HYPERLINK("https://twitter.com/69036264/status/1142789034202165250")</f>
        <v>https://twitter.com/69036264/status/1142789034202165250</v>
      </c>
      <c r="H3730" t="s">
        <v>91</v>
      </c>
      <c r="I3730" t="s">
        <v>11667</v>
      </c>
      <c r="J3730" t="str">
        <f>HYPERLINK("http://twitter.com/videogameon")</f>
        <v>http://twitter.com/videogameon</v>
      </c>
      <c r="K3730">
        <v>4</v>
      </c>
      <c r="L3730" t="s">
        <v>48</v>
      </c>
      <c r="N3730" t="s">
        <v>65</v>
      </c>
      <c r="R3730" t="s">
        <v>60</v>
      </c>
      <c r="W3730">
        <v>0</v>
      </c>
      <c r="X3730">
        <v>0</v>
      </c>
      <c r="AE3730">
        <v>0</v>
      </c>
      <c r="AF3730">
        <v>0</v>
      </c>
      <c r="AM3730" t="s">
        <v>52</v>
      </c>
      <c r="AN3730" t="s">
        <v>53</v>
      </c>
    </row>
    <row r="3731" spans="1:40">
      <c r="A3731" t="s">
        <v>8081</v>
      </c>
      <c r="B3731" t="s">
        <v>6407</v>
      </c>
      <c r="C3731" t="s">
        <v>11668</v>
      </c>
      <c r="D3731" t="s">
        <v>52</v>
      </c>
      <c r="E3731" t="s">
        <v>11669</v>
      </c>
      <c r="F3731" t="s">
        <v>45</v>
      </c>
      <c r="G3731" t="str">
        <f>HYPERLINK("https://www.instagram.com/p/BzDd1qQhSGi")</f>
        <v>https://www.instagram.com/p/BzDd1qQhSGi</v>
      </c>
      <c r="H3731" t="s">
        <v>46</v>
      </c>
      <c r="I3731" t="s">
        <v>11670</v>
      </c>
      <c r="J3731" t="str">
        <f>HYPERLINK("http://instagram.com/dancedorito")</f>
        <v>http://instagram.com/dancedorito</v>
      </c>
      <c r="K3731">
        <v>87</v>
      </c>
      <c r="N3731" t="s">
        <v>59</v>
      </c>
      <c r="O3731" t="s">
        <v>11670</v>
      </c>
      <c r="P3731" t="str">
        <f>HYPERLINK("http://instagram.com/dancedorito")</f>
        <v>http://instagram.com/dancedorito</v>
      </c>
      <c r="Q3731">
        <v>87</v>
      </c>
      <c r="R3731" t="s">
        <v>60</v>
      </c>
      <c r="W3731">
        <v>33</v>
      </c>
      <c r="X3731">
        <v>33</v>
      </c>
      <c r="AE3731">
        <v>5</v>
      </c>
      <c r="AG3731">
        <v>155</v>
      </c>
      <c r="AI3731" t="s">
        <v>52</v>
      </c>
      <c r="AJ3731" t="s">
        <v>52</v>
      </c>
      <c r="AK3731" t="s">
        <v>11671</v>
      </c>
      <c r="AL3731" t="str">
        <f>HYPERLINK("https://www.instagram.com/p/BzDd1qQhSGi/media/?size=l")</f>
        <v>https://www.instagram.com/p/BzDd1qQhSGi/media/?size=l</v>
      </c>
      <c r="AM3731" t="s">
        <v>52</v>
      </c>
      <c r="AN3731" t="s">
        <v>53</v>
      </c>
    </row>
    <row r="3732" spans="1:40">
      <c r="A3732" t="s">
        <v>8081</v>
      </c>
      <c r="B3732" t="s">
        <v>11672</v>
      </c>
      <c r="C3732" t="s">
        <v>11673</v>
      </c>
      <c r="D3732" t="s">
        <v>52</v>
      </c>
      <c r="E3732" t="s">
        <v>4256</v>
      </c>
      <c r="F3732" t="s">
        <v>45</v>
      </c>
      <c r="G3732" t="str">
        <f>HYPERLINK("https://twitter.com/45513163/status/1142788729645555713")</f>
        <v>https://twitter.com/45513163/status/1142788729645555713</v>
      </c>
      <c r="H3732" t="s">
        <v>215</v>
      </c>
      <c r="I3732" t="s">
        <v>11674</v>
      </c>
      <c r="J3732" t="str">
        <f>HYPERLINK("http://twitter.com/JohnNolanMusic")</f>
        <v>http://twitter.com/JohnNolanMusic</v>
      </c>
      <c r="K3732">
        <v>21544</v>
      </c>
      <c r="L3732" t="s">
        <v>48</v>
      </c>
      <c r="N3732" t="s">
        <v>65</v>
      </c>
      <c r="R3732" t="s">
        <v>60</v>
      </c>
      <c r="S3732" t="s">
        <v>387</v>
      </c>
      <c r="T3732" t="s">
        <v>953</v>
      </c>
      <c r="U3732" t="s">
        <v>11675</v>
      </c>
      <c r="W3732">
        <v>263</v>
      </c>
      <c r="X3732">
        <v>263</v>
      </c>
      <c r="AE3732">
        <v>7</v>
      </c>
      <c r="AF3732">
        <v>21</v>
      </c>
      <c r="AI3732" t="s">
        <v>108</v>
      </c>
      <c r="AJ3732" t="s">
        <v>52</v>
      </c>
      <c r="AK3732" t="s">
        <v>52</v>
      </c>
      <c r="AL3732" t="str">
        <f>HYPERLINK("https://pbs.twimg.com/media/D9wASdAXYAAV8vY.jpg")</f>
        <v>https://pbs.twimg.com/media/D9wASdAXYAAV8vY.jpg</v>
      </c>
      <c r="AM3732" t="s">
        <v>52</v>
      </c>
      <c r="AN3732" t="s">
        <v>53</v>
      </c>
    </row>
    <row r="3733" spans="1:40">
      <c r="A3733" t="s">
        <v>8081</v>
      </c>
      <c r="B3733" t="s">
        <v>11676</v>
      </c>
      <c r="C3733" t="s">
        <v>9922</v>
      </c>
      <c r="D3733" t="s">
        <v>52</v>
      </c>
      <c r="E3733" t="s">
        <v>11677</v>
      </c>
      <c r="F3733" t="s">
        <v>45</v>
      </c>
      <c r="G3733" t="str">
        <f>HYPERLINK("https://www.instagram.com/p/BzDd5GvBWsX")</f>
        <v>https://www.instagram.com/p/BzDd5GvBWsX</v>
      </c>
      <c r="H3733" t="s">
        <v>46</v>
      </c>
      <c r="I3733" t="s">
        <v>11678</v>
      </c>
      <c r="J3733" t="str">
        <f>HYPERLINK("http://instagram.com/onestopsnackshop_242")</f>
        <v>http://instagram.com/onestopsnackshop_242</v>
      </c>
      <c r="K3733">
        <v>85</v>
      </c>
      <c r="N3733" t="s">
        <v>59</v>
      </c>
      <c r="O3733" t="s">
        <v>11678</v>
      </c>
      <c r="P3733" t="str">
        <f>HYPERLINK("http://instagram.com/onestopsnackshop_242")</f>
        <v>http://instagram.com/onestopsnackshop_242</v>
      </c>
      <c r="Q3733">
        <v>85</v>
      </c>
      <c r="R3733" t="s">
        <v>60</v>
      </c>
      <c r="S3733" t="s">
        <v>9305</v>
      </c>
      <c r="W3733">
        <v>5</v>
      </c>
      <c r="X3733">
        <v>5</v>
      </c>
      <c r="AE3733">
        <v>0</v>
      </c>
      <c r="AI3733" t="s">
        <v>108</v>
      </c>
      <c r="AJ3733" t="s">
        <v>11679</v>
      </c>
      <c r="AK3733" t="s">
        <v>52</v>
      </c>
      <c r="AL3733" t="str">
        <f>HYPERLINK("https://www.instagram.com/p/BzDd5GvBWsX/media/?size=l")</f>
        <v>https://www.instagram.com/p/BzDd5GvBWsX/media/?size=l</v>
      </c>
      <c r="AM3733" t="s">
        <v>52</v>
      </c>
      <c r="AN3733" t="s">
        <v>53</v>
      </c>
    </row>
    <row r="3734" spans="1:40">
      <c r="A3734" t="s">
        <v>8081</v>
      </c>
      <c r="B3734" t="s">
        <v>11676</v>
      </c>
      <c r="C3734" t="s">
        <v>7217</v>
      </c>
      <c r="D3734" t="s">
        <v>11680</v>
      </c>
      <c r="E3734" t="s">
        <v>11681</v>
      </c>
      <c r="F3734" t="s">
        <v>45</v>
      </c>
      <c r="G3734" t="str">
        <f>HYPERLINK("https://www.bargainstobounty.com/2019/06/drugstore-deals-june-23-29-2019")</f>
        <v>https://www.bargainstobounty.com/2019/06/drugstore-deals-june-23-29-2019</v>
      </c>
      <c r="H3734" t="s">
        <v>46</v>
      </c>
      <c r="I3734" t="s">
        <v>11682</v>
      </c>
      <c r="J3734" t="str">
        <f>HYPERLINK("https://www.bargainstobounty.com/2019/06/drugstore-deals-june-23-29-2019/")</f>
        <v>https://www.bargainstobounty.com/2019/06/drugstore-deals-june-23-29-2019/</v>
      </c>
      <c r="N3734" t="s">
        <v>11683</v>
      </c>
      <c r="R3734" t="s">
        <v>50</v>
      </c>
      <c r="S3734" t="s">
        <v>51</v>
      </c>
      <c r="AM3734" t="s">
        <v>52</v>
      </c>
      <c r="AN3734" t="s">
        <v>53</v>
      </c>
    </row>
    <row r="3735" spans="1:40">
      <c r="A3735" t="s">
        <v>8081</v>
      </c>
      <c r="B3735" t="s">
        <v>6410</v>
      </c>
      <c r="C3735" t="s">
        <v>11684</v>
      </c>
      <c r="D3735" t="s">
        <v>52</v>
      </c>
      <c r="E3735" t="s">
        <v>11685</v>
      </c>
      <c r="F3735" t="s">
        <v>131</v>
      </c>
      <c r="G3735" t="str">
        <f>HYPERLINK("https://twitter.com/949497378507251712/status/1142788389143556097")</f>
        <v>https://twitter.com/949497378507251712/status/1142788389143556097</v>
      </c>
      <c r="H3735" t="s">
        <v>46</v>
      </c>
      <c r="I3735" t="s">
        <v>11686</v>
      </c>
      <c r="J3735" t="str">
        <f>HYPERLINK("http://twitter.com/jmserendipity_")</f>
        <v>http://twitter.com/jmserendipity_</v>
      </c>
      <c r="K3735">
        <v>422</v>
      </c>
      <c r="N3735" t="s">
        <v>65</v>
      </c>
      <c r="R3735" t="s">
        <v>60</v>
      </c>
      <c r="S3735" t="s">
        <v>1592</v>
      </c>
      <c r="T3735" t="s">
        <v>11687</v>
      </c>
      <c r="U3735" t="s">
        <v>11688</v>
      </c>
      <c r="W3735">
        <v>0</v>
      </c>
      <c r="X3735">
        <v>0</v>
      </c>
      <c r="AE3735">
        <v>0</v>
      </c>
      <c r="AM3735" t="s">
        <v>52</v>
      </c>
      <c r="AN3735" t="s">
        <v>53</v>
      </c>
    </row>
    <row r="3736" spans="1:40">
      <c r="A3736" t="s">
        <v>8081</v>
      </c>
      <c r="B3736" t="s">
        <v>6410</v>
      </c>
      <c r="C3736" t="s">
        <v>11689</v>
      </c>
      <c r="D3736" t="s">
        <v>52</v>
      </c>
      <c r="E3736" t="s">
        <v>11690</v>
      </c>
      <c r="F3736" t="s">
        <v>45</v>
      </c>
      <c r="G3736" t="str">
        <f>HYPERLINK("https://www.instagram.com/p/BzDd1oUFqz1")</f>
        <v>https://www.instagram.com/p/BzDd1oUFqz1</v>
      </c>
      <c r="H3736" t="s">
        <v>46</v>
      </c>
      <c r="I3736" t="s">
        <v>11691</v>
      </c>
      <c r="J3736" t="str">
        <f>HYPERLINK("http://instagram.com/kayla_vee25")</f>
        <v>http://instagram.com/kayla_vee25</v>
      </c>
      <c r="K3736">
        <v>992</v>
      </c>
      <c r="L3736" t="s">
        <v>58</v>
      </c>
      <c r="N3736" t="s">
        <v>59</v>
      </c>
      <c r="O3736" t="s">
        <v>11691</v>
      </c>
      <c r="P3736" t="str">
        <f>HYPERLINK("http://instagram.com/kayla_vee25")</f>
        <v>http://instagram.com/kayla_vee25</v>
      </c>
      <c r="Q3736">
        <v>992</v>
      </c>
      <c r="R3736" t="s">
        <v>60</v>
      </c>
      <c r="W3736">
        <v>85</v>
      </c>
      <c r="X3736">
        <v>85</v>
      </c>
      <c r="AE3736">
        <v>3</v>
      </c>
      <c r="AI3736" t="s">
        <v>52</v>
      </c>
      <c r="AJ3736" t="s">
        <v>3626</v>
      </c>
      <c r="AK3736" t="s">
        <v>52</v>
      </c>
      <c r="AL3736" t="str">
        <f>HYPERLINK("https://www.instagram.com/p/BzDd1oUFqz1/media/?size=l")</f>
        <v>https://www.instagram.com/p/BzDd1oUFqz1/media/?size=l</v>
      </c>
      <c r="AM3736" t="s">
        <v>52</v>
      </c>
      <c r="AN3736" t="s">
        <v>53</v>
      </c>
    </row>
    <row r="3737" spans="1:40">
      <c r="A3737" t="s">
        <v>8081</v>
      </c>
      <c r="B3737" t="s">
        <v>6417</v>
      </c>
      <c r="C3737" t="s">
        <v>11692</v>
      </c>
      <c r="D3737" t="s">
        <v>52</v>
      </c>
      <c r="E3737" t="s">
        <v>11693</v>
      </c>
      <c r="F3737" t="s">
        <v>45</v>
      </c>
      <c r="G3737" t="str">
        <f>HYPERLINK("https://twitter.com/20165935/status/1142787954252951553")</f>
        <v>https://twitter.com/20165935/status/1142787954252951553</v>
      </c>
      <c r="H3737" t="s">
        <v>46</v>
      </c>
      <c r="I3737" t="s">
        <v>11694</v>
      </c>
      <c r="J3737" t="str">
        <f>HYPERLINK("http://twitter.com/chickenoriental")</f>
        <v>http://twitter.com/chickenoriental</v>
      </c>
      <c r="K3737">
        <v>409</v>
      </c>
      <c r="N3737" t="s">
        <v>65</v>
      </c>
      <c r="R3737" t="s">
        <v>60</v>
      </c>
      <c r="S3737" t="s">
        <v>97</v>
      </c>
      <c r="T3737" t="s">
        <v>177</v>
      </c>
      <c r="U3737" t="s">
        <v>11695</v>
      </c>
      <c r="W3737">
        <v>2</v>
      </c>
      <c r="X3737">
        <v>2</v>
      </c>
      <c r="AE3737">
        <v>0</v>
      </c>
      <c r="AF3737">
        <v>0</v>
      </c>
      <c r="AM3737" t="s">
        <v>52</v>
      </c>
      <c r="AN3737" t="s">
        <v>53</v>
      </c>
    </row>
    <row r="3738" spans="1:40">
      <c r="A3738" t="s">
        <v>8081</v>
      </c>
      <c r="B3738" t="s">
        <v>622</v>
      </c>
      <c r="C3738" t="s">
        <v>11696</v>
      </c>
      <c r="D3738" t="s">
        <v>52</v>
      </c>
      <c r="E3738" t="s">
        <v>3749</v>
      </c>
      <c r="F3738" t="s">
        <v>71</v>
      </c>
      <c r="G3738" t="str">
        <f>HYPERLINK("https://twitter.com/795661417831665664/status/1142787551608168448")</f>
        <v>https://twitter.com/795661417831665664/status/1142787551608168448</v>
      </c>
      <c r="H3738" t="s">
        <v>46</v>
      </c>
      <c r="I3738" t="s">
        <v>11697</v>
      </c>
      <c r="J3738" t="str">
        <f>HYPERLINK("http://twitter.com/liakay_seven")</f>
        <v>http://twitter.com/liakay_seven</v>
      </c>
      <c r="K3738">
        <v>170</v>
      </c>
      <c r="N3738" t="s">
        <v>65</v>
      </c>
      <c r="R3738" t="s">
        <v>60</v>
      </c>
      <c r="S3738" t="s">
        <v>5817</v>
      </c>
      <c r="W3738">
        <v>0</v>
      </c>
      <c r="X3738">
        <v>0</v>
      </c>
      <c r="AE3738">
        <v>0</v>
      </c>
      <c r="AF3738">
        <v>0</v>
      </c>
      <c r="AI3738" t="s">
        <v>108</v>
      </c>
      <c r="AJ3738" t="s">
        <v>52</v>
      </c>
      <c r="AK3738" t="s">
        <v>52</v>
      </c>
      <c r="AL3738" t="str">
        <f>HYPERLINK("https://pbs.twimg.com/media/D9sAXHUX4AA6vJs.jpg")</f>
        <v>https://pbs.twimg.com/media/D9sAXHUX4AA6vJs.jpg</v>
      </c>
      <c r="AM3738" t="s">
        <v>52</v>
      </c>
      <c r="AN3738" t="s">
        <v>53</v>
      </c>
    </row>
    <row r="3739" spans="1:40">
      <c r="A3739" t="s">
        <v>8081</v>
      </c>
      <c r="B3739" t="s">
        <v>622</v>
      </c>
      <c r="C3739" t="s">
        <v>11698</v>
      </c>
      <c r="D3739" t="s">
        <v>52</v>
      </c>
      <c r="E3739" t="s">
        <v>3749</v>
      </c>
      <c r="F3739" t="s">
        <v>71</v>
      </c>
      <c r="G3739" t="str">
        <f>HYPERLINK("https://twitter.com/433190074/status/1142787443755802624")</f>
        <v>https://twitter.com/433190074/status/1142787443755802624</v>
      </c>
      <c r="H3739" t="s">
        <v>46</v>
      </c>
      <c r="I3739" t="s">
        <v>11699</v>
      </c>
      <c r="J3739" t="str">
        <f>HYPERLINK("http://twitter.com/_SphesihleM")</f>
        <v>http://twitter.com/_SphesihleM</v>
      </c>
      <c r="K3739">
        <v>11783</v>
      </c>
      <c r="N3739" t="s">
        <v>65</v>
      </c>
      <c r="R3739" t="s">
        <v>60</v>
      </c>
      <c r="S3739" t="s">
        <v>1071</v>
      </c>
      <c r="W3739">
        <v>0</v>
      </c>
      <c r="X3739">
        <v>0</v>
      </c>
      <c r="AE3739">
        <v>0</v>
      </c>
      <c r="AF3739">
        <v>0</v>
      </c>
      <c r="AI3739" t="s">
        <v>108</v>
      </c>
      <c r="AJ3739" t="s">
        <v>52</v>
      </c>
      <c r="AK3739" t="s">
        <v>52</v>
      </c>
      <c r="AL3739" t="str">
        <f>HYPERLINK("https://pbs.twimg.com/media/D9sAXHUX4AA6vJs.jpg")</f>
        <v>https://pbs.twimg.com/media/D9sAXHUX4AA6vJs.jpg</v>
      </c>
      <c r="AM3739" t="s">
        <v>52</v>
      </c>
      <c r="AN3739" t="s">
        <v>53</v>
      </c>
    </row>
    <row r="3740" spans="1:40">
      <c r="A3740" t="s">
        <v>8081</v>
      </c>
      <c r="B3740" t="s">
        <v>622</v>
      </c>
      <c r="C3740" t="s">
        <v>11698</v>
      </c>
      <c r="D3740" t="s">
        <v>52</v>
      </c>
      <c r="E3740" t="s">
        <v>11700</v>
      </c>
      <c r="F3740" t="s">
        <v>71</v>
      </c>
      <c r="G3740" t="str">
        <f>HYPERLINK("https://twitter.com/1112820070848319493/status/1142787436013084672")</f>
        <v>https://twitter.com/1112820070848319493/status/1142787436013084672</v>
      </c>
      <c r="H3740" t="s">
        <v>46</v>
      </c>
      <c r="I3740" t="s">
        <v>11701</v>
      </c>
      <c r="J3740" t="str">
        <f>HYPERLINK("http://twitter.com/eorsdalas")</f>
        <v>http://twitter.com/eorsdalas</v>
      </c>
      <c r="K3740">
        <v>236</v>
      </c>
      <c r="N3740" t="s">
        <v>65</v>
      </c>
      <c r="R3740" t="s">
        <v>60</v>
      </c>
      <c r="S3740" t="s">
        <v>1310</v>
      </c>
      <c r="T3740" t="s">
        <v>10344</v>
      </c>
      <c r="U3740" t="s">
        <v>11702</v>
      </c>
      <c r="W3740">
        <v>0</v>
      </c>
      <c r="X3740">
        <v>0</v>
      </c>
      <c r="AE3740">
        <v>0</v>
      </c>
      <c r="AF3740">
        <v>0</v>
      </c>
      <c r="AI3740" t="s">
        <v>52</v>
      </c>
      <c r="AJ3740" t="s">
        <v>985</v>
      </c>
      <c r="AK3740" t="s">
        <v>52</v>
      </c>
      <c r="AL3740" t="str">
        <f>HYPERLINK("https://pbs.twimg.com/media/D9v-thbW4AE4ziT.jpg")</f>
        <v>https://pbs.twimg.com/media/D9v-thbW4AE4ziT.jpg</v>
      </c>
      <c r="AM3740" t="s">
        <v>52</v>
      </c>
      <c r="AN3740" t="s">
        <v>53</v>
      </c>
    </row>
    <row r="3741" spans="1:40">
      <c r="A3741" t="s">
        <v>8081</v>
      </c>
      <c r="B3741" t="s">
        <v>636</v>
      </c>
      <c r="C3741" t="s">
        <v>11673</v>
      </c>
      <c r="D3741" t="s">
        <v>52</v>
      </c>
      <c r="E3741" t="s">
        <v>6910</v>
      </c>
      <c r="F3741" t="s">
        <v>131</v>
      </c>
      <c r="G3741" t="str">
        <f>HYPERLINK("https://twitter.com/811857579878076416/status/1142787230982914048")</f>
        <v>https://twitter.com/811857579878076416/status/1142787230982914048</v>
      </c>
      <c r="H3741" t="s">
        <v>46</v>
      </c>
      <c r="I3741" t="s">
        <v>11703</v>
      </c>
      <c r="J3741" t="str">
        <f>HYPERLINK("http://twitter.com/HueyNinja")</f>
        <v>http://twitter.com/HueyNinja</v>
      </c>
      <c r="K3741">
        <v>7</v>
      </c>
      <c r="N3741" t="s">
        <v>65</v>
      </c>
      <c r="R3741" t="s">
        <v>60</v>
      </c>
      <c r="W3741">
        <v>0</v>
      </c>
      <c r="X3741">
        <v>0</v>
      </c>
      <c r="AE3741">
        <v>0</v>
      </c>
      <c r="AM3741" t="s">
        <v>52</v>
      </c>
      <c r="AN3741" t="s">
        <v>53</v>
      </c>
    </row>
    <row r="3742" spans="1:40">
      <c r="A3742" t="s">
        <v>8081</v>
      </c>
      <c r="B3742" t="s">
        <v>644</v>
      </c>
      <c r="C3742" t="s">
        <v>7208</v>
      </c>
      <c r="D3742" t="s">
        <v>11704</v>
      </c>
      <c r="E3742" t="s">
        <v>11705</v>
      </c>
      <c r="F3742" t="s">
        <v>45</v>
      </c>
      <c r="G3742" t="str">
        <f>HYPERLINK("https://forthemommas.com/store-deals/dollar-general-store-deals/dollar-general-coupon-matchups-week-of-06-23-06-29")</f>
        <v>https://forthemommas.com/store-deals/dollar-general-store-deals/dollar-general-coupon-matchups-week-of-06-23-06-29</v>
      </c>
      <c r="H3742" t="s">
        <v>46</v>
      </c>
      <c r="I3742" t="s">
        <v>5026</v>
      </c>
      <c r="J3742" t="str">
        <f>HYPERLINK("https://forthemommas.com/store-deals/dollar-general-store-deals/dollar-general-coupon-matchups-week-of-06-23-06-29")</f>
        <v>https://forthemommas.com/store-deals/dollar-general-store-deals/dollar-general-coupon-matchups-week-of-06-23-06-29</v>
      </c>
      <c r="L3742" t="s">
        <v>58</v>
      </c>
      <c r="N3742" t="s">
        <v>11706</v>
      </c>
      <c r="R3742" t="s">
        <v>357</v>
      </c>
      <c r="S3742" t="s">
        <v>51</v>
      </c>
      <c r="AM3742" t="s">
        <v>52</v>
      </c>
      <c r="AN3742" t="s">
        <v>53</v>
      </c>
    </row>
    <row r="3743" spans="1:40">
      <c r="A3743" t="s">
        <v>8081</v>
      </c>
      <c r="B3743" t="s">
        <v>654</v>
      </c>
      <c r="C3743" t="s">
        <v>9940</v>
      </c>
      <c r="D3743" t="s">
        <v>52</v>
      </c>
      <c r="E3743" t="s">
        <v>11707</v>
      </c>
      <c r="F3743" t="s">
        <v>45</v>
      </c>
      <c r="G3743" t="str">
        <f>HYPERLINK("https://www.instagram.com/p/BzDdGTTlKA6")</f>
        <v>https://www.instagram.com/p/BzDdGTTlKA6</v>
      </c>
      <c r="H3743" t="s">
        <v>46</v>
      </c>
      <c r="I3743" t="s">
        <v>11708</v>
      </c>
      <c r="J3743" t="str">
        <f>HYPERLINK("http://instagram.com/teenspostnet")</f>
        <v>http://instagram.com/teenspostnet</v>
      </c>
      <c r="K3743">
        <v>2422</v>
      </c>
      <c r="N3743" t="s">
        <v>59</v>
      </c>
      <c r="O3743" t="s">
        <v>11708</v>
      </c>
      <c r="P3743" t="str">
        <f>HYPERLINK("http://instagram.com/teenspostnet")</f>
        <v>http://instagram.com/teenspostnet</v>
      </c>
      <c r="Q3743">
        <v>2422</v>
      </c>
      <c r="R3743" t="s">
        <v>60</v>
      </c>
      <c r="W3743">
        <v>151</v>
      </c>
      <c r="X3743">
        <v>151</v>
      </c>
      <c r="AE3743">
        <v>2</v>
      </c>
      <c r="AG3743">
        <v>423</v>
      </c>
      <c r="AI3743" t="s">
        <v>108</v>
      </c>
      <c r="AJ3743" t="s">
        <v>7677</v>
      </c>
      <c r="AK3743" t="s">
        <v>2089</v>
      </c>
      <c r="AL3743" t="str">
        <f>HYPERLINK("https://www.instagram.com/p/BzDdGTTlKA6/media/?size=l")</f>
        <v>https://www.instagram.com/p/BzDdGTTlKA6/media/?size=l</v>
      </c>
      <c r="AM3743" t="s">
        <v>52</v>
      </c>
      <c r="AN3743" t="s">
        <v>53</v>
      </c>
    </row>
    <row r="3744" spans="1:40">
      <c r="A3744" t="s">
        <v>8081</v>
      </c>
      <c r="B3744" t="s">
        <v>664</v>
      </c>
      <c r="C3744" t="s">
        <v>11709</v>
      </c>
      <c r="D3744" t="s">
        <v>52</v>
      </c>
      <c r="E3744" t="s">
        <v>11710</v>
      </c>
      <c r="F3744" t="s">
        <v>95</v>
      </c>
      <c r="G3744" t="str">
        <f>HYPERLINK("https://twitter.com/902169902810845184/status/1142786451777736705")</f>
        <v>https://twitter.com/902169902810845184/status/1142786451777736705</v>
      </c>
      <c r="H3744" t="s">
        <v>46</v>
      </c>
      <c r="I3744" t="s">
        <v>11711</v>
      </c>
      <c r="J3744" t="str">
        <f>HYPERLINK("http://twitter.com/oatsmokgethi")</f>
        <v>http://twitter.com/oatsmokgethi</v>
      </c>
      <c r="K3744">
        <v>657</v>
      </c>
      <c r="N3744" t="s">
        <v>65</v>
      </c>
      <c r="R3744" t="s">
        <v>60</v>
      </c>
      <c r="S3744" t="s">
        <v>2290</v>
      </c>
      <c r="T3744" t="s">
        <v>6341</v>
      </c>
      <c r="U3744" t="s">
        <v>11712</v>
      </c>
      <c r="W3744">
        <v>1</v>
      </c>
      <c r="X3744">
        <v>1</v>
      </c>
      <c r="AE3744">
        <v>0</v>
      </c>
      <c r="AF3744">
        <v>0</v>
      </c>
      <c r="AM3744" t="s">
        <v>52</v>
      </c>
      <c r="AN3744" t="s">
        <v>53</v>
      </c>
    </row>
    <row r="3745" spans="1:40">
      <c r="A3745" t="s">
        <v>8081</v>
      </c>
      <c r="B3745" t="s">
        <v>664</v>
      </c>
      <c r="C3745" t="s">
        <v>11713</v>
      </c>
      <c r="D3745" t="s">
        <v>52</v>
      </c>
      <c r="E3745" t="s">
        <v>11714</v>
      </c>
      <c r="F3745" t="s">
        <v>45</v>
      </c>
      <c r="G3745" t="str">
        <f>HYPERLINK("https://www.instagram.com/p/BzDc-Jsij4x")</f>
        <v>https://www.instagram.com/p/BzDc-Jsij4x</v>
      </c>
      <c r="H3745" t="s">
        <v>46</v>
      </c>
      <c r="I3745" t="s">
        <v>11715</v>
      </c>
      <c r="J3745" t="str">
        <f>HYPERLINK("http://instagram.com/glenncoco91")</f>
        <v>http://instagram.com/glenncoco91</v>
      </c>
      <c r="K3745">
        <v>1681</v>
      </c>
      <c r="N3745" t="s">
        <v>59</v>
      </c>
      <c r="O3745" t="s">
        <v>11715</v>
      </c>
      <c r="P3745" t="str">
        <f>HYPERLINK("http://instagram.com/glenncoco91")</f>
        <v>http://instagram.com/glenncoco91</v>
      </c>
      <c r="Q3745">
        <v>1681</v>
      </c>
      <c r="R3745" t="s">
        <v>60</v>
      </c>
      <c r="W3745">
        <v>8</v>
      </c>
      <c r="X3745">
        <v>8</v>
      </c>
      <c r="AE3745">
        <v>1</v>
      </c>
      <c r="AI3745" t="s">
        <v>52</v>
      </c>
      <c r="AJ3745" t="s">
        <v>52</v>
      </c>
      <c r="AK3745" t="s">
        <v>52</v>
      </c>
      <c r="AL3745" t="str">
        <f>HYPERLINK("https://www.instagram.com/p/BzDc-Jsij4x/media/?size=l")</f>
        <v>https://www.instagram.com/p/BzDc-Jsij4x/media/?size=l</v>
      </c>
      <c r="AM3745" t="s">
        <v>52</v>
      </c>
      <c r="AN3745" t="s">
        <v>53</v>
      </c>
    </row>
    <row r="3746" spans="1:40">
      <c r="A3746" t="s">
        <v>8081</v>
      </c>
      <c r="B3746" t="s">
        <v>664</v>
      </c>
      <c r="C3746" t="s">
        <v>11660</v>
      </c>
      <c r="D3746" t="s">
        <v>52</v>
      </c>
      <c r="E3746" t="s">
        <v>276</v>
      </c>
      <c r="F3746" t="s">
        <v>131</v>
      </c>
      <c r="G3746" t="str">
        <f>HYPERLINK("https://twitter.com/118235819/status/1142786425747755009")</f>
        <v>https://twitter.com/118235819/status/1142786425747755009</v>
      </c>
      <c r="H3746" t="s">
        <v>46</v>
      </c>
      <c r="I3746" t="s">
        <v>11716</v>
      </c>
      <c r="J3746" t="str">
        <f>HYPERLINK("http://twitter.com/puputyuliaa")</f>
        <v>http://twitter.com/puputyuliaa</v>
      </c>
      <c r="K3746">
        <v>474</v>
      </c>
      <c r="N3746" t="s">
        <v>65</v>
      </c>
      <c r="R3746" t="s">
        <v>60</v>
      </c>
      <c r="W3746">
        <v>0</v>
      </c>
      <c r="X3746">
        <v>0</v>
      </c>
      <c r="AE3746">
        <v>0</v>
      </c>
      <c r="AI3746" t="s">
        <v>108</v>
      </c>
      <c r="AJ3746" t="s">
        <v>52</v>
      </c>
      <c r="AK3746" t="s">
        <v>52</v>
      </c>
      <c r="AL3746" t="str">
        <f>HYPERLINK("https://pbs.twimg.com/tweet_video_thumb/D9hvNNzXUAATAS3.jpg")</f>
        <v>https://pbs.twimg.com/tweet_video_thumb/D9hvNNzXUAATAS3.jpg</v>
      </c>
      <c r="AM3746" t="s">
        <v>52</v>
      </c>
      <c r="AN3746" t="s">
        <v>53</v>
      </c>
    </row>
    <row r="3747" spans="1:40">
      <c r="A3747" t="s">
        <v>8081</v>
      </c>
      <c r="B3747" t="s">
        <v>664</v>
      </c>
      <c r="C3747" t="s">
        <v>11668</v>
      </c>
      <c r="D3747" t="s">
        <v>52</v>
      </c>
      <c r="E3747" t="s">
        <v>4514</v>
      </c>
      <c r="F3747" t="s">
        <v>71</v>
      </c>
      <c r="G3747" t="str">
        <f>HYPERLINK("https://twitter.com/118235819/status/1142786406021861376")</f>
        <v>https://twitter.com/118235819/status/1142786406021861376</v>
      </c>
      <c r="H3747" t="s">
        <v>46</v>
      </c>
      <c r="I3747" t="s">
        <v>11716</v>
      </c>
      <c r="J3747" t="str">
        <f>HYPERLINK("http://twitter.com/puputyuliaa")</f>
        <v>http://twitter.com/puputyuliaa</v>
      </c>
      <c r="K3747">
        <v>474</v>
      </c>
      <c r="N3747" t="s">
        <v>65</v>
      </c>
      <c r="R3747" t="s">
        <v>60</v>
      </c>
      <c r="W3747">
        <v>0</v>
      </c>
      <c r="X3747">
        <v>0</v>
      </c>
      <c r="AE3747">
        <v>0</v>
      </c>
      <c r="AF3747">
        <v>0</v>
      </c>
      <c r="AI3747" t="s">
        <v>108</v>
      </c>
      <c r="AJ3747" t="s">
        <v>52</v>
      </c>
      <c r="AK3747" t="s">
        <v>52</v>
      </c>
      <c r="AL3747" t="str">
        <f>HYPERLINK("https://pbs.twimg.com/tweet_video_thumb/D9hvNNzXUAATAS3.jpg")</f>
        <v>https://pbs.twimg.com/tweet_video_thumb/D9hvNNzXUAATAS3.jpg</v>
      </c>
      <c r="AM3747" t="s">
        <v>52</v>
      </c>
      <c r="AN3747" t="s">
        <v>53</v>
      </c>
    </row>
    <row r="3748" spans="1:40">
      <c r="A3748" t="s">
        <v>8081</v>
      </c>
      <c r="B3748" t="s">
        <v>6443</v>
      </c>
      <c r="C3748" t="s">
        <v>11709</v>
      </c>
      <c r="D3748" t="s">
        <v>52</v>
      </c>
      <c r="E3748" t="s">
        <v>11717</v>
      </c>
      <c r="F3748" t="s">
        <v>95</v>
      </c>
      <c r="G3748" t="str">
        <f>HYPERLINK("https://twitter.com/2934937050/status/1142786343644176385")</f>
        <v>https://twitter.com/2934937050/status/1142786343644176385</v>
      </c>
      <c r="H3748" t="s">
        <v>46</v>
      </c>
      <c r="I3748" t="s">
        <v>11718</v>
      </c>
      <c r="J3748" t="str">
        <f>HYPERLINK("http://twitter.com/hamstanger")</f>
        <v>http://twitter.com/hamstanger</v>
      </c>
      <c r="K3748">
        <v>223</v>
      </c>
      <c r="L3748" t="s">
        <v>48</v>
      </c>
      <c r="N3748" t="s">
        <v>65</v>
      </c>
      <c r="R3748" t="s">
        <v>60</v>
      </c>
      <c r="W3748">
        <v>1</v>
      </c>
      <c r="X3748">
        <v>1</v>
      </c>
      <c r="AE3748">
        <v>1</v>
      </c>
      <c r="AF3748">
        <v>0</v>
      </c>
      <c r="AM3748" t="s">
        <v>52</v>
      </c>
      <c r="AN3748" t="s">
        <v>53</v>
      </c>
    </row>
    <row r="3749" spans="1:40">
      <c r="A3749" t="s">
        <v>8081</v>
      </c>
      <c r="B3749" t="s">
        <v>6443</v>
      </c>
      <c r="C3749" t="s">
        <v>11719</v>
      </c>
      <c r="D3749" t="s">
        <v>52</v>
      </c>
      <c r="E3749" t="s">
        <v>8566</v>
      </c>
      <c r="F3749" t="s">
        <v>131</v>
      </c>
      <c r="G3749" t="str">
        <f>HYPERLINK("https://twitter.com/20922870/status/1142786260089671680")</f>
        <v>https://twitter.com/20922870/status/1142786260089671680</v>
      </c>
      <c r="H3749" t="s">
        <v>46</v>
      </c>
      <c r="I3749" t="s">
        <v>11720</v>
      </c>
      <c r="J3749" t="str">
        <f>HYPERLINK("http://twitter.com/meledgerwood")</f>
        <v>http://twitter.com/meledgerwood</v>
      </c>
      <c r="K3749">
        <v>1445</v>
      </c>
      <c r="N3749" t="s">
        <v>65</v>
      </c>
      <c r="R3749" t="s">
        <v>60</v>
      </c>
      <c r="S3749" t="s">
        <v>8966</v>
      </c>
      <c r="T3749" t="s">
        <v>11721</v>
      </c>
      <c r="U3749" t="s">
        <v>11722</v>
      </c>
      <c r="W3749">
        <v>0</v>
      </c>
      <c r="X3749">
        <v>0</v>
      </c>
      <c r="AE3749">
        <v>0</v>
      </c>
      <c r="AM3749" t="s">
        <v>52</v>
      </c>
      <c r="AN3749" t="s">
        <v>53</v>
      </c>
    </row>
    <row r="3750" spans="1:40">
      <c r="A3750" t="s">
        <v>8081</v>
      </c>
      <c r="B3750" t="s">
        <v>6443</v>
      </c>
      <c r="C3750" t="s">
        <v>11723</v>
      </c>
      <c r="D3750" t="s">
        <v>52</v>
      </c>
      <c r="E3750" t="s">
        <v>11724</v>
      </c>
      <c r="F3750" t="s">
        <v>95</v>
      </c>
      <c r="G3750" t="str">
        <f>HYPERLINK("https://twitter.com/65768964/status/1142786224937152512")</f>
        <v>https://twitter.com/65768964/status/1142786224937152512</v>
      </c>
      <c r="H3750" t="s">
        <v>215</v>
      </c>
      <c r="I3750" t="s">
        <v>11725</v>
      </c>
      <c r="J3750" t="str">
        <f>HYPERLINK("http://twitter.com/RobPoeKY")</f>
        <v>http://twitter.com/RobPoeKY</v>
      </c>
      <c r="K3750">
        <v>2246</v>
      </c>
      <c r="L3750" t="s">
        <v>48</v>
      </c>
      <c r="N3750" t="s">
        <v>65</v>
      </c>
      <c r="R3750" t="s">
        <v>60</v>
      </c>
      <c r="S3750" t="s">
        <v>51</v>
      </c>
      <c r="T3750" t="s">
        <v>1785</v>
      </c>
      <c r="U3750" t="s">
        <v>11726</v>
      </c>
      <c r="W3750">
        <v>1</v>
      </c>
      <c r="X3750">
        <v>1</v>
      </c>
      <c r="AE3750">
        <v>0</v>
      </c>
      <c r="AF3750">
        <v>0</v>
      </c>
      <c r="AM3750" t="s">
        <v>52</v>
      </c>
      <c r="AN3750" t="s">
        <v>53</v>
      </c>
    </row>
    <row r="3751" spans="1:40">
      <c r="A3751" t="s">
        <v>8081</v>
      </c>
      <c r="B3751" t="s">
        <v>668</v>
      </c>
      <c r="C3751" t="s">
        <v>11698</v>
      </c>
      <c r="D3751" t="s">
        <v>52</v>
      </c>
      <c r="E3751" t="s">
        <v>10396</v>
      </c>
      <c r="F3751" t="s">
        <v>71</v>
      </c>
      <c r="G3751" t="str">
        <f>HYPERLINK("https://twitter.com/920550981343072256/status/1142786037615333377")</f>
        <v>https://twitter.com/920550981343072256/status/1142786037615333377</v>
      </c>
      <c r="H3751" t="s">
        <v>215</v>
      </c>
      <c r="I3751" t="s">
        <v>11727</v>
      </c>
      <c r="J3751" t="str">
        <f>HYPERLINK("http://twitter.com/eyaminqaba")</f>
        <v>http://twitter.com/eyaminqaba</v>
      </c>
      <c r="K3751">
        <v>100</v>
      </c>
      <c r="N3751" t="s">
        <v>65</v>
      </c>
      <c r="R3751" t="s">
        <v>60</v>
      </c>
      <c r="W3751">
        <v>0</v>
      </c>
      <c r="X3751">
        <v>0</v>
      </c>
      <c r="AE3751">
        <v>0</v>
      </c>
      <c r="AF3751">
        <v>0</v>
      </c>
      <c r="AM3751" t="s">
        <v>52</v>
      </c>
      <c r="AN3751" t="s">
        <v>53</v>
      </c>
    </row>
    <row r="3752" spans="1:40">
      <c r="A3752" t="s">
        <v>8081</v>
      </c>
      <c r="B3752" t="s">
        <v>668</v>
      </c>
      <c r="C3752" t="s">
        <v>11728</v>
      </c>
      <c r="D3752" t="s">
        <v>52</v>
      </c>
      <c r="E3752" t="s">
        <v>8566</v>
      </c>
      <c r="F3752" t="s">
        <v>131</v>
      </c>
      <c r="G3752" t="str">
        <f>HYPERLINK("https://twitter.com/23677151/status/1142785956426240000")</f>
        <v>https://twitter.com/23677151/status/1142785956426240000</v>
      </c>
      <c r="H3752" t="s">
        <v>46</v>
      </c>
      <c r="I3752" t="s">
        <v>11729</v>
      </c>
      <c r="J3752" t="str">
        <f>HYPERLINK("http://twitter.com/adtinajero")</f>
        <v>http://twitter.com/adtinajero</v>
      </c>
      <c r="K3752">
        <v>59</v>
      </c>
      <c r="L3752" t="s">
        <v>48</v>
      </c>
      <c r="N3752" t="s">
        <v>65</v>
      </c>
      <c r="R3752" t="s">
        <v>60</v>
      </c>
      <c r="S3752" t="s">
        <v>51</v>
      </c>
      <c r="T3752" t="s">
        <v>380</v>
      </c>
      <c r="U3752" t="s">
        <v>380</v>
      </c>
      <c r="W3752">
        <v>0</v>
      </c>
      <c r="X3752">
        <v>0</v>
      </c>
      <c r="AE3752">
        <v>0</v>
      </c>
      <c r="AM3752" t="s">
        <v>52</v>
      </c>
      <c r="AN3752" t="s">
        <v>53</v>
      </c>
    </row>
    <row r="3753" spans="1:40">
      <c r="A3753" t="s">
        <v>8081</v>
      </c>
      <c r="B3753" t="s">
        <v>6451</v>
      </c>
      <c r="C3753" t="s">
        <v>11730</v>
      </c>
      <c r="D3753" t="s">
        <v>52</v>
      </c>
      <c r="E3753" t="s">
        <v>11731</v>
      </c>
      <c r="F3753" t="s">
        <v>95</v>
      </c>
      <c r="G3753" t="str">
        <f>HYPERLINK("https://twitter.com/1013731493309448193/status/1142785746216112128")</f>
        <v>https://twitter.com/1013731493309448193/status/1142785746216112128</v>
      </c>
      <c r="H3753" t="s">
        <v>46</v>
      </c>
      <c r="I3753" t="s">
        <v>52</v>
      </c>
      <c r="J3753" t="str">
        <f>HYPERLINK("http://twitter.com/VVDijkSZN")</f>
        <v>http://twitter.com/VVDijkSZN</v>
      </c>
      <c r="K3753">
        <v>1642</v>
      </c>
      <c r="N3753" t="s">
        <v>65</v>
      </c>
      <c r="R3753" t="s">
        <v>60</v>
      </c>
      <c r="S3753" t="s">
        <v>1592</v>
      </c>
      <c r="T3753" t="s">
        <v>7462</v>
      </c>
      <c r="U3753" t="s">
        <v>7463</v>
      </c>
      <c r="W3753">
        <v>1</v>
      </c>
      <c r="X3753">
        <v>1</v>
      </c>
      <c r="AE3753">
        <v>1</v>
      </c>
      <c r="AF3753">
        <v>0</v>
      </c>
      <c r="AM3753" t="s">
        <v>52</v>
      </c>
      <c r="AN3753" t="s">
        <v>53</v>
      </c>
    </row>
    <row r="3754" spans="1:40">
      <c r="A3754" t="s">
        <v>8081</v>
      </c>
      <c r="B3754" t="s">
        <v>6451</v>
      </c>
      <c r="C3754" t="s">
        <v>11732</v>
      </c>
      <c r="D3754" t="s">
        <v>52</v>
      </c>
      <c r="E3754" t="s">
        <v>8566</v>
      </c>
      <c r="F3754" t="s">
        <v>131</v>
      </c>
      <c r="G3754" t="str">
        <f>HYPERLINK("https://twitter.com/145612575/status/1142785644864970752")</f>
        <v>https://twitter.com/145612575/status/1142785644864970752</v>
      </c>
      <c r="H3754" t="s">
        <v>46</v>
      </c>
      <c r="I3754" t="s">
        <v>11733</v>
      </c>
      <c r="J3754" t="str">
        <f>HYPERLINK("http://twitter.com/YoureAllChrome")</f>
        <v>http://twitter.com/YoureAllChrome</v>
      </c>
      <c r="K3754">
        <v>297</v>
      </c>
      <c r="N3754" t="s">
        <v>65</v>
      </c>
      <c r="R3754" t="s">
        <v>60</v>
      </c>
      <c r="S3754" t="s">
        <v>97</v>
      </c>
      <c r="T3754" t="s">
        <v>177</v>
      </c>
      <c r="U3754" t="s">
        <v>395</v>
      </c>
      <c r="W3754">
        <v>0</v>
      </c>
      <c r="X3754">
        <v>0</v>
      </c>
      <c r="AE3754">
        <v>0</v>
      </c>
      <c r="AM3754" t="s">
        <v>52</v>
      </c>
      <c r="AN3754" t="s">
        <v>53</v>
      </c>
    </row>
    <row r="3755" spans="1:40">
      <c r="A3755" t="s">
        <v>8081</v>
      </c>
      <c r="B3755" t="s">
        <v>689</v>
      </c>
      <c r="C3755" t="s">
        <v>11734</v>
      </c>
      <c r="D3755" t="s">
        <v>52</v>
      </c>
      <c r="E3755" t="s">
        <v>8566</v>
      </c>
      <c r="F3755" t="s">
        <v>131</v>
      </c>
      <c r="G3755" t="str">
        <f>HYPERLINK("https://twitter.com/56498951/status/1142785073525268480")</f>
        <v>https://twitter.com/56498951/status/1142785073525268480</v>
      </c>
      <c r="H3755" t="s">
        <v>46</v>
      </c>
      <c r="I3755" t="s">
        <v>11735</v>
      </c>
      <c r="J3755" t="str">
        <f>HYPERLINK("http://twitter.com/sammulcaster")</f>
        <v>http://twitter.com/sammulcaster</v>
      </c>
      <c r="K3755">
        <v>201</v>
      </c>
      <c r="N3755" t="s">
        <v>65</v>
      </c>
      <c r="R3755" t="s">
        <v>60</v>
      </c>
      <c r="S3755" t="s">
        <v>444</v>
      </c>
      <c r="T3755" t="s">
        <v>1062</v>
      </c>
      <c r="W3755">
        <v>0</v>
      </c>
      <c r="X3755">
        <v>0</v>
      </c>
      <c r="AE3755">
        <v>0</v>
      </c>
      <c r="AM3755" t="s">
        <v>52</v>
      </c>
      <c r="AN3755" t="s">
        <v>53</v>
      </c>
    </row>
    <row r="3756" spans="1:40">
      <c r="A3756" t="s">
        <v>8081</v>
      </c>
      <c r="B3756" t="s">
        <v>689</v>
      </c>
      <c r="C3756" t="s">
        <v>11736</v>
      </c>
      <c r="D3756" t="s">
        <v>52</v>
      </c>
      <c r="E3756" t="s">
        <v>4936</v>
      </c>
      <c r="F3756" t="s">
        <v>131</v>
      </c>
      <c r="G3756" t="str">
        <f>HYPERLINK("https://twitter.com/1034272530268401665/status/1142785071763660802")</f>
        <v>https://twitter.com/1034272530268401665/status/1142785071763660802</v>
      </c>
      <c r="H3756" t="s">
        <v>46</v>
      </c>
      <c r="I3756" t="s">
        <v>11737</v>
      </c>
      <c r="J3756" t="str">
        <f>HYPERLINK("http://twitter.com/SuperKnight_YT")</f>
        <v>http://twitter.com/SuperKnight_YT</v>
      </c>
      <c r="K3756">
        <v>8</v>
      </c>
      <c r="N3756" t="s">
        <v>65</v>
      </c>
      <c r="R3756" t="s">
        <v>60</v>
      </c>
      <c r="W3756">
        <v>0</v>
      </c>
      <c r="X3756">
        <v>0</v>
      </c>
      <c r="AE3756">
        <v>0</v>
      </c>
      <c r="AI3756" t="s">
        <v>52</v>
      </c>
      <c r="AJ3756" t="s">
        <v>4938</v>
      </c>
      <c r="AK3756" t="s">
        <v>1037</v>
      </c>
      <c r="AL3756" t="str">
        <f>HYPERLINK("https://pbs.twimg.com/media/D9Ij6xWWwAINXT5.jpg")</f>
        <v>https://pbs.twimg.com/media/D9Ij6xWWwAINXT5.jpg</v>
      </c>
      <c r="AM3756" t="s">
        <v>52</v>
      </c>
      <c r="AN3756" t="s">
        <v>53</v>
      </c>
    </row>
    <row r="3757" spans="1:40">
      <c r="A3757" t="s">
        <v>8081</v>
      </c>
      <c r="B3757" t="s">
        <v>689</v>
      </c>
      <c r="C3757" t="s">
        <v>11738</v>
      </c>
      <c r="D3757" t="s">
        <v>52</v>
      </c>
      <c r="E3757" t="s">
        <v>8566</v>
      </c>
      <c r="F3757" t="s">
        <v>131</v>
      </c>
      <c r="G3757" t="str">
        <f>HYPERLINK("https://twitter.com/53953805/status/1142784993225248773")</f>
        <v>https://twitter.com/53953805/status/1142784993225248773</v>
      </c>
      <c r="H3757" t="s">
        <v>46</v>
      </c>
      <c r="I3757" t="s">
        <v>11739</v>
      </c>
      <c r="J3757" t="str">
        <f>HYPERLINK("http://twitter.com/biggles14")</f>
        <v>http://twitter.com/biggles14</v>
      </c>
      <c r="K3757">
        <v>3133</v>
      </c>
      <c r="L3757" t="s">
        <v>58</v>
      </c>
      <c r="N3757" t="s">
        <v>65</v>
      </c>
      <c r="R3757" t="s">
        <v>60</v>
      </c>
      <c r="S3757" t="s">
        <v>444</v>
      </c>
      <c r="T3757" t="s">
        <v>1062</v>
      </c>
      <c r="U3757" t="s">
        <v>3442</v>
      </c>
      <c r="W3757">
        <v>0</v>
      </c>
      <c r="X3757">
        <v>0</v>
      </c>
      <c r="AE3757">
        <v>0</v>
      </c>
      <c r="AM3757" t="s">
        <v>52</v>
      </c>
      <c r="AN3757" t="s">
        <v>53</v>
      </c>
    </row>
    <row r="3758" spans="1:40">
      <c r="A3758" t="s">
        <v>8081</v>
      </c>
      <c r="B3758" t="s">
        <v>697</v>
      </c>
      <c r="C3758" t="s">
        <v>11734</v>
      </c>
      <c r="D3758" t="s">
        <v>52</v>
      </c>
      <c r="E3758" t="s">
        <v>11740</v>
      </c>
      <c r="F3758" t="s">
        <v>95</v>
      </c>
      <c r="G3758" t="str">
        <f>HYPERLINK("https://twitter.com/839286213408395264/status/1142784787310088193")</f>
        <v>https://twitter.com/839286213408395264/status/1142784787310088193</v>
      </c>
      <c r="H3758" t="s">
        <v>215</v>
      </c>
      <c r="I3758" t="s">
        <v>11741</v>
      </c>
      <c r="J3758" t="str">
        <f>HYPERLINK("http://twitter.com/Wolfalor")</f>
        <v>http://twitter.com/Wolfalor</v>
      </c>
      <c r="K3758">
        <v>22</v>
      </c>
      <c r="L3758" t="s">
        <v>48</v>
      </c>
      <c r="N3758" t="s">
        <v>65</v>
      </c>
      <c r="R3758" t="s">
        <v>60</v>
      </c>
      <c r="W3758">
        <v>0</v>
      </c>
      <c r="X3758">
        <v>0</v>
      </c>
      <c r="AE3758">
        <v>0</v>
      </c>
      <c r="AF3758">
        <v>0</v>
      </c>
      <c r="AM3758" t="s">
        <v>52</v>
      </c>
      <c r="AN3758" t="s">
        <v>53</v>
      </c>
    </row>
    <row r="3759" spans="1:40">
      <c r="A3759" t="s">
        <v>8081</v>
      </c>
      <c r="B3759" t="s">
        <v>697</v>
      </c>
      <c r="C3759" t="s">
        <v>11709</v>
      </c>
      <c r="D3759" t="s">
        <v>52</v>
      </c>
      <c r="E3759" t="s">
        <v>6910</v>
      </c>
      <c r="F3759" t="s">
        <v>131</v>
      </c>
      <c r="G3759" t="str">
        <f>HYPERLINK("https://twitter.com/1117364158721351680/status/1142784667843739650")</f>
        <v>https://twitter.com/1117364158721351680/status/1142784667843739650</v>
      </c>
      <c r="H3759" t="s">
        <v>46</v>
      </c>
      <c r="I3759" t="s">
        <v>11742</v>
      </c>
      <c r="J3759" t="str">
        <f>HYPERLINK("http://twitter.com/bot_rib")</f>
        <v>http://twitter.com/bot_rib</v>
      </c>
      <c r="K3759">
        <v>53</v>
      </c>
      <c r="N3759" t="s">
        <v>65</v>
      </c>
      <c r="R3759" t="s">
        <v>60</v>
      </c>
      <c r="S3759" t="s">
        <v>387</v>
      </c>
      <c r="T3759" t="s">
        <v>2981</v>
      </c>
      <c r="U3759" t="s">
        <v>11743</v>
      </c>
      <c r="W3759">
        <v>0</v>
      </c>
      <c r="X3759">
        <v>0</v>
      </c>
      <c r="AE3759">
        <v>0</v>
      </c>
      <c r="AM3759" t="s">
        <v>52</v>
      </c>
      <c r="AN3759" t="s">
        <v>53</v>
      </c>
    </row>
    <row r="3760" spans="1:40">
      <c r="A3760" t="s">
        <v>8081</v>
      </c>
      <c r="B3760" t="s">
        <v>697</v>
      </c>
      <c r="C3760" t="s">
        <v>11719</v>
      </c>
      <c r="D3760" t="s">
        <v>52</v>
      </c>
      <c r="E3760" t="s">
        <v>8551</v>
      </c>
      <c r="F3760" t="s">
        <v>71</v>
      </c>
      <c r="G3760" t="str">
        <f>HYPERLINK("https://twitter.com/995041526/status/1142784646985461760")</f>
        <v>https://twitter.com/995041526/status/1142784646985461760</v>
      </c>
      <c r="H3760" t="s">
        <v>46</v>
      </c>
      <c r="I3760" t="s">
        <v>11744</v>
      </c>
      <c r="J3760" t="str">
        <f>HYPERLINK("http://twitter.com/sul_lb")</f>
        <v>http://twitter.com/sul_lb</v>
      </c>
      <c r="K3760">
        <v>13192</v>
      </c>
      <c r="N3760" t="s">
        <v>65</v>
      </c>
      <c r="R3760" t="s">
        <v>60</v>
      </c>
      <c r="S3760" t="s">
        <v>7989</v>
      </c>
      <c r="T3760" t="s">
        <v>11745</v>
      </c>
      <c r="U3760" t="s">
        <v>11746</v>
      </c>
      <c r="W3760">
        <v>0</v>
      </c>
      <c r="X3760">
        <v>0</v>
      </c>
      <c r="AE3760">
        <v>0</v>
      </c>
      <c r="AF3760">
        <v>0</v>
      </c>
      <c r="AI3760" t="s">
        <v>108</v>
      </c>
      <c r="AJ3760" t="s">
        <v>52</v>
      </c>
      <c r="AK3760" t="s">
        <v>52</v>
      </c>
      <c r="AL3760" t="str">
        <f>HYPERLINK("https://pbs.twimg.com/media/D9sAXHUX4AA6vJs.jpg")</f>
        <v>https://pbs.twimg.com/media/D9sAXHUX4AA6vJs.jpg</v>
      </c>
      <c r="AM3760" t="s">
        <v>52</v>
      </c>
      <c r="AN3760" t="s">
        <v>53</v>
      </c>
    </row>
    <row r="3761" spans="1:40">
      <c r="A3761" t="s">
        <v>8081</v>
      </c>
      <c r="B3761" t="s">
        <v>6456</v>
      </c>
      <c r="C3761" t="s">
        <v>11747</v>
      </c>
      <c r="D3761" t="s">
        <v>52</v>
      </c>
      <c r="E3761" t="s">
        <v>8566</v>
      </c>
      <c r="F3761" t="s">
        <v>45</v>
      </c>
      <c r="G3761" t="str">
        <f>HYPERLINK("https://twitter.com/22419345/status/1142784619542171648")</f>
        <v>https://twitter.com/22419345/status/1142784619542171648</v>
      </c>
      <c r="H3761" t="s">
        <v>46</v>
      </c>
      <c r="I3761" t="s">
        <v>11748</v>
      </c>
      <c r="J3761" t="str">
        <f>HYPERLINK("http://twitter.com/annetdonahue")</f>
        <v>http://twitter.com/annetdonahue</v>
      </c>
      <c r="K3761">
        <v>52085</v>
      </c>
      <c r="L3761" t="s">
        <v>58</v>
      </c>
      <c r="N3761" t="s">
        <v>65</v>
      </c>
      <c r="R3761" t="s">
        <v>60</v>
      </c>
      <c r="S3761" t="s">
        <v>444</v>
      </c>
      <c r="T3761" t="s">
        <v>1062</v>
      </c>
      <c r="U3761" t="s">
        <v>3442</v>
      </c>
      <c r="W3761">
        <v>312</v>
      </c>
      <c r="X3761">
        <v>312</v>
      </c>
      <c r="AE3761">
        <v>3</v>
      </c>
      <c r="AF3761">
        <v>15</v>
      </c>
      <c r="AM3761" t="s">
        <v>52</v>
      </c>
      <c r="AN3761" t="s">
        <v>53</v>
      </c>
    </row>
    <row r="3762" spans="1:40">
      <c r="A3762" t="s">
        <v>8081</v>
      </c>
      <c r="B3762" t="s">
        <v>6456</v>
      </c>
      <c r="C3762" t="s">
        <v>11732</v>
      </c>
      <c r="D3762" t="s">
        <v>52</v>
      </c>
      <c r="E3762" t="s">
        <v>11749</v>
      </c>
      <c r="F3762" t="s">
        <v>45</v>
      </c>
      <c r="G3762" t="str">
        <f>HYPERLINK("https://twitter.com/1072962672323428352/status/1142784560045985793")</f>
        <v>https://twitter.com/1072962672323428352/status/1142784560045985793</v>
      </c>
      <c r="H3762" t="s">
        <v>46</v>
      </c>
      <c r="I3762" t="s">
        <v>11750</v>
      </c>
      <c r="J3762" t="str">
        <f>HYPERLINK("http://twitter.com/FairyRubes")</f>
        <v>http://twitter.com/FairyRubes</v>
      </c>
      <c r="K3762">
        <v>446</v>
      </c>
      <c r="N3762" t="s">
        <v>65</v>
      </c>
      <c r="R3762" t="s">
        <v>60</v>
      </c>
      <c r="W3762">
        <v>2</v>
      </c>
      <c r="X3762">
        <v>2</v>
      </c>
      <c r="AE3762">
        <v>0</v>
      </c>
      <c r="AF3762">
        <v>0</v>
      </c>
      <c r="AM3762" t="s">
        <v>52</v>
      </c>
      <c r="AN3762" t="s">
        <v>53</v>
      </c>
    </row>
    <row r="3763" spans="1:40">
      <c r="A3763" t="s">
        <v>8081</v>
      </c>
      <c r="B3763" t="s">
        <v>6456</v>
      </c>
      <c r="C3763" t="s">
        <v>11751</v>
      </c>
      <c r="D3763" t="s">
        <v>52</v>
      </c>
      <c r="E3763" t="s">
        <v>526</v>
      </c>
      <c r="F3763" t="s">
        <v>131</v>
      </c>
      <c r="G3763" t="str">
        <f>HYPERLINK("https://twitter.com/862156914653843457/status/1142784529507192832")</f>
        <v>https://twitter.com/862156914653843457/status/1142784529507192832</v>
      </c>
      <c r="H3763" t="s">
        <v>46</v>
      </c>
      <c r="I3763" t="s">
        <v>11752</v>
      </c>
      <c r="J3763" t="str">
        <f>HYPERLINK("http://twitter.com/UnaLesbianaSad")</f>
        <v>http://twitter.com/UnaLesbianaSad</v>
      </c>
      <c r="K3763">
        <v>162</v>
      </c>
      <c r="N3763" t="s">
        <v>65</v>
      </c>
      <c r="R3763" t="s">
        <v>60</v>
      </c>
      <c r="S3763" t="s">
        <v>437</v>
      </c>
      <c r="T3763" t="s">
        <v>528</v>
      </c>
      <c r="U3763" t="s">
        <v>529</v>
      </c>
      <c r="W3763">
        <v>0</v>
      </c>
      <c r="X3763">
        <v>0</v>
      </c>
      <c r="AE3763">
        <v>0</v>
      </c>
      <c r="AI3763" t="s">
        <v>108</v>
      </c>
      <c r="AJ3763" t="s">
        <v>52</v>
      </c>
      <c r="AK3763" t="s">
        <v>52</v>
      </c>
      <c r="AL3763" t="str">
        <f>HYPERLINK("https://pbs.twimg.com/ext_tw_video_thumb/1141360066962100224/pu/img/5_tGc4hLFQwcD07b.jpg")</f>
        <v>https://pbs.twimg.com/ext_tw_video_thumb/1141360066962100224/pu/img/5_tGc4hLFQwcD07b.jpg</v>
      </c>
      <c r="AM3763" t="s">
        <v>52</v>
      </c>
      <c r="AN3763" t="s">
        <v>53</v>
      </c>
    </row>
    <row r="3764" spans="1:40">
      <c r="A3764" t="s">
        <v>8081</v>
      </c>
      <c r="B3764" t="s">
        <v>6456</v>
      </c>
      <c r="C3764" t="s">
        <v>11728</v>
      </c>
      <c r="D3764" t="s">
        <v>52</v>
      </c>
      <c r="E3764" t="s">
        <v>11753</v>
      </c>
      <c r="F3764" t="s">
        <v>45</v>
      </c>
      <c r="G3764" t="str">
        <f>HYPERLINK("https://twitter.com/1142410937149874177/status/1142784375257538562")</f>
        <v>https://twitter.com/1142410937149874177/status/1142784375257538562</v>
      </c>
      <c r="H3764" t="s">
        <v>46</v>
      </c>
      <c r="I3764" t="s">
        <v>2282</v>
      </c>
      <c r="J3764" t="str">
        <f>HYPERLINK("http://twitter.com/chvchvtrain")</f>
        <v>http://twitter.com/chvchvtrain</v>
      </c>
      <c r="K3764">
        <v>3</v>
      </c>
      <c r="N3764" t="s">
        <v>65</v>
      </c>
      <c r="R3764" t="s">
        <v>60</v>
      </c>
      <c r="S3764" t="s">
        <v>4276</v>
      </c>
      <c r="T3764" t="s">
        <v>11754</v>
      </c>
      <c r="U3764" t="s">
        <v>11755</v>
      </c>
      <c r="W3764">
        <v>0</v>
      </c>
      <c r="X3764">
        <v>0</v>
      </c>
      <c r="AE3764">
        <v>0</v>
      </c>
      <c r="AF3764">
        <v>0</v>
      </c>
      <c r="AM3764" t="s">
        <v>52</v>
      </c>
      <c r="AN3764" t="s">
        <v>53</v>
      </c>
    </row>
    <row r="3765" spans="1:40">
      <c r="A3765" t="s">
        <v>8081</v>
      </c>
      <c r="B3765" t="s">
        <v>6461</v>
      </c>
      <c r="C3765" t="s">
        <v>11751</v>
      </c>
      <c r="D3765" t="s">
        <v>52</v>
      </c>
      <c r="E3765" t="s">
        <v>276</v>
      </c>
      <c r="F3765" t="s">
        <v>131</v>
      </c>
      <c r="G3765" t="str">
        <f>HYPERLINK("https://twitter.com/4783997618/status/1142784303522336768")</f>
        <v>https://twitter.com/4783997618/status/1142784303522336768</v>
      </c>
      <c r="H3765" t="s">
        <v>46</v>
      </c>
      <c r="I3765" t="s">
        <v>11756</v>
      </c>
      <c r="J3765" t="str">
        <f>HYPERLINK("http://twitter.com/SuperSayinRoxas")</f>
        <v>http://twitter.com/SuperSayinRoxas</v>
      </c>
      <c r="K3765">
        <v>55</v>
      </c>
      <c r="N3765" t="s">
        <v>65</v>
      </c>
      <c r="R3765" t="s">
        <v>60</v>
      </c>
      <c r="W3765">
        <v>0</v>
      </c>
      <c r="X3765">
        <v>0</v>
      </c>
      <c r="AE3765">
        <v>0</v>
      </c>
      <c r="AI3765" t="s">
        <v>108</v>
      </c>
      <c r="AJ3765" t="s">
        <v>52</v>
      </c>
      <c r="AK3765" t="s">
        <v>52</v>
      </c>
      <c r="AL3765" t="str">
        <f>HYPERLINK("https://pbs.twimg.com/tweet_video_thumb/D9hvNNzXUAATAS3.jpg")</f>
        <v>https://pbs.twimg.com/tweet_video_thumb/D9hvNNzXUAATAS3.jpg</v>
      </c>
      <c r="AM3765" t="s">
        <v>52</v>
      </c>
      <c r="AN3765" t="s">
        <v>53</v>
      </c>
    </row>
    <row r="3766" spans="1:40">
      <c r="A3766" t="s">
        <v>8081</v>
      </c>
      <c r="B3766" t="s">
        <v>6461</v>
      </c>
      <c r="C3766" t="s">
        <v>11757</v>
      </c>
      <c r="D3766" t="s">
        <v>52</v>
      </c>
      <c r="E3766" t="s">
        <v>130</v>
      </c>
      <c r="F3766" t="s">
        <v>131</v>
      </c>
      <c r="G3766" t="str">
        <f>HYPERLINK("https://twitter.com/128349707/status/1142784211943862274")</f>
        <v>https://twitter.com/128349707/status/1142784211943862274</v>
      </c>
      <c r="H3766" t="s">
        <v>46</v>
      </c>
      <c r="I3766" t="s">
        <v>11758</v>
      </c>
      <c r="J3766" t="str">
        <f>HYPERLINK("http://twitter.com/inyosi89")</f>
        <v>http://twitter.com/inyosi89</v>
      </c>
      <c r="K3766">
        <v>294</v>
      </c>
      <c r="L3766" t="s">
        <v>58</v>
      </c>
      <c r="N3766" t="s">
        <v>65</v>
      </c>
      <c r="R3766" t="s">
        <v>60</v>
      </c>
      <c r="S3766" t="s">
        <v>97</v>
      </c>
      <c r="T3766" t="s">
        <v>177</v>
      </c>
      <c r="U3766" t="s">
        <v>361</v>
      </c>
      <c r="W3766">
        <v>0</v>
      </c>
      <c r="X3766">
        <v>0</v>
      </c>
      <c r="AE3766">
        <v>0</v>
      </c>
      <c r="AI3766" t="s">
        <v>108</v>
      </c>
      <c r="AJ3766" t="s">
        <v>52</v>
      </c>
      <c r="AK3766" t="s">
        <v>52</v>
      </c>
      <c r="AL3766" t="str">
        <f>HYPERLINK("https://pbs.twimg.com/media/D9XTkLWW4AAOYnJ.jpg")</f>
        <v>https://pbs.twimg.com/media/D9XTkLWW4AAOYnJ.jpg</v>
      </c>
      <c r="AM3766" t="s">
        <v>52</v>
      </c>
      <c r="AN3766" t="s">
        <v>53</v>
      </c>
    </row>
    <row r="3767" spans="1:40">
      <c r="A3767" t="s">
        <v>8081</v>
      </c>
      <c r="B3767" t="s">
        <v>6473</v>
      </c>
      <c r="C3767" t="s">
        <v>11751</v>
      </c>
      <c r="D3767" t="s">
        <v>52</v>
      </c>
      <c r="E3767" t="s">
        <v>11759</v>
      </c>
      <c r="F3767" t="s">
        <v>71</v>
      </c>
      <c r="G3767" t="str">
        <f>HYPERLINK("https://twitter.com/818370790718656516/status/1142784043123183622")</f>
        <v>https://twitter.com/818370790718656516/status/1142784043123183622</v>
      </c>
      <c r="H3767" t="s">
        <v>215</v>
      </c>
      <c r="I3767" t="s">
        <v>11760</v>
      </c>
      <c r="J3767" t="str">
        <f>HYPERLINK("http://twitter.com/Idolor_Mute")</f>
        <v>http://twitter.com/Idolor_Mute</v>
      </c>
      <c r="K3767">
        <v>1355</v>
      </c>
      <c r="N3767" t="s">
        <v>65</v>
      </c>
      <c r="R3767" t="s">
        <v>60</v>
      </c>
      <c r="S3767" t="s">
        <v>1071</v>
      </c>
      <c r="T3767" t="s">
        <v>5971</v>
      </c>
      <c r="U3767" t="s">
        <v>6207</v>
      </c>
      <c r="W3767">
        <v>0</v>
      </c>
      <c r="X3767">
        <v>0</v>
      </c>
      <c r="AE3767">
        <v>0</v>
      </c>
      <c r="AF3767">
        <v>0</v>
      </c>
      <c r="AM3767" t="s">
        <v>52</v>
      </c>
      <c r="AN3767" t="s">
        <v>53</v>
      </c>
    </row>
    <row r="3768" spans="1:40">
      <c r="A3768" t="s">
        <v>8081</v>
      </c>
      <c r="B3768" t="s">
        <v>717</v>
      </c>
      <c r="C3768" t="s">
        <v>11747</v>
      </c>
      <c r="D3768" t="s">
        <v>52</v>
      </c>
      <c r="E3768" t="s">
        <v>11759</v>
      </c>
      <c r="F3768" t="s">
        <v>71</v>
      </c>
      <c r="G3768" t="str">
        <f>HYPERLINK("https://twitter.com/817786910131310592/status/1142783372382625797")</f>
        <v>https://twitter.com/817786910131310592/status/1142783372382625797</v>
      </c>
      <c r="H3768" t="s">
        <v>215</v>
      </c>
      <c r="I3768" t="s">
        <v>11761</v>
      </c>
      <c r="J3768" t="str">
        <f>HYPERLINK("http://twitter.com/___tshego")</f>
        <v>http://twitter.com/___tshego</v>
      </c>
      <c r="K3768">
        <v>3984</v>
      </c>
      <c r="N3768" t="s">
        <v>65</v>
      </c>
      <c r="R3768" t="s">
        <v>60</v>
      </c>
      <c r="S3768" t="s">
        <v>1071</v>
      </c>
      <c r="T3768" t="s">
        <v>1072</v>
      </c>
      <c r="U3768" t="s">
        <v>1073</v>
      </c>
      <c r="W3768">
        <v>6</v>
      </c>
      <c r="X3768">
        <v>6</v>
      </c>
      <c r="AE3768">
        <v>7</v>
      </c>
      <c r="AF3768">
        <v>1</v>
      </c>
      <c r="AM3768" t="s">
        <v>52</v>
      </c>
      <c r="AN3768" t="s">
        <v>53</v>
      </c>
    </row>
    <row r="3769" spans="1:40">
      <c r="A3769" t="s">
        <v>8081</v>
      </c>
      <c r="B3769" t="s">
        <v>727</v>
      </c>
      <c r="C3769" t="s">
        <v>11762</v>
      </c>
      <c r="D3769" t="s">
        <v>52</v>
      </c>
      <c r="E3769" t="s">
        <v>11212</v>
      </c>
      <c r="F3769" t="s">
        <v>71</v>
      </c>
      <c r="G3769" t="str">
        <f>HYPERLINK("https://twitter.com/1039187508142239745/status/1142783098003894272")</f>
        <v>https://twitter.com/1039187508142239745/status/1142783098003894272</v>
      </c>
      <c r="H3769" t="s">
        <v>46</v>
      </c>
      <c r="I3769" t="s">
        <v>11763</v>
      </c>
      <c r="J3769" t="str">
        <f>HYPERLINK("http://twitter.com/lilitha_j")</f>
        <v>http://twitter.com/lilitha_j</v>
      </c>
      <c r="K3769">
        <v>468</v>
      </c>
      <c r="N3769" t="s">
        <v>65</v>
      </c>
      <c r="R3769" t="s">
        <v>60</v>
      </c>
      <c r="S3769" t="s">
        <v>7582</v>
      </c>
      <c r="T3769" t="s">
        <v>11764</v>
      </c>
      <c r="U3769" t="s">
        <v>11765</v>
      </c>
      <c r="W3769">
        <v>0</v>
      </c>
      <c r="X3769">
        <v>0</v>
      </c>
      <c r="AE3769">
        <v>0</v>
      </c>
      <c r="AF3769">
        <v>0</v>
      </c>
      <c r="AM3769" t="s">
        <v>52</v>
      </c>
      <c r="AN3769" t="s">
        <v>53</v>
      </c>
    </row>
    <row r="3770" spans="1:40">
      <c r="A3770" t="s">
        <v>8081</v>
      </c>
      <c r="B3770" t="s">
        <v>727</v>
      </c>
      <c r="C3770" t="s">
        <v>11762</v>
      </c>
      <c r="D3770" t="s">
        <v>52</v>
      </c>
      <c r="E3770" t="s">
        <v>11766</v>
      </c>
      <c r="F3770" t="s">
        <v>71</v>
      </c>
      <c r="G3770" t="str">
        <f>HYPERLINK("https://twitter.com/2759014596/status/1142783093910228993")</f>
        <v>https://twitter.com/2759014596/status/1142783093910228993</v>
      </c>
      <c r="H3770" t="s">
        <v>46</v>
      </c>
      <c r="I3770" t="s">
        <v>11767</v>
      </c>
      <c r="J3770" t="str">
        <f>HYPERLINK("http://twitter.com/Itssimplifiedxx")</f>
        <v>http://twitter.com/Itssimplifiedxx</v>
      </c>
      <c r="K3770">
        <v>287</v>
      </c>
      <c r="N3770" t="s">
        <v>65</v>
      </c>
      <c r="R3770" t="s">
        <v>60</v>
      </c>
      <c r="S3770" t="s">
        <v>1071</v>
      </c>
      <c r="T3770" t="s">
        <v>1072</v>
      </c>
      <c r="U3770" t="s">
        <v>1073</v>
      </c>
      <c r="W3770">
        <v>0</v>
      </c>
      <c r="X3770">
        <v>0</v>
      </c>
      <c r="AE3770">
        <v>0</v>
      </c>
      <c r="AF3770">
        <v>0</v>
      </c>
      <c r="AI3770" t="s">
        <v>1875</v>
      </c>
      <c r="AJ3770" t="s">
        <v>2828</v>
      </c>
      <c r="AK3770" t="s">
        <v>52</v>
      </c>
      <c r="AL3770" t="str">
        <f>HYPERLINK("https://pbs.twimg.com/media/D9g19WnXkAAJZTq.jpg")</f>
        <v>https://pbs.twimg.com/media/D9g19WnXkAAJZTq.jpg</v>
      </c>
      <c r="AM3770" t="s">
        <v>52</v>
      </c>
      <c r="AN3770" t="s">
        <v>53</v>
      </c>
    </row>
    <row r="3771" spans="1:40">
      <c r="A3771" t="s">
        <v>8081</v>
      </c>
      <c r="B3771" t="s">
        <v>727</v>
      </c>
      <c r="C3771" t="s">
        <v>11768</v>
      </c>
      <c r="D3771" t="s">
        <v>52</v>
      </c>
      <c r="E3771" t="s">
        <v>11212</v>
      </c>
      <c r="F3771" t="s">
        <v>71</v>
      </c>
      <c r="G3771" t="str">
        <f>HYPERLINK("https://twitter.com/531624405/status/1142782921994117121")</f>
        <v>https://twitter.com/531624405/status/1142782921994117121</v>
      </c>
      <c r="H3771" t="s">
        <v>46</v>
      </c>
      <c r="I3771" t="s">
        <v>11769</v>
      </c>
      <c r="J3771" t="str">
        <f>HYPERLINK("http://twitter.com/TheBoyTapes")</f>
        <v>http://twitter.com/TheBoyTapes</v>
      </c>
      <c r="K3771">
        <v>11225</v>
      </c>
      <c r="N3771" t="s">
        <v>65</v>
      </c>
      <c r="R3771" t="s">
        <v>60</v>
      </c>
      <c r="S3771" t="s">
        <v>1071</v>
      </c>
      <c r="T3771" t="s">
        <v>1072</v>
      </c>
      <c r="U3771" t="s">
        <v>1073</v>
      </c>
      <c r="W3771">
        <v>0</v>
      </c>
      <c r="X3771">
        <v>0</v>
      </c>
      <c r="AE3771">
        <v>0</v>
      </c>
      <c r="AF3771">
        <v>0</v>
      </c>
      <c r="AM3771" t="s">
        <v>52</v>
      </c>
      <c r="AN3771" t="s">
        <v>53</v>
      </c>
    </row>
    <row r="3772" spans="1:40">
      <c r="A3772" t="s">
        <v>8081</v>
      </c>
      <c r="B3772" t="s">
        <v>11770</v>
      </c>
      <c r="C3772" t="s">
        <v>11771</v>
      </c>
      <c r="D3772" t="s">
        <v>52</v>
      </c>
      <c r="E3772" t="s">
        <v>7026</v>
      </c>
      <c r="F3772" t="s">
        <v>131</v>
      </c>
      <c r="G3772" t="str">
        <f>HYPERLINK("https://twitter.com/72018116/status/1142782839206895617")</f>
        <v>https://twitter.com/72018116/status/1142782839206895617</v>
      </c>
      <c r="H3772" t="s">
        <v>46</v>
      </c>
      <c r="I3772" t="s">
        <v>11772</v>
      </c>
      <c r="J3772" t="str">
        <f>HYPERLINK("http://twitter.com/Miss_Hlumee")</f>
        <v>http://twitter.com/Miss_Hlumee</v>
      </c>
      <c r="K3772">
        <v>1308</v>
      </c>
      <c r="N3772" t="s">
        <v>65</v>
      </c>
      <c r="R3772" t="s">
        <v>60</v>
      </c>
      <c r="S3772" t="s">
        <v>1071</v>
      </c>
      <c r="T3772" t="s">
        <v>1072</v>
      </c>
      <c r="U3772" t="s">
        <v>1073</v>
      </c>
      <c r="W3772">
        <v>0</v>
      </c>
      <c r="X3772">
        <v>0</v>
      </c>
      <c r="AE3772">
        <v>0</v>
      </c>
      <c r="AM3772" t="s">
        <v>52</v>
      </c>
      <c r="AN3772" t="s">
        <v>53</v>
      </c>
    </row>
    <row r="3773" spans="1:40">
      <c r="A3773" t="s">
        <v>8081</v>
      </c>
      <c r="B3773" t="s">
        <v>11773</v>
      </c>
      <c r="C3773" t="s">
        <v>11774</v>
      </c>
      <c r="D3773" t="s">
        <v>52</v>
      </c>
      <c r="E3773" t="s">
        <v>11775</v>
      </c>
      <c r="F3773" t="s">
        <v>95</v>
      </c>
      <c r="G3773" t="str">
        <f>HYPERLINK("https://twitter.com/323438154/status/1142782586873360389")</f>
        <v>https://twitter.com/323438154/status/1142782586873360389</v>
      </c>
      <c r="H3773" t="s">
        <v>46</v>
      </c>
      <c r="I3773" t="s">
        <v>5390</v>
      </c>
      <c r="J3773" t="str">
        <f>HYPERLINK("http://twitter.com/Oh_So_Near")</f>
        <v>http://twitter.com/Oh_So_Near</v>
      </c>
      <c r="K3773">
        <v>524</v>
      </c>
      <c r="L3773" t="s">
        <v>48</v>
      </c>
      <c r="N3773" t="s">
        <v>65</v>
      </c>
      <c r="R3773" t="s">
        <v>60</v>
      </c>
      <c r="S3773" t="s">
        <v>97</v>
      </c>
      <c r="T3773" t="s">
        <v>177</v>
      </c>
      <c r="U3773" t="s">
        <v>4018</v>
      </c>
      <c r="W3773">
        <v>1</v>
      </c>
      <c r="X3773">
        <v>1</v>
      </c>
      <c r="AE3773">
        <v>0</v>
      </c>
      <c r="AF3773">
        <v>0</v>
      </c>
      <c r="AM3773" t="s">
        <v>52</v>
      </c>
      <c r="AN3773" t="s">
        <v>53</v>
      </c>
    </row>
    <row r="3774" spans="1:40">
      <c r="A3774" t="s">
        <v>8081</v>
      </c>
      <c r="B3774" t="s">
        <v>11776</v>
      </c>
      <c r="C3774" t="s">
        <v>11771</v>
      </c>
      <c r="D3774" t="s">
        <v>52</v>
      </c>
      <c r="E3774" t="s">
        <v>11777</v>
      </c>
      <c r="F3774" t="s">
        <v>45</v>
      </c>
      <c r="G3774" t="str">
        <f>HYPERLINK("https://www.instagram.com/p/BzDbGyhoPE4")</f>
        <v>https://www.instagram.com/p/BzDbGyhoPE4</v>
      </c>
      <c r="H3774" t="s">
        <v>46</v>
      </c>
      <c r="I3774" t="s">
        <v>11778</v>
      </c>
      <c r="J3774" t="str">
        <f>HYPERLINK("http://instagram.com/natacha_rk")</f>
        <v>http://instagram.com/natacha_rk</v>
      </c>
      <c r="K3774">
        <v>183</v>
      </c>
      <c r="N3774" t="s">
        <v>59</v>
      </c>
      <c r="O3774" t="s">
        <v>11778</v>
      </c>
      <c r="P3774" t="str">
        <f>HYPERLINK("http://instagram.com/natacha_rk")</f>
        <v>http://instagram.com/natacha_rk</v>
      </c>
      <c r="Q3774">
        <v>183</v>
      </c>
      <c r="R3774" t="s">
        <v>60</v>
      </c>
      <c r="W3774">
        <v>35</v>
      </c>
      <c r="X3774">
        <v>35</v>
      </c>
      <c r="AE3774">
        <v>0</v>
      </c>
      <c r="AI3774" t="s">
        <v>52</v>
      </c>
      <c r="AJ3774" t="s">
        <v>11779</v>
      </c>
      <c r="AK3774" t="s">
        <v>52</v>
      </c>
      <c r="AL3774" t="str">
        <f>HYPERLINK("https://www.instagram.com/p/BzDbGyhoPE4/media/?size=l")</f>
        <v>https://www.instagram.com/p/BzDbGyhoPE4/media/?size=l</v>
      </c>
      <c r="AM3774" t="s">
        <v>52</v>
      </c>
      <c r="AN3774" t="s">
        <v>53</v>
      </c>
    </row>
    <row r="3775" spans="1:40">
      <c r="A3775" t="s">
        <v>8081</v>
      </c>
      <c r="B3775" t="s">
        <v>6484</v>
      </c>
      <c r="C3775" t="s">
        <v>11771</v>
      </c>
      <c r="D3775" t="s">
        <v>52</v>
      </c>
      <c r="E3775" t="s">
        <v>11780</v>
      </c>
      <c r="F3775" t="s">
        <v>71</v>
      </c>
      <c r="G3775" t="str">
        <f>HYPERLINK("https://twitter.com/781427924696268800/status/1142781838290804736")</f>
        <v>https://twitter.com/781427924696268800/status/1142781838290804736</v>
      </c>
      <c r="H3775" t="s">
        <v>46</v>
      </c>
      <c r="I3775" t="s">
        <v>11781</v>
      </c>
      <c r="J3775" t="str">
        <f>HYPERLINK("http://twitter.com/smanga_sm")</f>
        <v>http://twitter.com/smanga_sm</v>
      </c>
      <c r="K3775">
        <v>471</v>
      </c>
      <c r="N3775" t="s">
        <v>65</v>
      </c>
      <c r="R3775" t="s">
        <v>60</v>
      </c>
      <c r="S3775" t="s">
        <v>51</v>
      </c>
      <c r="T3775" t="s">
        <v>2923</v>
      </c>
      <c r="U3775" t="s">
        <v>3623</v>
      </c>
      <c r="W3775">
        <v>0</v>
      </c>
      <c r="X3775">
        <v>0</v>
      </c>
      <c r="AE3775">
        <v>1</v>
      </c>
      <c r="AF3775">
        <v>0</v>
      </c>
      <c r="AM3775" t="s">
        <v>52</v>
      </c>
      <c r="AN3775" t="s">
        <v>53</v>
      </c>
    </row>
    <row r="3776" spans="1:40">
      <c r="A3776" t="s">
        <v>8081</v>
      </c>
      <c r="B3776" t="s">
        <v>6484</v>
      </c>
      <c r="C3776" t="s">
        <v>11771</v>
      </c>
      <c r="D3776" t="s">
        <v>52</v>
      </c>
      <c r="E3776" t="s">
        <v>11782</v>
      </c>
      <c r="F3776" t="s">
        <v>45</v>
      </c>
      <c r="G3776" t="str">
        <f>HYPERLINK("https://www.instagram.com/p/BzDajO1BPze")</f>
        <v>https://www.instagram.com/p/BzDajO1BPze</v>
      </c>
      <c r="H3776" t="s">
        <v>215</v>
      </c>
      <c r="I3776" t="s">
        <v>11783</v>
      </c>
      <c r="J3776" t="str">
        <f>HYPERLINK("http://instagram.com/mikedesignyo")</f>
        <v>http://instagram.com/mikedesignyo</v>
      </c>
      <c r="K3776">
        <v>139</v>
      </c>
      <c r="L3776" t="s">
        <v>48</v>
      </c>
      <c r="N3776" t="s">
        <v>59</v>
      </c>
      <c r="O3776" t="s">
        <v>11783</v>
      </c>
      <c r="P3776" t="str">
        <f>HYPERLINK("http://instagram.com/mikedesignyo")</f>
        <v>http://instagram.com/mikedesignyo</v>
      </c>
      <c r="Q3776">
        <v>139</v>
      </c>
      <c r="R3776" t="s">
        <v>60</v>
      </c>
      <c r="W3776">
        <v>22</v>
      </c>
      <c r="X3776">
        <v>22</v>
      </c>
      <c r="AE3776">
        <v>0</v>
      </c>
      <c r="AG3776">
        <v>67</v>
      </c>
      <c r="AI3776" t="s">
        <v>52</v>
      </c>
      <c r="AJ3776" t="s">
        <v>6990</v>
      </c>
      <c r="AK3776" t="s">
        <v>52</v>
      </c>
      <c r="AL3776" t="str">
        <f>HYPERLINK("https://www.instagram.com/p/BzDajO1BPze/media/?size=l")</f>
        <v>https://www.instagram.com/p/BzDajO1BPze/media/?size=l</v>
      </c>
      <c r="AM3776" t="s">
        <v>52</v>
      </c>
      <c r="AN3776" t="s">
        <v>53</v>
      </c>
    </row>
    <row r="3777" spans="1:40">
      <c r="A3777" t="s">
        <v>8081</v>
      </c>
      <c r="B3777" t="s">
        <v>6503</v>
      </c>
      <c r="C3777" t="s">
        <v>11774</v>
      </c>
      <c r="D3777" t="s">
        <v>52</v>
      </c>
      <c r="E3777" t="s">
        <v>11784</v>
      </c>
      <c r="F3777" t="s">
        <v>71</v>
      </c>
      <c r="G3777" t="str">
        <f>HYPERLINK("https://twitter.com/728506327123828736/status/1142780837072703490")</f>
        <v>https://twitter.com/728506327123828736/status/1142780837072703490</v>
      </c>
      <c r="H3777" t="s">
        <v>46</v>
      </c>
      <c r="I3777" t="s">
        <v>11785</v>
      </c>
      <c r="J3777" t="str">
        <f>HYPERLINK("http://twitter.com/XkhonaDlamini")</f>
        <v>http://twitter.com/XkhonaDlamini</v>
      </c>
      <c r="K3777">
        <v>99</v>
      </c>
      <c r="N3777" t="s">
        <v>65</v>
      </c>
      <c r="R3777" t="s">
        <v>60</v>
      </c>
      <c r="S3777" t="s">
        <v>1071</v>
      </c>
      <c r="T3777" t="s">
        <v>5506</v>
      </c>
      <c r="U3777" t="s">
        <v>5507</v>
      </c>
      <c r="W3777">
        <v>0</v>
      </c>
      <c r="X3777">
        <v>0</v>
      </c>
      <c r="AE3777">
        <v>0</v>
      </c>
      <c r="AF3777">
        <v>0</v>
      </c>
      <c r="AI3777" t="s">
        <v>108</v>
      </c>
      <c r="AJ3777" t="s">
        <v>52</v>
      </c>
      <c r="AK3777" t="s">
        <v>52</v>
      </c>
      <c r="AL3777" t="str">
        <f>HYPERLINK("https://pbs.twimg.com/media/D9sAXHUX4AA6vJs.jpg")</f>
        <v>https://pbs.twimg.com/media/D9sAXHUX4AA6vJs.jpg</v>
      </c>
      <c r="AM3777" t="s">
        <v>52</v>
      </c>
      <c r="AN3777" t="s">
        <v>53</v>
      </c>
    </row>
    <row r="3778" spans="1:40">
      <c r="A3778" t="s">
        <v>8081</v>
      </c>
      <c r="B3778" t="s">
        <v>6503</v>
      </c>
      <c r="C3778" t="s">
        <v>11786</v>
      </c>
      <c r="D3778" t="s">
        <v>52</v>
      </c>
      <c r="E3778" t="s">
        <v>11787</v>
      </c>
      <c r="F3778" t="s">
        <v>71</v>
      </c>
      <c r="G3778" t="str">
        <f>HYPERLINK("https://twitter.com/280527519/status/1142780813412581376")</f>
        <v>https://twitter.com/280527519/status/1142780813412581376</v>
      </c>
      <c r="H3778" t="s">
        <v>46</v>
      </c>
      <c r="I3778" t="s">
        <v>11788</v>
      </c>
      <c r="J3778" t="str">
        <f>HYPERLINK("http://twitter.com/KwandaFox")</f>
        <v>http://twitter.com/KwandaFox</v>
      </c>
      <c r="K3778">
        <v>843</v>
      </c>
      <c r="N3778" t="s">
        <v>65</v>
      </c>
      <c r="R3778" t="s">
        <v>60</v>
      </c>
      <c r="S3778" t="s">
        <v>1071</v>
      </c>
      <c r="T3778" t="s">
        <v>1072</v>
      </c>
      <c r="U3778" t="s">
        <v>11789</v>
      </c>
      <c r="W3778">
        <v>0</v>
      </c>
      <c r="X3778">
        <v>0</v>
      </c>
      <c r="AE3778">
        <v>0</v>
      </c>
      <c r="AF3778">
        <v>0</v>
      </c>
      <c r="AI3778" t="s">
        <v>108</v>
      </c>
      <c r="AJ3778" t="s">
        <v>52</v>
      </c>
      <c r="AK3778" t="s">
        <v>52</v>
      </c>
      <c r="AL3778" t="str">
        <f>HYPERLINK("https://pbs.twimg.com/media/D9sAXHUX4AA6vJs.jpg")</f>
        <v>https://pbs.twimg.com/media/D9sAXHUX4AA6vJs.jpg</v>
      </c>
      <c r="AM3778" t="s">
        <v>52</v>
      </c>
      <c r="AN3778" t="s">
        <v>53</v>
      </c>
    </row>
    <row r="3779" spans="1:40">
      <c r="A3779" t="s">
        <v>8081</v>
      </c>
      <c r="B3779" t="s">
        <v>6503</v>
      </c>
      <c r="C3779" t="s">
        <v>11790</v>
      </c>
      <c r="D3779" t="s">
        <v>52</v>
      </c>
      <c r="E3779" t="s">
        <v>11791</v>
      </c>
      <c r="F3779" t="s">
        <v>45</v>
      </c>
      <c r="G3779" t="str">
        <f>HYPERLINK("https://www.instagram.com/p/BzDaUfXhF3h")</f>
        <v>https://www.instagram.com/p/BzDaUfXhF3h</v>
      </c>
      <c r="H3779" t="s">
        <v>46</v>
      </c>
      <c r="I3779" t="s">
        <v>11792</v>
      </c>
      <c r="J3779" t="str">
        <f>HYPERLINK("http://instagram.com/paige.slimmingworld")</f>
        <v>http://instagram.com/paige.slimmingworld</v>
      </c>
      <c r="K3779">
        <v>412</v>
      </c>
      <c r="L3779" t="s">
        <v>58</v>
      </c>
      <c r="N3779" t="s">
        <v>59</v>
      </c>
      <c r="O3779" t="s">
        <v>11792</v>
      </c>
      <c r="P3779" t="str">
        <f>HYPERLINK("http://instagram.com/paige.slimmingworld")</f>
        <v>http://instagram.com/paige.slimmingworld</v>
      </c>
      <c r="Q3779">
        <v>412</v>
      </c>
      <c r="R3779" t="s">
        <v>60</v>
      </c>
      <c r="W3779">
        <v>23</v>
      </c>
      <c r="X3779">
        <v>23</v>
      </c>
      <c r="AE3779">
        <v>0</v>
      </c>
      <c r="AI3779" t="s">
        <v>52</v>
      </c>
      <c r="AJ3779" t="s">
        <v>3936</v>
      </c>
      <c r="AK3779" t="s">
        <v>52</v>
      </c>
      <c r="AL3779" t="str">
        <f>HYPERLINK("https://www.instagram.com/p/BzDaUfXhF3h/media/?size=l")</f>
        <v>https://www.instagram.com/p/BzDaUfXhF3h/media/?size=l</v>
      </c>
      <c r="AM3779" t="s">
        <v>52</v>
      </c>
      <c r="AN3779" t="s">
        <v>53</v>
      </c>
    </row>
    <row r="3780" spans="1:40">
      <c r="A3780" t="s">
        <v>8081</v>
      </c>
      <c r="B3780" t="s">
        <v>752</v>
      </c>
      <c r="C3780" t="s">
        <v>11771</v>
      </c>
      <c r="D3780" t="s">
        <v>52</v>
      </c>
      <c r="E3780" t="s">
        <v>11793</v>
      </c>
      <c r="F3780" t="s">
        <v>45</v>
      </c>
      <c r="G3780" t="str">
        <f>HYPERLINK("https://www.instagram.com/p/BzDZtUMDNSx")</f>
        <v>https://www.instagram.com/p/BzDZtUMDNSx</v>
      </c>
      <c r="H3780" t="s">
        <v>46</v>
      </c>
      <c r="I3780" t="s">
        <v>11794</v>
      </c>
      <c r="J3780" t="str">
        <f>HYPERLINK("http://instagram.com/lukeymilo")</f>
        <v>http://instagram.com/lukeymilo</v>
      </c>
      <c r="K3780">
        <v>266</v>
      </c>
      <c r="N3780" t="s">
        <v>59</v>
      </c>
      <c r="O3780" t="s">
        <v>11794</v>
      </c>
      <c r="P3780" t="str">
        <f>HYPERLINK("http://instagram.com/lukeymilo")</f>
        <v>http://instagram.com/lukeymilo</v>
      </c>
      <c r="Q3780">
        <v>266</v>
      </c>
      <c r="R3780" t="s">
        <v>60</v>
      </c>
      <c r="S3780" t="s">
        <v>1770</v>
      </c>
      <c r="T3780" t="s">
        <v>11795</v>
      </c>
      <c r="U3780" t="s">
        <v>11796</v>
      </c>
      <c r="W3780">
        <v>8</v>
      </c>
      <c r="X3780">
        <v>8</v>
      </c>
      <c r="AE3780">
        <v>0</v>
      </c>
      <c r="AG3780">
        <v>129</v>
      </c>
      <c r="AI3780" t="s">
        <v>52</v>
      </c>
      <c r="AJ3780" t="s">
        <v>52</v>
      </c>
      <c r="AK3780" t="s">
        <v>11797</v>
      </c>
      <c r="AL3780" t="str">
        <f>HYPERLINK("https://www.instagram.com/p/BzDZtUMDNSx/media/?size=l")</f>
        <v>https://www.instagram.com/p/BzDZtUMDNSx/media/?size=l</v>
      </c>
      <c r="AM3780" t="s">
        <v>52</v>
      </c>
      <c r="AN3780" t="s">
        <v>53</v>
      </c>
    </row>
    <row r="3781" spans="1:40">
      <c r="A3781" t="s">
        <v>8081</v>
      </c>
      <c r="B3781" t="s">
        <v>763</v>
      </c>
      <c r="C3781" t="s">
        <v>11798</v>
      </c>
      <c r="D3781" t="s">
        <v>52</v>
      </c>
      <c r="E3781" t="s">
        <v>4514</v>
      </c>
      <c r="F3781" t="s">
        <v>71</v>
      </c>
      <c r="G3781" t="str">
        <f>HYPERLINK("https://twitter.com/1604287860/status/1142779433029439488")</f>
        <v>https://twitter.com/1604287860/status/1142779433029439488</v>
      </c>
      <c r="H3781" t="s">
        <v>46</v>
      </c>
      <c r="I3781" t="s">
        <v>11799</v>
      </c>
      <c r="J3781" t="str">
        <f>HYPERLINK("http://twitter.com/ryu_L_")</f>
        <v>http://twitter.com/ryu_L_</v>
      </c>
      <c r="K3781">
        <v>368</v>
      </c>
      <c r="N3781" t="s">
        <v>65</v>
      </c>
      <c r="R3781" t="s">
        <v>60</v>
      </c>
      <c r="W3781">
        <v>0</v>
      </c>
      <c r="X3781">
        <v>0</v>
      </c>
      <c r="AE3781">
        <v>0</v>
      </c>
      <c r="AF3781">
        <v>0</v>
      </c>
      <c r="AI3781" t="s">
        <v>108</v>
      </c>
      <c r="AJ3781" t="s">
        <v>52</v>
      </c>
      <c r="AK3781" t="s">
        <v>52</v>
      </c>
      <c r="AL3781" t="str">
        <f>HYPERLINK("https://pbs.twimg.com/tweet_video_thumb/D9hvNNzXUAATAS3.jpg")</f>
        <v>https://pbs.twimg.com/tweet_video_thumb/D9hvNNzXUAATAS3.jpg</v>
      </c>
      <c r="AM3781" t="s">
        <v>52</v>
      </c>
      <c r="AN3781" t="s">
        <v>53</v>
      </c>
    </row>
    <row r="3782" spans="1:40">
      <c r="A3782" t="s">
        <v>8081</v>
      </c>
      <c r="B3782" t="s">
        <v>763</v>
      </c>
      <c r="C3782" t="s">
        <v>11800</v>
      </c>
      <c r="D3782" t="s">
        <v>52</v>
      </c>
      <c r="E3782" t="s">
        <v>11801</v>
      </c>
      <c r="F3782" t="s">
        <v>45</v>
      </c>
      <c r="G3782" t="str">
        <f>HYPERLINK("https://www.facebook.com/742480482500804/posts/2225935427488628")</f>
        <v>https://www.facebook.com/742480482500804/posts/2225935427488628</v>
      </c>
      <c r="H3782" t="s">
        <v>46</v>
      </c>
      <c r="I3782" t="s">
        <v>11802</v>
      </c>
      <c r="J3782" t="str">
        <f>HYPERLINK("https://www.facebook.com/742480482500804")</f>
        <v>https://www.facebook.com/742480482500804</v>
      </c>
      <c r="K3782">
        <v>837676</v>
      </c>
      <c r="L3782" t="s">
        <v>651</v>
      </c>
      <c r="N3782" t="s">
        <v>1792</v>
      </c>
      <c r="O3782" t="s">
        <v>11802</v>
      </c>
      <c r="P3782" t="str">
        <f>HYPERLINK("https://www.facebook.com/742480482500804")</f>
        <v>https://www.facebook.com/742480482500804</v>
      </c>
      <c r="Q3782">
        <v>837676</v>
      </c>
      <c r="R3782" t="s">
        <v>60</v>
      </c>
      <c r="W3782">
        <v>1253</v>
      </c>
      <c r="X3782">
        <v>992</v>
      </c>
      <c r="Y3782">
        <v>162</v>
      </c>
      <c r="Z3782">
        <v>98</v>
      </c>
      <c r="AA3782">
        <v>1</v>
      </c>
      <c r="AB3782">
        <v>0</v>
      </c>
      <c r="AC3782">
        <v>0</v>
      </c>
      <c r="AE3782">
        <v>84</v>
      </c>
      <c r="AF3782">
        <v>315</v>
      </c>
      <c r="AI3782" t="s">
        <v>52</v>
      </c>
      <c r="AJ3782" t="s">
        <v>3777</v>
      </c>
      <c r="AK3782" t="s">
        <v>11803</v>
      </c>
      <c r="AL3782" t="str">
        <f>HYPERLINK("https://www.scarymommy.com/wp-content/uploads/2016/05/80s-Beach-Now.jpg?fit=700%2C400")</f>
        <v>https://www.scarymommy.com/wp-content/uploads/2016/05/80s-Beach-Now.jpg?fit=700%2C400</v>
      </c>
      <c r="AM3782" t="s">
        <v>52</v>
      </c>
      <c r="AN3782" t="s">
        <v>53</v>
      </c>
    </row>
    <row r="3783" spans="1:40">
      <c r="A3783" t="s">
        <v>8081</v>
      </c>
      <c r="B3783" t="s">
        <v>763</v>
      </c>
      <c r="C3783" t="s">
        <v>10258</v>
      </c>
      <c r="D3783" t="s">
        <v>52</v>
      </c>
      <c r="E3783" t="s">
        <v>11804</v>
      </c>
      <c r="F3783" t="s">
        <v>45</v>
      </c>
      <c r="G3783" t="str">
        <f>HYPERLINK("https://www.facebook.com/143549621770/posts/10156152795116771")</f>
        <v>https://www.facebook.com/143549621770/posts/10156152795116771</v>
      </c>
      <c r="H3783" t="s">
        <v>46</v>
      </c>
      <c r="I3783" t="s">
        <v>11805</v>
      </c>
      <c r="J3783" t="str">
        <f>HYPERLINK("https://www.facebook.com/143549621770")</f>
        <v>https://www.facebook.com/143549621770</v>
      </c>
      <c r="K3783">
        <v>12621</v>
      </c>
      <c r="L3783" t="s">
        <v>651</v>
      </c>
      <c r="N3783" t="s">
        <v>1792</v>
      </c>
      <c r="O3783" t="s">
        <v>11805</v>
      </c>
      <c r="P3783" t="str">
        <f>HYPERLINK("https://www.facebook.com/143549621770")</f>
        <v>https://www.facebook.com/143549621770</v>
      </c>
      <c r="Q3783">
        <v>12621</v>
      </c>
      <c r="R3783" t="s">
        <v>60</v>
      </c>
      <c r="S3783" t="s">
        <v>51</v>
      </c>
      <c r="W3783">
        <v>1</v>
      </c>
      <c r="X3783">
        <v>0</v>
      </c>
      <c r="Y3783">
        <v>1</v>
      </c>
      <c r="Z3783">
        <v>0</v>
      </c>
      <c r="AA3783">
        <v>0</v>
      </c>
      <c r="AB3783">
        <v>0</v>
      </c>
      <c r="AC3783">
        <v>0</v>
      </c>
      <c r="AE3783">
        <v>1</v>
      </c>
      <c r="AF3783">
        <v>0</v>
      </c>
      <c r="AL3783" t="str">
        <f>HYPERLINK("https://www.indeonline.com/storyimage/ZZ/20190620/ENTERTAINMENTLIFE/190629996/AR/0/tacobell-hotel-summer-travel.jpg")</f>
        <v>https://www.indeonline.com/storyimage/ZZ/20190620/ENTERTAINMENTLIFE/190629996/AR/0/tacobell-hotel-summer-travel.jpg</v>
      </c>
      <c r="AM3783" t="s">
        <v>52</v>
      </c>
      <c r="AN3783" t="s">
        <v>53</v>
      </c>
    </row>
    <row r="3784" spans="1:40">
      <c r="A3784" t="s">
        <v>8081</v>
      </c>
      <c r="B3784" t="s">
        <v>766</v>
      </c>
      <c r="C3784" t="s">
        <v>11806</v>
      </c>
      <c r="D3784" t="s">
        <v>52</v>
      </c>
      <c r="E3784" t="s">
        <v>11807</v>
      </c>
      <c r="F3784" t="s">
        <v>71</v>
      </c>
      <c r="G3784" t="str">
        <f>HYPERLINK("https://twitter.com/487060689/status/1142779275201916928")</f>
        <v>https://twitter.com/487060689/status/1142779275201916928</v>
      </c>
      <c r="H3784" t="s">
        <v>46</v>
      </c>
      <c r="I3784" t="s">
        <v>11808</v>
      </c>
      <c r="J3784" t="str">
        <f>HYPERLINK("http://twitter.com/its_Tay_Ia")</f>
        <v>http://twitter.com/its_Tay_Ia</v>
      </c>
      <c r="K3784">
        <v>1657</v>
      </c>
      <c r="N3784" t="s">
        <v>65</v>
      </c>
      <c r="R3784" t="s">
        <v>60</v>
      </c>
      <c r="S3784" t="s">
        <v>51</v>
      </c>
      <c r="T3784" t="s">
        <v>2729</v>
      </c>
      <c r="U3784" t="s">
        <v>11809</v>
      </c>
      <c r="W3784">
        <v>0</v>
      </c>
      <c r="X3784">
        <v>0</v>
      </c>
      <c r="AE3784">
        <v>0</v>
      </c>
      <c r="AF3784">
        <v>0</v>
      </c>
      <c r="AI3784" t="s">
        <v>108</v>
      </c>
      <c r="AJ3784" t="s">
        <v>52</v>
      </c>
      <c r="AK3784" t="s">
        <v>52</v>
      </c>
      <c r="AL3784" t="str">
        <f>HYPERLINK("https://pbs.twimg.com/media/D9sAXHUX4AA6vJs.jpg")</f>
        <v>https://pbs.twimg.com/media/D9sAXHUX4AA6vJs.jpg</v>
      </c>
      <c r="AM3784" t="s">
        <v>52</v>
      </c>
      <c r="AN3784" t="s">
        <v>53</v>
      </c>
    </row>
    <row r="3785" spans="1:40">
      <c r="A3785" t="s">
        <v>8081</v>
      </c>
      <c r="B3785" t="s">
        <v>766</v>
      </c>
      <c r="C3785" t="s">
        <v>11810</v>
      </c>
      <c r="D3785" t="s">
        <v>52</v>
      </c>
      <c r="E3785" t="s">
        <v>11811</v>
      </c>
      <c r="F3785" t="s">
        <v>45</v>
      </c>
      <c r="G3785" t="str">
        <f>HYPERLINK("https://www.instagram.com/p/BzDZoLxFvsO")</f>
        <v>https://www.instagram.com/p/BzDZoLxFvsO</v>
      </c>
      <c r="H3785" t="s">
        <v>46</v>
      </c>
      <c r="I3785" t="s">
        <v>11812</v>
      </c>
      <c r="J3785" t="str">
        <f>HYPERLINK("http://instagram.com/that_car_enthusiast")</f>
        <v>http://instagram.com/that_car_enthusiast</v>
      </c>
      <c r="K3785">
        <v>148</v>
      </c>
      <c r="N3785" t="s">
        <v>59</v>
      </c>
      <c r="O3785" t="s">
        <v>11812</v>
      </c>
      <c r="P3785" t="str">
        <f>HYPERLINK("http://instagram.com/that_car_enthusiast")</f>
        <v>http://instagram.com/that_car_enthusiast</v>
      </c>
      <c r="Q3785">
        <v>148</v>
      </c>
      <c r="R3785" t="s">
        <v>60</v>
      </c>
      <c r="W3785">
        <v>30</v>
      </c>
      <c r="X3785">
        <v>30</v>
      </c>
      <c r="AE3785">
        <v>3</v>
      </c>
      <c r="AI3785" t="s">
        <v>52</v>
      </c>
      <c r="AJ3785" t="s">
        <v>121</v>
      </c>
      <c r="AK3785" t="s">
        <v>52</v>
      </c>
      <c r="AL3785" t="str">
        <f>HYPERLINK("https://www.instagram.com/p/BzDZoLxFvsO/media/?size=l")</f>
        <v>https://www.instagram.com/p/BzDZoLxFvsO/media/?size=l</v>
      </c>
      <c r="AM3785" t="s">
        <v>52</v>
      </c>
      <c r="AN3785" t="s">
        <v>53</v>
      </c>
    </row>
    <row r="3786" spans="1:40">
      <c r="A3786" t="s">
        <v>8081</v>
      </c>
      <c r="B3786" t="s">
        <v>6528</v>
      </c>
      <c r="C3786" t="s">
        <v>11813</v>
      </c>
      <c r="D3786" t="s">
        <v>52</v>
      </c>
      <c r="E3786" t="s">
        <v>11814</v>
      </c>
      <c r="F3786" t="s">
        <v>71</v>
      </c>
      <c r="G3786" t="str">
        <f>HYPERLINK("https://twitter.com/1565129851/status/1142778985149095936")</f>
        <v>https://twitter.com/1565129851/status/1142778985149095936</v>
      </c>
      <c r="H3786" t="s">
        <v>46</v>
      </c>
      <c r="I3786" t="s">
        <v>11815</v>
      </c>
      <c r="J3786" t="str">
        <f>HYPERLINK("http://twitter.com/pxnki")</f>
        <v>http://twitter.com/pxnki</v>
      </c>
      <c r="K3786">
        <v>405</v>
      </c>
      <c r="N3786" t="s">
        <v>65</v>
      </c>
      <c r="R3786" t="s">
        <v>60</v>
      </c>
      <c r="S3786" t="s">
        <v>1071</v>
      </c>
      <c r="T3786" t="s">
        <v>1072</v>
      </c>
      <c r="U3786" t="s">
        <v>1295</v>
      </c>
      <c r="W3786">
        <v>0</v>
      </c>
      <c r="X3786">
        <v>0</v>
      </c>
      <c r="AE3786">
        <v>0</v>
      </c>
      <c r="AF3786">
        <v>0</v>
      </c>
      <c r="AM3786" t="s">
        <v>52</v>
      </c>
      <c r="AN3786" t="s">
        <v>53</v>
      </c>
    </row>
    <row r="3787" spans="1:40">
      <c r="A3787" t="s">
        <v>8081</v>
      </c>
      <c r="B3787" t="s">
        <v>779</v>
      </c>
      <c r="C3787" t="s">
        <v>11816</v>
      </c>
      <c r="D3787" t="s">
        <v>52</v>
      </c>
      <c r="E3787" t="s">
        <v>3749</v>
      </c>
      <c r="F3787" t="s">
        <v>71</v>
      </c>
      <c r="G3787" t="str">
        <f>HYPERLINK("https://twitter.com/1174254541/status/1142778360021618688")</f>
        <v>https://twitter.com/1174254541/status/1142778360021618688</v>
      </c>
      <c r="H3787" t="s">
        <v>46</v>
      </c>
      <c r="I3787" t="s">
        <v>11817</v>
      </c>
      <c r="J3787" t="str">
        <f>HYPERLINK("http://twitter.com/siyablvx")</f>
        <v>http://twitter.com/siyablvx</v>
      </c>
      <c r="K3787">
        <v>1916</v>
      </c>
      <c r="N3787" t="s">
        <v>65</v>
      </c>
      <c r="R3787" t="s">
        <v>60</v>
      </c>
      <c r="S3787" t="s">
        <v>189</v>
      </c>
      <c r="U3787" t="s">
        <v>190</v>
      </c>
      <c r="W3787">
        <v>0</v>
      </c>
      <c r="X3787">
        <v>0</v>
      </c>
      <c r="AE3787">
        <v>0</v>
      </c>
      <c r="AF3787">
        <v>0</v>
      </c>
      <c r="AI3787" t="s">
        <v>108</v>
      </c>
      <c r="AJ3787" t="s">
        <v>52</v>
      </c>
      <c r="AK3787" t="s">
        <v>52</v>
      </c>
      <c r="AL3787" t="str">
        <f>HYPERLINK("https://pbs.twimg.com/media/D9sAXHUX4AA6vJs.jpg")</f>
        <v>https://pbs.twimg.com/media/D9sAXHUX4AA6vJs.jpg</v>
      </c>
      <c r="AM3787" t="s">
        <v>52</v>
      </c>
      <c r="AN3787" t="s">
        <v>53</v>
      </c>
    </row>
    <row r="3788" spans="1:40">
      <c r="A3788" t="s">
        <v>8081</v>
      </c>
      <c r="B3788" t="s">
        <v>779</v>
      </c>
      <c r="C3788" t="s">
        <v>11816</v>
      </c>
      <c r="D3788" t="s">
        <v>52</v>
      </c>
      <c r="E3788" t="s">
        <v>8551</v>
      </c>
      <c r="F3788" t="s">
        <v>71</v>
      </c>
      <c r="G3788" t="str">
        <f>HYPERLINK("https://twitter.com/922687248163885056/status/1142778350076878848")</f>
        <v>https://twitter.com/922687248163885056/status/1142778350076878848</v>
      </c>
      <c r="H3788" t="s">
        <v>46</v>
      </c>
      <c r="I3788" t="s">
        <v>11818</v>
      </c>
      <c r="J3788" t="str">
        <f>HYPERLINK("http://twitter.com/elder_tsuro")</f>
        <v>http://twitter.com/elder_tsuro</v>
      </c>
      <c r="K3788">
        <v>3886</v>
      </c>
      <c r="N3788" t="s">
        <v>65</v>
      </c>
      <c r="R3788" t="s">
        <v>60</v>
      </c>
      <c r="S3788" t="s">
        <v>51</v>
      </c>
      <c r="T3788" t="s">
        <v>3267</v>
      </c>
      <c r="U3788" t="s">
        <v>11819</v>
      </c>
      <c r="W3788">
        <v>0</v>
      </c>
      <c r="X3788">
        <v>0</v>
      </c>
      <c r="AE3788">
        <v>0</v>
      </c>
      <c r="AF3788">
        <v>0</v>
      </c>
      <c r="AI3788" t="s">
        <v>108</v>
      </c>
      <c r="AJ3788" t="s">
        <v>52</v>
      </c>
      <c r="AK3788" t="s">
        <v>52</v>
      </c>
      <c r="AL3788" t="str">
        <f>HYPERLINK("https://pbs.twimg.com/media/D9sAXHUX4AA6vJs.jpg")</f>
        <v>https://pbs.twimg.com/media/D9sAXHUX4AA6vJs.jpg</v>
      </c>
      <c r="AM3788" t="s">
        <v>52</v>
      </c>
      <c r="AN3788" t="s">
        <v>53</v>
      </c>
    </row>
    <row r="3789" spans="1:40">
      <c r="A3789" t="s">
        <v>8081</v>
      </c>
      <c r="B3789" t="s">
        <v>6543</v>
      </c>
      <c r="C3789" t="s">
        <v>11806</v>
      </c>
      <c r="D3789" t="s">
        <v>52</v>
      </c>
      <c r="E3789" t="s">
        <v>7026</v>
      </c>
      <c r="F3789" t="s">
        <v>71</v>
      </c>
      <c r="G3789" t="str">
        <f>HYPERLINK("https://twitter.com/322010071/status/1142778116655525888")</f>
        <v>https://twitter.com/322010071/status/1142778116655525888</v>
      </c>
      <c r="H3789" t="s">
        <v>46</v>
      </c>
      <c r="I3789" t="s">
        <v>11820</v>
      </c>
      <c r="J3789" t="str">
        <f>HYPERLINK("http://twitter.com/LeratoMannya")</f>
        <v>http://twitter.com/LeratoMannya</v>
      </c>
      <c r="K3789">
        <v>38498</v>
      </c>
      <c r="N3789" t="s">
        <v>65</v>
      </c>
      <c r="R3789" t="s">
        <v>60</v>
      </c>
      <c r="S3789" t="s">
        <v>1071</v>
      </c>
      <c r="T3789" t="s">
        <v>1072</v>
      </c>
      <c r="U3789" t="s">
        <v>1073</v>
      </c>
      <c r="W3789">
        <v>0</v>
      </c>
      <c r="X3789">
        <v>0</v>
      </c>
      <c r="AE3789">
        <v>0</v>
      </c>
      <c r="AF3789">
        <v>0</v>
      </c>
      <c r="AM3789" t="s">
        <v>52</v>
      </c>
      <c r="AN3789" t="s">
        <v>53</v>
      </c>
    </row>
    <row r="3790" spans="1:40">
      <c r="A3790" t="s">
        <v>8081</v>
      </c>
      <c r="B3790" t="s">
        <v>783</v>
      </c>
      <c r="C3790" t="s">
        <v>11821</v>
      </c>
      <c r="D3790" t="s">
        <v>52</v>
      </c>
      <c r="E3790" t="s">
        <v>11822</v>
      </c>
      <c r="F3790" t="s">
        <v>45</v>
      </c>
      <c r="G3790" t="str">
        <f>HYPERLINK("https://www.instagram.com/p/BzDZFfIiMuc")</f>
        <v>https://www.instagram.com/p/BzDZFfIiMuc</v>
      </c>
      <c r="H3790" t="s">
        <v>46</v>
      </c>
      <c r="I3790" t="s">
        <v>11823</v>
      </c>
      <c r="J3790" t="str">
        <f>HYPERLINK("http://instagram.com/nikki_mfp")</f>
        <v>http://instagram.com/nikki_mfp</v>
      </c>
      <c r="K3790">
        <v>139</v>
      </c>
      <c r="N3790" t="s">
        <v>59</v>
      </c>
      <c r="O3790" t="s">
        <v>11823</v>
      </c>
      <c r="P3790" t="str">
        <f>HYPERLINK("http://instagram.com/nikki_mfp")</f>
        <v>http://instagram.com/nikki_mfp</v>
      </c>
      <c r="Q3790">
        <v>139</v>
      </c>
      <c r="R3790" t="s">
        <v>60</v>
      </c>
      <c r="W3790">
        <v>43</v>
      </c>
      <c r="X3790">
        <v>43</v>
      </c>
      <c r="AE3790">
        <v>1</v>
      </c>
      <c r="AI3790" t="s">
        <v>52</v>
      </c>
      <c r="AJ3790" t="s">
        <v>11824</v>
      </c>
      <c r="AK3790" t="s">
        <v>52</v>
      </c>
      <c r="AL3790" t="str">
        <f>HYPERLINK("https://www.instagram.com/p/BzDZFfIiMuc/media/?size=l")</f>
        <v>https://www.instagram.com/p/BzDZFfIiMuc/media/?size=l</v>
      </c>
      <c r="AM3790" t="s">
        <v>52</v>
      </c>
      <c r="AN3790" t="s">
        <v>53</v>
      </c>
    </row>
    <row r="3791" spans="1:40">
      <c r="A3791" t="s">
        <v>8081</v>
      </c>
      <c r="B3791" t="s">
        <v>11825</v>
      </c>
      <c r="C3791" t="s">
        <v>11826</v>
      </c>
      <c r="D3791" t="s">
        <v>52</v>
      </c>
      <c r="E3791" t="s">
        <v>11827</v>
      </c>
      <c r="F3791" t="s">
        <v>95</v>
      </c>
      <c r="G3791" t="str">
        <f>HYPERLINK("https://twitter.com/392323729/status/1142777720272826369")</f>
        <v>https://twitter.com/392323729/status/1142777720272826369</v>
      </c>
      <c r="H3791" t="s">
        <v>46</v>
      </c>
      <c r="I3791" t="s">
        <v>11828</v>
      </c>
      <c r="J3791" t="str">
        <f>HYPERLINK("http://twitter.com/Walts0987")</f>
        <v>http://twitter.com/Walts0987</v>
      </c>
      <c r="K3791">
        <v>1437</v>
      </c>
      <c r="N3791" t="s">
        <v>65</v>
      </c>
      <c r="R3791" t="s">
        <v>60</v>
      </c>
      <c r="S3791" t="s">
        <v>1963</v>
      </c>
      <c r="T3791" t="s">
        <v>11829</v>
      </c>
      <c r="U3791" t="s">
        <v>11830</v>
      </c>
      <c r="W3791">
        <v>1</v>
      </c>
      <c r="X3791">
        <v>1</v>
      </c>
      <c r="AE3791">
        <v>0</v>
      </c>
      <c r="AF3791">
        <v>0</v>
      </c>
      <c r="AM3791" t="s">
        <v>52</v>
      </c>
      <c r="AN3791" t="s">
        <v>53</v>
      </c>
    </row>
    <row r="3792" spans="1:40">
      <c r="A3792" t="s">
        <v>8081</v>
      </c>
      <c r="B3792" t="s">
        <v>11825</v>
      </c>
      <c r="C3792" t="s">
        <v>11816</v>
      </c>
      <c r="D3792" t="s">
        <v>52</v>
      </c>
      <c r="E3792" t="s">
        <v>11831</v>
      </c>
      <c r="F3792" t="s">
        <v>45</v>
      </c>
      <c r="G3792" t="str">
        <f>HYPERLINK("https://www.instagram.com/p/BzDY8cailU6")</f>
        <v>https://www.instagram.com/p/BzDY8cailU6</v>
      </c>
      <c r="H3792" t="s">
        <v>46</v>
      </c>
      <c r="I3792" t="s">
        <v>11832</v>
      </c>
      <c r="J3792" t="str">
        <f>HYPERLINK("http://instagram.com/mary.comics")</f>
        <v>http://instagram.com/mary.comics</v>
      </c>
      <c r="K3792">
        <v>59212</v>
      </c>
      <c r="L3792" t="s">
        <v>58</v>
      </c>
      <c r="N3792" t="s">
        <v>59</v>
      </c>
      <c r="O3792" t="s">
        <v>11832</v>
      </c>
      <c r="P3792" t="str">
        <f>HYPERLINK("http://instagram.com/mary.comics")</f>
        <v>http://instagram.com/mary.comics</v>
      </c>
      <c r="Q3792">
        <v>59212</v>
      </c>
      <c r="R3792" t="s">
        <v>60</v>
      </c>
      <c r="W3792">
        <v>6601</v>
      </c>
      <c r="X3792">
        <v>6601</v>
      </c>
      <c r="AE3792">
        <v>78</v>
      </c>
      <c r="AI3792" t="s">
        <v>52</v>
      </c>
      <c r="AJ3792" t="s">
        <v>458</v>
      </c>
      <c r="AK3792" t="s">
        <v>52</v>
      </c>
      <c r="AL3792" t="str">
        <f>HYPERLINK("https://www.instagram.com/p/BzDY8cailU6/media/?size=l")</f>
        <v>https://www.instagram.com/p/BzDY8cailU6/media/?size=l</v>
      </c>
      <c r="AM3792" t="s">
        <v>52</v>
      </c>
      <c r="AN3792" t="s">
        <v>53</v>
      </c>
    </row>
    <row r="3793" spans="1:40">
      <c r="A3793" t="s">
        <v>8081</v>
      </c>
      <c r="B3793" t="s">
        <v>6559</v>
      </c>
      <c r="C3793" t="s">
        <v>11821</v>
      </c>
      <c r="D3793" t="s">
        <v>52</v>
      </c>
      <c r="E3793" t="s">
        <v>11833</v>
      </c>
      <c r="F3793" t="s">
        <v>45</v>
      </c>
      <c r="G3793" t="str">
        <f>HYPERLINK("https://www.instagram.com/p/BzDY37JgSoY")</f>
        <v>https://www.instagram.com/p/BzDY37JgSoY</v>
      </c>
      <c r="H3793" t="s">
        <v>46</v>
      </c>
      <c r="I3793" t="s">
        <v>11834</v>
      </c>
      <c r="J3793" t="str">
        <f>HYPERLINK("http://instagram.com/heartforxadia")</f>
        <v>http://instagram.com/heartforxadia</v>
      </c>
      <c r="K3793">
        <v>143</v>
      </c>
      <c r="N3793" t="s">
        <v>59</v>
      </c>
      <c r="O3793" t="s">
        <v>11834</v>
      </c>
      <c r="P3793" t="str">
        <f>HYPERLINK("http://instagram.com/heartforxadia")</f>
        <v>http://instagram.com/heartforxadia</v>
      </c>
      <c r="Q3793">
        <v>143</v>
      </c>
      <c r="R3793" t="s">
        <v>60</v>
      </c>
      <c r="W3793">
        <v>314</v>
      </c>
      <c r="X3793">
        <v>314</v>
      </c>
      <c r="AE3793">
        <v>5</v>
      </c>
      <c r="AI3793" t="s">
        <v>52</v>
      </c>
      <c r="AJ3793" t="s">
        <v>52</v>
      </c>
      <c r="AK3793" t="s">
        <v>52</v>
      </c>
      <c r="AL3793" t="str">
        <f>HYPERLINK("https://www.instagram.com/p/BzDY37JgSoY/media/?size=l")</f>
        <v>https://www.instagram.com/p/BzDY37JgSoY/media/?size=l</v>
      </c>
      <c r="AM3793" t="s">
        <v>52</v>
      </c>
      <c r="AN3793" t="s">
        <v>53</v>
      </c>
    </row>
    <row r="3794" spans="1:40">
      <c r="A3794" t="s">
        <v>8081</v>
      </c>
      <c r="B3794" t="s">
        <v>6570</v>
      </c>
      <c r="C3794" t="s">
        <v>11835</v>
      </c>
      <c r="D3794" t="s">
        <v>52</v>
      </c>
      <c r="E3794" t="s">
        <v>11836</v>
      </c>
      <c r="F3794" t="s">
        <v>45</v>
      </c>
      <c r="G3794" t="str">
        <f>HYPERLINK("https://www.instagram.com/p/BzDYsbZBbxj")</f>
        <v>https://www.instagram.com/p/BzDYsbZBbxj</v>
      </c>
      <c r="H3794" t="s">
        <v>46</v>
      </c>
      <c r="I3794" t="s">
        <v>11837</v>
      </c>
      <c r="J3794" t="str">
        <f>HYPERLINK("http://instagram.com/girlmeetsfood")</f>
        <v>http://instagram.com/girlmeetsfood</v>
      </c>
      <c r="K3794">
        <v>10138</v>
      </c>
      <c r="N3794" t="s">
        <v>59</v>
      </c>
      <c r="O3794" t="s">
        <v>11837</v>
      </c>
      <c r="P3794" t="str">
        <f>HYPERLINK("http://instagram.com/girlmeetsfood")</f>
        <v>http://instagram.com/girlmeetsfood</v>
      </c>
      <c r="Q3794">
        <v>10138</v>
      </c>
      <c r="R3794" t="s">
        <v>60</v>
      </c>
      <c r="W3794">
        <v>236</v>
      </c>
      <c r="X3794">
        <v>236</v>
      </c>
      <c r="AE3794">
        <v>66</v>
      </c>
      <c r="AI3794" t="s">
        <v>52</v>
      </c>
      <c r="AJ3794" t="s">
        <v>11838</v>
      </c>
      <c r="AK3794" t="s">
        <v>2565</v>
      </c>
      <c r="AL3794" t="str">
        <f>HYPERLINK("https://www.instagram.com/p/BzDYsbZBbxj/media/?size=l")</f>
        <v>https://www.instagram.com/p/BzDYsbZBbxj/media/?size=l</v>
      </c>
      <c r="AM3794" t="s">
        <v>52</v>
      </c>
      <c r="AN3794" t="s">
        <v>53</v>
      </c>
    </row>
    <row r="3795" spans="1:40">
      <c r="A3795" t="s">
        <v>8081</v>
      </c>
      <c r="B3795" t="s">
        <v>6570</v>
      </c>
      <c r="C3795" t="s">
        <v>11821</v>
      </c>
      <c r="D3795" t="s">
        <v>52</v>
      </c>
      <c r="E3795" t="s">
        <v>6910</v>
      </c>
      <c r="F3795" t="s">
        <v>131</v>
      </c>
      <c r="G3795" t="str">
        <f>HYPERLINK("https://twitter.com/994972726229192704/status/1142776902278701056")</f>
        <v>https://twitter.com/994972726229192704/status/1142776902278701056</v>
      </c>
      <c r="H3795" t="s">
        <v>46</v>
      </c>
      <c r="I3795" t="s">
        <v>11839</v>
      </c>
      <c r="J3795" t="str">
        <f>HYPERLINK("http://twitter.com/Der8arde")</f>
        <v>http://twitter.com/Der8arde</v>
      </c>
      <c r="K3795">
        <v>367</v>
      </c>
      <c r="N3795" t="s">
        <v>65</v>
      </c>
      <c r="R3795" t="s">
        <v>60</v>
      </c>
      <c r="W3795">
        <v>0</v>
      </c>
      <c r="X3795">
        <v>0</v>
      </c>
      <c r="AE3795">
        <v>0</v>
      </c>
      <c r="AM3795" t="s">
        <v>52</v>
      </c>
      <c r="AN3795" t="s">
        <v>53</v>
      </c>
    </row>
    <row r="3796" spans="1:40">
      <c r="A3796" t="s">
        <v>8081</v>
      </c>
      <c r="B3796" t="s">
        <v>790</v>
      </c>
      <c r="C3796" t="s">
        <v>11840</v>
      </c>
      <c r="D3796" t="s">
        <v>52</v>
      </c>
      <c r="E3796" t="s">
        <v>11841</v>
      </c>
      <c r="F3796" t="s">
        <v>45</v>
      </c>
      <c r="G3796" t="str">
        <f>HYPERLINK("https://twitter.com/1013731493309448193/status/1142776649932558336")</f>
        <v>https://twitter.com/1013731493309448193/status/1142776649932558336</v>
      </c>
      <c r="H3796" t="s">
        <v>215</v>
      </c>
      <c r="I3796" t="s">
        <v>52</v>
      </c>
      <c r="J3796" t="str">
        <f>HYPERLINK("http://twitter.com/VVDijkSZN")</f>
        <v>http://twitter.com/VVDijkSZN</v>
      </c>
      <c r="K3796">
        <v>1642</v>
      </c>
      <c r="N3796" t="s">
        <v>65</v>
      </c>
      <c r="R3796" t="s">
        <v>60</v>
      </c>
      <c r="S3796" t="s">
        <v>1592</v>
      </c>
      <c r="T3796" t="s">
        <v>7462</v>
      </c>
      <c r="U3796" t="s">
        <v>7463</v>
      </c>
      <c r="W3796">
        <v>4</v>
      </c>
      <c r="X3796">
        <v>4</v>
      </c>
      <c r="AE3796">
        <v>1</v>
      </c>
      <c r="AF3796">
        <v>0</v>
      </c>
      <c r="AM3796" t="s">
        <v>52</v>
      </c>
      <c r="AN3796" t="s">
        <v>53</v>
      </c>
    </row>
    <row r="3797" spans="1:40">
      <c r="A3797" t="s">
        <v>8081</v>
      </c>
      <c r="B3797" t="s">
        <v>6582</v>
      </c>
      <c r="C3797" t="s">
        <v>11842</v>
      </c>
      <c r="D3797" t="s">
        <v>52</v>
      </c>
      <c r="E3797" t="s">
        <v>7615</v>
      </c>
      <c r="F3797" t="s">
        <v>71</v>
      </c>
      <c r="G3797" t="str">
        <f>HYPERLINK("https://twitter.com/318666350/status/1142776335292649472")</f>
        <v>https://twitter.com/318666350/status/1142776335292649472</v>
      </c>
      <c r="H3797" t="s">
        <v>46</v>
      </c>
      <c r="I3797" t="s">
        <v>11843</v>
      </c>
      <c r="J3797" t="str">
        <f>HYPERLINK("http://twitter.com/nyc_eu")</f>
        <v>http://twitter.com/nyc_eu</v>
      </c>
      <c r="K3797">
        <v>586</v>
      </c>
      <c r="N3797" t="s">
        <v>65</v>
      </c>
      <c r="R3797" t="s">
        <v>60</v>
      </c>
      <c r="S3797" t="s">
        <v>51</v>
      </c>
      <c r="T3797" t="s">
        <v>152</v>
      </c>
      <c r="U3797" t="s">
        <v>11844</v>
      </c>
      <c r="W3797">
        <v>0</v>
      </c>
      <c r="X3797">
        <v>0</v>
      </c>
      <c r="AE3797">
        <v>0</v>
      </c>
      <c r="AF3797">
        <v>0</v>
      </c>
      <c r="AI3797" t="s">
        <v>108</v>
      </c>
      <c r="AJ3797" t="s">
        <v>52</v>
      </c>
      <c r="AK3797" t="s">
        <v>52</v>
      </c>
      <c r="AL3797" t="str">
        <f>HYPERLINK("https://pbs.twimg.com/media/D9sAXHUX4AA6vJs.jpg")</f>
        <v>https://pbs.twimg.com/media/D9sAXHUX4AA6vJs.jpg</v>
      </c>
      <c r="AM3797" t="s">
        <v>52</v>
      </c>
      <c r="AN3797" t="s">
        <v>53</v>
      </c>
    </row>
    <row r="3798" spans="1:40">
      <c r="A3798" t="s">
        <v>8081</v>
      </c>
      <c r="B3798" t="s">
        <v>801</v>
      </c>
      <c r="C3798" t="s">
        <v>11845</v>
      </c>
      <c r="D3798" t="s">
        <v>52</v>
      </c>
      <c r="E3798" t="s">
        <v>11846</v>
      </c>
      <c r="F3798" t="s">
        <v>131</v>
      </c>
      <c r="G3798" t="str">
        <f>HYPERLINK("https://twitter.com/130035911/status/1142775940168048640")</f>
        <v>https://twitter.com/130035911/status/1142775940168048640</v>
      </c>
      <c r="H3798" t="s">
        <v>215</v>
      </c>
      <c r="I3798" t="s">
        <v>11847</v>
      </c>
      <c r="J3798" t="str">
        <f>HYPERLINK("http://twitter.com/rdtiyad")</f>
        <v>http://twitter.com/rdtiyad</v>
      </c>
      <c r="K3798">
        <v>386</v>
      </c>
      <c r="N3798" t="s">
        <v>65</v>
      </c>
      <c r="R3798" t="s">
        <v>60</v>
      </c>
      <c r="W3798">
        <v>0</v>
      </c>
      <c r="X3798">
        <v>0</v>
      </c>
      <c r="AE3798">
        <v>0</v>
      </c>
      <c r="AI3798" t="s">
        <v>52</v>
      </c>
      <c r="AJ3798" t="s">
        <v>52</v>
      </c>
      <c r="AK3798" t="s">
        <v>52</v>
      </c>
      <c r="AL3798" t="str">
        <f>HYPERLINK("https://pbs.twimg.com/tweet_video_thumb/D9ifew5XoAErV0D.jpg")</f>
        <v>https://pbs.twimg.com/tweet_video_thumb/D9ifew5XoAErV0D.jpg</v>
      </c>
      <c r="AM3798" t="s">
        <v>52</v>
      </c>
      <c r="AN3798" t="s">
        <v>53</v>
      </c>
    </row>
    <row r="3799" spans="1:40">
      <c r="A3799" t="s">
        <v>8081</v>
      </c>
      <c r="B3799" t="s">
        <v>11848</v>
      </c>
      <c r="C3799" t="s">
        <v>11849</v>
      </c>
      <c r="D3799" t="s">
        <v>52</v>
      </c>
      <c r="E3799" t="s">
        <v>4514</v>
      </c>
      <c r="F3799" t="s">
        <v>71</v>
      </c>
      <c r="G3799" t="str">
        <f>HYPERLINK("https://twitter.com/130035911/status/1142775500693053440")</f>
        <v>https://twitter.com/130035911/status/1142775500693053440</v>
      </c>
      <c r="H3799" t="s">
        <v>46</v>
      </c>
      <c r="I3799" t="s">
        <v>11847</v>
      </c>
      <c r="J3799" t="str">
        <f>HYPERLINK("http://twitter.com/rdtiyad")</f>
        <v>http://twitter.com/rdtiyad</v>
      </c>
      <c r="K3799">
        <v>386</v>
      </c>
      <c r="N3799" t="s">
        <v>65</v>
      </c>
      <c r="R3799" t="s">
        <v>60</v>
      </c>
      <c r="W3799">
        <v>0</v>
      </c>
      <c r="X3799">
        <v>0</v>
      </c>
      <c r="AE3799">
        <v>0</v>
      </c>
      <c r="AF3799">
        <v>0</v>
      </c>
      <c r="AI3799" t="s">
        <v>108</v>
      </c>
      <c r="AJ3799" t="s">
        <v>52</v>
      </c>
      <c r="AK3799" t="s">
        <v>52</v>
      </c>
      <c r="AL3799" t="str">
        <f>HYPERLINK("https://pbs.twimg.com/tweet_video_thumb/D9hvNNzXUAATAS3.jpg")</f>
        <v>https://pbs.twimg.com/tweet_video_thumb/D9hvNNzXUAATAS3.jpg</v>
      </c>
      <c r="AM3799" t="s">
        <v>52</v>
      </c>
      <c r="AN3799" t="s">
        <v>53</v>
      </c>
    </row>
    <row r="3800" spans="1:40">
      <c r="A3800" t="s">
        <v>8081</v>
      </c>
      <c r="B3800" t="s">
        <v>11848</v>
      </c>
      <c r="C3800" t="s">
        <v>11850</v>
      </c>
      <c r="D3800" t="s">
        <v>52</v>
      </c>
      <c r="E3800" t="s">
        <v>11851</v>
      </c>
      <c r="F3800" t="s">
        <v>131</v>
      </c>
      <c r="G3800" t="str">
        <f>HYPERLINK("https://twitter.com/1138434471932387334/status/1142775379175845888")</f>
        <v>https://twitter.com/1138434471932387334/status/1142775379175845888</v>
      </c>
      <c r="H3800" t="s">
        <v>46</v>
      </c>
      <c r="I3800" t="s">
        <v>11852</v>
      </c>
      <c r="J3800" t="str">
        <f>HYPERLINK("http://twitter.com/wardbellcesi")</f>
        <v>http://twitter.com/wardbellcesi</v>
      </c>
      <c r="K3800">
        <v>0</v>
      </c>
      <c r="L3800" t="s">
        <v>58</v>
      </c>
      <c r="N3800" t="s">
        <v>65</v>
      </c>
      <c r="R3800" t="s">
        <v>60</v>
      </c>
      <c r="W3800">
        <v>0</v>
      </c>
      <c r="X3800">
        <v>0</v>
      </c>
      <c r="AE3800">
        <v>0</v>
      </c>
      <c r="AM3800" t="s">
        <v>52</v>
      </c>
      <c r="AN3800" t="s">
        <v>53</v>
      </c>
    </row>
    <row r="3801" spans="1:40">
      <c r="A3801" t="s">
        <v>8081</v>
      </c>
      <c r="B3801" t="s">
        <v>11848</v>
      </c>
      <c r="C3801" t="s">
        <v>11850</v>
      </c>
      <c r="D3801" t="s">
        <v>52</v>
      </c>
      <c r="E3801" t="s">
        <v>11853</v>
      </c>
      <c r="F3801" t="s">
        <v>71</v>
      </c>
      <c r="G3801" t="str">
        <f>HYPERLINK("https://twitter.com/544207999/status/1142775353607430147")</f>
        <v>https://twitter.com/544207999/status/1142775353607430147</v>
      </c>
      <c r="H3801" t="s">
        <v>215</v>
      </c>
      <c r="I3801" t="s">
        <v>11854</v>
      </c>
      <c r="J3801" t="str">
        <f>HYPERLINK("http://twitter.com/Fentse_k")</f>
        <v>http://twitter.com/Fentse_k</v>
      </c>
      <c r="K3801">
        <v>1140</v>
      </c>
      <c r="N3801" t="s">
        <v>65</v>
      </c>
      <c r="R3801" t="s">
        <v>60</v>
      </c>
      <c r="S3801" t="s">
        <v>1071</v>
      </c>
      <c r="W3801">
        <v>0</v>
      </c>
      <c r="X3801">
        <v>0</v>
      </c>
      <c r="AE3801">
        <v>0</v>
      </c>
      <c r="AF3801">
        <v>0</v>
      </c>
      <c r="AM3801" t="s">
        <v>52</v>
      </c>
      <c r="AN3801" t="s">
        <v>53</v>
      </c>
    </row>
    <row r="3802" spans="1:40">
      <c r="A3802" t="s">
        <v>8081</v>
      </c>
      <c r="B3802" t="s">
        <v>805</v>
      </c>
      <c r="C3802" t="s">
        <v>11849</v>
      </c>
      <c r="D3802" t="s">
        <v>52</v>
      </c>
      <c r="E3802" t="s">
        <v>11855</v>
      </c>
      <c r="F3802" t="s">
        <v>45</v>
      </c>
      <c r="G3802" t="str">
        <f>HYPERLINK("https://www.instagram.com/p/BzDX3dcnW5q")</f>
        <v>https://www.instagram.com/p/BzDX3dcnW5q</v>
      </c>
      <c r="H3802" t="s">
        <v>46</v>
      </c>
      <c r="I3802" t="s">
        <v>11856</v>
      </c>
      <c r="J3802" t="str">
        <f>HYPERLINK("http://instagram.com/dan_car_meets")</f>
        <v>http://instagram.com/dan_car_meets</v>
      </c>
      <c r="K3802">
        <v>2915</v>
      </c>
      <c r="N3802" t="s">
        <v>59</v>
      </c>
      <c r="O3802" t="s">
        <v>11856</v>
      </c>
      <c r="P3802" t="str">
        <f>HYPERLINK("http://instagram.com/dan_car_meets")</f>
        <v>http://instagram.com/dan_car_meets</v>
      </c>
      <c r="Q3802">
        <v>2915</v>
      </c>
      <c r="R3802" t="s">
        <v>60</v>
      </c>
      <c r="W3802">
        <v>64</v>
      </c>
      <c r="X3802">
        <v>64</v>
      </c>
      <c r="AE3802">
        <v>5</v>
      </c>
      <c r="AI3802" t="s">
        <v>52</v>
      </c>
      <c r="AJ3802" t="s">
        <v>121</v>
      </c>
      <c r="AK3802" t="s">
        <v>52</v>
      </c>
      <c r="AL3802" t="str">
        <f>HYPERLINK("https://www.instagram.com/p/BzDX3dcnW5q/media/?size=l")</f>
        <v>https://www.instagram.com/p/BzDX3dcnW5q/media/?size=l</v>
      </c>
      <c r="AM3802" t="s">
        <v>52</v>
      </c>
      <c r="AN3802" t="s">
        <v>53</v>
      </c>
    </row>
    <row r="3803" spans="1:40">
      <c r="A3803" t="s">
        <v>8081</v>
      </c>
      <c r="B3803" t="s">
        <v>11857</v>
      </c>
      <c r="C3803" t="s">
        <v>11858</v>
      </c>
      <c r="D3803" t="s">
        <v>52</v>
      </c>
      <c r="E3803" t="s">
        <v>11859</v>
      </c>
      <c r="F3803" t="s">
        <v>45</v>
      </c>
      <c r="G3803" t="str">
        <f>HYPERLINK("https://www.instagram.com/p/BzDXyyoByEv")</f>
        <v>https://www.instagram.com/p/BzDXyyoByEv</v>
      </c>
      <c r="H3803" t="s">
        <v>46</v>
      </c>
      <c r="I3803" t="s">
        <v>11860</v>
      </c>
      <c r="J3803" t="str">
        <f>HYPERLINK("http://instagram.com/foodiesandfotos")</f>
        <v>http://instagram.com/foodiesandfotos</v>
      </c>
      <c r="K3803">
        <v>2</v>
      </c>
      <c r="N3803" t="s">
        <v>59</v>
      </c>
      <c r="O3803" t="s">
        <v>11860</v>
      </c>
      <c r="P3803" t="str">
        <f>HYPERLINK("http://instagram.com/foodiesandfotos")</f>
        <v>http://instagram.com/foodiesandfotos</v>
      </c>
      <c r="Q3803">
        <v>2</v>
      </c>
      <c r="R3803" t="s">
        <v>60</v>
      </c>
      <c r="S3803" t="s">
        <v>97</v>
      </c>
      <c r="T3803" t="s">
        <v>177</v>
      </c>
      <c r="U3803" t="s">
        <v>11861</v>
      </c>
      <c r="W3803">
        <v>22</v>
      </c>
      <c r="X3803">
        <v>22</v>
      </c>
      <c r="AE3803">
        <v>1</v>
      </c>
      <c r="AI3803" t="s">
        <v>52</v>
      </c>
      <c r="AJ3803" t="s">
        <v>11862</v>
      </c>
      <c r="AK3803" t="s">
        <v>52</v>
      </c>
      <c r="AL3803" t="str">
        <f>HYPERLINK("https://www.instagram.com/p/BzDXyyoByEv/media/?size=l")</f>
        <v>https://www.instagram.com/p/BzDXyyoByEv/media/?size=l</v>
      </c>
      <c r="AM3803" t="s">
        <v>52</v>
      </c>
      <c r="AN3803" t="s">
        <v>53</v>
      </c>
    </row>
    <row r="3804" spans="1:40">
      <c r="A3804" t="s">
        <v>8081</v>
      </c>
      <c r="B3804" t="s">
        <v>815</v>
      </c>
      <c r="C3804" t="s">
        <v>11849</v>
      </c>
      <c r="D3804" t="s">
        <v>52</v>
      </c>
      <c r="E3804" t="s">
        <v>10396</v>
      </c>
      <c r="F3804" t="s">
        <v>71</v>
      </c>
      <c r="G3804" t="str">
        <f>HYPERLINK("https://twitter.com/235840737/status/1142774674469863424")</f>
        <v>https://twitter.com/235840737/status/1142774674469863424</v>
      </c>
      <c r="H3804" t="s">
        <v>215</v>
      </c>
      <c r="I3804" t="s">
        <v>11863</v>
      </c>
      <c r="J3804" t="str">
        <f>HYPERLINK("http://twitter.com/KerryFappington")</f>
        <v>http://twitter.com/KerryFappington</v>
      </c>
      <c r="K3804">
        <v>4401</v>
      </c>
      <c r="N3804" t="s">
        <v>65</v>
      </c>
      <c r="R3804" t="s">
        <v>60</v>
      </c>
      <c r="W3804">
        <v>0</v>
      </c>
      <c r="X3804">
        <v>0</v>
      </c>
      <c r="AE3804">
        <v>0</v>
      </c>
      <c r="AF3804">
        <v>0</v>
      </c>
      <c r="AM3804" t="s">
        <v>52</v>
      </c>
      <c r="AN3804" t="s">
        <v>53</v>
      </c>
    </row>
    <row r="3805" spans="1:40">
      <c r="A3805" t="s">
        <v>8081</v>
      </c>
      <c r="B3805" t="s">
        <v>815</v>
      </c>
      <c r="C3805" t="s">
        <v>11864</v>
      </c>
      <c r="D3805" t="s">
        <v>52</v>
      </c>
      <c r="E3805" t="s">
        <v>3749</v>
      </c>
      <c r="F3805" t="s">
        <v>71</v>
      </c>
      <c r="G3805" t="str">
        <f>HYPERLINK("https://twitter.com/157626908/status/1142774597726683137")</f>
        <v>https://twitter.com/157626908/status/1142774597726683137</v>
      </c>
      <c r="H3805" t="s">
        <v>46</v>
      </c>
      <c r="I3805" t="s">
        <v>11865</v>
      </c>
      <c r="J3805" t="str">
        <f>HYPERLINK("http://twitter.com/muhdshaheed")</f>
        <v>http://twitter.com/muhdshaheed</v>
      </c>
      <c r="K3805">
        <v>1436</v>
      </c>
      <c r="N3805" t="s">
        <v>65</v>
      </c>
      <c r="R3805" t="s">
        <v>60</v>
      </c>
      <c r="W3805">
        <v>0</v>
      </c>
      <c r="X3805">
        <v>0</v>
      </c>
      <c r="AE3805">
        <v>0</v>
      </c>
      <c r="AF3805">
        <v>0</v>
      </c>
      <c r="AI3805" t="s">
        <v>108</v>
      </c>
      <c r="AJ3805" t="s">
        <v>52</v>
      </c>
      <c r="AK3805" t="s">
        <v>52</v>
      </c>
      <c r="AL3805" t="str">
        <f>HYPERLINK("https://pbs.twimg.com/media/D9sAXHUX4AA6vJs.jpg")</f>
        <v>https://pbs.twimg.com/media/D9sAXHUX4AA6vJs.jpg</v>
      </c>
      <c r="AM3805" t="s">
        <v>52</v>
      </c>
      <c r="AN3805" t="s">
        <v>53</v>
      </c>
    </row>
    <row r="3806" spans="1:40">
      <c r="A3806" t="s">
        <v>8081</v>
      </c>
      <c r="B3806" t="s">
        <v>823</v>
      </c>
      <c r="C3806" t="s">
        <v>11849</v>
      </c>
      <c r="D3806" t="s">
        <v>52</v>
      </c>
      <c r="E3806" t="s">
        <v>11866</v>
      </c>
      <c r="F3806" t="s">
        <v>131</v>
      </c>
      <c r="G3806" t="str">
        <f>HYPERLINK("https://twitter.com/956009018/status/1142774486514720769")</f>
        <v>https://twitter.com/956009018/status/1142774486514720769</v>
      </c>
      <c r="H3806" t="s">
        <v>91</v>
      </c>
      <c r="I3806" t="s">
        <v>11867</v>
      </c>
      <c r="J3806" t="str">
        <f>HYPERLINK("http://twitter.com/rachilton")</f>
        <v>http://twitter.com/rachilton</v>
      </c>
      <c r="K3806">
        <v>747</v>
      </c>
      <c r="L3806" t="s">
        <v>58</v>
      </c>
      <c r="N3806" t="s">
        <v>65</v>
      </c>
      <c r="R3806" t="s">
        <v>60</v>
      </c>
      <c r="W3806">
        <v>0</v>
      </c>
      <c r="X3806">
        <v>0</v>
      </c>
      <c r="AE3806">
        <v>0</v>
      </c>
      <c r="AM3806" t="s">
        <v>52</v>
      </c>
      <c r="AN3806" t="s">
        <v>53</v>
      </c>
    </row>
    <row r="3807" spans="1:40">
      <c r="A3807" t="s">
        <v>8081</v>
      </c>
      <c r="B3807" t="s">
        <v>823</v>
      </c>
      <c r="C3807" t="s">
        <v>11849</v>
      </c>
      <c r="D3807" t="s">
        <v>52</v>
      </c>
      <c r="E3807" t="s">
        <v>7026</v>
      </c>
      <c r="F3807" t="s">
        <v>131</v>
      </c>
      <c r="G3807" t="str">
        <f>HYPERLINK("https://twitter.com/1522235215/status/1142774473642430464")</f>
        <v>https://twitter.com/1522235215/status/1142774473642430464</v>
      </c>
      <c r="H3807" t="s">
        <v>46</v>
      </c>
      <c r="I3807" t="s">
        <v>11868</v>
      </c>
      <c r="J3807" t="str">
        <f>HYPERLINK("http://twitter.com/Awandeeee_")</f>
        <v>http://twitter.com/Awandeeee_</v>
      </c>
      <c r="K3807">
        <v>1723</v>
      </c>
      <c r="N3807" t="s">
        <v>65</v>
      </c>
      <c r="R3807" t="s">
        <v>60</v>
      </c>
      <c r="S3807" t="s">
        <v>444</v>
      </c>
      <c r="T3807" t="s">
        <v>3539</v>
      </c>
      <c r="U3807" t="s">
        <v>11869</v>
      </c>
      <c r="W3807">
        <v>0</v>
      </c>
      <c r="X3807">
        <v>0</v>
      </c>
      <c r="AE3807">
        <v>0</v>
      </c>
      <c r="AM3807" t="s">
        <v>52</v>
      </c>
      <c r="AN3807" t="s">
        <v>53</v>
      </c>
    </row>
    <row r="3808" spans="1:40">
      <c r="A3808" t="s">
        <v>8081</v>
      </c>
      <c r="B3808" t="s">
        <v>823</v>
      </c>
      <c r="C3808" t="s">
        <v>11849</v>
      </c>
      <c r="D3808" t="s">
        <v>52</v>
      </c>
      <c r="E3808" t="s">
        <v>11437</v>
      </c>
      <c r="F3808" t="s">
        <v>71</v>
      </c>
      <c r="G3808" t="str">
        <f>HYPERLINK("https://twitter.com/999930920319807488/status/1142774470542811136")</f>
        <v>https://twitter.com/999930920319807488/status/1142774470542811136</v>
      </c>
      <c r="H3808" t="s">
        <v>46</v>
      </c>
      <c r="I3808" t="s">
        <v>11870</v>
      </c>
      <c r="J3808" t="str">
        <f>HYPERLINK("http://twitter.com/r0ooonan")</f>
        <v>http://twitter.com/r0ooonan</v>
      </c>
      <c r="K3808">
        <v>282</v>
      </c>
      <c r="N3808" t="s">
        <v>65</v>
      </c>
      <c r="R3808" t="s">
        <v>60</v>
      </c>
      <c r="W3808">
        <v>0</v>
      </c>
      <c r="X3808">
        <v>0</v>
      </c>
      <c r="AE3808">
        <v>0</v>
      </c>
      <c r="AF3808">
        <v>0</v>
      </c>
      <c r="AI3808" t="s">
        <v>108</v>
      </c>
      <c r="AJ3808" t="s">
        <v>52</v>
      </c>
      <c r="AK3808" t="s">
        <v>52</v>
      </c>
      <c r="AL3808" t="str">
        <f>HYPERLINK("https://pbs.twimg.com/media/D9sAXHUX4AA6vJs.jpg")</f>
        <v>https://pbs.twimg.com/media/D9sAXHUX4AA6vJs.jpg</v>
      </c>
      <c r="AM3808" t="s">
        <v>52</v>
      </c>
      <c r="AN3808" t="s">
        <v>53</v>
      </c>
    </row>
    <row r="3809" spans="1:40">
      <c r="A3809" t="s">
        <v>8081</v>
      </c>
      <c r="B3809" t="s">
        <v>823</v>
      </c>
      <c r="C3809" t="s">
        <v>11871</v>
      </c>
      <c r="D3809" t="s">
        <v>52</v>
      </c>
      <c r="E3809" t="s">
        <v>11872</v>
      </c>
      <c r="F3809" t="s">
        <v>45</v>
      </c>
      <c r="G3809" t="str">
        <f>HYPERLINK("https://twitter.com/108050503/status/1142774345917444102")</f>
        <v>https://twitter.com/108050503/status/1142774345917444102</v>
      </c>
      <c r="H3809" t="s">
        <v>46</v>
      </c>
      <c r="I3809" t="s">
        <v>11873</v>
      </c>
      <c r="J3809" t="str">
        <f>HYPERLINK("http://twitter.com/wrapAjay")</f>
        <v>http://twitter.com/wrapAjay</v>
      </c>
      <c r="K3809">
        <v>276</v>
      </c>
      <c r="N3809" t="s">
        <v>65</v>
      </c>
      <c r="R3809" t="s">
        <v>60</v>
      </c>
      <c r="W3809">
        <v>0</v>
      </c>
      <c r="X3809">
        <v>0</v>
      </c>
      <c r="AE3809">
        <v>0</v>
      </c>
      <c r="AF3809">
        <v>0</v>
      </c>
      <c r="AM3809" t="s">
        <v>52</v>
      </c>
      <c r="AN3809" t="s">
        <v>53</v>
      </c>
    </row>
    <row r="3810" spans="1:40">
      <c r="A3810" t="s">
        <v>8081</v>
      </c>
      <c r="B3810" t="s">
        <v>823</v>
      </c>
      <c r="C3810" t="s">
        <v>11874</v>
      </c>
      <c r="D3810" t="s">
        <v>52</v>
      </c>
      <c r="E3810" t="s">
        <v>3749</v>
      </c>
      <c r="F3810" t="s">
        <v>71</v>
      </c>
      <c r="G3810" t="str">
        <f>HYPERLINK("https://twitter.com/926579458160635906/status/1142774326216798208")</f>
        <v>https://twitter.com/926579458160635906/status/1142774326216798208</v>
      </c>
      <c r="H3810" t="s">
        <v>46</v>
      </c>
      <c r="I3810" t="s">
        <v>11875</v>
      </c>
      <c r="J3810" t="str">
        <f>HYPERLINK("http://twitter.com/super_lade")</f>
        <v>http://twitter.com/super_lade</v>
      </c>
      <c r="K3810">
        <v>337</v>
      </c>
      <c r="N3810" t="s">
        <v>65</v>
      </c>
      <c r="R3810" t="s">
        <v>60</v>
      </c>
      <c r="S3810" t="s">
        <v>51</v>
      </c>
      <c r="T3810" t="s">
        <v>173</v>
      </c>
      <c r="U3810" t="s">
        <v>11876</v>
      </c>
      <c r="W3810">
        <v>0</v>
      </c>
      <c r="X3810">
        <v>0</v>
      </c>
      <c r="AE3810">
        <v>0</v>
      </c>
      <c r="AF3810">
        <v>0</v>
      </c>
      <c r="AI3810" t="s">
        <v>108</v>
      </c>
      <c r="AJ3810" t="s">
        <v>52</v>
      </c>
      <c r="AK3810" t="s">
        <v>52</v>
      </c>
      <c r="AL3810" t="str">
        <f>HYPERLINK("https://pbs.twimg.com/media/D9sAXHUX4AA6vJs.jpg")</f>
        <v>https://pbs.twimg.com/media/D9sAXHUX4AA6vJs.jpg</v>
      </c>
      <c r="AM3810" t="s">
        <v>52</v>
      </c>
      <c r="AN3810" t="s">
        <v>53</v>
      </c>
    </row>
    <row r="3811" spans="1:40">
      <c r="A3811" t="s">
        <v>8081</v>
      </c>
      <c r="B3811" t="s">
        <v>823</v>
      </c>
      <c r="C3811" t="s">
        <v>11874</v>
      </c>
      <c r="D3811" t="s">
        <v>52</v>
      </c>
      <c r="E3811" t="s">
        <v>3749</v>
      </c>
      <c r="F3811" t="s">
        <v>71</v>
      </c>
      <c r="G3811" t="str">
        <f>HYPERLINK("https://twitter.com/1044135267311996933/status/1142774316590882816")</f>
        <v>https://twitter.com/1044135267311996933/status/1142774316590882816</v>
      </c>
      <c r="H3811" t="s">
        <v>46</v>
      </c>
      <c r="I3811" t="s">
        <v>11877</v>
      </c>
      <c r="J3811" t="str">
        <f>HYPERLINK("http://twitter.com/Hee_Zzy")</f>
        <v>http://twitter.com/Hee_Zzy</v>
      </c>
      <c r="K3811">
        <v>100</v>
      </c>
      <c r="N3811" t="s">
        <v>65</v>
      </c>
      <c r="R3811" t="s">
        <v>60</v>
      </c>
      <c r="S3811" t="s">
        <v>1071</v>
      </c>
      <c r="T3811" t="s">
        <v>3751</v>
      </c>
      <c r="U3811" t="s">
        <v>3752</v>
      </c>
      <c r="W3811">
        <v>0</v>
      </c>
      <c r="X3811">
        <v>0</v>
      </c>
      <c r="AE3811">
        <v>0</v>
      </c>
      <c r="AF3811">
        <v>0</v>
      </c>
      <c r="AI3811" t="s">
        <v>108</v>
      </c>
      <c r="AJ3811" t="s">
        <v>52</v>
      </c>
      <c r="AK3811" t="s">
        <v>52</v>
      </c>
      <c r="AL3811" t="str">
        <f>HYPERLINK("https://pbs.twimg.com/media/D9sAXHUX4AA6vJs.jpg")</f>
        <v>https://pbs.twimg.com/media/D9sAXHUX4AA6vJs.jpg</v>
      </c>
      <c r="AM3811" t="s">
        <v>52</v>
      </c>
      <c r="AN3811" t="s">
        <v>53</v>
      </c>
    </row>
    <row r="3812" spans="1:40">
      <c r="A3812" t="s">
        <v>8081</v>
      </c>
      <c r="B3812" t="s">
        <v>11878</v>
      </c>
      <c r="C3812" t="s">
        <v>11871</v>
      </c>
      <c r="D3812" t="s">
        <v>52</v>
      </c>
      <c r="E3812" t="s">
        <v>11879</v>
      </c>
      <c r="F3812" t="s">
        <v>71</v>
      </c>
      <c r="G3812" t="str">
        <f>HYPERLINK("https://twitter.com/874930519/status/1142774160705409024")</f>
        <v>https://twitter.com/874930519/status/1142774160705409024</v>
      </c>
      <c r="H3812" t="s">
        <v>46</v>
      </c>
      <c r="I3812" t="s">
        <v>11880</v>
      </c>
      <c r="J3812" t="str">
        <f>HYPERLINK("http://twitter.com/PM_kukuterian")</f>
        <v>http://twitter.com/PM_kukuterian</v>
      </c>
      <c r="K3812">
        <v>8240</v>
      </c>
      <c r="N3812" t="s">
        <v>65</v>
      </c>
      <c r="R3812" t="s">
        <v>60</v>
      </c>
      <c r="W3812">
        <v>0</v>
      </c>
      <c r="X3812">
        <v>0</v>
      </c>
      <c r="AE3812">
        <v>0</v>
      </c>
      <c r="AF3812">
        <v>0</v>
      </c>
      <c r="AM3812" t="s">
        <v>52</v>
      </c>
      <c r="AN3812" t="s">
        <v>53</v>
      </c>
    </row>
    <row r="3813" spans="1:40">
      <c r="A3813" t="s">
        <v>8081</v>
      </c>
      <c r="B3813" t="s">
        <v>830</v>
      </c>
      <c r="C3813" t="s">
        <v>11840</v>
      </c>
      <c r="D3813" t="s">
        <v>52</v>
      </c>
      <c r="E3813" t="s">
        <v>11881</v>
      </c>
      <c r="F3813" t="s">
        <v>71</v>
      </c>
      <c r="G3813" t="str">
        <f>HYPERLINK("https://twitter.com/265400551/status/1142773550165778432")</f>
        <v>https://twitter.com/265400551/status/1142773550165778432</v>
      </c>
      <c r="H3813" t="s">
        <v>46</v>
      </c>
      <c r="I3813" t="s">
        <v>11882</v>
      </c>
      <c r="J3813" t="str">
        <f>HYPERLINK("http://twitter.com/LeratoAi")</f>
        <v>http://twitter.com/LeratoAi</v>
      </c>
      <c r="K3813">
        <v>1466</v>
      </c>
      <c r="N3813" t="s">
        <v>65</v>
      </c>
      <c r="R3813" t="s">
        <v>60</v>
      </c>
      <c r="W3813">
        <v>0</v>
      </c>
      <c r="X3813">
        <v>0</v>
      </c>
      <c r="AE3813">
        <v>0</v>
      </c>
      <c r="AF3813">
        <v>0</v>
      </c>
      <c r="AM3813" t="s">
        <v>52</v>
      </c>
      <c r="AN3813" t="s">
        <v>53</v>
      </c>
    </row>
    <row r="3814" spans="1:40">
      <c r="A3814" t="s">
        <v>8081</v>
      </c>
      <c r="B3814" t="s">
        <v>834</v>
      </c>
      <c r="C3814" t="s">
        <v>11883</v>
      </c>
      <c r="D3814" t="s">
        <v>52</v>
      </c>
      <c r="E3814" t="s">
        <v>11884</v>
      </c>
      <c r="F3814" t="s">
        <v>71</v>
      </c>
      <c r="G3814" t="str">
        <f>HYPERLINK("https://twitter.com/3182553234/status/1142773358297174016")</f>
        <v>https://twitter.com/3182553234/status/1142773358297174016</v>
      </c>
      <c r="H3814" t="s">
        <v>46</v>
      </c>
      <c r="I3814" t="s">
        <v>11885</v>
      </c>
      <c r="J3814" t="str">
        <f>HYPERLINK("http://twitter.com/foodjuseyo")</f>
        <v>http://twitter.com/foodjuseyo</v>
      </c>
      <c r="K3814">
        <v>319</v>
      </c>
      <c r="N3814" t="s">
        <v>65</v>
      </c>
      <c r="R3814" t="s">
        <v>60</v>
      </c>
      <c r="W3814">
        <v>0</v>
      </c>
      <c r="X3814">
        <v>0</v>
      </c>
      <c r="AE3814">
        <v>0</v>
      </c>
      <c r="AF3814">
        <v>0</v>
      </c>
      <c r="AM3814" t="s">
        <v>52</v>
      </c>
      <c r="AN3814" t="s">
        <v>53</v>
      </c>
    </row>
    <row r="3815" spans="1:40">
      <c r="A3815" t="s">
        <v>8081</v>
      </c>
      <c r="B3815" t="s">
        <v>841</v>
      </c>
      <c r="C3815" t="s">
        <v>11886</v>
      </c>
      <c r="D3815" t="s">
        <v>52</v>
      </c>
      <c r="E3815" t="s">
        <v>11887</v>
      </c>
      <c r="F3815" t="s">
        <v>45</v>
      </c>
      <c r="G3815" t="str">
        <f>HYPERLINK("https://www.instagram.com/p/BzDW7HnA22O")</f>
        <v>https://www.instagram.com/p/BzDW7HnA22O</v>
      </c>
      <c r="H3815" t="s">
        <v>46</v>
      </c>
      <c r="I3815" t="s">
        <v>11888</v>
      </c>
      <c r="J3815" t="str">
        <f>HYPERLINK("http://instagram.com/maradachaffins")</f>
        <v>http://instagram.com/maradachaffins</v>
      </c>
      <c r="K3815">
        <v>1106</v>
      </c>
      <c r="N3815" t="s">
        <v>59</v>
      </c>
      <c r="O3815" t="s">
        <v>11888</v>
      </c>
      <c r="P3815" t="str">
        <f>HYPERLINK("http://instagram.com/maradachaffins")</f>
        <v>http://instagram.com/maradachaffins</v>
      </c>
      <c r="Q3815">
        <v>1106</v>
      </c>
      <c r="R3815" t="s">
        <v>60</v>
      </c>
      <c r="W3815">
        <v>66</v>
      </c>
      <c r="X3815">
        <v>66</v>
      </c>
      <c r="AE3815">
        <v>40</v>
      </c>
      <c r="AI3815" t="s">
        <v>52</v>
      </c>
      <c r="AJ3815" t="s">
        <v>2358</v>
      </c>
      <c r="AK3815" t="s">
        <v>52</v>
      </c>
      <c r="AL3815" t="str">
        <f>HYPERLINK("https://www.instagram.com/p/BzDW7HnA22O/media/?size=l")</f>
        <v>https://www.instagram.com/p/BzDW7HnA22O/media/?size=l</v>
      </c>
      <c r="AM3815" t="s">
        <v>52</v>
      </c>
      <c r="AN3815" t="s">
        <v>53</v>
      </c>
    </row>
    <row r="3816" spans="1:40">
      <c r="A3816" t="s">
        <v>8081</v>
      </c>
      <c r="B3816" t="s">
        <v>841</v>
      </c>
      <c r="C3816" t="s">
        <v>11821</v>
      </c>
      <c r="D3816" t="s">
        <v>52</v>
      </c>
      <c r="E3816" t="s">
        <v>11889</v>
      </c>
      <c r="F3816" t="s">
        <v>45</v>
      </c>
      <c r="G3816" t="str">
        <f>HYPERLINK("https://www.instagram.com/p/BzDW4gClDJy")</f>
        <v>https://www.instagram.com/p/BzDW4gClDJy</v>
      </c>
      <c r="H3816" t="s">
        <v>46</v>
      </c>
      <c r="I3816" t="s">
        <v>11890</v>
      </c>
      <c r="J3816" t="str">
        <f>HYPERLINK("http://instagram.com/gravity_falls.lovers")</f>
        <v>http://instagram.com/gravity_falls.lovers</v>
      </c>
      <c r="K3816">
        <v>1</v>
      </c>
      <c r="N3816" t="s">
        <v>59</v>
      </c>
      <c r="O3816" t="s">
        <v>11890</v>
      </c>
      <c r="P3816" t="str">
        <f>HYPERLINK("http://instagram.com/gravity_falls.lovers")</f>
        <v>http://instagram.com/gravity_falls.lovers</v>
      </c>
      <c r="Q3816">
        <v>1</v>
      </c>
      <c r="R3816" t="s">
        <v>60</v>
      </c>
      <c r="W3816">
        <v>3</v>
      </c>
      <c r="X3816">
        <v>3</v>
      </c>
      <c r="AE3816">
        <v>0</v>
      </c>
      <c r="AI3816" t="s">
        <v>52</v>
      </c>
      <c r="AJ3816" t="s">
        <v>458</v>
      </c>
      <c r="AK3816" t="s">
        <v>110</v>
      </c>
      <c r="AL3816" t="str">
        <f>HYPERLINK("https://www.instagram.com/p/BzDW4gClDJy/media/?size=l")</f>
        <v>https://www.instagram.com/p/BzDW4gClDJy/media/?size=l</v>
      </c>
      <c r="AM3816" t="s">
        <v>52</v>
      </c>
      <c r="AN3816" t="s">
        <v>53</v>
      </c>
    </row>
    <row r="3817" spans="1:40">
      <c r="A3817" t="s">
        <v>8081</v>
      </c>
      <c r="B3817" t="s">
        <v>11891</v>
      </c>
      <c r="C3817" t="s">
        <v>11892</v>
      </c>
      <c r="D3817" t="s">
        <v>52</v>
      </c>
      <c r="E3817" t="s">
        <v>11893</v>
      </c>
      <c r="F3817" t="s">
        <v>71</v>
      </c>
      <c r="G3817" t="str">
        <f>HYPERLINK("https://twitter.com/250028836/status/1142772959846813697")</f>
        <v>https://twitter.com/250028836/status/1142772959846813697</v>
      </c>
      <c r="H3817" t="s">
        <v>46</v>
      </c>
      <c r="I3817" t="s">
        <v>11894</v>
      </c>
      <c r="J3817" t="str">
        <f>HYPERLINK("http://twitter.com/bonkers_bee")</f>
        <v>http://twitter.com/bonkers_bee</v>
      </c>
      <c r="K3817">
        <v>1412</v>
      </c>
      <c r="N3817" t="s">
        <v>65</v>
      </c>
      <c r="R3817" t="s">
        <v>60</v>
      </c>
      <c r="S3817" t="s">
        <v>1071</v>
      </c>
      <c r="T3817" t="s">
        <v>1072</v>
      </c>
      <c r="U3817" t="s">
        <v>1295</v>
      </c>
      <c r="W3817">
        <v>0</v>
      </c>
      <c r="X3817">
        <v>0</v>
      </c>
      <c r="AE3817">
        <v>0</v>
      </c>
      <c r="AF3817">
        <v>0</v>
      </c>
      <c r="AM3817" t="s">
        <v>52</v>
      </c>
      <c r="AN3817" t="s">
        <v>53</v>
      </c>
    </row>
    <row r="3818" spans="1:40">
      <c r="A3818" t="s">
        <v>8081</v>
      </c>
      <c r="B3818" t="s">
        <v>6617</v>
      </c>
      <c r="C3818" t="s">
        <v>11895</v>
      </c>
      <c r="D3818" t="s">
        <v>52</v>
      </c>
      <c r="E3818" t="s">
        <v>11896</v>
      </c>
      <c r="F3818" t="s">
        <v>45</v>
      </c>
      <c r="G3818" t="str">
        <f>HYPERLINK("https://www.instagram.com/p/BzDWgkXoHCa")</f>
        <v>https://www.instagram.com/p/BzDWgkXoHCa</v>
      </c>
      <c r="H3818" t="s">
        <v>46</v>
      </c>
      <c r="I3818" t="s">
        <v>11897</v>
      </c>
      <c r="J3818" t="str">
        <f>HYPERLINK("http://instagram.com/mysea__ecrinsu")</f>
        <v>http://instagram.com/mysea__ecrinsu</v>
      </c>
      <c r="K3818">
        <v>1312</v>
      </c>
      <c r="N3818" t="s">
        <v>59</v>
      </c>
      <c r="O3818" t="s">
        <v>11897</v>
      </c>
      <c r="P3818" t="str">
        <f>HYPERLINK("http://instagram.com/mysea__ecrinsu")</f>
        <v>http://instagram.com/mysea__ecrinsu</v>
      </c>
      <c r="Q3818">
        <v>1312</v>
      </c>
      <c r="R3818" t="s">
        <v>60</v>
      </c>
      <c r="S3818" t="s">
        <v>387</v>
      </c>
      <c r="T3818" t="s">
        <v>3687</v>
      </c>
      <c r="U3818" t="s">
        <v>11898</v>
      </c>
      <c r="W3818">
        <v>72</v>
      </c>
      <c r="X3818">
        <v>72</v>
      </c>
      <c r="AE3818">
        <v>55</v>
      </c>
      <c r="AG3818">
        <v>150</v>
      </c>
      <c r="AI3818" t="s">
        <v>52</v>
      </c>
      <c r="AJ3818" t="s">
        <v>10449</v>
      </c>
      <c r="AK3818" t="s">
        <v>52</v>
      </c>
      <c r="AL3818" t="str">
        <f>HYPERLINK("https://www.instagram.com/p/BzDWgkXoHCa/media/?size=l")</f>
        <v>https://www.instagram.com/p/BzDWgkXoHCa/media/?size=l</v>
      </c>
      <c r="AM3818" t="s">
        <v>52</v>
      </c>
      <c r="AN3818" t="s">
        <v>53</v>
      </c>
    </row>
    <row r="3819" spans="1:40">
      <c r="A3819" t="s">
        <v>8081</v>
      </c>
      <c r="B3819" t="s">
        <v>6624</v>
      </c>
      <c r="C3819" t="s">
        <v>11874</v>
      </c>
      <c r="D3819" t="s">
        <v>52</v>
      </c>
      <c r="E3819" t="s">
        <v>11486</v>
      </c>
      <c r="F3819" t="s">
        <v>71</v>
      </c>
      <c r="G3819" t="str">
        <f>HYPERLINK("https://twitter.com/631819980/status/1142772404755795970")</f>
        <v>https://twitter.com/631819980/status/1142772404755795970</v>
      </c>
      <c r="H3819" t="s">
        <v>46</v>
      </c>
      <c r="I3819" t="s">
        <v>11899</v>
      </c>
      <c r="J3819" t="str">
        <f>HYPERLINK("http://twitter.com/mazz706")</f>
        <v>http://twitter.com/mazz706</v>
      </c>
      <c r="K3819">
        <v>12243</v>
      </c>
      <c r="N3819" t="s">
        <v>65</v>
      </c>
      <c r="R3819" t="s">
        <v>60</v>
      </c>
      <c r="S3819" t="s">
        <v>3121</v>
      </c>
      <c r="T3819" t="s">
        <v>3122</v>
      </c>
      <c r="U3819" t="s">
        <v>3123</v>
      </c>
      <c r="W3819">
        <v>0</v>
      </c>
      <c r="X3819">
        <v>0</v>
      </c>
      <c r="AE3819">
        <v>0</v>
      </c>
      <c r="AF3819">
        <v>0</v>
      </c>
      <c r="AM3819" t="s">
        <v>52</v>
      </c>
      <c r="AN3819" t="s">
        <v>53</v>
      </c>
    </row>
    <row r="3820" spans="1:40">
      <c r="A3820" t="s">
        <v>8081</v>
      </c>
      <c r="B3820" t="s">
        <v>853</v>
      </c>
      <c r="C3820" t="s">
        <v>11845</v>
      </c>
      <c r="D3820" t="s">
        <v>52</v>
      </c>
      <c r="E3820" t="s">
        <v>11900</v>
      </c>
      <c r="F3820" t="s">
        <v>71</v>
      </c>
      <c r="G3820" t="str">
        <f>HYPERLINK("https://twitter.com/2743029405/status/1142772004334034944")</f>
        <v>https://twitter.com/2743029405/status/1142772004334034944</v>
      </c>
      <c r="H3820" t="s">
        <v>215</v>
      </c>
      <c r="I3820" t="s">
        <v>11901</v>
      </c>
      <c r="J3820" t="str">
        <f>HYPERLINK("http://twitter.com/SinovuyoDube")</f>
        <v>http://twitter.com/SinovuyoDube</v>
      </c>
      <c r="K3820">
        <v>184</v>
      </c>
      <c r="N3820" t="s">
        <v>65</v>
      </c>
      <c r="R3820" t="s">
        <v>60</v>
      </c>
      <c r="W3820">
        <v>0</v>
      </c>
      <c r="X3820">
        <v>0</v>
      </c>
      <c r="AE3820">
        <v>0</v>
      </c>
      <c r="AF3820">
        <v>0</v>
      </c>
      <c r="AM3820" t="s">
        <v>52</v>
      </c>
      <c r="AN3820" t="s">
        <v>53</v>
      </c>
    </row>
    <row r="3821" spans="1:40">
      <c r="A3821" t="s">
        <v>8081</v>
      </c>
      <c r="B3821" t="s">
        <v>853</v>
      </c>
      <c r="C3821" t="s">
        <v>11902</v>
      </c>
      <c r="D3821" t="s">
        <v>52</v>
      </c>
      <c r="E3821" t="s">
        <v>11903</v>
      </c>
      <c r="F3821" t="s">
        <v>71</v>
      </c>
      <c r="G3821" t="str">
        <f>HYPERLINK("https://twitter.com/727181113714696193/status/1142771927108526081")</f>
        <v>https://twitter.com/727181113714696193/status/1142771927108526081</v>
      </c>
      <c r="H3821" t="s">
        <v>46</v>
      </c>
      <c r="I3821" t="s">
        <v>7233</v>
      </c>
      <c r="J3821" t="str">
        <f>HYPERLINK("http://twitter.com/daddysosa_za")</f>
        <v>http://twitter.com/daddysosa_za</v>
      </c>
      <c r="K3821">
        <v>228</v>
      </c>
      <c r="N3821" t="s">
        <v>65</v>
      </c>
      <c r="R3821" t="s">
        <v>60</v>
      </c>
      <c r="W3821">
        <v>1</v>
      </c>
      <c r="X3821">
        <v>1</v>
      </c>
      <c r="AE3821">
        <v>0</v>
      </c>
      <c r="AF3821">
        <v>1</v>
      </c>
      <c r="AI3821" t="s">
        <v>108</v>
      </c>
      <c r="AJ3821" t="s">
        <v>52</v>
      </c>
      <c r="AK3821" t="s">
        <v>52</v>
      </c>
      <c r="AL3821" t="str">
        <f>HYPERLINK("https://pbs.twimg.com/media/D9sAXHUX4AA6vJs.jpg")</f>
        <v>https://pbs.twimg.com/media/D9sAXHUX4AA6vJs.jpg</v>
      </c>
      <c r="AM3821" t="s">
        <v>52</v>
      </c>
      <c r="AN3821" t="s">
        <v>53</v>
      </c>
    </row>
    <row r="3822" spans="1:40">
      <c r="A3822" t="s">
        <v>8081</v>
      </c>
      <c r="B3822" t="s">
        <v>853</v>
      </c>
      <c r="C3822" t="s">
        <v>11850</v>
      </c>
      <c r="D3822" t="s">
        <v>52</v>
      </c>
      <c r="E3822" t="s">
        <v>11100</v>
      </c>
      <c r="F3822" t="s">
        <v>131</v>
      </c>
      <c r="G3822" t="str">
        <f>HYPERLINK("https://twitter.com/779338053231992832/status/1142771891800870914")</f>
        <v>https://twitter.com/779338053231992832/status/1142771891800870914</v>
      </c>
      <c r="H3822" t="s">
        <v>215</v>
      </c>
      <c r="I3822" t="s">
        <v>11904</v>
      </c>
      <c r="J3822" t="str">
        <f>HYPERLINK("http://twitter.com/Miss_JujuBass")</f>
        <v>http://twitter.com/Miss_JujuBass</v>
      </c>
      <c r="K3822">
        <v>256</v>
      </c>
      <c r="N3822" t="s">
        <v>65</v>
      </c>
      <c r="R3822" t="s">
        <v>60</v>
      </c>
      <c r="S3822" t="s">
        <v>1071</v>
      </c>
      <c r="T3822" t="s">
        <v>5506</v>
      </c>
      <c r="U3822" t="s">
        <v>5507</v>
      </c>
      <c r="W3822">
        <v>0</v>
      </c>
      <c r="X3822">
        <v>0</v>
      </c>
      <c r="AE3822">
        <v>0</v>
      </c>
      <c r="AM3822" t="s">
        <v>52</v>
      </c>
      <c r="AN3822" t="s">
        <v>53</v>
      </c>
    </row>
    <row r="3823" spans="1:40">
      <c r="A3823" t="s">
        <v>8081</v>
      </c>
      <c r="B3823" t="s">
        <v>11905</v>
      </c>
      <c r="C3823" t="s">
        <v>11906</v>
      </c>
      <c r="D3823" t="s">
        <v>52</v>
      </c>
      <c r="E3823" t="s">
        <v>6930</v>
      </c>
      <c r="F3823" t="s">
        <v>71</v>
      </c>
      <c r="G3823" t="str">
        <f>HYPERLINK("https://twitter.com/1025858148362584064/status/1142771686376431616")</f>
        <v>https://twitter.com/1025858148362584064/status/1142771686376431616</v>
      </c>
      <c r="H3823" t="s">
        <v>46</v>
      </c>
      <c r="I3823" t="s">
        <v>11907</v>
      </c>
      <c r="J3823" t="str">
        <f>HYPERLINK("http://twitter.com/belike_maen")</f>
        <v>http://twitter.com/belike_maen</v>
      </c>
      <c r="K3823">
        <v>1058</v>
      </c>
      <c r="N3823" t="s">
        <v>65</v>
      </c>
      <c r="R3823" t="s">
        <v>60</v>
      </c>
      <c r="S3823" t="s">
        <v>4594</v>
      </c>
      <c r="T3823" t="s">
        <v>4595</v>
      </c>
      <c r="U3823" t="s">
        <v>11908</v>
      </c>
      <c r="W3823">
        <v>1</v>
      </c>
      <c r="X3823">
        <v>1</v>
      </c>
      <c r="AE3823">
        <v>1</v>
      </c>
      <c r="AF3823">
        <v>1</v>
      </c>
      <c r="AI3823" t="s">
        <v>108</v>
      </c>
      <c r="AJ3823" t="s">
        <v>52</v>
      </c>
      <c r="AK3823" t="s">
        <v>52</v>
      </c>
      <c r="AL3823" t="str">
        <f>HYPERLINK("https://pbs.twimg.com/media/D9sAXHUX4AA6vJs.jpg")</f>
        <v>https://pbs.twimg.com/media/D9sAXHUX4AA6vJs.jpg</v>
      </c>
      <c r="AM3823" t="s">
        <v>52</v>
      </c>
      <c r="AN3823" t="s">
        <v>53</v>
      </c>
    </row>
    <row r="3824" spans="1:40">
      <c r="A3824" t="s">
        <v>8081</v>
      </c>
      <c r="B3824" t="s">
        <v>11905</v>
      </c>
      <c r="C3824" t="s">
        <v>11909</v>
      </c>
      <c r="D3824" t="s">
        <v>52</v>
      </c>
      <c r="E3824" t="s">
        <v>11893</v>
      </c>
      <c r="F3824" t="s">
        <v>71</v>
      </c>
      <c r="G3824" t="str">
        <f>HYPERLINK("https://twitter.com/186419555/status/1142771670366806016")</f>
        <v>https://twitter.com/186419555/status/1142771670366806016</v>
      </c>
      <c r="H3824" t="s">
        <v>46</v>
      </c>
      <c r="I3824" t="s">
        <v>11910</v>
      </c>
      <c r="J3824" t="str">
        <f>HYPERLINK("http://twitter.com/MisterMos")</f>
        <v>http://twitter.com/MisterMos</v>
      </c>
      <c r="K3824">
        <v>4641</v>
      </c>
      <c r="N3824" t="s">
        <v>65</v>
      </c>
      <c r="R3824" t="s">
        <v>60</v>
      </c>
      <c r="S3824" t="s">
        <v>1071</v>
      </c>
      <c r="T3824" t="s">
        <v>5418</v>
      </c>
      <c r="U3824" t="s">
        <v>5419</v>
      </c>
      <c r="W3824">
        <v>0</v>
      </c>
      <c r="X3824">
        <v>0</v>
      </c>
      <c r="AE3824">
        <v>0</v>
      </c>
      <c r="AF3824">
        <v>0</v>
      </c>
      <c r="AM3824" t="s">
        <v>52</v>
      </c>
      <c r="AN3824" t="s">
        <v>53</v>
      </c>
    </row>
    <row r="3825" spans="1:40">
      <c r="A3825" t="s">
        <v>8081</v>
      </c>
      <c r="B3825" t="s">
        <v>11905</v>
      </c>
      <c r="C3825" t="s">
        <v>11871</v>
      </c>
      <c r="D3825" t="s">
        <v>52</v>
      </c>
      <c r="E3825" t="s">
        <v>11911</v>
      </c>
      <c r="F3825" t="s">
        <v>45</v>
      </c>
      <c r="G3825" t="str">
        <f>HYPERLINK("https://www.instagram.com/p/BzDWOAmABnb")</f>
        <v>https://www.instagram.com/p/BzDWOAmABnb</v>
      </c>
      <c r="H3825" t="s">
        <v>46</v>
      </c>
      <c r="I3825" t="s">
        <v>11912</v>
      </c>
      <c r="J3825" t="str">
        <f>HYPERLINK("http://instagram.com/vikingfamilyadventures")</f>
        <v>http://instagram.com/vikingfamilyadventures</v>
      </c>
      <c r="K3825">
        <v>43</v>
      </c>
      <c r="N3825" t="s">
        <v>59</v>
      </c>
      <c r="O3825" t="s">
        <v>11912</v>
      </c>
      <c r="P3825" t="str">
        <f>HYPERLINK("http://instagram.com/vikingfamilyadventures")</f>
        <v>http://instagram.com/vikingfamilyadventures</v>
      </c>
      <c r="Q3825">
        <v>43</v>
      </c>
      <c r="R3825" t="s">
        <v>60</v>
      </c>
      <c r="W3825">
        <v>18</v>
      </c>
      <c r="X3825">
        <v>18</v>
      </c>
      <c r="AE3825">
        <v>0</v>
      </c>
      <c r="AI3825" t="s">
        <v>52</v>
      </c>
      <c r="AJ3825" t="s">
        <v>899</v>
      </c>
      <c r="AK3825" t="s">
        <v>11913</v>
      </c>
      <c r="AL3825" t="str">
        <f>HYPERLINK("https://www.instagram.com/p/BzDWOAmABnb/media/?size=l")</f>
        <v>https://www.instagram.com/p/BzDWOAmABnb/media/?size=l</v>
      </c>
      <c r="AM3825" t="s">
        <v>52</v>
      </c>
      <c r="AN3825" t="s">
        <v>53</v>
      </c>
    </row>
    <row r="3826" spans="1:40">
      <c r="A3826" t="s">
        <v>8081</v>
      </c>
      <c r="B3826" t="s">
        <v>6632</v>
      </c>
      <c r="C3826" t="s">
        <v>11845</v>
      </c>
      <c r="D3826" t="s">
        <v>52</v>
      </c>
      <c r="E3826" t="s">
        <v>11914</v>
      </c>
      <c r="F3826" t="s">
        <v>71</v>
      </c>
      <c r="G3826" t="str">
        <f>HYPERLINK("https://twitter.com/1385671921/status/1142771510828044289")</f>
        <v>https://twitter.com/1385671921/status/1142771510828044289</v>
      </c>
      <c r="H3826" t="s">
        <v>215</v>
      </c>
      <c r="I3826" t="s">
        <v>11915</v>
      </c>
      <c r="J3826" t="str">
        <f>HYPERLINK("http://twitter.com/LittleMissBawss")</f>
        <v>http://twitter.com/LittleMissBawss</v>
      </c>
      <c r="K3826">
        <v>1066</v>
      </c>
      <c r="N3826" t="s">
        <v>65</v>
      </c>
      <c r="R3826" t="s">
        <v>60</v>
      </c>
      <c r="S3826" t="s">
        <v>1071</v>
      </c>
      <c r="T3826" t="s">
        <v>1072</v>
      </c>
      <c r="U3826" t="s">
        <v>1073</v>
      </c>
      <c r="W3826">
        <v>0</v>
      </c>
      <c r="X3826">
        <v>0</v>
      </c>
      <c r="AE3826">
        <v>0</v>
      </c>
      <c r="AF3826">
        <v>0</v>
      </c>
      <c r="AM3826" t="s">
        <v>52</v>
      </c>
      <c r="AN3826" t="s">
        <v>53</v>
      </c>
    </row>
    <row r="3827" spans="1:40">
      <c r="A3827" t="s">
        <v>8081</v>
      </c>
      <c r="B3827" t="s">
        <v>6632</v>
      </c>
      <c r="C3827" t="s">
        <v>11916</v>
      </c>
      <c r="D3827" t="s">
        <v>52</v>
      </c>
      <c r="E3827" t="s">
        <v>11917</v>
      </c>
      <c r="F3827" t="s">
        <v>71</v>
      </c>
      <c r="G3827" t="str">
        <f>HYPERLINK("https://twitter.com/128788157/status/1142771505203503104")</f>
        <v>https://twitter.com/128788157/status/1142771505203503104</v>
      </c>
      <c r="H3827" t="s">
        <v>46</v>
      </c>
      <c r="I3827" t="s">
        <v>11918</v>
      </c>
      <c r="J3827" t="str">
        <f>HYPERLINK("http://twitter.com/Sly_Lunatic")</f>
        <v>http://twitter.com/Sly_Lunatic</v>
      </c>
      <c r="K3827">
        <v>17406</v>
      </c>
      <c r="N3827" t="s">
        <v>65</v>
      </c>
      <c r="R3827" t="s">
        <v>60</v>
      </c>
      <c r="S3827" t="s">
        <v>11919</v>
      </c>
      <c r="T3827" t="s">
        <v>11920</v>
      </c>
      <c r="U3827" t="s">
        <v>11921</v>
      </c>
      <c r="W3827">
        <v>0</v>
      </c>
      <c r="X3827">
        <v>0</v>
      </c>
      <c r="AE3827">
        <v>0</v>
      </c>
      <c r="AF3827">
        <v>1</v>
      </c>
      <c r="AM3827" t="s">
        <v>52</v>
      </c>
      <c r="AN3827" t="s">
        <v>53</v>
      </c>
    </row>
    <row r="3828" spans="1:40">
      <c r="A3828" t="s">
        <v>8081</v>
      </c>
      <c r="B3828" t="s">
        <v>6632</v>
      </c>
      <c r="C3828" t="s">
        <v>11922</v>
      </c>
      <c r="D3828" t="s">
        <v>52</v>
      </c>
      <c r="E3828" t="s">
        <v>11486</v>
      </c>
      <c r="F3828" t="s">
        <v>71</v>
      </c>
      <c r="G3828" t="str">
        <f>HYPERLINK("https://twitter.com/2563021365/status/1142771442733473793")</f>
        <v>https://twitter.com/2563021365/status/1142771442733473793</v>
      </c>
      <c r="H3828" t="s">
        <v>46</v>
      </c>
      <c r="I3828" t="s">
        <v>11923</v>
      </c>
      <c r="J3828" t="str">
        <f>HYPERLINK("http://twitter.com/larrythelame")</f>
        <v>http://twitter.com/larrythelame</v>
      </c>
      <c r="K3828">
        <v>17745</v>
      </c>
      <c r="N3828" t="s">
        <v>65</v>
      </c>
      <c r="R3828" t="s">
        <v>60</v>
      </c>
      <c r="S3828" t="s">
        <v>1071</v>
      </c>
      <c r="T3828" t="s">
        <v>1072</v>
      </c>
      <c r="U3828" t="s">
        <v>2123</v>
      </c>
      <c r="W3828">
        <v>2</v>
      </c>
      <c r="X3828">
        <v>2</v>
      </c>
      <c r="AE3828">
        <v>0</v>
      </c>
      <c r="AF3828">
        <v>2</v>
      </c>
      <c r="AM3828" t="s">
        <v>52</v>
      </c>
      <c r="AN3828" t="s">
        <v>53</v>
      </c>
    </row>
    <row r="3829" spans="1:40">
      <c r="A3829" t="s">
        <v>8081</v>
      </c>
      <c r="B3829" t="s">
        <v>6632</v>
      </c>
      <c r="C3829" t="s">
        <v>11924</v>
      </c>
      <c r="D3829" t="s">
        <v>52</v>
      </c>
      <c r="E3829" t="s">
        <v>5070</v>
      </c>
      <c r="F3829" t="s">
        <v>71</v>
      </c>
      <c r="G3829" t="str">
        <f>HYPERLINK("https://twitter.com/169438272/status/1142771399838375936")</f>
        <v>https://twitter.com/169438272/status/1142771399838375936</v>
      </c>
      <c r="H3829" t="s">
        <v>215</v>
      </c>
      <c r="I3829" t="s">
        <v>11925</v>
      </c>
      <c r="J3829" t="str">
        <f>HYPERLINK("http://twitter.com/Booshle")</f>
        <v>http://twitter.com/Booshle</v>
      </c>
      <c r="K3829">
        <v>4423</v>
      </c>
      <c r="N3829" t="s">
        <v>65</v>
      </c>
      <c r="R3829" t="s">
        <v>60</v>
      </c>
      <c r="S3829" t="s">
        <v>1071</v>
      </c>
      <c r="T3829" t="s">
        <v>1072</v>
      </c>
      <c r="U3829" t="s">
        <v>1073</v>
      </c>
      <c r="W3829">
        <v>0</v>
      </c>
      <c r="X3829">
        <v>0</v>
      </c>
      <c r="AE3829">
        <v>0</v>
      </c>
      <c r="AF3829">
        <v>1</v>
      </c>
      <c r="AM3829" t="s">
        <v>52</v>
      </c>
      <c r="AN3829" t="s">
        <v>53</v>
      </c>
    </row>
    <row r="3830" spans="1:40">
      <c r="A3830" t="s">
        <v>8081</v>
      </c>
      <c r="B3830" t="s">
        <v>6632</v>
      </c>
      <c r="C3830" t="s">
        <v>11926</v>
      </c>
      <c r="D3830" t="s">
        <v>52</v>
      </c>
      <c r="E3830" t="s">
        <v>11927</v>
      </c>
      <c r="F3830" t="s">
        <v>71</v>
      </c>
      <c r="G3830" t="str">
        <f>HYPERLINK("https://twitter.com/168739570/status/1142771340019163136")</f>
        <v>https://twitter.com/168739570/status/1142771340019163136</v>
      </c>
      <c r="H3830" t="s">
        <v>46</v>
      </c>
      <c r="I3830" t="s">
        <v>11928</v>
      </c>
      <c r="J3830" t="str">
        <f>HYPERLINK("http://twitter.com/SeeYay")</f>
        <v>http://twitter.com/SeeYay</v>
      </c>
      <c r="K3830">
        <v>4662</v>
      </c>
      <c r="N3830" t="s">
        <v>65</v>
      </c>
      <c r="R3830" t="s">
        <v>60</v>
      </c>
      <c r="S3830" t="s">
        <v>1071</v>
      </c>
      <c r="T3830" t="s">
        <v>1072</v>
      </c>
      <c r="U3830" t="s">
        <v>1073</v>
      </c>
      <c r="W3830">
        <v>0</v>
      </c>
      <c r="X3830">
        <v>0</v>
      </c>
      <c r="AE3830">
        <v>0</v>
      </c>
      <c r="AF3830">
        <v>0</v>
      </c>
      <c r="AM3830" t="s">
        <v>52</v>
      </c>
      <c r="AN3830" t="s">
        <v>53</v>
      </c>
    </row>
    <row r="3831" spans="1:40">
      <c r="A3831" t="s">
        <v>8081</v>
      </c>
      <c r="B3831" t="s">
        <v>6632</v>
      </c>
      <c r="C3831" t="s">
        <v>11845</v>
      </c>
      <c r="D3831" t="s">
        <v>52</v>
      </c>
      <c r="E3831" t="s">
        <v>11929</v>
      </c>
      <c r="F3831" t="s">
        <v>71</v>
      </c>
      <c r="G3831" t="str">
        <f>HYPERLINK("https://twitter.com/1561592245/status/1142771300919853056")</f>
        <v>https://twitter.com/1561592245/status/1142771300919853056</v>
      </c>
      <c r="H3831" t="s">
        <v>46</v>
      </c>
      <c r="I3831" t="s">
        <v>11930</v>
      </c>
      <c r="J3831" t="str">
        <f>HYPERLINK("http://twitter.com/CelliniNick")</f>
        <v>http://twitter.com/CelliniNick</v>
      </c>
      <c r="K3831">
        <v>11124</v>
      </c>
      <c r="L3831" t="s">
        <v>48</v>
      </c>
      <c r="N3831" t="s">
        <v>65</v>
      </c>
      <c r="R3831" t="s">
        <v>60</v>
      </c>
      <c r="S3831" t="s">
        <v>51</v>
      </c>
      <c r="T3831" t="s">
        <v>160</v>
      </c>
      <c r="U3831" t="s">
        <v>11931</v>
      </c>
      <c r="W3831">
        <v>2</v>
      </c>
      <c r="X3831">
        <v>2</v>
      </c>
      <c r="AE3831">
        <v>1</v>
      </c>
      <c r="AF3831">
        <v>0</v>
      </c>
      <c r="AM3831" t="s">
        <v>52</v>
      </c>
      <c r="AN3831" t="s">
        <v>53</v>
      </c>
    </row>
    <row r="3832" spans="1:40">
      <c r="A3832" t="s">
        <v>8081</v>
      </c>
      <c r="B3832" t="s">
        <v>864</v>
      </c>
      <c r="C3832" t="s">
        <v>11909</v>
      </c>
      <c r="D3832" t="s">
        <v>52</v>
      </c>
      <c r="E3832" t="s">
        <v>11932</v>
      </c>
      <c r="F3832" t="s">
        <v>71</v>
      </c>
      <c r="G3832" t="str">
        <f>HYPERLINK("https://twitter.com/70365793/status/1142771229599948800")</f>
        <v>https://twitter.com/70365793/status/1142771229599948800</v>
      </c>
      <c r="H3832" t="s">
        <v>46</v>
      </c>
      <c r="I3832" t="s">
        <v>11933</v>
      </c>
      <c r="J3832" t="str">
        <f>HYPERLINK("http://twitter.com/Dlala_Mzolo")</f>
        <v>http://twitter.com/Dlala_Mzolo</v>
      </c>
      <c r="K3832">
        <v>1312</v>
      </c>
      <c r="N3832" t="s">
        <v>65</v>
      </c>
      <c r="R3832" t="s">
        <v>60</v>
      </c>
      <c r="S3832" t="s">
        <v>3036</v>
      </c>
      <c r="T3832" t="s">
        <v>11934</v>
      </c>
      <c r="U3832" t="s">
        <v>11935</v>
      </c>
      <c r="W3832">
        <v>0</v>
      </c>
      <c r="X3832">
        <v>0</v>
      </c>
      <c r="AE3832">
        <v>1</v>
      </c>
      <c r="AF3832">
        <v>0</v>
      </c>
      <c r="AM3832" t="s">
        <v>52</v>
      </c>
      <c r="AN3832" t="s">
        <v>53</v>
      </c>
    </row>
    <row r="3833" spans="1:40">
      <c r="A3833" t="s">
        <v>8081</v>
      </c>
      <c r="B3833" t="s">
        <v>864</v>
      </c>
      <c r="C3833" t="s">
        <v>11936</v>
      </c>
      <c r="D3833" t="s">
        <v>52</v>
      </c>
      <c r="E3833" t="s">
        <v>3749</v>
      </c>
      <c r="F3833" t="s">
        <v>71</v>
      </c>
      <c r="G3833" t="str">
        <f>HYPERLINK("https://twitter.com/264134650/status/1142771140571598849")</f>
        <v>https://twitter.com/264134650/status/1142771140571598849</v>
      </c>
      <c r="H3833" t="s">
        <v>46</v>
      </c>
      <c r="I3833" t="s">
        <v>11937</v>
      </c>
      <c r="J3833" t="str">
        <f>HYPERLINK("http://twitter.com/Ayowolede")</f>
        <v>http://twitter.com/Ayowolede</v>
      </c>
      <c r="K3833">
        <v>1532</v>
      </c>
      <c r="N3833" t="s">
        <v>65</v>
      </c>
      <c r="R3833" t="s">
        <v>60</v>
      </c>
      <c r="S3833" t="s">
        <v>51</v>
      </c>
      <c r="T3833" t="s">
        <v>199</v>
      </c>
      <c r="U3833" t="s">
        <v>8693</v>
      </c>
      <c r="W3833">
        <v>0</v>
      </c>
      <c r="X3833">
        <v>0</v>
      </c>
      <c r="AE3833">
        <v>0</v>
      </c>
      <c r="AF3833">
        <v>0</v>
      </c>
      <c r="AI3833" t="s">
        <v>108</v>
      </c>
      <c r="AJ3833" t="s">
        <v>52</v>
      </c>
      <c r="AK3833" t="s">
        <v>52</v>
      </c>
      <c r="AL3833" t="str">
        <f>HYPERLINK("https://pbs.twimg.com/media/D9sAXHUX4AA6vJs.jpg")</f>
        <v>https://pbs.twimg.com/media/D9sAXHUX4AA6vJs.jpg</v>
      </c>
      <c r="AM3833" t="s">
        <v>52</v>
      </c>
      <c r="AN3833" t="s">
        <v>53</v>
      </c>
    </row>
    <row r="3834" spans="1:40">
      <c r="A3834" t="s">
        <v>8081</v>
      </c>
      <c r="B3834" t="s">
        <v>864</v>
      </c>
      <c r="C3834" t="s">
        <v>11874</v>
      </c>
      <c r="D3834" t="s">
        <v>52</v>
      </c>
      <c r="E3834" t="s">
        <v>6910</v>
      </c>
      <c r="F3834" t="s">
        <v>131</v>
      </c>
      <c r="G3834" t="str">
        <f>HYPERLINK("https://twitter.com/3896306594/status/1142771121563021313")</f>
        <v>https://twitter.com/3896306594/status/1142771121563021313</v>
      </c>
      <c r="H3834" t="s">
        <v>46</v>
      </c>
      <c r="I3834" t="s">
        <v>11938</v>
      </c>
      <c r="J3834" t="str">
        <f>HYPERLINK("http://twitter.com/RisingDoughs")</f>
        <v>http://twitter.com/RisingDoughs</v>
      </c>
      <c r="K3834">
        <v>1724</v>
      </c>
      <c r="N3834" t="s">
        <v>65</v>
      </c>
      <c r="R3834" t="s">
        <v>60</v>
      </c>
      <c r="S3834" t="s">
        <v>3660</v>
      </c>
      <c r="T3834" t="s">
        <v>11939</v>
      </c>
      <c r="W3834">
        <v>0</v>
      </c>
      <c r="X3834">
        <v>0</v>
      </c>
      <c r="AE3834">
        <v>0</v>
      </c>
      <c r="AM3834" t="s">
        <v>52</v>
      </c>
      <c r="AN3834" t="s">
        <v>53</v>
      </c>
    </row>
    <row r="3835" spans="1:40">
      <c r="A3835" t="s">
        <v>8081</v>
      </c>
      <c r="B3835" t="s">
        <v>864</v>
      </c>
      <c r="C3835" t="s">
        <v>11871</v>
      </c>
      <c r="D3835" t="s">
        <v>52</v>
      </c>
      <c r="E3835" t="s">
        <v>4296</v>
      </c>
      <c r="F3835" t="s">
        <v>131</v>
      </c>
      <c r="G3835" t="str">
        <f>HYPERLINK("https://twitter.com/3288771003/status/1142771065636237314")</f>
        <v>https://twitter.com/3288771003/status/1142771065636237314</v>
      </c>
      <c r="H3835" t="s">
        <v>46</v>
      </c>
      <c r="I3835" t="s">
        <v>11940</v>
      </c>
      <c r="J3835" t="str">
        <f>HYPERLINK("http://twitter.com/vhicralph")</f>
        <v>http://twitter.com/vhicralph</v>
      </c>
      <c r="K3835">
        <v>2805</v>
      </c>
      <c r="N3835" t="s">
        <v>65</v>
      </c>
      <c r="R3835" t="s">
        <v>60</v>
      </c>
      <c r="S3835" t="s">
        <v>1403</v>
      </c>
      <c r="T3835" t="s">
        <v>11941</v>
      </c>
      <c r="U3835" t="s">
        <v>11942</v>
      </c>
      <c r="W3835">
        <v>0</v>
      </c>
      <c r="X3835">
        <v>0</v>
      </c>
      <c r="AE3835">
        <v>0</v>
      </c>
      <c r="AI3835" t="s">
        <v>108</v>
      </c>
      <c r="AJ3835" t="s">
        <v>52</v>
      </c>
      <c r="AK3835" t="s">
        <v>52</v>
      </c>
      <c r="AL3835" t="str">
        <f>HYPERLINK("https://pbs.twimg.com/media/D9sAXHUX4AA6vJs.jpg")</f>
        <v>https://pbs.twimg.com/media/D9sAXHUX4AA6vJs.jpg</v>
      </c>
      <c r="AM3835" t="s">
        <v>52</v>
      </c>
      <c r="AN3835" t="s">
        <v>53</v>
      </c>
    </row>
    <row r="3836" spans="1:40">
      <c r="A3836" t="s">
        <v>8081</v>
      </c>
      <c r="B3836" t="s">
        <v>864</v>
      </c>
      <c r="C3836" t="s">
        <v>11840</v>
      </c>
      <c r="D3836" t="s">
        <v>52</v>
      </c>
      <c r="E3836" t="s">
        <v>3749</v>
      </c>
      <c r="F3836" t="s">
        <v>71</v>
      </c>
      <c r="G3836" t="str">
        <f>HYPERLINK("https://twitter.com/1345349372/status/1142771061194481664")</f>
        <v>https://twitter.com/1345349372/status/1142771061194481664</v>
      </c>
      <c r="H3836" t="s">
        <v>46</v>
      </c>
      <c r="I3836" t="s">
        <v>11943</v>
      </c>
      <c r="J3836" t="str">
        <f>HYPERLINK("http://twitter.com/Minimalist08")</f>
        <v>http://twitter.com/Minimalist08</v>
      </c>
      <c r="K3836">
        <v>2686</v>
      </c>
      <c r="N3836" t="s">
        <v>65</v>
      </c>
      <c r="R3836" t="s">
        <v>60</v>
      </c>
      <c r="W3836">
        <v>0</v>
      </c>
      <c r="X3836">
        <v>0</v>
      </c>
      <c r="AE3836">
        <v>0</v>
      </c>
      <c r="AF3836">
        <v>0</v>
      </c>
      <c r="AI3836" t="s">
        <v>108</v>
      </c>
      <c r="AJ3836" t="s">
        <v>52</v>
      </c>
      <c r="AK3836" t="s">
        <v>52</v>
      </c>
      <c r="AL3836" t="str">
        <f>HYPERLINK("https://pbs.twimg.com/media/D9sAXHUX4AA6vJs.jpg")</f>
        <v>https://pbs.twimg.com/media/D9sAXHUX4AA6vJs.jpg</v>
      </c>
      <c r="AM3836" t="s">
        <v>52</v>
      </c>
      <c r="AN3836" t="s">
        <v>53</v>
      </c>
    </row>
    <row r="3837" spans="1:40">
      <c r="A3837" t="s">
        <v>8081</v>
      </c>
      <c r="B3837" t="s">
        <v>864</v>
      </c>
      <c r="C3837" t="s">
        <v>11871</v>
      </c>
      <c r="D3837" t="s">
        <v>52</v>
      </c>
      <c r="E3837" t="s">
        <v>4296</v>
      </c>
      <c r="F3837" t="s">
        <v>131</v>
      </c>
      <c r="G3837" t="str">
        <f>HYPERLINK("https://twitter.com/1019199463770947586/status/1142771060544348160")</f>
        <v>https://twitter.com/1019199463770947586/status/1142771060544348160</v>
      </c>
      <c r="H3837" t="s">
        <v>46</v>
      </c>
      <c r="I3837" t="s">
        <v>11944</v>
      </c>
      <c r="J3837" t="str">
        <f>HYPERLINK("http://twitter.com/QanganiLilitha")</f>
        <v>http://twitter.com/QanganiLilitha</v>
      </c>
      <c r="K3837">
        <v>137</v>
      </c>
      <c r="N3837" t="s">
        <v>65</v>
      </c>
      <c r="R3837" t="s">
        <v>60</v>
      </c>
      <c r="S3837" t="s">
        <v>1071</v>
      </c>
      <c r="W3837">
        <v>0</v>
      </c>
      <c r="X3837">
        <v>0</v>
      </c>
      <c r="AE3837">
        <v>0</v>
      </c>
      <c r="AI3837" t="s">
        <v>108</v>
      </c>
      <c r="AJ3837" t="s">
        <v>52</v>
      </c>
      <c r="AK3837" t="s">
        <v>52</v>
      </c>
      <c r="AL3837" t="str">
        <f>HYPERLINK("https://pbs.twimg.com/media/D9sAXHUX4AA6vJs.jpg")</f>
        <v>https://pbs.twimg.com/media/D9sAXHUX4AA6vJs.jpg</v>
      </c>
      <c r="AM3837" t="s">
        <v>52</v>
      </c>
      <c r="AN3837" t="s">
        <v>53</v>
      </c>
    </row>
    <row r="3838" spans="1:40">
      <c r="A3838" t="s">
        <v>8081</v>
      </c>
      <c r="B3838" t="s">
        <v>868</v>
      </c>
      <c r="C3838" t="s">
        <v>11842</v>
      </c>
      <c r="D3838" t="s">
        <v>52</v>
      </c>
      <c r="E3838" t="s">
        <v>11945</v>
      </c>
      <c r="F3838" t="s">
        <v>71</v>
      </c>
      <c r="G3838" t="str">
        <f>HYPERLINK("https://twitter.com/2172094606/status/1142771026868232192")</f>
        <v>https://twitter.com/2172094606/status/1142771026868232192</v>
      </c>
      <c r="H3838" t="s">
        <v>46</v>
      </c>
      <c r="I3838" t="s">
        <v>11946</v>
      </c>
      <c r="J3838" t="str">
        <f>HYPERLINK("http://twitter.com/LeeRasko")</f>
        <v>http://twitter.com/LeeRasko</v>
      </c>
      <c r="K3838">
        <v>12753</v>
      </c>
      <c r="N3838" t="s">
        <v>65</v>
      </c>
      <c r="R3838" t="s">
        <v>60</v>
      </c>
      <c r="S3838" t="s">
        <v>1071</v>
      </c>
      <c r="T3838" t="s">
        <v>1072</v>
      </c>
      <c r="U3838" t="s">
        <v>1073</v>
      </c>
      <c r="W3838">
        <v>0</v>
      </c>
      <c r="X3838">
        <v>0</v>
      </c>
      <c r="AE3838">
        <v>0</v>
      </c>
      <c r="AF3838">
        <v>0</v>
      </c>
      <c r="AM3838" t="s">
        <v>52</v>
      </c>
      <c r="AN3838" t="s">
        <v>53</v>
      </c>
    </row>
    <row r="3839" spans="1:40">
      <c r="A3839" t="s">
        <v>8081</v>
      </c>
      <c r="B3839" t="s">
        <v>868</v>
      </c>
      <c r="C3839" t="s">
        <v>11842</v>
      </c>
      <c r="D3839" t="s">
        <v>52</v>
      </c>
      <c r="E3839" t="s">
        <v>6910</v>
      </c>
      <c r="F3839" t="s">
        <v>131</v>
      </c>
      <c r="G3839" t="str">
        <f>HYPERLINK("https://twitter.com/890584546164576256/status/1142770985487216642")</f>
        <v>https://twitter.com/890584546164576256/status/1142770985487216642</v>
      </c>
      <c r="H3839" t="s">
        <v>46</v>
      </c>
      <c r="I3839" t="s">
        <v>11947</v>
      </c>
      <c r="J3839" t="str">
        <f>HYPERLINK("http://twitter.com/vestenotcer")</f>
        <v>http://twitter.com/vestenotcer</v>
      </c>
      <c r="K3839">
        <v>1239</v>
      </c>
      <c r="N3839" t="s">
        <v>65</v>
      </c>
      <c r="R3839" t="s">
        <v>60</v>
      </c>
      <c r="W3839">
        <v>0</v>
      </c>
      <c r="X3839">
        <v>0</v>
      </c>
      <c r="AE3839">
        <v>0</v>
      </c>
      <c r="AM3839" t="s">
        <v>52</v>
      </c>
      <c r="AN3839" t="s">
        <v>53</v>
      </c>
    </row>
    <row r="3840" spans="1:40">
      <c r="A3840" t="s">
        <v>8081</v>
      </c>
      <c r="B3840" t="s">
        <v>868</v>
      </c>
      <c r="C3840" t="s">
        <v>11845</v>
      </c>
      <c r="D3840" t="s">
        <v>52</v>
      </c>
      <c r="E3840" t="s">
        <v>3749</v>
      </c>
      <c r="F3840" t="s">
        <v>71</v>
      </c>
      <c r="G3840" t="str">
        <f>HYPERLINK("https://twitter.com/306756246/status/1142770938980814848")</f>
        <v>https://twitter.com/306756246/status/1142770938980814848</v>
      </c>
      <c r="H3840" t="s">
        <v>46</v>
      </c>
      <c r="I3840" t="s">
        <v>11948</v>
      </c>
      <c r="J3840" t="str">
        <f>HYPERLINK("http://twitter.com/skillzmike")</f>
        <v>http://twitter.com/skillzmike</v>
      </c>
      <c r="K3840">
        <v>1304</v>
      </c>
      <c r="L3840" t="s">
        <v>48</v>
      </c>
      <c r="N3840" t="s">
        <v>65</v>
      </c>
      <c r="R3840" t="s">
        <v>60</v>
      </c>
      <c r="S3840" t="s">
        <v>1592</v>
      </c>
      <c r="T3840" t="s">
        <v>7397</v>
      </c>
      <c r="U3840" t="s">
        <v>7397</v>
      </c>
      <c r="W3840">
        <v>0</v>
      </c>
      <c r="X3840">
        <v>0</v>
      </c>
      <c r="AE3840">
        <v>0</v>
      </c>
      <c r="AF3840">
        <v>0</v>
      </c>
      <c r="AI3840" t="s">
        <v>108</v>
      </c>
      <c r="AJ3840" t="s">
        <v>52</v>
      </c>
      <c r="AK3840" t="s">
        <v>52</v>
      </c>
      <c r="AL3840" t="str">
        <f>HYPERLINK("https://pbs.twimg.com/media/D9sAXHUX4AA6vJs.jpg")</f>
        <v>https://pbs.twimg.com/media/D9sAXHUX4AA6vJs.jpg</v>
      </c>
      <c r="AM3840" t="s">
        <v>52</v>
      </c>
      <c r="AN3840" t="s">
        <v>53</v>
      </c>
    </row>
    <row r="3841" spans="1:40">
      <c r="A3841" t="s">
        <v>8081</v>
      </c>
      <c r="B3841" t="s">
        <v>875</v>
      </c>
      <c r="C3841" t="s">
        <v>11892</v>
      </c>
      <c r="D3841" t="s">
        <v>52</v>
      </c>
      <c r="E3841" t="s">
        <v>11949</v>
      </c>
      <c r="F3841" t="s">
        <v>71</v>
      </c>
      <c r="G3841" t="str">
        <f>HYPERLINK("https://twitter.com/957675135506493443/status/1142770748605509632")</f>
        <v>https://twitter.com/957675135506493443/status/1142770748605509632</v>
      </c>
      <c r="H3841" t="s">
        <v>46</v>
      </c>
      <c r="I3841" t="s">
        <v>11950</v>
      </c>
      <c r="J3841" t="str">
        <f>HYPERLINK("http://twitter.com/darkskinKEISHIA")</f>
        <v>http://twitter.com/darkskinKEISHIA</v>
      </c>
      <c r="K3841">
        <v>153</v>
      </c>
      <c r="N3841" t="s">
        <v>65</v>
      </c>
      <c r="R3841" t="s">
        <v>60</v>
      </c>
      <c r="S3841" t="s">
        <v>51</v>
      </c>
      <c r="T3841" t="s">
        <v>152</v>
      </c>
      <c r="U3841" t="s">
        <v>1958</v>
      </c>
      <c r="W3841">
        <v>2</v>
      </c>
      <c r="X3841">
        <v>2</v>
      </c>
      <c r="AE3841">
        <v>1</v>
      </c>
      <c r="AF3841">
        <v>0</v>
      </c>
      <c r="AM3841" t="s">
        <v>52</v>
      </c>
      <c r="AN3841" t="s">
        <v>53</v>
      </c>
    </row>
    <row r="3842" spans="1:40">
      <c r="A3842" t="s">
        <v>8081</v>
      </c>
      <c r="B3842" t="s">
        <v>875</v>
      </c>
      <c r="C3842" t="s">
        <v>10311</v>
      </c>
      <c r="D3842" t="s">
        <v>52</v>
      </c>
      <c r="E3842" t="s">
        <v>6995</v>
      </c>
      <c r="F3842" t="s">
        <v>45</v>
      </c>
      <c r="G3842" t="str">
        <f>HYPERLINK("https://www.instagram.com/p/BzDV0ovAzQC")</f>
        <v>https://www.instagram.com/p/BzDV0ovAzQC</v>
      </c>
      <c r="H3842" t="s">
        <v>46</v>
      </c>
      <c r="I3842" t="s">
        <v>6996</v>
      </c>
      <c r="J3842" t="str">
        <f>HYPERLINK("http://instagram.com/snackstoredelivery")</f>
        <v>http://instagram.com/snackstoredelivery</v>
      </c>
      <c r="K3842">
        <v>234</v>
      </c>
      <c r="L3842" t="s">
        <v>651</v>
      </c>
      <c r="N3842" t="s">
        <v>59</v>
      </c>
      <c r="O3842" t="s">
        <v>6996</v>
      </c>
      <c r="P3842" t="str">
        <f>HYPERLINK("http://instagram.com/snackstoredelivery")</f>
        <v>http://instagram.com/snackstoredelivery</v>
      </c>
      <c r="Q3842">
        <v>234</v>
      </c>
      <c r="R3842" t="s">
        <v>60</v>
      </c>
      <c r="S3842" t="s">
        <v>774</v>
      </c>
      <c r="T3842" t="s">
        <v>3540</v>
      </c>
      <c r="U3842" t="s">
        <v>11951</v>
      </c>
      <c r="W3842">
        <v>24</v>
      </c>
      <c r="X3842">
        <v>24</v>
      </c>
      <c r="AE3842">
        <v>0</v>
      </c>
      <c r="AI3842" t="s">
        <v>108</v>
      </c>
      <c r="AJ3842" t="s">
        <v>6998</v>
      </c>
      <c r="AK3842" t="s">
        <v>52</v>
      </c>
      <c r="AL3842" t="str">
        <f>HYPERLINK("https://www.instagram.com/p/BzDV0ovAzQC/media/?size=l")</f>
        <v>https://www.instagram.com/p/BzDV0ovAzQC/media/?size=l</v>
      </c>
      <c r="AM3842" t="s">
        <v>52</v>
      </c>
      <c r="AN3842" t="s">
        <v>53</v>
      </c>
    </row>
    <row r="3843" spans="1:40">
      <c r="A3843" t="s">
        <v>8081</v>
      </c>
      <c r="B3843" t="s">
        <v>875</v>
      </c>
      <c r="C3843" t="s">
        <v>11909</v>
      </c>
      <c r="D3843" t="s">
        <v>52</v>
      </c>
      <c r="E3843" t="s">
        <v>11952</v>
      </c>
      <c r="F3843" t="s">
        <v>95</v>
      </c>
      <c r="G3843" t="str">
        <f>HYPERLINK("https://twitter.com/4484658340/status/1142770597711220736")</f>
        <v>https://twitter.com/4484658340/status/1142770597711220736</v>
      </c>
      <c r="H3843" t="s">
        <v>215</v>
      </c>
      <c r="I3843" t="s">
        <v>11953</v>
      </c>
      <c r="J3843" t="str">
        <f>HYPERLINK("http://twitter.com/Wolverhamptonww")</f>
        <v>http://twitter.com/Wolverhamptonww</v>
      </c>
      <c r="K3843">
        <v>26</v>
      </c>
      <c r="L3843" t="s">
        <v>48</v>
      </c>
      <c r="N3843" t="s">
        <v>65</v>
      </c>
      <c r="R3843" t="s">
        <v>60</v>
      </c>
      <c r="S3843" t="s">
        <v>97</v>
      </c>
      <c r="T3843" t="s">
        <v>177</v>
      </c>
      <c r="U3843" t="s">
        <v>361</v>
      </c>
      <c r="W3843">
        <v>0</v>
      </c>
      <c r="X3843">
        <v>0</v>
      </c>
      <c r="AE3843">
        <v>0</v>
      </c>
      <c r="AF3843">
        <v>0</v>
      </c>
      <c r="AM3843" t="s">
        <v>52</v>
      </c>
      <c r="AN3843" t="s">
        <v>53</v>
      </c>
    </row>
    <row r="3844" spans="1:40">
      <c r="A3844" t="s">
        <v>8081</v>
      </c>
      <c r="B3844" t="s">
        <v>881</v>
      </c>
      <c r="C3844" t="s">
        <v>10324</v>
      </c>
      <c r="D3844" t="s">
        <v>52</v>
      </c>
      <c r="E3844" t="s">
        <v>11954</v>
      </c>
      <c r="F3844" t="s">
        <v>45</v>
      </c>
      <c r="G3844" t="str">
        <f>HYPERLINK("https://www.instagram.com/p/BzDVfbVofdL")</f>
        <v>https://www.instagram.com/p/BzDVfbVofdL</v>
      </c>
      <c r="H3844" t="s">
        <v>46</v>
      </c>
      <c r="I3844" t="s">
        <v>11955</v>
      </c>
      <c r="J3844" t="str">
        <f>HYPERLINK("http://instagram.com/rogers_my_killer_queen_")</f>
        <v>http://instagram.com/rogers_my_killer_queen_</v>
      </c>
      <c r="K3844">
        <v>176</v>
      </c>
      <c r="N3844" t="s">
        <v>59</v>
      </c>
      <c r="O3844" t="s">
        <v>11955</v>
      </c>
      <c r="P3844" t="str">
        <f>HYPERLINK("http://instagram.com/rogers_my_killer_queen_")</f>
        <v>http://instagram.com/rogers_my_killer_queen_</v>
      </c>
      <c r="Q3844">
        <v>176</v>
      </c>
      <c r="R3844" t="s">
        <v>60</v>
      </c>
      <c r="W3844">
        <v>31</v>
      </c>
      <c r="X3844">
        <v>31</v>
      </c>
      <c r="AE3844">
        <v>0</v>
      </c>
      <c r="AI3844" t="s">
        <v>108</v>
      </c>
      <c r="AJ3844" t="s">
        <v>11956</v>
      </c>
      <c r="AK3844" t="s">
        <v>52</v>
      </c>
      <c r="AL3844" t="str">
        <f>HYPERLINK("https://www.instagram.com/p/BzDVfbVofdL/media/?size=l")</f>
        <v>https://www.instagram.com/p/BzDVfbVofdL/media/?size=l</v>
      </c>
      <c r="AM3844" t="s">
        <v>52</v>
      </c>
      <c r="AN3844" t="s">
        <v>53</v>
      </c>
    </row>
    <row r="3845" spans="1:40">
      <c r="A3845" t="s">
        <v>8081</v>
      </c>
      <c r="B3845" t="s">
        <v>881</v>
      </c>
      <c r="C3845" t="s">
        <v>11957</v>
      </c>
      <c r="D3845" t="s">
        <v>52</v>
      </c>
      <c r="E3845" t="s">
        <v>526</v>
      </c>
      <c r="F3845" t="s">
        <v>131</v>
      </c>
      <c r="G3845" t="str">
        <f>HYPERLINK("https://twitter.com/1046212740212088833/status/1142769932565921793")</f>
        <v>https://twitter.com/1046212740212088833/status/1142769932565921793</v>
      </c>
      <c r="H3845" t="s">
        <v>46</v>
      </c>
      <c r="I3845" t="s">
        <v>11958</v>
      </c>
      <c r="J3845" t="str">
        <f>HYPERLINK("http://twitter.com/christopherpdl8")</f>
        <v>http://twitter.com/christopherpdl8</v>
      </c>
      <c r="K3845">
        <v>616</v>
      </c>
      <c r="L3845" t="s">
        <v>48</v>
      </c>
      <c r="N3845" t="s">
        <v>65</v>
      </c>
      <c r="R3845" t="s">
        <v>60</v>
      </c>
      <c r="S3845" t="s">
        <v>437</v>
      </c>
      <c r="T3845" t="s">
        <v>528</v>
      </c>
      <c r="U3845" t="s">
        <v>529</v>
      </c>
      <c r="W3845">
        <v>0</v>
      </c>
      <c r="X3845">
        <v>0</v>
      </c>
      <c r="AE3845">
        <v>0</v>
      </c>
      <c r="AI3845" t="s">
        <v>108</v>
      </c>
      <c r="AJ3845" t="s">
        <v>52</v>
      </c>
      <c r="AK3845" t="s">
        <v>52</v>
      </c>
      <c r="AL3845" t="str">
        <f>HYPERLINK("https://pbs.twimg.com/ext_tw_video_thumb/1141360066962100224/pu/img/5_tGc4hLFQwcD07b.jpg")</f>
        <v>https://pbs.twimg.com/ext_tw_video_thumb/1141360066962100224/pu/img/5_tGc4hLFQwcD07b.jpg</v>
      </c>
      <c r="AM3845" t="s">
        <v>52</v>
      </c>
      <c r="AN3845" t="s">
        <v>53</v>
      </c>
    </row>
    <row r="3846" spans="1:40">
      <c r="A3846" t="s">
        <v>8081</v>
      </c>
      <c r="B3846" t="s">
        <v>881</v>
      </c>
      <c r="C3846" t="s">
        <v>10301</v>
      </c>
      <c r="D3846" t="s">
        <v>52</v>
      </c>
      <c r="E3846" t="s">
        <v>11959</v>
      </c>
      <c r="F3846" t="s">
        <v>45</v>
      </c>
      <c r="G3846" t="str">
        <f>HYPERLINK("https://www.instagram.com/p/BzDVc9Lnzt5")</f>
        <v>https://www.instagram.com/p/BzDVc9Lnzt5</v>
      </c>
      <c r="H3846" t="s">
        <v>46</v>
      </c>
      <c r="I3846" t="s">
        <v>11960</v>
      </c>
      <c r="J3846" t="str">
        <f>HYPERLINK("http://instagram.com/dan.burchell.33")</f>
        <v>http://instagram.com/dan.burchell.33</v>
      </c>
      <c r="K3846">
        <v>25</v>
      </c>
      <c r="N3846" t="s">
        <v>59</v>
      </c>
      <c r="O3846" t="s">
        <v>11960</v>
      </c>
      <c r="P3846" t="str">
        <f>HYPERLINK("http://instagram.com/dan.burchell.33")</f>
        <v>http://instagram.com/dan.burchell.33</v>
      </c>
      <c r="Q3846">
        <v>25</v>
      </c>
      <c r="R3846" t="s">
        <v>60</v>
      </c>
      <c r="W3846">
        <v>4</v>
      </c>
      <c r="X3846">
        <v>4</v>
      </c>
      <c r="AE3846">
        <v>0</v>
      </c>
      <c r="AI3846" t="s">
        <v>108</v>
      </c>
      <c r="AJ3846" t="s">
        <v>5204</v>
      </c>
      <c r="AK3846" t="s">
        <v>52</v>
      </c>
      <c r="AL3846" t="str">
        <f>HYPERLINK("https://www.instagram.com/p/BzDVc9Lnzt5/media/?size=l")</f>
        <v>https://www.instagram.com/p/BzDVc9Lnzt5/media/?size=l</v>
      </c>
      <c r="AM3846" t="s">
        <v>52</v>
      </c>
      <c r="AN3846" t="s">
        <v>53</v>
      </c>
    </row>
    <row r="3847" spans="1:40">
      <c r="A3847" t="s">
        <v>8081</v>
      </c>
      <c r="B3847" t="s">
        <v>895</v>
      </c>
      <c r="C3847" t="s">
        <v>11906</v>
      </c>
      <c r="D3847" t="s">
        <v>52</v>
      </c>
      <c r="E3847" t="s">
        <v>11961</v>
      </c>
      <c r="F3847" t="s">
        <v>45</v>
      </c>
      <c r="G3847" t="str">
        <f>HYPERLINK("https://www.instagram.com/p/BzDVIPbnr_Y")</f>
        <v>https://www.instagram.com/p/BzDVIPbnr_Y</v>
      </c>
      <c r="H3847" t="s">
        <v>46</v>
      </c>
      <c r="I3847" t="s">
        <v>11962</v>
      </c>
      <c r="J3847" t="str">
        <f>HYPERLINK("http://instagram.com/minsunderstood_1_")</f>
        <v>http://instagram.com/minsunderstood_1_</v>
      </c>
      <c r="K3847">
        <v>0</v>
      </c>
      <c r="L3847" t="s">
        <v>651</v>
      </c>
      <c r="N3847" t="s">
        <v>59</v>
      </c>
      <c r="O3847" t="s">
        <v>11962</v>
      </c>
      <c r="P3847" t="str">
        <f>HYPERLINK("http://instagram.com/minsunderstood_1_")</f>
        <v>http://instagram.com/minsunderstood_1_</v>
      </c>
      <c r="Q3847">
        <v>0</v>
      </c>
      <c r="R3847" t="s">
        <v>60</v>
      </c>
      <c r="W3847">
        <v>4</v>
      </c>
      <c r="X3847">
        <v>4</v>
      </c>
      <c r="AE3847">
        <v>0</v>
      </c>
      <c r="AG3847">
        <v>14</v>
      </c>
      <c r="AI3847" t="s">
        <v>52</v>
      </c>
      <c r="AJ3847" t="s">
        <v>52</v>
      </c>
      <c r="AK3847" t="s">
        <v>52</v>
      </c>
      <c r="AL3847" t="str">
        <f>HYPERLINK("https://www.instagram.com/p/BzDVIPbnr_Y/media/?size=l")</f>
        <v>https://www.instagram.com/p/BzDVIPbnr_Y/media/?size=l</v>
      </c>
      <c r="AM3847" t="s">
        <v>52</v>
      </c>
      <c r="AN3847" t="s">
        <v>53</v>
      </c>
    </row>
    <row r="3848" spans="1:40">
      <c r="A3848" t="s">
        <v>8081</v>
      </c>
      <c r="B3848" t="s">
        <v>895</v>
      </c>
      <c r="C3848" t="s">
        <v>10332</v>
      </c>
      <c r="D3848" t="s">
        <v>11963</v>
      </c>
      <c r="E3848" t="s">
        <v>11964</v>
      </c>
      <c r="F3848" t="s">
        <v>45</v>
      </c>
      <c r="G3848" t="str">
        <f>HYPERLINK("https://www.youtube.com/watch?v=WC8b66kdzz4")</f>
        <v>https://www.youtube.com/watch?v=WC8b66kdzz4</v>
      </c>
      <c r="H3848" t="s">
        <v>46</v>
      </c>
      <c r="I3848" t="s">
        <v>11965</v>
      </c>
      <c r="J3848" t="str">
        <f>HYPERLINK("https://www.youtube.com/channel/UCLBxU-amZJert922gf7jGGg")</f>
        <v>https://www.youtube.com/channel/UCLBxU-amZJert922gf7jGGg</v>
      </c>
      <c r="K3848">
        <v>44</v>
      </c>
      <c r="N3848" t="s">
        <v>116</v>
      </c>
      <c r="O3848" t="s">
        <v>11965</v>
      </c>
      <c r="P3848" t="str">
        <f>HYPERLINK("https://www.youtube.com/channel/UCLBxU-amZJert922gf7jGGg")</f>
        <v>https://www.youtube.com/channel/UCLBxU-amZJert922gf7jGGg</v>
      </c>
      <c r="Q3848">
        <v>44</v>
      </c>
      <c r="R3848" t="s">
        <v>60</v>
      </c>
      <c r="W3848">
        <v>7</v>
      </c>
      <c r="X3848">
        <v>7</v>
      </c>
      <c r="AD3848">
        <v>0</v>
      </c>
      <c r="AE3848">
        <v>12</v>
      </c>
      <c r="AG3848">
        <v>41</v>
      </c>
      <c r="AI3848" t="s">
        <v>108</v>
      </c>
      <c r="AJ3848" t="s">
        <v>4006</v>
      </c>
      <c r="AK3848" t="s">
        <v>52</v>
      </c>
      <c r="AL3848" t="str">
        <f>HYPERLINK("https://i.ytimg.com/vi/WC8b66kdzz4/maxresdefault.jpg")</f>
        <v>https://i.ytimg.com/vi/WC8b66kdzz4/maxresdefault.jpg</v>
      </c>
      <c r="AM3848" t="s">
        <v>52</v>
      </c>
      <c r="AN3848" t="s">
        <v>53</v>
      </c>
    </row>
    <row r="3849" spans="1:40">
      <c r="A3849" t="s">
        <v>8081</v>
      </c>
      <c r="B3849" t="s">
        <v>895</v>
      </c>
      <c r="C3849" t="s">
        <v>11906</v>
      </c>
      <c r="D3849" t="s">
        <v>52</v>
      </c>
      <c r="E3849" t="s">
        <v>11966</v>
      </c>
      <c r="F3849" t="s">
        <v>71</v>
      </c>
      <c r="G3849" t="str">
        <f>HYPERLINK("https://twitter.com/364449839/status/1142769137216905216")</f>
        <v>https://twitter.com/364449839/status/1142769137216905216</v>
      </c>
      <c r="H3849" t="s">
        <v>46</v>
      </c>
      <c r="I3849" t="s">
        <v>52</v>
      </c>
      <c r="J3849" t="str">
        <f>HYPERLINK("http://twitter.com/kimberlyLord5")</f>
        <v>http://twitter.com/kimberlyLord5</v>
      </c>
      <c r="K3849">
        <v>5341</v>
      </c>
      <c r="N3849" t="s">
        <v>65</v>
      </c>
      <c r="R3849" t="s">
        <v>60</v>
      </c>
      <c r="S3849" t="s">
        <v>1071</v>
      </c>
      <c r="W3849">
        <v>1</v>
      </c>
      <c r="X3849">
        <v>1</v>
      </c>
      <c r="AE3849">
        <v>0</v>
      </c>
      <c r="AF3849">
        <v>0</v>
      </c>
      <c r="AI3849" t="s">
        <v>108</v>
      </c>
      <c r="AJ3849" t="s">
        <v>52</v>
      </c>
      <c r="AK3849" t="s">
        <v>52</v>
      </c>
      <c r="AL3849" t="str">
        <f>HYPERLINK("https://pbs.twimg.com/media/D9sAXHUX4AA6vJs.jpg")</f>
        <v>https://pbs.twimg.com/media/D9sAXHUX4AA6vJs.jpg</v>
      </c>
      <c r="AM3849" t="s">
        <v>52</v>
      </c>
      <c r="AN3849" t="s">
        <v>53</v>
      </c>
    </row>
    <row r="3850" spans="1:40">
      <c r="A3850" t="s">
        <v>8081</v>
      </c>
      <c r="B3850" t="s">
        <v>900</v>
      </c>
      <c r="C3850" t="s">
        <v>11967</v>
      </c>
      <c r="D3850" t="s">
        <v>52</v>
      </c>
      <c r="E3850" t="s">
        <v>11968</v>
      </c>
      <c r="F3850" t="s">
        <v>95</v>
      </c>
      <c r="G3850" t="str">
        <f>HYPERLINK("https://twitter.com/1482214476/status/1142769010062307329")</f>
        <v>https://twitter.com/1482214476/status/1142769010062307329</v>
      </c>
      <c r="H3850" t="s">
        <v>46</v>
      </c>
      <c r="I3850" t="s">
        <v>11969</v>
      </c>
      <c r="J3850" t="str">
        <f>HYPERLINK("http://twitter.com/marcialuki")</f>
        <v>http://twitter.com/marcialuki</v>
      </c>
      <c r="K3850">
        <v>185</v>
      </c>
      <c r="N3850" t="s">
        <v>65</v>
      </c>
      <c r="R3850" t="s">
        <v>60</v>
      </c>
      <c r="S3850" t="s">
        <v>142</v>
      </c>
      <c r="T3850" t="s">
        <v>672</v>
      </c>
      <c r="W3850">
        <v>0</v>
      </c>
      <c r="X3850">
        <v>0</v>
      </c>
      <c r="AE3850">
        <v>1</v>
      </c>
      <c r="AF3850">
        <v>0</v>
      </c>
      <c r="AM3850" t="s">
        <v>52</v>
      </c>
      <c r="AN3850" t="s">
        <v>53</v>
      </c>
    </row>
    <row r="3851" spans="1:40">
      <c r="A3851" t="s">
        <v>8081</v>
      </c>
      <c r="B3851" t="s">
        <v>900</v>
      </c>
      <c r="C3851" t="s">
        <v>11922</v>
      </c>
      <c r="D3851" t="s">
        <v>52</v>
      </c>
      <c r="E3851" t="s">
        <v>3749</v>
      </c>
      <c r="F3851" t="s">
        <v>71</v>
      </c>
      <c r="G3851" t="str">
        <f>HYPERLINK("https://twitter.com/269382311/status/1142768995336171520")</f>
        <v>https://twitter.com/269382311/status/1142768995336171520</v>
      </c>
      <c r="H3851" t="s">
        <v>46</v>
      </c>
      <c r="I3851" t="s">
        <v>11970</v>
      </c>
      <c r="J3851" t="str">
        <f>HYPERLINK("http://twitter.com/sanza_sk")</f>
        <v>http://twitter.com/sanza_sk</v>
      </c>
      <c r="K3851">
        <v>781</v>
      </c>
      <c r="N3851" t="s">
        <v>65</v>
      </c>
      <c r="R3851" t="s">
        <v>60</v>
      </c>
      <c r="S3851" t="s">
        <v>1071</v>
      </c>
      <c r="T3851" t="s">
        <v>1072</v>
      </c>
      <c r="U3851" t="s">
        <v>6826</v>
      </c>
      <c r="W3851">
        <v>0</v>
      </c>
      <c r="X3851">
        <v>0</v>
      </c>
      <c r="AE3851">
        <v>0</v>
      </c>
      <c r="AF3851">
        <v>0</v>
      </c>
      <c r="AI3851" t="s">
        <v>108</v>
      </c>
      <c r="AJ3851" t="s">
        <v>52</v>
      </c>
      <c r="AK3851" t="s">
        <v>52</v>
      </c>
      <c r="AL3851" t="str">
        <f t="shared" ref="AL3851:AL3856" si="2">HYPERLINK("https://pbs.twimg.com/media/D9sAXHUX4AA6vJs.jpg")</f>
        <v>https://pbs.twimg.com/media/D9sAXHUX4AA6vJs.jpg</v>
      </c>
      <c r="AM3851" t="s">
        <v>52</v>
      </c>
      <c r="AN3851" t="s">
        <v>53</v>
      </c>
    </row>
    <row r="3852" spans="1:40">
      <c r="A3852" t="s">
        <v>8081</v>
      </c>
      <c r="B3852" t="s">
        <v>900</v>
      </c>
      <c r="C3852" t="s">
        <v>11922</v>
      </c>
      <c r="D3852" t="s">
        <v>52</v>
      </c>
      <c r="E3852" t="s">
        <v>11971</v>
      </c>
      <c r="F3852" t="s">
        <v>71</v>
      </c>
      <c r="G3852" t="str">
        <f>HYPERLINK("https://twitter.com/2474074026/status/1142768989283729408")</f>
        <v>https://twitter.com/2474074026/status/1142768989283729408</v>
      </c>
      <c r="H3852" t="s">
        <v>46</v>
      </c>
      <c r="I3852" t="s">
        <v>11972</v>
      </c>
      <c r="J3852" t="str">
        <f>HYPERLINK("http://twitter.com/vsejanea")</f>
        <v>http://twitter.com/vsejanea</v>
      </c>
      <c r="K3852">
        <v>5790</v>
      </c>
      <c r="N3852" t="s">
        <v>65</v>
      </c>
      <c r="R3852" t="s">
        <v>60</v>
      </c>
      <c r="S3852" t="s">
        <v>1071</v>
      </c>
      <c r="T3852" t="s">
        <v>5418</v>
      </c>
      <c r="U3852" t="s">
        <v>5419</v>
      </c>
      <c r="W3852">
        <v>1</v>
      </c>
      <c r="X3852">
        <v>1</v>
      </c>
      <c r="AE3852">
        <v>0</v>
      </c>
      <c r="AF3852">
        <v>0</v>
      </c>
      <c r="AI3852" t="s">
        <v>108</v>
      </c>
      <c r="AJ3852" t="s">
        <v>52</v>
      </c>
      <c r="AK3852" t="s">
        <v>52</v>
      </c>
      <c r="AL3852" t="str">
        <f t="shared" si="2"/>
        <v>https://pbs.twimg.com/media/D9sAXHUX4AA6vJs.jpg</v>
      </c>
      <c r="AM3852" t="s">
        <v>52</v>
      </c>
      <c r="AN3852" t="s">
        <v>53</v>
      </c>
    </row>
    <row r="3853" spans="1:40">
      <c r="A3853" t="s">
        <v>8081</v>
      </c>
      <c r="B3853" t="s">
        <v>900</v>
      </c>
      <c r="C3853" t="s">
        <v>11973</v>
      </c>
      <c r="D3853" t="s">
        <v>52</v>
      </c>
      <c r="E3853" t="s">
        <v>3749</v>
      </c>
      <c r="F3853" t="s">
        <v>71</v>
      </c>
      <c r="G3853" t="str">
        <f>HYPERLINK("https://twitter.com/2962086028/status/1142768871331573760")</f>
        <v>https://twitter.com/2962086028/status/1142768871331573760</v>
      </c>
      <c r="H3853" t="s">
        <v>46</v>
      </c>
      <c r="I3853" t="s">
        <v>11974</v>
      </c>
      <c r="J3853" t="str">
        <f>HYPERLINK("http://twitter.com/AnishaDenise")</f>
        <v>http://twitter.com/AnishaDenise</v>
      </c>
      <c r="K3853">
        <v>292</v>
      </c>
      <c r="N3853" t="s">
        <v>65</v>
      </c>
      <c r="R3853" t="s">
        <v>60</v>
      </c>
      <c r="S3853" t="s">
        <v>1071</v>
      </c>
      <c r="T3853" t="s">
        <v>1072</v>
      </c>
      <c r="U3853" t="s">
        <v>1073</v>
      </c>
      <c r="W3853">
        <v>0</v>
      </c>
      <c r="X3853">
        <v>0</v>
      </c>
      <c r="AE3853">
        <v>0</v>
      </c>
      <c r="AF3853">
        <v>0</v>
      </c>
      <c r="AI3853" t="s">
        <v>108</v>
      </c>
      <c r="AJ3853" t="s">
        <v>52</v>
      </c>
      <c r="AK3853" t="s">
        <v>52</v>
      </c>
      <c r="AL3853" t="str">
        <f t="shared" si="2"/>
        <v>https://pbs.twimg.com/media/D9sAXHUX4AA6vJs.jpg</v>
      </c>
      <c r="AM3853" t="s">
        <v>52</v>
      </c>
      <c r="AN3853" t="s">
        <v>53</v>
      </c>
    </row>
    <row r="3854" spans="1:40">
      <c r="A3854" t="s">
        <v>8081</v>
      </c>
      <c r="B3854" t="s">
        <v>900</v>
      </c>
      <c r="C3854" t="s">
        <v>11906</v>
      </c>
      <c r="D3854" t="s">
        <v>52</v>
      </c>
      <c r="E3854" t="s">
        <v>3749</v>
      </c>
      <c r="F3854" t="s">
        <v>71</v>
      </c>
      <c r="G3854" t="str">
        <f>HYPERLINK("https://twitter.com/2518997811/status/1142768847419781120")</f>
        <v>https://twitter.com/2518997811/status/1142768847419781120</v>
      </c>
      <c r="H3854" t="s">
        <v>46</v>
      </c>
      <c r="I3854" t="s">
        <v>11975</v>
      </c>
      <c r="J3854" t="str">
        <f>HYPERLINK("http://twitter.com/Asahngidii")</f>
        <v>http://twitter.com/Asahngidii</v>
      </c>
      <c r="K3854">
        <v>462</v>
      </c>
      <c r="N3854" t="s">
        <v>65</v>
      </c>
      <c r="R3854" t="s">
        <v>60</v>
      </c>
      <c r="S3854" t="s">
        <v>1071</v>
      </c>
      <c r="T3854" t="s">
        <v>5506</v>
      </c>
      <c r="U3854" t="s">
        <v>5507</v>
      </c>
      <c r="W3854">
        <v>0</v>
      </c>
      <c r="X3854">
        <v>0</v>
      </c>
      <c r="AE3854">
        <v>0</v>
      </c>
      <c r="AF3854">
        <v>0</v>
      </c>
      <c r="AI3854" t="s">
        <v>108</v>
      </c>
      <c r="AJ3854" t="s">
        <v>52</v>
      </c>
      <c r="AK3854" t="s">
        <v>52</v>
      </c>
      <c r="AL3854" t="str">
        <f t="shared" si="2"/>
        <v>https://pbs.twimg.com/media/D9sAXHUX4AA6vJs.jpg</v>
      </c>
      <c r="AM3854" t="s">
        <v>52</v>
      </c>
      <c r="AN3854" t="s">
        <v>53</v>
      </c>
    </row>
    <row r="3855" spans="1:40">
      <c r="A3855" t="s">
        <v>8081</v>
      </c>
      <c r="B3855" t="s">
        <v>900</v>
      </c>
      <c r="C3855" t="s">
        <v>11909</v>
      </c>
      <c r="D3855" t="s">
        <v>52</v>
      </c>
      <c r="E3855" t="s">
        <v>3749</v>
      </c>
      <c r="F3855" t="s">
        <v>71</v>
      </c>
      <c r="G3855" t="str">
        <f>HYPERLINK("https://twitter.com/745019376/status/1142768791505575936")</f>
        <v>https://twitter.com/745019376/status/1142768791505575936</v>
      </c>
      <c r="H3855" t="s">
        <v>46</v>
      </c>
      <c r="I3855" t="s">
        <v>11976</v>
      </c>
      <c r="J3855" t="str">
        <f>HYPERLINK("http://twitter.com/caesar_mayor")</f>
        <v>http://twitter.com/caesar_mayor</v>
      </c>
      <c r="K3855">
        <v>5321</v>
      </c>
      <c r="N3855" t="s">
        <v>65</v>
      </c>
      <c r="R3855" t="s">
        <v>60</v>
      </c>
      <c r="S3855" t="s">
        <v>1592</v>
      </c>
      <c r="T3855" t="s">
        <v>11977</v>
      </c>
      <c r="U3855" t="s">
        <v>11978</v>
      </c>
      <c r="W3855">
        <v>0</v>
      </c>
      <c r="X3855">
        <v>0</v>
      </c>
      <c r="AE3855">
        <v>0</v>
      </c>
      <c r="AF3855">
        <v>0</v>
      </c>
      <c r="AI3855" t="s">
        <v>108</v>
      </c>
      <c r="AJ3855" t="s">
        <v>52</v>
      </c>
      <c r="AK3855" t="s">
        <v>52</v>
      </c>
      <c r="AL3855" t="str">
        <f t="shared" si="2"/>
        <v>https://pbs.twimg.com/media/D9sAXHUX4AA6vJs.jpg</v>
      </c>
      <c r="AM3855" t="s">
        <v>52</v>
      </c>
      <c r="AN3855" t="s">
        <v>53</v>
      </c>
    </row>
    <row r="3856" spans="1:40">
      <c r="A3856" t="s">
        <v>8081</v>
      </c>
      <c r="B3856" t="s">
        <v>900</v>
      </c>
      <c r="C3856" t="s">
        <v>11909</v>
      </c>
      <c r="D3856" t="s">
        <v>52</v>
      </c>
      <c r="E3856" t="s">
        <v>3749</v>
      </c>
      <c r="F3856" t="s">
        <v>71</v>
      </c>
      <c r="G3856" t="str">
        <f>HYPERLINK("https://twitter.com/1381742107/status/1142768786740658177")</f>
        <v>https://twitter.com/1381742107/status/1142768786740658177</v>
      </c>
      <c r="H3856" t="s">
        <v>46</v>
      </c>
      <c r="I3856" t="s">
        <v>11979</v>
      </c>
      <c r="J3856" t="str">
        <f>HYPERLINK("http://twitter.com/KBLale")</f>
        <v>http://twitter.com/KBLale</v>
      </c>
      <c r="K3856">
        <v>476</v>
      </c>
      <c r="N3856" t="s">
        <v>65</v>
      </c>
      <c r="R3856" t="s">
        <v>60</v>
      </c>
      <c r="S3856" t="s">
        <v>1071</v>
      </c>
      <c r="T3856" t="s">
        <v>1072</v>
      </c>
      <c r="U3856" t="s">
        <v>2701</v>
      </c>
      <c r="W3856">
        <v>0</v>
      </c>
      <c r="X3856">
        <v>0</v>
      </c>
      <c r="AE3856">
        <v>0</v>
      </c>
      <c r="AF3856">
        <v>0</v>
      </c>
      <c r="AI3856" t="s">
        <v>108</v>
      </c>
      <c r="AJ3856" t="s">
        <v>52</v>
      </c>
      <c r="AK3856" t="s">
        <v>52</v>
      </c>
      <c r="AL3856" t="str">
        <f t="shared" si="2"/>
        <v>https://pbs.twimg.com/media/D9sAXHUX4AA6vJs.jpg</v>
      </c>
      <c r="AM3856" t="s">
        <v>52</v>
      </c>
      <c r="AN3856" t="s">
        <v>53</v>
      </c>
    </row>
    <row r="3857" spans="1:40">
      <c r="A3857" t="s">
        <v>8081</v>
      </c>
      <c r="B3857" t="s">
        <v>6661</v>
      </c>
      <c r="C3857" t="s">
        <v>10314</v>
      </c>
      <c r="D3857" t="s">
        <v>52</v>
      </c>
      <c r="E3857" t="s">
        <v>11980</v>
      </c>
      <c r="F3857" t="s">
        <v>45</v>
      </c>
      <c r="G3857" t="str">
        <f>HYPERLINK("https://www.instagram.com/p/BzDU6Welbp6")</f>
        <v>https://www.instagram.com/p/BzDU6Welbp6</v>
      </c>
      <c r="H3857" t="s">
        <v>46</v>
      </c>
      <c r="I3857" t="s">
        <v>11981</v>
      </c>
      <c r="J3857" t="str">
        <f>HYPERLINK("http://instagram.com/dr.nut_phd")</f>
        <v>http://instagram.com/dr.nut_phd</v>
      </c>
      <c r="K3857">
        <v>53</v>
      </c>
      <c r="N3857" t="s">
        <v>59</v>
      </c>
      <c r="O3857" t="s">
        <v>11981</v>
      </c>
      <c r="P3857" t="str">
        <f>HYPERLINK("http://instagram.com/dr.nut_phd")</f>
        <v>http://instagram.com/dr.nut_phd</v>
      </c>
      <c r="Q3857">
        <v>53</v>
      </c>
      <c r="R3857" t="s">
        <v>60</v>
      </c>
      <c r="W3857">
        <v>13</v>
      </c>
      <c r="X3857">
        <v>13</v>
      </c>
      <c r="AE3857">
        <v>1</v>
      </c>
      <c r="AI3857" t="s">
        <v>108</v>
      </c>
      <c r="AJ3857" t="s">
        <v>3626</v>
      </c>
      <c r="AK3857" t="s">
        <v>52</v>
      </c>
      <c r="AL3857" t="str">
        <f>HYPERLINK("https://www.instagram.com/p/BzDU6Welbp6/media/?size=l")</f>
        <v>https://www.instagram.com/p/BzDU6Welbp6/media/?size=l</v>
      </c>
      <c r="AM3857" t="s">
        <v>52</v>
      </c>
      <c r="AN3857" t="s">
        <v>53</v>
      </c>
    </row>
    <row r="3858" spans="1:40">
      <c r="A3858" t="s">
        <v>8081</v>
      </c>
      <c r="B3858" t="s">
        <v>6673</v>
      </c>
      <c r="C3858" t="s">
        <v>11874</v>
      </c>
      <c r="D3858" t="s">
        <v>52</v>
      </c>
      <c r="E3858" t="s">
        <v>11982</v>
      </c>
      <c r="F3858" t="s">
        <v>45</v>
      </c>
      <c r="G3858" t="str">
        <f>HYPERLINK("https://www.instagram.com/p/BzDUqfqF1f5")</f>
        <v>https://www.instagram.com/p/BzDUqfqF1f5</v>
      </c>
      <c r="H3858" t="s">
        <v>46</v>
      </c>
      <c r="I3858" t="s">
        <v>11890</v>
      </c>
      <c r="J3858" t="str">
        <f>HYPERLINK("http://instagram.com/gravity_falls.lovers")</f>
        <v>http://instagram.com/gravity_falls.lovers</v>
      </c>
      <c r="K3858">
        <v>1</v>
      </c>
      <c r="N3858" t="s">
        <v>59</v>
      </c>
      <c r="O3858" t="s">
        <v>11890</v>
      </c>
      <c r="P3858" t="str">
        <f>HYPERLINK("http://instagram.com/gravity_falls.lovers")</f>
        <v>http://instagram.com/gravity_falls.lovers</v>
      </c>
      <c r="Q3858">
        <v>1</v>
      </c>
      <c r="R3858" t="s">
        <v>60</v>
      </c>
      <c r="W3858">
        <v>10</v>
      </c>
      <c r="X3858">
        <v>10</v>
      </c>
      <c r="AE3858">
        <v>1</v>
      </c>
      <c r="AI3858" t="s">
        <v>52</v>
      </c>
      <c r="AJ3858" t="s">
        <v>458</v>
      </c>
      <c r="AK3858" t="s">
        <v>110</v>
      </c>
      <c r="AL3858" t="str">
        <f>HYPERLINK("https://www.instagram.com/p/BzDUqfqF1f5/media/?size=l")</f>
        <v>https://www.instagram.com/p/BzDUqfqF1f5/media/?size=l</v>
      </c>
      <c r="AM3858" t="s">
        <v>52</v>
      </c>
      <c r="AN3858" t="s">
        <v>53</v>
      </c>
    </row>
    <row r="3859" spans="1:40">
      <c r="A3859" t="s">
        <v>8081</v>
      </c>
      <c r="B3859" t="s">
        <v>905</v>
      </c>
      <c r="C3859" t="s">
        <v>11906</v>
      </c>
      <c r="D3859" t="s">
        <v>52</v>
      </c>
      <c r="E3859" t="s">
        <v>11983</v>
      </c>
      <c r="F3859" t="s">
        <v>71</v>
      </c>
      <c r="G3859" t="str">
        <f>HYPERLINK("https://twitter.com/1141413608259280901/status/1142767949679403009")</f>
        <v>https://twitter.com/1141413608259280901/status/1142767949679403009</v>
      </c>
      <c r="H3859" t="s">
        <v>46</v>
      </c>
      <c r="I3859" t="s">
        <v>11984</v>
      </c>
      <c r="J3859" t="str">
        <f>HYPERLINK("http://twitter.com/UptownNavi")</f>
        <v>http://twitter.com/UptownNavi</v>
      </c>
      <c r="K3859">
        <v>0</v>
      </c>
      <c r="N3859" t="s">
        <v>65</v>
      </c>
      <c r="R3859" t="s">
        <v>60</v>
      </c>
      <c r="S3859" t="s">
        <v>51</v>
      </c>
      <c r="T3859" t="s">
        <v>380</v>
      </c>
      <c r="U3859" t="s">
        <v>380</v>
      </c>
      <c r="W3859">
        <v>0</v>
      </c>
      <c r="X3859">
        <v>0</v>
      </c>
      <c r="AE3859">
        <v>0</v>
      </c>
      <c r="AF3859">
        <v>0</v>
      </c>
      <c r="AI3859" t="s">
        <v>108</v>
      </c>
      <c r="AJ3859" t="s">
        <v>52</v>
      </c>
      <c r="AK3859" t="s">
        <v>52</v>
      </c>
      <c r="AL3859" t="str">
        <f>HYPERLINK("https://pbs.twimg.com/tweet_video_thumb/D9hvNNzXUAATAS3.jpg")</f>
        <v>https://pbs.twimg.com/tweet_video_thumb/D9hvNNzXUAATAS3.jpg</v>
      </c>
      <c r="AM3859" t="s">
        <v>52</v>
      </c>
      <c r="AN3859" t="s">
        <v>53</v>
      </c>
    </row>
    <row r="3860" spans="1:40">
      <c r="A3860" t="s">
        <v>8081</v>
      </c>
      <c r="B3860" t="s">
        <v>905</v>
      </c>
      <c r="C3860" t="s">
        <v>11906</v>
      </c>
      <c r="D3860" t="s">
        <v>52</v>
      </c>
      <c r="E3860" t="s">
        <v>11985</v>
      </c>
      <c r="F3860" t="s">
        <v>45</v>
      </c>
      <c r="G3860" t="str">
        <f>HYPERLINK("https://www.instagram.com/p/BzDUjaNA_fk")</f>
        <v>https://www.instagram.com/p/BzDUjaNA_fk</v>
      </c>
      <c r="H3860" t="s">
        <v>215</v>
      </c>
      <c r="I3860" t="s">
        <v>11986</v>
      </c>
      <c r="J3860" t="str">
        <f>HYPERLINK("http://instagram.com/ovojozay")</f>
        <v>http://instagram.com/ovojozay</v>
      </c>
      <c r="K3860">
        <v>948</v>
      </c>
      <c r="N3860" t="s">
        <v>59</v>
      </c>
      <c r="O3860" t="s">
        <v>11986</v>
      </c>
      <c r="P3860" t="str">
        <f>HYPERLINK("http://instagram.com/ovojozay")</f>
        <v>http://instagram.com/ovojozay</v>
      </c>
      <c r="Q3860">
        <v>948</v>
      </c>
      <c r="R3860" t="s">
        <v>60</v>
      </c>
      <c r="S3860" t="s">
        <v>51</v>
      </c>
      <c r="T3860" t="s">
        <v>380</v>
      </c>
      <c r="U3860" t="s">
        <v>380</v>
      </c>
      <c r="W3860">
        <v>5</v>
      </c>
      <c r="X3860">
        <v>5</v>
      </c>
      <c r="AE3860">
        <v>0</v>
      </c>
      <c r="AI3860" t="s">
        <v>108</v>
      </c>
      <c r="AJ3860" t="s">
        <v>321</v>
      </c>
      <c r="AK3860" t="s">
        <v>52</v>
      </c>
      <c r="AL3860" t="str">
        <f>HYPERLINK("https://www.instagram.com/p/BzDUjaNA_fk/media/?size=l")</f>
        <v>https://www.instagram.com/p/BzDUjaNA_fk/media/?size=l</v>
      </c>
      <c r="AM3860" t="s">
        <v>52</v>
      </c>
      <c r="AN3860" t="s">
        <v>53</v>
      </c>
    </row>
    <row r="3861" spans="1:40">
      <c r="A3861" t="s">
        <v>8081</v>
      </c>
      <c r="B3861" t="s">
        <v>905</v>
      </c>
      <c r="C3861" t="s">
        <v>11886</v>
      </c>
      <c r="D3861" t="s">
        <v>52</v>
      </c>
      <c r="E3861" t="s">
        <v>276</v>
      </c>
      <c r="F3861" t="s">
        <v>131</v>
      </c>
      <c r="G3861" t="str">
        <f>HYPERLINK("https://twitter.com/108392096/status/1142767795022651392")</f>
        <v>https://twitter.com/108392096/status/1142767795022651392</v>
      </c>
      <c r="H3861" t="s">
        <v>46</v>
      </c>
      <c r="I3861" t="s">
        <v>11987</v>
      </c>
      <c r="J3861" t="str">
        <f>HYPERLINK("http://twitter.com/Dave_Pitinga")</f>
        <v>http://twitter.com/Dave_Pitinga</v>
      </c>
      <c r="K3861">
        <v>242</v>
      </c>
      <c r="L3861" t="s">
        <v>48</v>
      </c>
      <c r="N3861" t="s">
        <v>65</v>
      </c>
      <c r="R3861" t="s">
        <v>60</v>
      </c>
      <c r="S3861" t="s">
        <v>51</v>
      </c>
      <c r="T3861" t="s">
        <v>173</v>
      </c>
      <c r="U3861" t="s">
        <v>11988</v>
      </c>
      <c r="W3861">
        <v>0</v>
      </c>
      <c r="X3861">
        <v>0</v>
      </c>
      <c r="AE3861">
        <v>0</v>
      </c>
      <c r="AI3861" t="s">
        <v>108</v>
      </c>
      <c r="AJ3861" t="s">
        <v>52</v>
      </c>
      <c r="AK3861" t="s">
        <v>52</v>
      </c>
      <c r="AL3861" t="str">
        <f>HYPERLINK("https://pbs.twimg.com/tweet_video_thumb/D9hvNNzXUAATAS3.jpg")</f>
        <v>https://pbs.twimg.com/tweet_video_thumb/D9hvNNzXUAATAS3.jpg</v>
      </c>
      <c r="AM3861" t="s">
        <v>52</v>
      </c>
      <c r="AN3861" t="s">
        <v>53</v>
      </c>
    </row>
    <row r="3862" spans="1:40">
      <c r="A3862" t="s">
        <v>8081</v>
      </c>
      <c r="B3862" t="s">
        <v>917</v>
      </c>
      <c r="C3862" t="s">
        <v>11922</v>
      </c>
      <c r="D3862" t="s">
        <v>52</v>
      </c>
      <c r="E3862" t="s">
        <v>11989</v>
      </c>
      <c r="F3862" t="s">
        <v>45</v>
      </c>
      <c r="G3862" t="str">
        <f>HYPERLINK("https://www.instagram.com/p/BzDUYLPj3kF")</f>
        <v>https://www.instagram.com/p/BzDUYLPj3kF</v>
      </c>
      <c r="H3862" t="s">
        <v>46</v>
      </c>
      <c r="I3862" t="s">
        <v>52</v>
      </c>
      <c r="J3862" t="str">
        <f>HYPERLINK("http://instagram.com/domidycek_xd__")</f>
        <v>http://instagram.com/domidycek_xd__</v>
      </c>
      <c r="K3862">
        <v>243</v>
      </c>
      <c r="L3862" t="s">
        <v>651</v>
      </c>
      <c r="N3862" t="s">
        <v>59</v>
      </c>
      <c r="O3862" t="s">
        <v>52</v>
      </c>
      <c r="P3862" t="str">
        <f>HYPERLINK("http://instagram.com/domidycek_xd__")</f>
        <v>http://instagram.com/domidycek_xd__</v>
      </c>
      <c r="Q3862">
        <v>243</v>
      </c>
      <c r="R3862" t="s">
        <v>60</v>
      </c>
      <c r="W3862">
        <v>25</v>
      </c>
      <c r="X3862">
        <v>25</v>
      </c>
      <c r="AE3862">
        <v>1</v>
      </c>
      <c r="AG3862">
        <v>67</v>
      </c>
      <c r="AI3862" t="s">
        <v>52</v>
      </c>
      <c r="AJ3862" t="s">
        <v>52</v>
      </c>
      <c r="AK3862" t="s">
        <v>52</v>
      </c>
      <c r="AL3862" t="str">
        <f>HYPERLINK("https://www.instagram.com/p/BzDUYLPj3kF/media/?size=l")</f>
        <v>https://www.instagram.com/p/BzDUYLPj3kF/media/?size=l</v>
      </c>
      <c r="AM3862" t="s">
        <v>52</v>
      </c>
      <c r="AN3862" t="s">
        <v>53</v>
      </c>
    </row>
    <row r="3863" spans="1:40">
      <c r="A3863" t="s">
        <v>8081</v>
      </c>
      <c r="B3863" t="s">
        <v>917</v>
      </c>
      <c r="C3863" t="s">
        <v>11845</v>
      </c>
      <c r="D3863" t="s">
        <v>52</v>
      </c>
      <c r="E3863" t="s">
        <v>3749</v>
      </c>
      <c r="F3863" t="s">
        <v>71</v>
      </c>
      <c r="G3863" t="str">
        <f>HYPERLINK("https://twitter.com/255176532/status/1142767528671883266")</f>
        <v>https://twitter.com/255176532/status/1142767528671883266</v>
      </c>
      <c r="H3863" t="s">
        <v>46</v>
      </c>
      <c r="I3863" t="s">
        <v>11990</v>
      </c>
      <c r="J3863" t="str">
        <f>HYPERLINK("http://twitter.com/nuhbro")</f>
        <v>http://twitter.com/nuhbro</v>
      </c>
      <c r="K3863">
        <v>172</v>
      </c>
      <c r="N3863" t="s">
        <v>65</v>
      </c>
      <c r="R3863" t="s">
        <v>60</v>
      </c>
      <c r="S3863" t="s">
        <v>51</v>
      </c>
      <c r="T3863" t="s">
        <v>678</v>
      </c>
      <c r="U3863" t="s">
        <v>11991</v>
      </c>
      <c r="W3863">
        <v>0</v>
      </c>
      <c r="X3863">
        <v>0</v>
      </c>
      <c r="AE3863">
        <v>0</v>
      </c>
      <c r="AF3863">
        <v>0</v>
      </c>
      <c r="AI3863" t="s">
        <v>108</v>
      </c>
      <c r="AJ3863" t="s">
        <v>52</v>
      </c>
      <c r="AK3863" t="s">
        <v>52</v>
      </c>
      <c r="AL3863" t="str">
        <f>HYPERLINK("https://pbs.twimg.com/media/D9sAXHUX4AA6vJs.jpg")</f>
        <v>https://pbs.twimg.com/media/D9sAXHUX4AA6vJs.jpg</v>
      </c>
      <c r="AM3863" t="s">
        <v>52</v>
      </c>
      <c r="AN3863" t="s">
        <v>53</v>
      </c>
    </row>
    <row r="3864" spans="1:40">
      <c r="A3864" t="s">
        <v>8081</v>
      </c>
      <c r="B3864" t="s">
        <v>6683</v>
      </c>
      <c r="C3864" t="s">
        <v>11892</v>
      </c>
      <c r="D3864" t="s">
        <v>52</v>
      </c>
      <c r="E3864" t="s">
        <v>3749</v>
      </c>
      <c r="F3864" t="s">
        <v>71</v>
      </c>
      <c r="G3864" t="str">
        <f>HYPERLINK("https://twitter.com/842745577939124224/status/1142767488398221312")</f>
        <v>https://twitter.com/842745577939124224/status/1142767488398221312</v>
      </c>
      <c r="H3864" t="s">
        <v>46</v>
      </c>
      <c r="I3864" t="s">
        <v>11992</v>
      </c>
      <c r="J3864" t="str">
        <f>HYPERLINK("http://twitter.com/Sthe_ra94")</f>
        <v>http://twitter.com/Sthe_ra94</v>
      </c>
      <c r="K3864">
        <v>1018</v>
      </c>
      <c r="N3864" t="s">
        <v>65</v>
      </c>
      <c r="R3864" t="s">
        <v>60</v>
      </c>
      <c r="S3864" t="s">
        <v>1071</v>
      </c>
      <c r="T3864" t="s">
        <v>3751</v>
      </c>
      <c r="U3864" t="s">
        <v>3752</v>
      </c>
      <c r="W3864">
        <v>0</v>
      </c>
      <c r="X3864">
        <v>0</v>
      </c>
      <c r="AE3864">
        <v>0</v>
      </c>
      <c r="AF3864">
        <v>0</v>
      </c>
      <c r="AI3864" t="s">
        <v>108</v>
      </c>
      <c r="AJ3864" t="s">
        <v>52</v>
      </c>
      <c r="AK3864" t="s">
        <v>52</v>
      </c>
      <c r="AL3864" t="str">
        <f>HYPERLINK("https://pbs.twimg.com/media/D9sAXHUX4AA6vJs.jpg")</f>
        <v>https://pbs.twimg.com/media/D9sAXHUX4AA6vJs.jpg</v>
      </c>
      <c r="AM3864" t="s">
        <v>52</v>
      </c>
      <c r="AN3864" t="s">
        <v>53</v>
      </c>
    </row>
    <row r="3865" spans="1:40">
      <c r="A3865" t="s">
        <v>8081</v>
      </c>
      <c r="B3865" t="s">
        <v>6683</v>
      </c>
      <c r="C3865" t="s">
        <v>11892</v>
      </c>
      <c r="D3865" t="s">
        <v>52</v>
      </c>
      <c r="E3865" t="s">
        <v>3749</v>
      </c>
      <c r="F3865" t="s">
        <v>71</v>
      </c>
      <c r="G3865" t="str">
        <f>HYPERLINK("https://twitter.com/875452558688628738/status/1142767460418039808")</f>
        <v>https://twitter.com/875452558688628738/status/1142767460418039808</v>
      </c>
      <c r="H3865" t="s">
        <v>46</v>
      </c>
      <c r="I3865" t="s">
        <v>11993</v>
      </c>
      <c r="J3865" t="str">
        <f>HYPERLINK("http://twitter.com/Bayang_mm")</f>
        <v>http://twitter.com/Bayang_mm</v>
      </c>
      <c r="K3865">
        <v>111</v>
      </c>
      <c r="N3865" t="s">
        <v>65</v>
      </c>
      <c r="R3865" t="s">
        <v>60</v>
      </c>
      <c r="W3865">
        <v>0</v>
      </c>
      <c r="X3865">
        <v>0</v>
      </c>
      <c r="AE3865">
        <v>0</v>
      </c>
      <c r="AF3865">
        <v>0</v>
      </c>
      <c r="AI3865" t="s">
        <v>108</v>
      </c>
      <c r="AJ3865" t="s">
        <v>52</v>
      </c>
      <c r="AK3865" t="s">
        <v>52</v>
      </c>
      <c r="AL3865" t="str">
        <f>HYPERLINK("https://pbs.twimg.com/media/D9sAXHUX4AA6vJs.jpg")</f>
        <v>https://pbs.twimg.com/media/D9sAXHUX4AA6vJs.jpg</v>
      </c>
      <c r="AM3865" t="s">
        <v>52</v>
      </c>
      <c r="AN3865" t="s">
        <v>53</v>
      </c>
    </row>
    <row r="3866" spans="1:40">
      <c r="A3866" t="s">
        <v>8081</v>
      </c>
      <c r="B3866" t="s">
        <v>6683</v>
      </c>
      <c r="C3866" t="s">
        <v>11849</v>
      </c>
      <c r="D3866" t="s">
        <v>52</v>
      </c>
      <c r="E3866" t="s">
        <v>3749</v>
      </c>
      <c r="F3866" t="s">
        <v>71</v>
      </c>
      <c r="G3866" t="str">
        <f>HYPERLINK("https://twitter.com/1123553894/status/1142767414129635328")</f>
        <v>https://twitter.com/1123553894/status/1142767414129635328</v>
      </c>
      <c r="H3866" t="s">
        <v>46</v>
      </c>
      <c r="I3866" t="s">
        <v>52</v>
      </c>
      <c r="J3866" t="str">
        <f>HYPERLINK("http://twitter.com/epignostic")</f>
        <v>http://twitter.com/epignostic</v>
      </c>
      <c r="K3866">
        <v>3021</v>
      </c>
      <c r="N3866" t="s">
        <v>65</v>
      </c>
      <c r="R3866" t="s">
        <v>60</v>
      </c>
      <c r="S3866" t="s">
        <v>1071</v>
      </c>
      <c r="W3866">
        <v>0</v>
      </c>
      <c r="X3866">
        <v>0</v>
      </c>
      <c r="AE3866">
        <v>0</v>
      </c>
      <c r="AF3866">
        <v>0</v>
      </c>
      <c r="AI3866" t="s">
        <v>108</v>
      </c>
      <c r="AJ3866" t="s">
        <v>52</v>
      </c>
      <c r="AK3866" t="s">
        <v>52</v>
      </c>
      <c r="AL3866" t="str">
        <f>HYPERLINK("https://pbs.twimg.com/media/D9sAXHUX4AA6vJs.jpg")</f>
        <v>https://pbs.twimg.com/media/D9sAXHUX4AA6vJs.jpg</v>
      </c>
      <c r="AM3866" t="s">
        <v>52</v>
      </c>
      <c r="AN3866" t="s">
        <v>53</v>
      </c>
    </row>
    <row r="3867" spans="1:40">
      <c r="A3867" t="s">
        <v>8081</v>
      </c>
      <c r="B3867" t="s">
        <v>6692</v>
      </c>
      <c r="C3867" t="s">
        <v>11922</v>
      </c>
      <c r="D3867" t="s">
        <v>52</v>
      </c>
      <c r="E3867" t="s">
        <v>11994</v>
      </c>
      <c r="F3867" t="s">
        <v>45</v>
      </c>
      <c r="G3867" t="str">
        <f>HYPERLINK("https://twitter.com/1017741942925471744/status/1142767036751372290")</f>
        <v>https://twitter.com/1017741942925471744/status/1142767036751372290</v>
      </c>
      <c r="H3867" t="s">
        <v>46</v>
      </c>
      <c r="I3867" t="s">
        <v>11995</v>
      </c>
      <c r="J3867" t="str">
        <f>HYPERLINK("http://twitter.com/jaytomoonie")</f>
        <v>http://twitter.com/jaytomoonie</v>
      </c>
      <c r="K3867">
        <v>164</v>
      </c>
      <c r="N3867" t="s">
        <v>65</v>
      </c>
      <c r="R3867" t="s">
        <v>60</v>
      </c>
      <c r="W3867">
        <v>1</v>
      </c>
      <c r="X3867">
        <v>1</v>
      </c>
      <c r="AE3867">
        <v>1</v>
      </c>
      <c r="AF3867">
        <v>0</v>
      </c>
      <c r="AM3867" t="s">
        <v>52</v>
      </c>
      <c r="AN3867" t="s">
        <v>53</v>
      </c>
    </row>
    <row r="3868" spans="1:40">
      <c r="A3868" t="s">
        <v>8081</v>
      </c>
      <c r="B3868" t="s">
        <v>921</v>
      </c>
      <c r="C3868" t="s">
        <v>11874</v>
      </c>
      <c r="D3868" t="s">
        <v>52</v>
      </c>
      <c r="E3868" t="s">
        <v>130</v>
      </c>
      <c r="F3868" t="s">
        <v>131</v>
      </c>
      <c r="G3868" t="str">
        <f>HYPERLINK("https://twitter.com/1047191397005217793/status/1142767002987237376")</f>
        <v>https://twitter.com/1047191397005217793/status/1142767002987237376</v>
      </c>
      <c r="H3868" t="s">
        <v>46</v>
      </c>
      <c r="I3868" t="s">
        <v>11996</v>
      </c>
      <c r="J3868" t="str">
        <f>HYPERLINK("http://twitter.com/Annekajane85")</f>
        <v>http://twitter.com/Annekajane85</v>
      </c>
      <c r="K3868">
        <v>151</v>
      </c>
      <c r="N3868" t="s">
        <v>65</v>
      </c>
      <c r="R3868" t="s">
        <v>60</v>
      </c>
      <c r="S3868" t="s">
        <v>97</v>
      </c>
      <c r="T3868" t="s">
        <v>177</v>
      </c>
      <c r="U3868" t="s">
        <v>11997</v>
      </c>
      <c r="W3868">
        <v>0</v>
      </c>
      <c r="X3868">
        <v>0</v>
      </c>
      <c r="AE3868">
        <v>0</v>
      </c>
      <c r="AI3868" t="s">
        <v>108</v>
      </c>
      <c r="AJ3868" t="s">
        <v>52</v>
      </c>
      <c r="AK3868" t="s">
        <v>52</v>
      </c>
      <c r="AL3868" t="str">
        <f>HYPERLINK("https://pbs.twimg.com/media/D9XTkLWW4AAOYnJ.jpg")</f>
        <v>https://pbs.twimg.com/media/D9XTkLWW4AAOYnJ.jpg</v>
      </c>
      <c r="AM3868" t="s">
        <v>52</v>
      </c>
      <c r="AN3868" t="s">
        <v>53</v>
      </c>
    </row>
    <row r="3869" spans="1:40">
      <c r="A3869" t="s">
        <v>8081</v>
      </c>
      <c r="B3869" t="s">
        <v>6696</v>
      </c>
      <c r="C3869" t="s">
        <v>11998</v>
      </c>
      <c r="D3869" t="s">
        <v>52</v>
      </c>
      <c r="E3869" t="s">
        <v>11999</v>
      </c>
      <c r="F3869" t="s">
        <v>45</v>
      </c>
      <c r="G3869" t="str">
        <f>HYPERLINK("https://www.instagram.com/p/BzDT1QDHA9i")</f>
        <v>https://www.instagram.com/p/BzDT1QDHA9i</v>
      </c>
      <c r="H3869" t="s">
        <v>46</v>
      </c>
      <c r="I3869" t="s">
        <v>12000</v>
      </c>
      <c r="J3869" t="str">
        <f>HYPERLINK("http://instagram.com/jess_barlow_zeal_living")</f>
        <v>http://instagram.com/jess_barlow_zeal_living</v>
      </c>
      <c r="K3869">
        <v>9933</v>
      </c>
      <c r="N3869" t="s">
        <v>59</v>
      </c>
      <c r="O3869" t="s">
        <v>12000</v>
      </c>
      <c r="P3869" t="str">
        <f>HYPERLINK("http://instagram.com/jess_barlow_zeal_living")</f>
        <v>http://instagram.com/jess_barlow_zeal_living</v>
      </c>
      <c r="Q3869">
        <v>9933</v>
      </c>
      <c r="R3869" t="s">
        <v>60</v>
      </c>
      <c r="S3869" t="s">
        <v>97</v>
      </c>
      <c r="T3869" t="s">
        <v>177</v>
      </c>
      <c r="U3869" t="s">
        <v>12001</v>
      </c>
      <c r="W3869">
        <v>9</v>
      </c>
      <c r="X3869">
        <v>9</v>
      </c>
      <c r="AE3869">
        <v>0</v>
      </c>
      <c r="AI3869" t="s">
        <v>108</v>
      </c>
      <c r="AJ3869" t="s">
        <v>12002</v>
      </c>
      <c r="AK3869" t="s">
        <v>52</v>
      </c>
      <c r="AL3869" t="str">
        <f>HYPERLINK("https://www.instagram.com/p/BzDT1QDHA9i/media/?size=l")</f>
        <v>https://www.instagram.com/p/BzDT1QDHA9i/media/?size=l</v>
      </c>
      <c r="AM3869" t="s">
        <v>52</v>
      </c>
      <c r="AN3869" t="s">
        <v>53</v>
      </c>
    </row>
    <row r="3870" spans="1:40">
      <c r="A3870" t="s">
        <v>8081</v>
      </c>
      <c r="B3870" t="s">
        <v>926</v>
      </c>
      <c r="C3870" t="s">
        <v>11874</v>
      </c>
      <c r="D3870" t="s">
        <v>52</v>
      </c>
      <c r="E3870" t="s">
        <v>12003</v>
      </c>
      <c r="F3870" t="s">
        <v>45</v>
      </c>
      <c r="G3870" t="str">
        <f>HYPERLINK("https://www.instagram.com/p/BzDTf33IgvR")</f>
        <v>https://www.instagram.com/p/BzDTf33IgvR</v>
      </c>
      <c r="H3870" t="s">
        <v>46</v>
      </c>
      <c r="I3870" t="s">
        <v>12004</v>
      </c>
      <c r="J3870" t="str">
        <f>HYPERLINK("http://instagram.com/francep.fit")</f>
        <v>http://instagram.com/francep.fit</v>
      </c>
      <c r="K3870">
        <v>1415</v>
      </c>
      <c r="N3870" t="s">
        <v>59</v>
      </c>
      <c r="O3870" t="s">
        <v>12004</v>
      </c>
      <c r="P3870" t="str">
        <f>HYPERLINK("http://instagram.com/francep.fit")</f>
        <v>http://instagram.com/francep.fit</v>
      </c>
      <c r="Q3870">
        <v>1415</v>
      </c>
      <c r="R3870" t="s">
        <v>60</v>
      </c>
      <c r="S3870" t="s">
        <v>4594</v>
      </c>
      <c r="T3870" t="s">
        <v>5059</v>
      </c>
      <c r="U3870" t="s">
        <v>12005</v>
      </c>
      <c r="W3870">
        <v>79</v>
      </c>
      <c r="X3870">
        <v>79</v>
      </c>
      <c r="AE3870">
        <v>22</v>
      </c>
      <c r="AI3870" t="s">
        <v>52</v>
      </c>
      <c r="AJ3870" t="s">
        <v>977</v>
      </c>
      <c r="AK3870" t="s">
        <v>12006</v>
      </c>
      <c r="AL3870" t="str">
        <f>HYPERLINK("https://www.instagram.com/p/BzDTf33IgvR/media/?size=l")</f>
        <v>https://www.instagram.com/p/BzDTf33IgvR/media/?size=l</v>
      </c>
      <c r="AM3870" t="s">
        <v>52</v>
      </c>
      <c r="AN3870" t="s">
        <v>53</v>
      </c>
    </row>
    <row r="3871" spans="1:40">
      <c r="A3871" t="s">
        <v>8081</v>
      </c>
      <c r="B3871" t="s">
        <v>6718</v>
      </c>
      <c r="C3871" t="s">
        <v>10405</v>
      </c>
      <c r="D3871" t="s">
        <v>52</v>
      </c>
      <c r="E3871" t="s">
        <v>12007</v>
      </c>
      <c r="F3871" t="s">
        <v>45</v>
      </c>
      <c r="G3871" t="str">
        <f>HYPERLINK("https://www.instagram.com/p/BzDS5LKAMxc")</f>
        <v>https://www.instagram.com/p/BzDS5LKAMxc</v>
      </c>
      <c r="H3871" t="s">
        <v>46</v>
      </c>
      <c r="I3871" t="s">
        <v>12008</v>
      </c>
      <c r="J3871" t="str">
        <f>HYPERLINK("http://instagram.com/curtistucker.photography")</f>
        <v>http://instagram.com/curtistucker.photography</v>
      </c>
      <c r="K3871">
        <v>1213</v>
      </c>
      <c r="L3871" t="s">
        <v>48</v>
      </c>
      <c r="N3871" t="s">
        <v>59</v>
      </c>
      <c r="O3871" t="s">
        <v>12008</v>
      </c>
      <c r="P3871" t="str">
        <f>HYPERLINK("http://instagram.com/curtistucker.photography")</f>
        <v>http://instagram.com/curtistucker.photography</v>
      </c>
      <c r="Q3871">
        <v>1213</v>
      </c>
      <c r="R3871" t="s">
        <v>60</v>
      </c>
      <c r="W3871">
        <v>19</v>
      </c>
      <c r="X3871">
        <v>19</v>
      </c>
      <c r="AE3871">
        <v>0</v>
      </c>
      <c r="AI3871" t="s">
        <v>108</v>
      </c>
      <c r="AJ3871" t="s">
        <v>2277</v>
      </c>
      <c r="AK3871" t="s">
        <v>52</v>
      </c>
      <c r="AL3871" t="str">
        <f>HYPERLINK("https://www.instagram.com/p/BzDS5LKAMxc/media/?size=l")</f>
        <v>https://www.instagram.com/p/BzDS5LKAMxc/media/?size=l</v>
      </c>
      <c r="AM3871" t="s">
        <v>52</v>
      </c>
      <c r="AN3871" t="s">
        <v>53</v>
      </c>
    </row>
    <row r="3872" spans="1:40">
      <c r="A3872" t="s">
        <v>8081</v>
      </c>
      <c r="B3872" t="s">
        <v>938</v>
      </c>
      <c r="C3872" t="s">
        <v>11871</v>
      </c>
      <c r="D3872" t="s">
        <v>52</v>
      </c>
      <c r="E3872" t="s">
        <v>12009</v>
      </c>
      <c r="F3872" t="s">
        <v>95</v>
      </c>
      <c r="G3872" t="str">
        <f>HYPERLINK("https://twitter.com/93770372/status/1142763486742818816")</f>
        <v>https://twitter.com/93770372/status/1142763486742818816</v>
      </c>
      <c r="H3872" t="s">
        <v>46</v>
      </c>
      <c r="I3872" t="s">
        <v>12010</v>
      </c>
      <c r="J3872" t="str">
        <f>HYPERLINK("http://twitter.com/hoss3111")</f>
        <v>http://twitter.com/hoss3111</v>
      </c>
      <c r="K3872">
        <v>309</v>
      </c>
      <c r="L3872" t="s">
        <v>58</v>
      </c>
      <c r="N3872" t="s">
        <v>65</v>
      </c>
      <c r="R3872" t="s">
        <v>60</v>
      </c>
      <c r="W3872">
        <v>0</v>
      </c>
      <c r="X3872">
        <v>0</v>
      </c>
      <c r="AE3872">
        <v>0</v>
      </c>
      <c r="AF3872">
        <v>0</v>
      </c>
      <c r="AM3872" t="s">
        <v>52</v>
      </c>
      <c r="AN3872" t="s">
        <v>53</v>
      </c>
    </row>
    <row r="3873" spans="1:40">
      <c r="A3873" t="s">
        <v>8081</v>
      </c>
      <c r="B3873" t="s">
        <v>943</v>
      </c>
      <c r="C3873" t="s">
        <v>11926</v>
      </c>
      <c r="D3873" t="s">
        <v>52</v>
      </c>
      <c r="E3873" t="s">
        <v>12011</v>
      </c>
      <c r="F3873" t="s">
        <v>45</v>
      </c>
      <c r="G3873" t="str">
        <f>HYPERLINK("https://www.instagram.com/p/BzDSR1oF8lM")</f>
        <v>https://www.instagram.com/p/BzDSR1oF8lM</v>
      </c>
      <c r="H3873" t="s">
        <v>46</v>
      </c>
      <c r="I3873" t="s">
        <v>12012</v>
      </c>
      <c r="J3873" t="str">
        <f>HYPERLINK("http://instagram.com/da_ee_yuy")</f>
        <v>http://instagram.com/da_ee_yuy</v>
      </c>
      <c r="K3873">
        <v>1572</v>
      </c>
      <c r="N3873" t="s">
        <v>59</v>
      </c>
      <c r="O3873" t="s">
        <v>12012</v>
      </c>
      <c r="P3873" t="str">
        <f>HYPERLINK("http://instagram.com/da_ee_yuy")</f>
        <v>http://instagram.com/da_ee_yuy</v>
      </c>
      <c r="Q3873">
        <v>1572</v>
      </c>
      <c r="R3873" t="s">
        <v>60</v>
      </c>
      <c r="W3873">
        <v>9</v>
      </c>
      <c r="X3873">
        <v>9</v>
      </c>
      <c r="AE3873">
        <v>0</v>
      </c>
      <c r="AI3873" t="s">
        <v>52</v>
      </c>
      <c r="AJ3873" t="s">
        <v>52</v>
      </c>
      <c r="AK3873" t="s">
        <v>52</v>
      </c>
      <c r="AL3873" t="str">
        <f>HYPERLINK("https://www.instagram.com/p/BzDSR1oF8lM/media/?size=l")</f>
        <v>https://www.instagram.com/p/BzDSR1oF8lM/media/?size=l</v>
      </c>
      <c r="AM3873" t="s">
        <v>52</v>
      </c>
      <c r="AN3873" t="s">
        <v>53</v>
      </c>
    </row>
    <row r="3874" spans="1:40">
      <c r="A3874" t="s">
        <v>8081</v>
      </c>
      <c r="B3874" t="s">
        <v>943</v>
      </c>
      <c r="C3874" t="s">
        <v>11906</v>
      </c>
      <c r="D3874" t="s">
        <v>52</v>
      </c>
      <c r="E3874" t="s">
        <v>12013</v>
      </c>
      <c r="F3874" t="s">
        <v>45</v>
      </c>
      <c r="G3874" t="str">
        <f>HYPERLINK("https://www.instagram.com/p/BzDSNkAB0LC")</f>
        <v>https://www.instagram.com/p/BzDSNkAB0LC</v>
      </c>
      <c r="H3874" t="s">
        <v>46</v>
      </c>
      <c r="I3874" t="s">
        <v>12014</v>
      </c>
      <c r="J3874" t="str">
        <f>HYPERLINK("http://instagram.com/amygillett")</f>
        <v>http://instagram.com/amygillett</v>
      </c>
      <c r="K3874">
        <v>921</v>
      </c>
      <c r="N3874" t="s">
        <v>59</v>
      </c>
      <c r="O3874" t="s">
        <v>12014</v>
      </c>
      <c r="P3874" t="str">
        <f>HYPERLINK("http://instagram.com/amygillett")</f>
        <v>http://instagram.com/amygillett</v>
      </c>
      <c r="Q3874">
        <v>921</v>
      </c>
      <c r="R3874" t="s">
        <v>60</v>
      </c>
      <c r="W3874">
        <v>102</v>
      </c>
      <c r="X3874">
        <v>102</v>
      </c>
      <c r="AE3874">
        <v>13</v>
      </c>
      <c r="AI3874" t="s">
        <v>52</v>
      </c>
      <c r="AJ3874" t="s">
        <v>5474</v>
      </c>
      <c r="AK3874" t="s">
        <v>52</v>
      </c>
      <c r="AL3874" t="str">
        <f>HYPERLINK("https://www.instagram.com/p/BzDSNkAB0LC/media/?size=l")</f>
        <v>https://www.instagram.com/p/BzDSNkAB0LC/media/?size=l</v>
      </c>
      <c r="AM3874" t="s">
        <v>52</v>
      </c>
      <c r="AN3874" t="s">
        <v>53</v>
      </c>
    </row>
    <row r="3875" spans="1:40">
      <c r="A3875" t="s">
        <v>8081</v>
      </c>
      <c r="B3875" t="s">
        <v>949</v>
      </c>
      <c r="C3875" t="s">
        <v>10422</v>
      </c>
      <c r="D3875" t="s">
        <v>52</v>
      </c>
      <c r="E3875" t="s">
        <v>12015</v>
      </c>
      <c r="F3875" t="s">
        <v>45</v>
      </c>
      <c r="G3875" t="str">
        <f>HYPERLINK("https://www.instagram.com/p/BzDSGTBp5Po")</f>
        <v>https://www.instagram.com/p/BzDSGTBp5Po</v>
      </c>
      <c r="H3875" t="s">
        <v>46</v>
      </c>
      <c r="I3875" t="s">
        <v>12016</v>
      </c>
      <c r="J3875" t="str">
        <f>HYPERLINK("http://instagram.com/myexpack")</f>
        <v>http://instagram.com/myexpack</v>
      </c>
      <c r="K3875">
        <v>6514</v>
      </c>
      <c r="N3875" t="s">
        <v>59</v>
      </c>
      <c r="O3875" t="s">
        <v>12016</v>
      </c>
      <c r="P3875" t="str">
        <f>HYPERLINK("http://instagram.com/myexpack")</f>
        <v>http://instagram.com/myexpack</v>
      </c>
      <c r="Q3875">
        <v>6514</v>
      </c>
      <c r="R3875" t="s">
        <v>60</v>
      </c>
      <c r="W3875">
        <v>37</v>
      </c>
      <c r="X3875">
        <v>37</v>
      </c>
      <c r="AE3875">
        <v>2</v>
      </c>
      <c r="AI3875" t="s">
        <v>108</v>
      </c>
      <c r="AJ3875" t="s">
        <v>1182</v>
      </c>
      <c r="AK3875" t="s">
        <v>52</v>
      </c>
      <c r="AL3875" t="str">
        <f>HYPERLINK("https://www.instagram.com/p/BzDSGTBp5Po/media/?size=l")</f>
        <v>https://www.instagram.com/p/BzDSGTBp5Po/media/?size=l</v>
      </c>
      <c r="AM3875" t="s">
        <v>52</v>
      </c>
      <c r="AN3875" t="s">
        <v>53</v>
      </c>
    </row>
    <row r="3876" spans="1:40">
      <c r="A3876" t="s">
        <v>8081</v>
      </c>
      <c r="B3876" t="s">
        <v>955</v>
      </c>
      <c r="C3876" t="s">
        <v>11892</v>
      </c>
      <c r="D3876" t="s">
        <v>52</v>
      </c>
      <c r="E3876" t="s">
        <v>6910</v>
      </c>
      <c r="F3876" t="s">
        <v>131</v>
      </c>
      <c r="G3876" t="str">
        <f>HYPERLINK("https://twitter.com/1014144679946981377/status/1142762316901101569")</f>
        <v>https://twitter.com/1014144679946981377/status/1142762316901101569</v>
      </c>
      <c r="H3876" t="s">
        <v>46</v>
      </c>
      <c r="I3876" t="s">
        <v>12017</v>
      </c>
      <c r="J3876" t="str">
        <f>HYPERLINK("http://twitter.com/iFunnyValentine")</f>
        <v>http://twitter.com/iFunnyValentine</v>
      </c>
      <c r="K3876">
        <v>345</v>
      </c>
      <c r="N3876" t="s">
        <v>65</v>
      </c>
      <c r="R3876" t="s">
        <v>60</v>
      </c>
      <c r="S3876" t="s">
        <v>51</v>
      </c>
      <c r="T3876" t="s">
        <v>3136</v>
      </c>
      <c r="W3876">
        <v>0</v>
      </c>
      <c r="X3876">
        <v>0</v>
      </c>
      <c r="AE3876">
        <v>0</v>
      </c>
      <c r="AM3876" t="s">
        <v>52</v>
      </c>
      <c r="AN3876" t="s">
        <v>53</v>
      </c>
    </row>
    <row r="3877" spans="1:40">
      <c r="A3877" t="s">
        <v>8081</v>
      </c>
      <c r="B3877" t="s">
        <v>6759</v>
      </c>
      <c r="C3877" t="s">
        <v>11892</v>
      </c>
      <c r="D3877" t="s">
        <v>52</v>
      </c>
      <c r="E3877" t="s">
        <v>6910</v>
      </c>
      <c r="F3877" t="s">
        <v>45</v>
      </c>
      <c r="G3877" t="str">
        <f>HYPERLINK("https://twitter.com/1100363833040912384/status/1142761767984148480")</f>
        <v>https://twitter.com/1100363833040912384/status/1142761767984148480</v>
      </c>
      <c r="H3877" t="s">
        <v>46</v>
      </c>
      <c r="I3877" t="s">
        <v>12018</v>
      </c>
      <c r="J3877" t="str">
        <f>HYPERLINK("http://twitter.com/amongstforest")</f>
        <v>http://twitter.com/amongstforest</v>
      </c>
      <c r="K3877">
        <v>2271</v>
      </c>
      <c r="L3877" t="s">
        <v>58</v>
      </c>
      <c r="N3877" t="s">
        <v>65</v>
      </c>
      <c r="R3877" t="s">
        <v>60</v>
      </c>
      <c r="S3877" t="s">
        <v>1530</v>
      </c>
      <c r="T3877" t="s">
        <v>9918</v>
      </c>
      <c r="U3877" t="s">
        <v>9919</v>
      </c>
      <c r="W3877">
        <v>159</v>
      </c>
      <c r="X3877">
        <v>159</v>
      </c>
      <c r="AE3877">
        <v>9</v>
      </c>
      <c r="AF3877">
        <v>24</v>
      </c>
      <c r="AM3877" t="s">
        <v>52</v>
      </c>
      <c r="AN3877" t="s">
        <v>53</v>
      </c>
    </row>
    <row r="3878" spans="1:40">
      <c r="A3878" t="s">
        <v>8081</v>
      </c>
      <c r="B3878" t="s">
        <v>974</v>
      </c>
      <c r="C3878" t="s">
        <v>11850</v>
      </c>
      <c r="D3878" t="s">
        <v>52</v>
      </c>
      <c r="E3878" t="s">
        <v>12019</v>
      </c>
      <c r="F3878" t="s">
        <v>45</v>
      </c>
      <c r="G3878" t="str">
        <f>HYPERLINK("https://twitter.com/727204731949604864/status/1142761381214773248")</f>
        <v>https://twitter.com/727204731949604864/status/1142761381214773248</v>
      </c>
      <c r="H3878" t="s">
        <v>46</v>
      </c>
      <c r="I3878" t="s">
        <v>1327</v>
      </c>
      <c r="J3878" t="str">
        <f>HYPERLINK("http://twitter.com/Poo2D2")</f>
        <v>http://twitter.com/Poo2D2</v>
      </c>
      <c r="K3878">
        <v>51</v>
      </c>
      <c r="L3878" t="s">
        <v>48</v>
      </c>
      <c r="N3878" t="s">
        <v>65</v>
      </c>
      <c r="R3878" t="s">
        <v>60</v>
      </c>
      <c r="S3878" t="s">
        <v>51</v>
      </c>
      <c r="T3878" t="s">
        <v>678</v>
      </c>
      <c r="U3878" t="s">
        <v>1328</v>
      </c>
      <c r="W3878">
        <v>0</v>
      </c>
      <c r="X3878">
        <v>0</v>
      </c>
      <c r="AE3878">
        <v>0</v>
      </c>
      <c r="AF3878">
        <v>0</v>
      </c>
      <c r="AM3878" t="s">
        <v>52</v>
      </c>
      <c r="AN3878" t="s">
        <v>53</v>
      </c>
    </row>
    <row r="3879" spans="1:40">
      <c r="A3879" t="s">
        <v>8081</v>
      </c>
      <c r="B3879" t="s">
        <v>974</v>
      </c>
      <c r="C3879" t="s">
        <v>11840</v>
      </c>
      <c r="D3879" t="s">
        <v>52</v>
      </c>
      <c r="E3879" t="s">
        <v>3749</v>
      </c>
      <c r="F3879" t="s">
        <v>71</v>
      </c>
      <c r="G3879" t="str">
        <f>HYPERLINK("https://twitter.com/826756026/status/1142761368174637057")</f>
        <v>https://twitter.com/826756026/status/1142761368174637057</v>
      </c>
      <c r="H3879" t="s">
        <v>46</v>
      </c>
      <c r="I3879" t="s">
        <v>12020</v>
      </c>
      <c r="J3879" t="str">
        <f>HYPERLINK("http://twitter.com/Suave_Swazi")</f>
        <v>http://twitter.com/Suave_Swazi</v>
      </c>
      <c r="K3879">
        <v>1238</v>
      </c>
      <c r="N3879" t="s">
        <v>65</v>
      </c>
      <c r="R3879" t="s">
        <v>60</v>
      </c>
      <c r="W3879">
        <v>0</v>
      </c>
      <c r="X3879">
        <v>0</v>
      </c>
      <c r="AE3879">
        <v>0</v>
      </c>
      <c r="AF3879">
        <v>0</v>
      </c>
      <c r="AI3879" t="s">
        <v>108</v>
      </c>
      <c r="AJ3879" t="s">
        <v>52</v>
      </c>
      <c r="AK3879" t="s">
        <v>52</v>
      </c>
      <c r="AL3879" t="str">
        <f t="shared" ref="AL3879:AL3886" si="3">HYPERLINK("https://pbs.twimg.com/media/D9sAXHUX4AA6vJs.jpg")</f>
        <v>https://pbs.twimg.com/media/D9sAXHUX4AA6vJs.jpg</v>
      </c>
      <c r="AM3879" t="s">
        <v>52</v>
      </c>
      <c r="AN3879" t="s">
        <v>53</v>
      </c>
    </row>
    <row r="3880" spans="1:40">
      <c r="A3880" t="s">
        <v>8081</v>
      </c>
      <c r="B3880" t="s">
        <v>986</v>
      </c>
      <c r="C3880" t="s">
        <v>11906</v>
      </c>
      <c r="D3880" t="s">
        <v>52</v>
      </c>
      <c r="E3880" t="s">
        <v>3749</v>
      </c>
      <c r="F3880" t="s">
        <v>71</v>
      </c>
      <c r="G3880" t="str">
        <f>HYPERLINK("https://twitter.com/2279200533/status/1142761051018211328")</f>
        <v>https://twitter.com/2279200533/status/1142761051018211328</v>
      </c>
      <c r="H3880" t="s">
        <v>46</v>
      </c>
      <c r="I3880" t="s">
        <v>12021</v>
      </c>
      <c r="J3880" t="str">
        <f>HYPERLINK("http://twitter.com/Stevie_Madisha")</f>
        <v>http://twitter.com/Stevie_Madisha</v>
      </c>
      <c r="K3880">
        <v>18644</v>
      </c>
      <c r="N3880" t="s">
        <v>65</v>
      </c>
      <c r="R3880" t="s">
        <v>60</v>
      </c>
      <c r="S3880" t="s">
        <v>1071</v>
      </c>
      <c r="W3880">
        <v>0</v>
      </c>
      <c r="X3880">
        <v>0</v>
      </c>
      <c r="AE3880">
        <v>0</v>
      </c>
      <c r="AF3880">
        <v>0</v>
      </c>
      <c r="AI3880" t="s">
        <v>108</v>
      </c>
      <c r="AJ3880" t="s">
        <v>52</v>
      </c>
      <c r="AK3880" t="s">
        <v>52</v>
      </c>
      <c r="AL3880" t="str">
        <f t="shared" si="3"/>
        <v>https://pbs.twimg.com/media/D9sAXHUX4AA6vJs.jpg</v>
      </c>
      <c r="AM3880" t="s">
        <v>52</v>
      </c>
      <c r="AN3880" t="s">
        <v>53</v>
      </c>
    </row>
    <row r="3881" spans="1:40">
      <c r="A3881" t="s">
        <v>8081</v>
      </c>
      <c r="B3881" t="s">
        <v>986</v>
      </c>
      <c r="C3881" t="s">
        <v>11909</v>
      </c>
      <c r="D3881" t="s">
        <v>52</v>
      </c>
      <c r="E3881" t="s">
        <v>3749</v>
      </c>
      <c r="F3881" t="s">
        <v>71</v>
      </c>
      <c r="G3881" t="str">
        <f>HYPERLINK("https://twitter.com/1138901492524621825/status/1142761017727959041")</f>
        <v>https://twitter.com/1138901492524621825/status/1142761017727959041</v>
      </c>
      <c r="H3881" t="s">
        <v>46</v>
      </c>
      <c r="I3881" t="s">
        <v>12022</v>
      </c>
      <c r="J3881" t="str">
        <f>HYPERLINK("http://twitter.com/Lesego_Marks")</f>
        <v>http://twitter.com/Lesego_Marks</v>
      </c>
      <c r="K3881">
        <v>6</v>
      </c>
      <c r="N3881" t="s">
        <v>65</v>
      </c>
      <c r="R3881" t="s">
        <v>60</v>
      </c>
      <c r="S3881" t="s">
        <v>1071</v>
      </c>
      <c r="T3881" t="s">
        <v>1072</v>
      </c>
      <c r="U3881" t="s">
        <v>1073</v>
      </c>
      <c r="W3881">
        <v>0</v>
      </c>
      <c r="X3881">
        <v>0</v>
      </c>
      <c r="AE3881">
        <v>0</v>
      </c>
      <c r="AF3881">
        <v>0</v>
      </c>
      <c r="AI3881" t="s">
        <v>108</v>
      </c>
      <c r="AJ3881" t="s">
        <v>52</v>
      </c>
      <c r="AK3881" t="s">
        <v>52</v>
      </c>
      <c r="AL3881" t="str">
        <f t="shared" si="3"/>
        <v>https://pbs.twimg.com/media/D9sAXHUX4AA6vJs.jpg</v>
      </c>
      <c r="AM3881" t="s">
        <v>52</v>
      </c>
      <c r="AN3881" t="s">
        <v>53</v>
      </c>
    </row>
    <row r="3882" spans="1:40">
      <c r="A3882" t="s">
        <v>8081</v>
      </c>
      <c r="B3882" t="s">
        <v>989</v>
      </c>
      <c r="C3882" t="s">
        <v>11916</v>
      </c>
      <c r="D3882" t="s">
        <v>52</v>
      </c>
      <c r="E3882" t="s">
        <v>3749</v>
      </c>
      <c r="F3882" t="s">
        <v>71</v>
      </c>
      <c r="G3882" t="str">
        <f>HYPERLINK("https://twitter.com/2496615095/status/1142760939697164288")</f>
        <v>https://twitter.com/2496615095/status/1142760939697164288</v>
      </c>
      <c r="H3882" t="s">
        <v>46</v>
      </c>
      <c r="I3882" t="s">
        <v>12023</v>
      </c>
      <c r="J3882" t="str">
        <f>HYPERLINK("http://twitter.com/MohaleMotaung_")</f>
        <v>http://twitter.com/MohaleMotaung_</v>
      </c>
      <c r="K3882">
        <v>3222</v>
      </c>
      <c r="N3882" t="s">
        <v>65</v>
      </c>
      <c r="R3882" t="s">
        <v>60</v>
      </c>
      <c r="S3882" t="s">
        <v>521</v>
      </c>
      <c r="T3882" t="s">
        <v>522</v>
      </c>
      <c r="U3882" t="s">
        <v>2043</v>
      </c>
      <c r="W3882">
        <v>0</v>
      </c>
      <c r="X3882">
        <v>0</v>
      </c>
      <c r="AE3882">
        <v>0</v>
      </c>
      <c r="AF3882">
        <v>0</v>
      </c>
      <c r="AI3882" t="s">
        <v>108</v>
      </c>
      <c r="AJ3882" t="s">
        <v>52</v>
      </c>
      <c r="AK3882" t="s">
        <v>52</v>
      </c>
      <c r="AL3882" t="str">
        <f t="shared" si="3"/>
        <v>https://pbs.twimg.com/media/D9sAXHUX4AA6vJs.jpg</v>
      </c>
      <c r="AM3882" t="s">
        <v>52</v>
      </c>
      <c r="AN3882" t="s">
        <v>53</v>
      </c>
    </row>
    <row r="3883" spans="1:40">
      <c r="A3883" t="s">
        <v>8081</v>
      </c>
      <c r="B3883" t="s">
        <v>989</v>
      </c>
      <c r="C3883" t="s">
        <v>11916</v>
      </c>
      <c r="D3883" t="s">
        <v>52</v>
      </c>
      <c r="E3883" t="s">
        <v>3749</v>
      </c>
      <c r="F3883" t="s">
        <v>71</v>
      </c>
      <c r="G3883" t="str">
        <f>HYPERLINK("https://twitter.com/92289976/status/1142760930947682305")</f>
        <v>https://twitter.com/92289976/status/1142760930947682305</v>
      </c>
      <c r="H3883" t="s">
        <v>46</v>
      </c>
      <c r="I3883" t="s">
        <v>12024</v>
      </c>
      <c r="J3883" t="str">
        <f>HYPERLINK("http://twitter.com/Kgo_C")</f>
        <v>http://twitter.com/Kgo_C</v>
      </c>
      <c r="K3883">
        <v>2550</v>
      </c>
      <c r="N3883" t="s">
        <v>65</v>
      </c>
      <c r="R3883" t="s">
        <v>60</v>
      </c>
      <c r="S3883" t="s">
        <v>12025</v>
      </c>
      <c r="U3883" t="s">
        <v>12026</v>
      </c>
      <c r="W3883">
        <v>0</v>
      </c>
      <c r="X3883">
        <v>0</v>
      </c>
      <c r="AE3883">
        <v>0</v>
      </c>
      <c r="AF3883">
        <v>0</v>
      </c>
      <c r="AI3883" t="s">
        <v>108</v>
      </c>
      <c r="AJ3883" t="s">
        <v>52</v>
      </c>
      <c r="AK3883" t="s">
        <v>52</v>
      </c>
      <c r="AL3883" t="str">
        <f t="shared" si="3"/>
        <v>https://pbs.twimg.com/media/D9sAXHUX4AA6vJs.jpg</v>
      </c>
      <c r="AM3883" t="s">
        <v>52</v>
      </c>
      <c r="AN3883" t="s">
        <v>53</v>
      </c>
    </row>
    <row r="3884" spans="1:40">
      <c r="A3884" t="s">
        <v>8081</v>
      </c>
      <c r="B3884" t="s">
        <v>989</v>
      </c>
      <c r="C3884" t="s">
        <v>12027</v>
      </c>
      <c r="D3884" t="s">
        <v>52</v>
      </c>
      <c r="E3884" t="s">
        <v>3749</v>
      </c>
      <c r="F3884" t="s">
        <v>71</v>
      </c>
      <c r="G3884" t="str">
        <f>HYPERLINK("https://twitter.com/2565206873/status/1142760808046309377")</f>
        <v>https://twitter.com/2565206873/status/1142760808046309377</v>
      </c>
      <c r="H3884" t="s">
        <v>46</v>
      </c>
      <c r="I3884" t="s">
        <v>12028</v>
      </c>
      <c r="J3884" t="str">
        <f>HYPERLINK("http://twitter.com/SebastianNkosi")</f>
        <v>http://twitter.com/SebastianNkosi</v>
      </c>
      <c r="K3884">
        <v>685</v>
      </c>
      <c r="N3884" t="s">
        <v>65</v>
      </c>
      <c r="R3884" t="s">
        <v>60</v>
      </c>
      <c r="S3884" t="s">
        <v>1071</v>
      </c>
      <c r="T3884" t="s">
        <v>1072</v>
      </c>
      <c r="U3884" t="s">
        <v>1073</v>
      </c>
      <c r="W3884">
        <v>0</v>
      </c>
      <c r="X3884">
        <v>0</v>
      </c>
      <c r="AE3884">
        <v>0</v>
      </c>
      <c r="AF3884">
        <v>0</v>
      </c>
      <c r="AI3884" t="s">
        <v>108</v>
      </c>
      <c r="AJ3884" t="s">
        <v>52</v>
      </c>
      <c r="AK3884" t="s">
        <v>52</v>
      </c>
      <c r="AL3884" t="str">
        <f t="shared" si="3"/>
        <v>https://pbs.twimg.com/media/D9sAXHUX4AA6vJs.jpg</v>
      </c>
      <c r="AM3884" t="s">
        <v>52</v>
      </c>
      <c r="AN3884" t="s">
        <v>53</v>
      </c>
    </row>
    <row r="3885" spans="1:40">
      <c r="A3885" t="s">
        <v>8081</v>
      </c>
      <c r="B3885" t="s">
        <v>989</v>
      </c>
      <c r="C3885" t="s">
        <v>11926</v>
      </c>
      <c r="D3885" t="s">
        <v>52</v>
      </c>
      <c r="E3885" t="s">
        <v>3749</v>
      </c>
      <c r="F3885" t="s">
        <v>71</v>
      </c>
      <c r="G3885" t="str">
        <f>HYPERLINK("https://twitter.com/379529911/status/1142760786399584256")</f>
        <v>https://twitter.com/379529911/status/1142760786399584256</v>
      </c>
      <c r="H3885" t="s">
        <v>46</v>
      </c>
      <c r="I3885" t="s">
        <v>12029</v>
      </c>
      <c r="J3885" t="str">
        <f>HYPERLINK("http://twitter.com/TjayFawn")</f>
        <v>http://twitter.com/TjayFawn</v>
      </c>
      <c r="K3885">
        <v>1050</v>
      </c>
      <c r="N3885" t="s">
        <v>65</v>
      </c>
      <c r="R3885" t="s">
        <v>60</v>
      </c>
      <c r="S3885" t="s">
        <v>1071</v>
      </c>
      <c r="T3885" t="s">
        <v>1072</v>
      </c>
      <c r="U3885" t="s">
        <v>1295</v>
      </c>
      <c r="W3885">
        <v>0</v>
      </c>
      <c r="X3885">
        <v>0</v>
      </c>
      <c r="AE3885">
        <v>0</v>
      </c>
      <c r="AF3885">
        <v>0</v>
      </c>
      <c r="AI3885" t="s">
        <v>108</v>
      </c>
      <c r="AJ3885" t="s">
        <v>52</v>
      </c>
      <c r="AK3885" t="s">
        <v>52</v>
      </c>
      <c r="AL3885" t="str">
        <f t="shared" si="3"/>
        <v>https://pbs.twimg.com/media/D9sAXHUX4AA6vJs.jpg</v>
      </c>
      <c r="AM3885" t="s">
        <v>52</v>
      </c>
      <c r="AN3885" t="s">
        <v>53</v>
      </c>
    </row>
    <row r="3886" spans="1:40">
      <c r="A3886" t="s">
        <v>8081</v>
      </c>
      <c r="B3886" t="s">
        <v>6779</v>
      </c>
      <c r="C3886" t="s">
        <v>12030</v>
      </c>
      <c r="D3886" t="s">
        <v>52</v>
      </c>
      <c r="E3886" t="s">
        <v>3749</v>
      </c>
      <c r="F3886" t="s">
        <v>71</v>
      </c>
      <c r="G3886" t="str">
        <f>HYPERLINK("https://twitter.com/813500804766253056/status/1142760710541385728")</f>
        <v>https://twitter.com/813500804766253056/status/1142760710541385728</v>
      </c>
      <c r="H3886" t="s">
        <v>46</v>
      </c>
      <c r="I3886" t="s">
        <v>12031</v>
      </c>
      <c r="J3886" t="str">
        <f>HYPERLINK("http://twitter.com/Yung_ladd")</f>
        <v>http://twitter.com/Yung_ladd</v>
      </c>
      <c r="K3886">
        <v>434</v>
      </c>
      <c r="N3886" t="s">
        <v>65</v>
      </c>
      <c r="R3886" t="s">
        <v>60</v>
      </c>
      <c r="S3886" t="s">
        <v>12032</v>
      </c>
      <c r="T3886" t="s">
        <v>12033</v>
      </c>
      <c r="U3886" t="s">
        <v>12033</v>
      </c>
      <c r="W3886">
        <v>0</v>
      </c>
      <c r="X3886">
        <v>0</v>
      </c>
      <c r="AE3886">
        <v>0</v>
      </c>
      <c r="AF3886">
        <v>0</v>
      </c>
      <c r="AI3886" t="s">
        <v>108</v>
      </c>
      <c r="AJ3886" t="s">
        <v>52</v>
      </c>
      <c r="AK3886" t="s">
        <v>52</v>
      </c>
      <c r="AL3886" t="str">
        <f t="shared" si="3"/>
        <v>https://pbs.twimg.com/media/D9sAXHUX4AA6vJs.jpg</v>
      </c>
      <c r="AM3886" t="s">
        <v>52</v>
      </c>
      <c r="AN3886" t="s">
        <v>53</v>
      </c>
    </row>
    <row r="3887" spans="1:40">
      <c r="A3887" t="s">
        <v>8081</v>
      </c>
      <c r="B3887" t="s">
        <v>6779</v>
      </c>
      <c r="C3887" t="s">
        <v>12034</v>
      </c>
      <c r="D3887" t="s">
        <v>52</v>
      </c>
      <c r="E3887" t="s">
        <v>12035</v>
      </c>
      <c r="F3887" t="s">
        <v>95</v>
      </c>
      <c r="G3887" t="str">
        <f>HYPERLINK("https://twitter.com/298248082/status/1142760556862087168")</f>
        <v>https://twitter.com/298248082/status/1142760556862087168</v>
      </c>
      <c r="H3887" t="s">
        <v>215</v>
      </c>
      <c r="I3887" t="s">
        <v>12036</v>
      </c>
      <c r="J3887" t="str">
        <f>HYPERLINK("http://twitter.com/wisia64")</f>
        <v>http://twitter.com/wisia64</v>
      </c>
      <c r="K3887">
        <v>46</v>
      </c>
      <c r="L3887" t="s">
        <v>48</v>
      </c>
      <c r="N3887" t="s">
        <v>65</v>
      </c>
      <c r="R3887" t="s">
        <v>60</v>
      </c>
      <c r="W3887">
        <v>0</v>
      </c>
      <c r="X3887">
        <v>0</v>
      </c>
      <c r="AE3887">
        <v>0</v>
      </c>
      <c r="AF3887">
        <v>0</v>
      </c>
      <c r="AM3887" t="s">
        <v>52</v>
      </c>
      <c r="AN3887" t="s">
        <v>53</v>
      </c>
    </row>
    <row r="3888" spans="1:40">
      <c r="A3888" t="s">
        <v>8081</v>
      </c>
      <c r="B3888" t="s">
        <v>1000</v>
      </c>
      <c r="C3888" t="s">
        <v>10360</v>
      </c>
      <c r="D3888" t="s">
        <v>52</v>
      </c>
      <c r="E3888" t="s">
        <v>12037</v>
      </c>
      <c r="F3888" t="s">
        <v>45</v>
      </c>
      <c r="G3888" t="str">
        <f>HYPERLINK("https://www.instagram.com/p/BzDQ8FAAs9r")</f>
        <v>https://www.instagram.com/p/BzDQ8FAAs9r</v>
      </c>
      <c r="H3888" t="s">
        <v>46</v>
      </c>
      <c r="I3888" t="s">
        <v>12038</v>
      </c>
      <c r="J3888" t="str">
        <f>HYPERLINK("http://instagram.com/zog.kingboy")</f>
        <v>http://instagram.com/zog.kingboy</v>
      </c>
      <c r="K3888">
        <v>125</v>
      </c>
      <c r="N3888" t="s">
        <v>59</v>
      </c>
      <c r="O3888" t="s">
        <v>12038</v>
      </c>
      <c r="P3888" t="str">
        <f>HYPERLINK("http://instagram.com/zog.kingboy")</f>
        <v>http://instagram.com/zog.kingboy</v>
      </c>
      <c r="Q3888">
        <v>125</v>
      </c>
      <c r="R3888" t="s">
        <v>60</v>
      </c>
      <c r="W3888">
        <v>30</v>
      </c>
      <c r="X3888">
        <v>30</v>
      </c>
      <c r="AE3888">
        <v>0</v>
      </c>
      <c r="AI3888" t="s">
        <v>108</v>
      </c>
      <c r="AJ3888" t="s">
        <v>5659</v>
      </c>
      <c r="AK3888" t="s">
        <v>52</v>
      </c>
      <c r="AL3888" t="str">
        <f>HYPERLINK("https://www.instagram.com/p/BzDQ8FAAs9r/media/?size=l")</f>
        <v>https://www.instagram.com/p/BzDQ8FAAs9r/media/?size=l</v>
      </c>
      <c r="AM3888" t="s">
        <v>52</v>
      </c>
      <c r="AN3888" t="s">
        <v>53</v>
      </c>
    </row>
    <row r="3889" spans="1:40">
      <c r="A3889" t="s">
        <v>8081</v>
      </c>
      <c r="B3889" t="s">
        <v>12039</v>
      </c>
      <c r="C3889" t="s">
        <v>12040</v>
      </c>
      <c r="D3889" t="s">
        <v>52</v>
      </c>
      <c r="E3889" t="s">
        <v>12041</v>
      </c>
      <c r="F3889" t="s">
        <v>95</v>
      </c>
      <c r="G3889" t="str">
        <f>HYPERLINK("https://twitter.com/1676498820/status/1142759007901409281")</f>
        <v>https://twitter.com/1676498820/status/1142759007901409281</v>
      </c>
      <c r="H3889" t="s">
        <v>46</v>
      </c>
      <c r="I3889" t="s">
        <v>12042</v>
      </c>
      <c r="J3889" t="str">
        <f>HYPERLINK("http://twitter.com/retireddenise")</f>
        <v>http://twitter.com/retireddenise</v>
      </c>
      <c r="K3889">
        <v>70</v>
      </c>
      <c r="L3889" t="s">
        <v>58</v>
      </c>
      <c r="N3889" t="s">
        <v>65</v>
      </c>
      <c r="R3889" t="s">
        <v>60</v>
      </c>
      <c r="W3889">
        <v>0</v>
      </c>
      <c r="X3889">
        <v>0</v>
      </c>
      <c r="AE3889">
        <v>0</v>
      </c>
      <c r="AF3889">
        <v>0</v>
      </c>
      <c r="AM3889" t="s">
        <v>52</v>
      </c>
      <c r="AN3889" t="s">
        <v>53</v>
      </c>
    </row>
    <row r="3890" spans="1:40">
      <c r="A3890" t="s">
        <v>8081</v>
      </c>
      <c r="B3890" t="s">
        <v>12039</v>
      </c>
      <c r="C3890" t="s">
        <v>12043</v>
      </c>
      <c r="D3890" t="s">
        <v>52</v>
      </c>
      <c r="E3890" t="s">
        <v>12044</v>
      </c>
      <c r="F3890" t="s">
        <v>45</v>
      </c>
      <c r="G3890" t="str">
        <f>HYPERLINK("https://www.instagram.com/p/BzDQej_BMQh")</f>
        <v>https://www.instagram.com/p/BzDQej_BMQh</v>
      </c>
      <c r="H3890" t="s">
        <v>46</v>
      </c>
      <c r="I3890" t="s">
        <v>12045</v>
      </c>
      <c r="J3890" t="str">
        <f>HYPERLINK("http://instagram.com/kate_and_jacks_journey_")</f>
        <v>http://instagram.com/kate_and_jacks_journey_</v>
      </c>
      <c r="K3890">
        <v>436</v>
      </c>
      <c r="L3890" t="s">
        <v>58</v>
      </c>
      <c r="N3890" t="s">
        <v>59</v>
      </c>
      <c r="O3890" t="s">
        <v>12045</v>
      </c>
      <c r="P3890" t="str">
        <f>HYPERLINK("http://instagram.com/kate_and_jacks_journey_")</f>
        <v>http://instagram.com/kate_and_jacks_journey_</v>
      </c>
      <c r="Q3890">
        <v>436</v>
      </c>
      <c r="R3890" t="s">
        <v>60</v>
      </c>
      <c r="S3890" t="s">
        <v>97</v>
      </c>
      <c r="T3890" t="s">
        <v>1332</v>
      </c>
      <c r="U3890" t="s">
        <v>12046</v>
      </c>
      <c r="W3890">
        <v>24</v>
      </c>
      <c r="X3890">
        <v>24</v>
      </c>
      <c r="AE3890">
        <v>0</v>
      </c>
      <c r="AI3890" t="s">
        <v>108</v>
      </c>
      <c r="AJ3890" t="s">
        <v>12047</v>
      </c>
      <c r="AK3890" t="s">
        <v>52</v>
      </c>
      <c r="AL3890" t="str">
        <f>HYPERLINK("https://www.instagram.com/p/BzDQej_BMQh/media/?size=l")</f>
        <v>https://www.instagram.com/p/BzDQej_BMQh/media/?size=l</v>
      </c>
      <c r="AM3890" t="s">
        <v>52</v>
      </c>
      <c r="AN3890" t="s">
        <v>53</v>
      </c>
    </row>
    <row r="3891" spans="1:40">
      <c r="A3891" t="s">
        <v>8081</v>
      </c>
      <c r="B3891" t="s">
        <v>6790</v>
      </c>
      <c r="C3891" t="s">
        <v>12048</v>
      </c>
      <c r="D3891" t="s">
        <v>52</v>
      </c>
      <c r="E3891" t="s">
        <v>3749</v>
      </c>
      <c r="F3891" t="s">
        <v>71</v>
      </c>
      <c r="G3891" t="str">
        <f>HYPERLINK("https://twitter.com/1495511178/status/1142758565473607680")</f>
        <v>https://twitter.com/1495511178/status/1142758565473607680</v>
      </c>
      <c r="H3891" t="s">
        <v>46</v>
      </c>
      <c r="I3891" t="s">
        <v>12049</v>
      </c>
      <c r="J3891" t="str">
        <f>HYPERLINK("http://twitter.com/BraPopsS")</f>
        <v>http://twitter.com/BraPopsS</v>
      </c>
      <c r="K3891">
        <v>848</v>
      </c>
      <c r="L3891" t="s">
        <v>58</v>
      </c>
      <c r="N3891" t="s">
        <v>65</v>
      </c>
      <c r="R3891" t="s">
        <v>60</v>
      </c>
      <c r="S3891" t="s">
        <v>1071</v>
      </c>
      <c r="T3891" t="s">
        <v>5418</v>
      </c>
      <c r="U3891" t="s">
        <v>5419</v>
      </c>
      <c r="W3891">
        <v>0</v>
      </c>
      <c r="X3891">
        <v>0</v>
      </c>
      <c r="AE3891">
        <v>0</v>
      </c>
      <c r="AF3891">
        <v>0</v>
      </c>
      <c r="AI3891" t="s">
        <v>108</v>
      </c>
      <c r="AJ3891" t="s">
        <v>52</v>
      </c>
      <c r="AK3891" t="s">
        <v>52</v>
      </c>
      <c r="AL3891" t="str">
        <f>HYPERLINK("https://pbs.twimg.com/media/D9sAXHUX4AA6vJs.jpg")</f>
        <v>https://pbs.twimg.com/media/D9sAXHUX4AA6vJs.jpg</v>
      </c>
      <c r="AM3891" t="s">
        <v>52</v>
      </c>
      <c r="AN3891" t="s">
        <v>53</v>
      </c>
    </row>
    <row r="3892" spans="1:40">
      <c r="A3892" t="s">
        <v>8081</v>
      </c>
      <c r="B3892" t="s">
        <v>6790</v>
      </c>
      <c r="C3892" t="s">
        <v>12050</v>
      </c>
      <c r="D3892" t="s">
        <v>52</v>
      </c>
      <c r="E3892" t="s">
        <v>276</v>
      </c>
      <c r="F3892" t="s">
        <v>131</v>
      </c>
      <c r="G3892" t="str">
        <f>HYPERLINK("https://twitter.com/721858969346682880/status/1142758501200121857")</f>
        <v>https://twitter.com/721858969346682880/status/1142758501200121857</v>
      </c>
      <c r="H3892" t="s">
        <v>46</v>
      </c>
      <c r="I3892" t="s">
        <v>12051</v>
      </c>
      <c r="J3892" t="str">
        <f>HYPERLINK("http://twitter.com/teufel_jordan")</f>
        <v>http://twitter.com/teufel_jordan</v>
      </c>
      <c r="K3892">
        <v>1311</v>
      </c>
      <c r="N3892" t="s">
        <v>65</v>
      </c>
      <c r="R3892" t="s">
        <v>60</v>
      </c>
      <c r="W3892">
        <v>0</v>
      </c>
      <c r="X3892">
        <v>0</v>
      </c>
      <c r="AE3892">
        <v>0</v>
      </c>
      <c r="AI3892" t="s">
        <v>108</v>
      </c>
      <c r="AJ3892" t="s">
        <v>52</v>
      </c>
      <c r="AK3892" t="s">
        <v>52</v>
      </c>
      <c r="AL3892" t="str">
        <f>HYPERLINK("https://pbs.twimg.com/tweet_video_thumb/D9hvNNzXUAATAS3.jpg")</f>
        <v>https://pbs.twimg.com/tweet_video_thumb/D9hvNNzXUAATAS3.jpg</v>
      </c>
      <c r="AM3892" t="s">
        <v>52</v>
      </c>
      <c r="AN3892" t="s">
        <v>53</v>
      </c>
    </row>
    <row r="3893" spans="1:40">
      <c r="A3893" t="s">
        <v>8081</v>
      </c>
      <c r="B3893" t="s">
        <v>12052</v>
      </c>
      <c r="C3893" t="s">
        <v>12053</v>
      </c>
      <c r="D3893" t="s">
        <v>52</v>
      </c>
      <c r="E3893" t="s">
        <v>3749</v>
      </c>
      <c r="F3893" t="s">
        <v>71</v>
      </c>
      <c r="G3893" t="str">
        <f>HYPERLINK("https://twitter.com/1123666712476495873/status/1142757124843409408")</f>
        <v>https://twitter.com/1123666712476495873/status/1142757124843409408</v>
      </c>
      <c r="H3893" t="s">
        <v>46</v>
      </c>
      <c r="I3893" t="s">
        <v>12054</v>
      </c>
      <c r="J3893" t="str">
        <f>HYPERLINK("http://twitter.com/agi_moche")</f>
        <v>http://twitter.com/agi_moche</v>
      </c>
      <c r="K3893">
        <v>83</v>
      </c>
      <c r="N3893" t="s">
        <v>65</v>
      </c>
      <c r="R3893" t="s">
        <v>60</v>
      </c>
      <c r="S3893" t="s">
        <v>1071</v>
      </c>
      <c r="T3893" t="s">
        <v>3751</v>
      </c>
      <c r="U3893" t="s">
        <v>7692</v>
      </c>
      <c r="W3893">
        <v>0</v>
      </c>
      <c r="X3893">
        <v>0</v>
      </c>
      <c r="AE3893">
        <v>0</v>
      </c>
      <c r="AF3893">
        <v>0</v>
      </c>
      <c r="AI3893" t="s">
        <v>108</v>
      </c>
      <c r="AJ3893" t="s">
        <v>52</v>
      </c>
      <c r="AK3893" t="s">
        <v>52</v>
      </c>
      <c r="AL3893" t="str">
        <f>HYPERLINK("https://pbs.twimg.com/media/D9sAXHUX4AA6vJs.jpg")</f>
        <v>https://pbs.twimg.com/media/D9sAXHUX4AA6vJs.jpg</v>
      </c>
      <c r="AM3893" t="s">
        <v>52</v>
      </c>
      <c r="AN3893" t="s">
        <v>53</v>
      </c>
    </row>
    <row r="3894" spans="1:40">
      <c r="A3894" t="s">
        <v>8081</v>
      </c>
      <c r="B3894" t="s">
        <v>1004</v>
      </c>
      <c r="C3894" t="s">
        <v>12055</v>
      </c>
      <c r="D3894" t="s">
        <v>52</v>
      </c>
      <c r="E3894" t="s">
        <v>12056</v>
      </c>
      <c r="F3894" t="s">
        <v>95</v>
      </c>
      <c r="G3894" t="str">
        <f>HYPERLINK("https://twitter.com/908060998409621505/status/1142756839064576000")</f>
        <v>https://twitter.com/908060998409621505/status/1142756839064576000</v>
      </c>
      <c r="H3894" t="s">
        <v>46</v>
      </c>
      <c r="I3894" t="s">
        <v>12057</v>
      </c>
      <c r="J3894" t="str">
        <f>HYPERLINK("http://twitter.com/BusterBDSM")</f>
        <v>http://twitter.com/BusterBDSM</v>
      </c>
      <c r="K3894">
        <v>7492</v>
      </c>
      <c r="N3894" t="s">
        <v>65</v>
      </c>
      <c r="R3894" t="s">
        <v>60</v>
      </c>
      <c r="S3894" t="s">
        <v>97</v>
      </c>
      <c r="T3894" t="s">
        <v>177</v>
      </c>
      <c r="W3894">
        <v>2</v>
      </c>
      <c r="X3894">
        <v>2</v>
      </c>
      <c r="AE3894">
        <v>0</v>
      </c>
      <c r="AF3894">
        <v>0</v>
      </c>
      <c r="AM3894" t="s">
        <v>52</v>
      </c>
      <c r="AN3894" t="s">
        <v>53</v>
      </c>
    </row>
    <row r="3895" spans="1:40">
      <c r="A3895" t="s">
        <v>8081</v>
      </c>
      <c r="B3895" t="s">
        <v>12058</v>
      </c>
      <c r="C3895" t="s">
        <v>10546</v>
      </c>
      <c r="D3895" t="s">
        <v>52</v>
      </c>
      <c r="E3895" t="s">
        <v>12059</v>
      </c>
      <c r="F3895" t="s">
        <v>45</v>
      </c>
      <c r="G3895" t="str">
        <f>HYPERLINK("https://www.instagram.com/p/BzDO-YxhuYu")</f>
        <v>https://www.instagram.com/p/BzDO-YxhuYu</v>
      </c>
      <c r="H3895" t="s">
        <v>46</v>
      </c>
      <c r="I3895" t="s">
        <v>12060</v>
      </c>
      <c r="J3895" t="str">
        <f>HYPERLINK("http://instagram.com/darkhumor__for_lyf")</f>
        <v>http://instagram.com/darkhumor__for_lyf</v>
      </c>
      <c r="K3895">
        <v>1111</v>
      </c>
      <c r="N3895" t="s">
        <v>59</v>
      </c>
      <c r="O3895" t="s">
        <v>12060</v>
      </c>
      <c r="P3895" t="str">
        <f>HYPERLINK("http://instagram.com/darkhumor__for_lyf")</f>
        <v>http://instagram.com/darkhumor__for_lyf</v>
      </c>
      <c r="Q3895">
        <v>1111</v>
      </c>
      <c r="R3895" t="s">
        <v>60</v>
      </c>
      <c r="W3895">
        <v>2</v>
      </c>
      <c r="X3895">
        <v>2</v>
      </c>
      <c r="AE3895">
        <v>0</v>
      </c>
      <c r="AI3895" t="s">
        <v>108</v>
      </c>
      <c r="AJ3895" t="s">
        <v>659</v>
      </c>
      <c r="AK3895" t="s">
        <v>52</v>
      </c>
      <c r="AL3895" t="str">
        <f>HYPERLINK("https://www.instagram.com/p/BzDO-YxhuYu/media/?size=l")</f>
        <v>https://www.instagram.com/p/BzDO-YxhuYu/media/?size=l</v>
      </c>
      <c r="AM3895" t="s">
        <v>52</v>
      </c>
      <c r="AN3895" t="s">
        <v>53</v>
      </c>
    </row>
    <row r="3896" spans="1:40">
      <c r="A3896" t="s">
        <v>8081</v>
      </c>
      <c r="B3896" t="s">
        <v>12058</v>
      </c>
      <c r="C3896" t="s">
        <v>12061</v>
      </c>
      <c r="D3896" t="s">
        <v>52</v>
      </c>
      <c r="E3896" t="s">
        <v>3749</v>
      </c>
      <c r="F3896" t="s">
        <v>71</v>
      </c>
      <c r="G3896" t="str">
        <f>HYPERLINK("https://twitter.com/813326952664809472/status/1142755627216920576")</f>
        <v>https://twitter.com/813326952664809472/status/1142755627216920576</v>
      </c>
      <c r="H3896" t="s">
        <v>46</v>
      </c>
      <c r="I3896" t="s">
        <v>641</v>
      </c>
      <c r="J3896" t="str">
        <f>HYPERLINK("http://twitter.com/notLuri")</f>
        <v>http://twitter.com/notLuri</v>
      </c>
      <c r="K3896">
        <v>110</v>
      </c>
      <c r="N3896" t="s">
        <v>65</v>
      </c>
      <c r="R3896" t="s">
        <v>60</v>
      </c>
      <c r="W3896">
        <v>0</v>
      </c>
      <c r="X3896">
        <v>0</v>
      </c>
      <c r="AE3896">
        <v>0</v>
      </c>
      <c r="AF3896">
        <v>0</v>
      </c>
      <c r="AI3896" t="s">
        <v>108</v>
      </c>
      <c r="AJ3896" t="s">
        <v>52</v>
      </c>
      <c r="AK3896" t="s">
        <v>52</v>
      </c>
      <c r="AL3896" t="str">
        <f>HYPERLINK("https://pbs.twimg.com/media/D9sAXHUX4AA6vJs.jpg")</f>
        <v>https://pbs.twimg.com/media/D9sAXHUX4AA6vJs.jpg</v>
      </c>
      <c r="AM3896" t="s">
        <v>52</v>
      </c>
      <c r="AN3896" t="s">
        <v>53</v>
      </c>
    </row>
    <row r="3897" spans="1:40">
      <c r="A3897" t="s">
        <v>8081</v>
      </c>
      <c r="B3897" t="s">
        <v>6830</v>
      </c>
      <c r="C3897" t="s">
        <v>12062</v>
      </c>
      <c r="D3897" t="s">
        <v>52</v>
      </c>
      <c r="E3897" t="s">
        <v>12063</v>
      </c>
      <c r="F3897" t="s">
        <v>71</v>
      </c>
      <c r="G3897" t="str">
        <f>HYPERLINK("https://twitter.com/554295134/status/1142754869163388928")</f>
        <v>https://twitter.com/554295134/status/1142754869163388928</v>
      </c>
      <c r="H3897" t="s">
        <v>46</v>
      </c>
      <c r="I3897" t="s">
        <v>12064</v>
      </c>
      <c r="J3897" t="str">
        <f>HYPERLINK("http://twitter.com/TadiwaDCR")</f>
        <v>http://twitter.com/TadiwaDCR</v>
      </c>
      <c r="K3897">
        <v>650</v>
      </c>
      <c r="L3897" t="s">
        <v>48</v>
      </c>
      <c r="N3897" t="s">
        <v>65</v>
      </c>
      <c r="R3897" t="s">
        <v>60</v>
      </c>
      <c r="W3897">
        <v>0</v>
      </c>
      <c r="X3897">
        <v>0</v>
      </c>
      <c r="AE3897">
        <v>0</v>
      </c>
      <c r="AF3897">
        <v>0</v>
      </c>
      <c r="AM3897" t="s">
        <v>52</v>
      </c>
      <c r="AN3897" t="s">
        <v>53</v>
      </c>
    </row>
    <row r="3898" spans="1:40">
      <c r="A3898" t="s">
        <v>8081</v>
      </c>
      <c r="B3898" t="s">
        <v>6830</v>
      </c>
      <c r="C3898" t="s">
        <v>12062</v>
      </c>
      <c r="D3898" t="s">
        <v>52</v>
      </c>
      <c r="E3898" t="s">
        <v>7615</v>
      </c>
      <c r="F3898" t="s">
        <v>71</v>
      </c>
      <c r="G3898" t="str">
        <f>HYPERLINK("https://twitter.com/928732065654329348/status/1142754713777123333")</f>
        <v>https://twitter.com/928732065654329348/status/1142754713777123333</v>
      </c>
      <c r="H3898" t="s">
        <v>46</v>
      </c>
      <c r="I3898" t="s">
        <v>12065</v>
      </c>
      <c r="J3898" t="str">
        <f>HYPERLINK("http://twitter.com/Mr_CBrxndt")</f>
        <v>http://twitter.com/Mr_CBrxndt</v>
      </c>
      <c r="K3898">
        <v>46</v>
      </c>
      <c r="N3898" t="s">
        <v>65</v>
      </c>
      <c r="R3898" t="s">
        <v>60</v>
      </c>
      <c r="S3898" t="s">
        <v>7641</v>
      </c>
      <c r="W3898">
        <v>0</v>
      </c>
      <c r="X3898">
        <v>0</v>
      </c>
      <c r="AE3898">
        <v>0</v>
      </c>
      <c r="AF3898">
        <v>0</v>
      </c>
      <c r="AI3898" t="s">
        <v>108</v>
      </c>
      <c r="AJ3898" t="s">
        <v>52</v>
      </c>
      <c r="AK3898" t="s">
        <v>52</v>
      </c>
      <c r="AL3898" t="str">
        <f>HYPERLINK("https://pbs.twimg.com/media/D9sAXHUX4AA6vJs.jpg")</f>
        <v>https://pbs.twimg.com/media/D9sAXHUX4AA6vJs.jpg</v>
      </c>
      <c r="AM3898" t="s">
        <v>52</v>
      </c>
      <c r="AN3898" t="s">
        <v>53</v>
      </c>
    </row>
    <row r="3899" spans="1:40">
      <c r="A3899" t="s">
        <v>8081</v>
      </c>
      <c r="B3899" t="s">
        <v>1025</v>
      </c>
      <c r="C3899" t="s">
        <v>12062</v>
      </c>
      <c r="D3899" t="s">
        <v>52</v>
      </c>
      <c r="E3899" t="s">
        <v>9854</v>
      </c>
      <c r="F3899" t="s">
        <v>131</v>
      </c>
      <c r="G3899" t="str">
        <f>HYPERLINK("https://twitter.com/752559084881211392/status/1142754236930899968")</f>
        <v>https://twitter.com/752559084881211392/status/1142754236930899968</v>
      </c>
      <c r="H3899" t="s">
        <v>215</v>
      </c>
      <c r="I3899" t="s">
        <v>12066</v>
      </c>
      <c r="J3899" t="str">
        <f>HYPERLINK("http://twitter.com/ronniehowlett3")</f>
        <v>http://twitter.com/ronniehowlett3</v>
      </c>
      <c r="K3899">
        <v>3172</v>
      </c>
      <c r="N3899" t="s">
        <v>65</v>
      </c>
      <c r="R3899" t="s">
        <v>60</v>
      </c>
      <c r="S3899" t="s">
        <v>1403</v>
      </c>
      <c r="T3899" t="s">
        <v>12067</v>
      </c>
      <c r="U3899" t="s">
        <v>12068</v>
      </c>
      <c r="W3899">
        <v>0</v>
      </c>
      <c r="X3899">
        <v>0</v>
      </c>
      <c r="AE3899">
        <v>0</v>
      </c>
      <c r="AI3899" t="s">
        <v>52</v>
      </c>
      <c r="AJ3899" t="s">
        <v>52</v>
      </c>
      <c r="AK3899" t="s">
        <v>110</v>
      </c>
      <c r="AL3899" t="str">
        <f>HYPERLINK("https://pbs.twimg.com/ext_tw_video_thumb/1142646022713118720/pu/img/mITRfwP1eYqQ_wvd.jpg")</f>
        <v>https://pbs.twimg.com/ext_tw_video_thumb/1142646022713118720/pu/img/mITRfwP1eYqQ_wvd.jpg</v>
      </c>
      <c r="AM3899" t="s">
        <v>52</v>
      </c>
      <c r="AN3899" t="s">
        <v>53</v>
      </c>
    </row>
    <row r="3900" spans="1:40">
      <c r="A3900" t="s">
        <v>8081</v>
      </c>
      <c r="B3900" t="s">
        <v>1025</v>
      </c>
      <c r="C3900" t="s">
        <v>12069</v>
      </c>
      <c r="D3900" t="s">
        <v>52</v>
      </c>
      <c r="E3900" t="s">
        <v>276</v>
      </c>
      <c r="F3900" t="s">
        <v>131</v>
      </c>
      <c r="G3900" t="str">
        <f>HYPERLINK("https://twitter.com/935376768277639168/status/1142754179796090886")</f>
        <v>https://twitter.com/935376768277639168/status/1142754179796090886</v>
      </c>
      <c r="H3900" t="s">
        <v>46</v>
      </c>
      <c r="I3900" t="s">
        <v>12070</v>
      </c>
      <c r="J3900" t="str">
        <f>HYPERLINK("http://twitter.com/LT_Writing")</f>
        <v>http://twitter.com/LT_Writing</v>
      </c>
      <c r="K3900">
        <v>2851</v>
      </c>
      <c r="N3900" t="s">
        <v>65</v>
      </c>
      <c r="R3900" t="s">
        <v>60</v>
      </c>
      <c r="S3900" t="s">
        <v>4114</v>
      </c>
      <c r="T3900" t="s">
        <v>12071</v>
      </c>
      <c r="U3900" t="s">
        <v>12072</v>
      </c>
      <c r="W3900">
        <v>0</v>
      </c>
      <c r="X3900">
        <v>0</v>
      </c>
      <c r="AE3900">
        <v>0</v>
      </c>
      <c r="AI3900" t="s">
        <v>108</v>
      </c>
      <c r="AJ3900" t="s">
        <v>52</v>
      </c>
      <c r="AK3900" t="s">
        <v>52</v>
      </c>
      <c r="AL3900" t="str">
        <f>HYPERLINK("https://pbs.twimg.com/tweet_video_thumb/D9hvNNzXUAATAS3.jpg")</f>
        <v>https://pbs.twimg.com/tweet_video_thumb/D9hvNNzXUAATAS3.jpg</v>
      </c>
      <c r="AM3900" t="s">
        <v>52</v>
      </c>
      <c r="AN3900" t="s">
        <v>53</v>
      </c>
    </row>
    <row r="3901" spans="1:40">
      <c r="A3901" t="s">
        <v>8081</v>
      </c>
      <c r="B3901" t="s">
        <v>1041</v>
      </c>
      <c r="C3901" t="s">
        <v>12073</v>
      </c>
      <c r="D3901" t="s">
        <v>52</v>
      </c>
      <c r="E3901" t="s">
        <v>12074</v>
      </c>
      <c r="F3901" t="s">
        <v>71</v>
      </c>
      <c r="G3901" t="str">
        <f>HYPERLINK("https://www.instagram.com/p/BzDNQvgDBdv")</f>
        <v>https://www.instagram.com/p/BzDNQvgDBdv</v>
      </c>
      <c r="H3901" t="s">
        <v>46</v>
      </c>
      <c r="I3901" t="s">
        <v>12075</v>
      </c>
      <c r="J3901" t="str">
        <f>HYPERLINK("http://instagram.com/npcfirstcallout")</f>
        <v>http://instagram.com/npcfirstcallout</v>
      </c>
      <c r="K3901">
        <v>2374</v>
      </c>
      <c r="N3901" t="s">
        <v>59</v>
      </c>
      <c r="O3901" t="s">
        <v>12075</v>
      </c>
      <c r="P3901" t="str">
        <f>HYPERLINK("http://instagram.com/npcfirstcallout")</f>
        <v>http://instagram.com/npcfirstcallout</v>
      </c>
      <c r="Q3901">
        <v>2374</v>
      </c>
      <c r="R3901" t="s">
        <v>60</v>
      </c>
      <c r="W3901">
        <v>47</v>
      </c>
      <c r="X3901">
        <v>47</v>
      </c>
      <c r="AE3901">
        <v>0</v>
      </c>
      <c r="AG3901">
        <v>276</v>
      </c>
      <c r="AI3901" t="s">
        <v>52</v>
      </c>
      <c r="AJ3901" t="s">
        <v>12076</v>
      </c>
      <c r="AK3901" t="s">
        <v>12077</v>
      </c>
      <c r="AL3901" t="str">
        <f>HYPERLINK("https://www.instagram.com/p/BzDNQvgDBdv/media/?size=l")</f>
        <v>https://www.instagram.com/p/BzDNQvgDBdv/media/?size=l</v>
      </c>
      <c r="AM3901" t="s">
        <v>52</v>
      </c>
      <c r="AN3901" t="s">
        <v>53</v>
      </c>
    </row>
    <row r="3902" spans="1:40">
      <c r="A3902" t="s">
        <v>8081</v>
      </c>
      <c r="B3902" t="s">
        <v>12078</v>
      </c>
      <c r="C3902" t="s">
        <v>12079</v>
      </c>
      <c r="D3902" t="s">
        <v>52</v>
      </c>
      <c r="E3902" t="s">
        <v>12080</v>
      </c>
      <c r="F3902" t="s">
        <v>45</v>
      </c>
      <c r="G3902" t="str">
        <f>HYPERLINK("https://twitter.com/74293367/status/1142752197643554816")</f>
        <v>https://twitter.com/74293367/status/1142752197643554816</v>
      </c>
      <c r="H3902" t="s">
        <v>46</v>
      </c>
      <c r="I3902" t="s">
        <v>12081</v>
      </c>
      <c r="J3902" t="str">
        <f>HYPERLINK("http://twitter.com/trixie6892003")</f>
        <v>http://twitter.com/trixie6892003</v>
      </c>
      <c r="K3902">
        <v>278</v>
      </c>
      <c r="L3902" t="s">
        <v>58</v>
      </c>
      <c r="N3902" t="s">
        <v>65</v>
      </c>
      <c r="R3902" t="s">
        <v>60</v>
      </c>
      <c r="S3902" t="s">
        <v>51</v>
      </c>
      <c r="T3902" t="s">
        <v>137</v>
      </c>
      <c r="U3902" t="s">
        <v>9245</v>
      </c>
      <c r="W3902">
        <v>0</v>
      </c>
      <c r="X3902">
        <v>0</v>
      </c>
      <c r="AE3902">
        <v>0</v>
      </c>
      <c r="AF3902">
        <v>0</v>
      </c>
      <c r="AM3902" t="s">
        <v>52</v>
      </c>
      <c r="AN3902" t="s">
        <v>53</v>
      </c>
    </row>
    <row r="3903" spans="1:40">
      <c r="A3903" t="s">
        <v>8081</v>
      </c>
      <c r="B3903" t="s">
        <v>6853</v>
      </c>
      <c r="C3903" t="s">
        <v>12082</v>
      </c>
      <c r="D3903" t="s">
        <v>52</v>
      </c>
      <c r="E3903" t="s">
        <v>7615</v>
      </c>
      <c r="F3903" t="s">
        <v>71</v>
      </c>
      <c r="G3903" t="str">
        <f>HYPERLINK("https://twitter.com/1219171122/status/1142751790724722688")</f>
        <v>https://twitter.com/1219171122/status/1142751790724722688</v>
      </c>
      <c r="H3903" t="s">
        <v>46</v>
      </c>
      <c r="I3903" t="s">
        <v>12083</v>
      </c>
      <c r="J3903" t="str">
        <f>HYPERLINK("http://twitter.com/Pexx_Dance")</f>
        <v>http://twitter.com/Pexx_Dance</v>
      </c>
      <c r="K3903">
        <v>1841</v>
      </c>
      <c r="N3903" t="s">
        <v>65</v>
      </c>
      <c r="R3903" t="s">
        <v>60</v>
      </c>
      <c r="S3903" t="s">
        <v>1071</v>
      </c>
      <c r="T3903" t="s">
        <v>1072</v>
      </c>
      <c r="U3903" t="s">
        <v>1073</v>
      </c>
      <c r="W3903">
        <v>0</v>
      </c>
      <c r="X3903">
        <v>0</v>
      </c>
      <c r="AE3903">
        <v>0</v>
      </c>
      <c r="AF3903">
        <v>0</v>
      </c>
      <c r="AI3903" t="s">
        <v>108</v>
      </c>
      <c r="AJ3903" t="s">
        <v>52</v>
      </c>
      <c r="AK3903" t="s">
        <v>52</v>
      </c>
      <c r="AL3903" t="str">
        <f>HYPERLINK("https://pbs.twimg.com/media/D9sAXHUX4AA6vJs.jpg")</f>
        <v>https://pbs.twimg.com/media/D9sAXHUX4AA6vJs.jpg</v>
      </c>
      <c r="AM3903" t="s">
        <v>52</v>
      </c>
      <c r="AN3903" t="s">
        <v>53</v>
      </c>
    </row>
    <row r="3904" spans="1:40">
      <c r="A3904" t="s">
        <v>8081</v>
      </c>
      <c r="B3904" t="s">
        <v>12084</v>
      </c>
      <c r="C3904" t="s">
        <v>12085</v>
      </c>
      <c r="D3904" t="s">
        <v>52</v>
      </c>
      <c r="E3904" t="s">
        <v>7615</v>
      </c>
      <c r="F3904" t="s">
        <v>71</v>
      </c>
      <c r="G3904" t="str">
        <f>HYPERLINK("https://twitter.com/863424788907388928/status/1142751435773415424")</f>
        <v>https://twitter.com/863424788907388928/status/1142751435773415424</v>
      </c>
      <c r="H3904" t="s">
        <v>46</v>
      </c>
      <c r="I3904" t="s">
        <v>12086</v>
      </c>
      <c r="J3904" t="str">
        <f>HYPERLINK("http://twitter.com/ruth_tangi")</f>
        <v>http://twitter.com/ruth_tangi</v>
      </c>
      <c r="K3904">
        <v>1047</v>
      </c>
      <c r="N3904" t="s">
        <v>65</v>
      </c>
      <c r="R3904" t="s">
        <v>60</v>
      </c>
      <c r="S3904" t="s">
        <v>7641</v>
      </c>
      <c r="W3904">
        <v>0</v>
      </c>
      <c r="X3904">
        <v>0</v>
      </c>
      <c r="AE3904">
        <v>0</v>
      </c>
      <c r="AF3904">
        <v>0</v>
      </c>
      <c r="AI3904" t="s">
        <v>108</v>
      </c>
      <c r="AJ3904" t="s">
        <v>52</v>
      </c>
      <c r="AK3904" t="s">
        <v>52</v>
      </c>
      <c r="AL3904" t="str">
        <f>HYPERLINK("https://pbs.twimg.com/media/D9sAXHUX4AA6vJs.jpg")</f>
        <v>https://pbs.twimg.com/media/D9sAXHUX4AA6vJs.jpg</v>
      </c>
      <c r="AM3904" t="s">
        <v>52</v>
      </c>
      <c r="AN3904" t="s">
        <v>53</v>
      </c>
    </row>
    <row r="3905" spans="1:40">
      <c r="A3905" t="s">
        <v>8081</v>
      </c>
      <c r="B3905" t="s">
        <v>1050</v>
      </c>
      <c r="C3905" t="s">
        <v>12087</v>
      </c>
      <c r="D3905" t="s">
        <v>52</v>
      </c>
      <c r="E3905" t="s">
        <v>3749</v>
      </c>
      <c r="F3905" t="s">
        <v>71</v>
      </c>
      <c r="G3905" t="str">
        <f>HYPERLINK("https://twitter.com/299795392/status/1142751190469545984")</f>
        <v>https://twitter.com/299795392/status/1142751190469545984</v>
      </c>
      <c r="H3905" t="s">
        <v>46</v>
      </c>
      <c r="I3905" t="s">
        <v>12088</v>
      </c>
      <c r="J3905" t="str">
        <f>HYPERLINK("http://twitter.com/iAm_SharonB")</f>
        <v>http://twitter.com/iAm_SharonB</v>
      </c>
      <c r="K3905">
        <v>1998</v>
      </c>
      <c r="N3905" t="s">
        <v>65</v>
      </c>
      <c r="R3905" t="s">
        <v>60</v>
      </c>
      <c r="S3905" t="s">
        <v>1071</v>
      </c>
      <c r="T3905" t="s">
        <v>1072</v>
      </c>
      <c r="U3905" t="s">
        <v>1295</v>
      </c>
      <c r="W3905">
        <v>0</v>
      </c>
      <c r="X3905">
        <v>0</v>
      </c>
      <c r="AE3905">
        <v>0</v>
      </c>
      <c r="AF3905">
        <v>0</v>
      </c>
      <c r="AI3905" t="s">
        <v>108</v>
      </c>
      <c r="AJ3905" t="s">
        <v>52</v>
      </c>
      <c r="AK3905" t="s">
        <v>52</v>
      </c>
      <c r="AL3905" t="str">
        <f>HYPERLINK("https://pbs.twimg.com/media/D9sAXHUX4AA6vJs.jpg")</f>
        <v>https://pbs.twimg.com/media/D9sAXHUX4AA6vJs.jpg</v>
      </c>
      <c r="AM3905" t="s">
        <v>52</v>
      </c>
      <c r="AN3905" t="s">
        <v>53</v>
      </c>
    </row>
    <row r="3906" spans="1:40">
      <c r="A3906" t="s">
        <v>8081</v>
      </c>
      <c r="B3906" t="s">
        <v>1054</v>
      </c>
      <c r="C3906" t="s">
        <v>12089</v>
      </c>
      <c r="D3906" t="s">
        <v>52</v>
      </c>
      <c r="E3906" t="s">
        <v>12090</v>
      </c>
      <c r="F3906" t="s">
        <v>131</v>
      </c>
      <c r="G3906" t="str">
        <f>HYPERLINK("https://twitter.com/1116464085569290240/status/1142751105023119360")</f>
        <v>https://twitter.com/1116464085569290240/status/1142751105023119360</v>
      </c>
      <c r="H3906" t="s">
        <v>46</v>
      </c>
      <c r="I3906" t="s">
        <v>12091</v>
      </c>
      <c r="J3906" t="str">
        <f>HYPERLINK("http://twitter.com/JadenJo80059686")</f>
        <v>http://twitter.com/JadenJo80059686</v>
      </c>
      <c r="K3906">
        <v>41</v>
      </c>
      <c r="N3906" t="s">
        <v>65</v>
      </c>
      <c r="R3906" t="s">
        <v>60</v>
      </c>
      <c r="S3906" t="s">
        <v>51</v>
      </c>
      <c r="T3906" t="s">
        <v>490</v>
      </c>
      <c r="W3906">
        <v>0</v>
      </c>
      <c r="X3906">
        <v>0</v>
      </c>
      <c r="AE3906">
        <v>0</v>
      </c>
      <c r="AM3906" t="s">
        <v>52</v>
      </c>
      <c r="AN3906" t="s">
        <v>53</v>
      </c>
    </row>
    <row r="3907" spans="1:40">
      <c r="A3907" t="s">
        <v>8081</v>
      </c>
      <c r="B3907" t="s">
        <v>6885</v>
      </c>
      <c r="C3907" t="s">
        <v>12092</v>
      </c>
      <c r="D3907" t="s">
        <v>52</v>
      </c>
      <c r="E3907" t="s">
        <v>3749</v>
      </c>
      <c r="F3907" t="s">
        <v>71</v>
      </c>
      <c r="G3907" t="str">
        <f>HYPERLINK("https://twitter.com/798998762022522880/status/1142750033839886336")</f>
        <v>https://twitter.com/798998762022522880/status/1142750033839886336</v>
      </c>
      <c r="H3907" t="s">
        <v>46</v>
      </c>
      <c r="I3907" t="s">
        <v>12093</v>
      </c>
      <c r="J3907" t="str">
        <f>HYPERLINK("http://twitter.com/SquidicuIous")</f>
        <v>http://twitter.com/SquidicuIous</v>
      </c>
      <c r="K3907">
        <v>170</v>
      </c>
      <c r="N3907" t="s">
        <v>65</v>
      </c>
      <c r="R3907" t="s">
        <v>60</v>
      </c>
      <c r="W3907">
        <v>0</v>
      </c>
      <c r="X3907">
        <v>0</v>
      </c>
      <c r="AE3907">
        <v>0</v>
      </c>
      <c r="AF3907">
        <v>0</v>
      </c>
      <c r="AI3907" t="s">
        <v>108</v>
      </c>
      <c r="AJ3907" t="s">
        <v>52</v>
      </c>
      <c r="AK3907" t="s">
        <v>52</v>
      </c>
      <c r="AL3907" t="str">
        <f>HYPERLINK("https://pbs.twimg.com/media/D9sAXHUX4AA6vJs.jpg")</f>
        <v>https://pbs.twimg.com/media/D9sAXHUX4AA6vJs.jpg</v>
      </c>
      <c r="AM3907" t="s">
        <v>52</v>
      </c>
      <c r="AN3907" t="s">
        <v>53</v>
      </c>
    </row>
    <row r="3908" spans="1:40">
      <c r="A3908" t="s">
        <v>8081</v>
      </c>
      <c r="B3908" t="s">
        <v>6885</v>
      </c>
      <c r="C3908" t="s">
        <v>12085</v>
      </c>
      <c r="D3908" t="s">
        <v>52</v>
      </c>
      <c r="E3908" t="s">
        <v>12094</v>
      </c>
      <c r="F3908" t="s">
        <v>45</v>
      </c>
      <c r="G3908" t="str">
        <f>HYPERLINK("https://twitter.com/3432091575/status/1142749950121533441")</f>
        <v>https://twitter.com/3432091575/status/1142749950121533441</v>
      </c>
      <c r="H3908" t="s">
        <v>91</v>
      </c>
      <c r="I3908" t="s">
        <v>12095</v>
      </c>
      <c r="J3908" t="str">
        <f>HYPERLINK("http://twitter.com/ryan_carmicle")</f>
        <v>http://twitter.com/ryan_carmicle</v>
      </c>
      <c r="K3908">
        <v>47</v>
      </c>
      <c r="L3908" t="s">
        <v>48</v>
      </c>
      <c r="N3908" t="s">
        <v>65</v>
      </c>
      <c r="R3908" t="s">
        <v>60</v>
      </c>
      <c r="S3908" t="s">
        <v>51</v>
      </c>
      <c r="T3908" t="s">
        <v>3312</v>
      </c>
      <c r="U3908" t="s">
        <v>12096</v>
      </c>
      <c r="W3908">
        <v>1</v>
      </c>
      <c r="X3908">
        <v>1</v>
      </c>
      <c r="AE3908">
        <v>0</v>
      </c>
      <c r="AF3908">
        <v>0</v>
      </c>
      <c r="AM3908" t="s">
        <v>52</v>
      </c>
      <c r="AN3908" t="s">
        <v>53</v>
      </c>
    </row>
    <row r="3909" spans="1:40">
      <c r="A3909" t="s">
        <v>8081</v>
      </c>
      <c r="B3909" t="s">
        <v>6885</v>
      </c>
      <c r="C3909" t="s">
        <v>12097</v>
      </c>
      <c r="D3909" t="s">
        <v>52</v>
      </c>
      <c r="E3909" t="s">
        <v>3749</v>
      </c>
      <c r="F3909" t="s">
        <v>71</v>
      </c>
      <c r="G3909" t="str">
        <f>HYPERLINK("https://twitter.com/849718230742556672/status/1142749902453313537")</f>
        <v>https://twitter.com/849718230742556672/status/1142749902453313537</v>
      </c>
      <c r="H3909" t="s">
        <v>46</v>
      </c>
      <c r="I3909" t="s">
        <v>12098</v>
      </c>
      <c r="J3909" t="str">
        <f>HYPERLINK("http://twitter.com/rudyp02")</f>
        <v>http://twitter.com/rudyp02</v>
      </c>
      <c r="K3909">
        <v>528</v>
      </c>
      <c r="L3909" t="s">
        <v>48</v>
      </c>
      <c r="N3909" t="s">
        <v>65</v>
      </c>
      <c r="R3909" t="s">
        <v>60</v>
      </c>
      <c r="S3909" t="s">
        <v>51</v>
      </c>
      <c r="T3909" t="s">
        <v>152</v>
      </c>
      <c r="W3909">
        <v>0</v>
      </c>
      <c r="X3909">
        <v>0</v>
      </c>
      <c r="AE3909">
        <v>0</v>
      </c>
      <c r="AF3909">
        <v>0</v>
      </c>
      <c r="AI3909" t="s">
        <v>108</v>
      </c>
      <c r="AJ3909" t="s">
        <v>52</v>
      </c>
      <c r="AK3909" t="s">
        <v>52</v>
      </c>
      <c r="AL3909" t="str">
        <f>HYPERLINK("https://pbs.twimg.com/media/D9sAXHUX4AA6vJs.jpg")</f>
        <v>https://pbs.twimg.com/media/D9sAXHUX4AA6vJs.jpg</v>
      </c>
      <c r="AM3909" t="s">
        <v>52</v>
      </c>
      <c r="AN3909" t="s">
        <v>53</v>
      </c>
    </row>
    <row r="3910" spans="1:40">
      <c r="A3910" t="s">
        <v>8081</v>
      </c>
      <c r="B3910" t="s">
        <v>12099</v>
      </c>
      <c r="C3910" t="s">
        <v>12100</v>
      </c>
      <c r="D3910" t="s">
        <v>52</v>
      </c>
      <c r="E3910" t="s">
        <v>12101</v>
      </c>
      <c r="F3910" t="s">
        <v>71</v>
      </c>
      <c r="G3910" t="str">
        <f>HYPERLINK("https://twitter.com/1099585556/status/1142749857800761344")</f>
        <v>https://twitter.com/1099585556/status/1142749857800761344</v>
      </c>
      <c r="H3910" t="s">
        <v>46</v>
      </c>
      <c r="I3910" t="s">
        <v>12102</v>
      </c>
      <c r="J3910" t="str">
        <f>HYPERLINK("http://twitter.com/mberg70651")</f>
        <v>http://twitter.com/mberg70651</v>
      </c>
      <c r="K3910">
        <v>4</v>
      </c>
      <c r="L3910" t="s">
        <v>48</v>
      </c>
      <c r="N3910" t="s">
        <v>65</v>
      </c>
      <c r="R3910" t="s">
        <v>60</v>
      </c>
      <c r="W3910">
        <v>0</v>
      </c>
      <c r="X3910">
        <v>0</v>
      </c>
      <c r="AE3910">
        <v>0</v>
      </c>
      <c r="AF3910">
        <v>0</v>
      </c>
      <c r="AI3910" t="s">
        <v>108</v>
      </c>
      <c r="AJ3910" t="s">
        <v>52</v>
      </c>
      <c r="AK3910" t="s">
        <v>52</v>
      </c>
      <c r="AL3910" t="str">
        <f>HYPERLINK("https://pbs.twimg.com/tweet_video_thumb/D9hvNNzXUAATAS3.jpg")</f>
        <v>https://pbs.twimg.com/tweet_video_thumb/D9hvNNzXUAATAS3.jpg</v>
      </c>
      <c r="AM3910" t="s">
        <v>52</v>
      </c>
      <c r="AN3910" t="s">
        <v>53</v>
      </c>
    </row>
    <row r="3911" spans="1:40">
      <c r="A3911" t="s">
        <v>8081</v>
      </c>
      <c r="B3911" t="s">
        <v>12099</v>
      </c>
      <c r="C3911" t="s">
        <v>12103</v>
      </c>
      <c r="D3911" t="s">
        <v>52</v>
      </c>
      <c r="E3911" t="s">
        <v>12104</v>
      </c>
      <c r="F3911" t="s">
        <v>71</v>
      </c>
      <c r="G3911" t="str">
        <f>HYPERLINK("https://twitter.com/2164413917/status/1142749744244150272")</f>
        <v>https://twitter.com/2164413917/status/1142749744244150272</v>
      </c>
      <c r="H3911" t="s">
        <v>46</v>
      </c>
      <c r="I3911" t="s">
        <v>12105</v>
      </c>
      <c r="J3911" t="str">
        <f>HYPERLINK("http://twitter.com/stufuza_")</f>
        <v>http://twitter.com/stufuza_</v>
      </c>
      <c r="K3911">
        <v>918</v>
      </c>
      <c r="N3911" t="s">
        <v>65</v>
      </c>
      <c r="R3911" t="s">
        <v>60</v>
      </c>
      <c r="S3911" t="s">
        <v>1071</v>
      </c>
      <c r="T3911" t="s">
        <v>1072</v>
      </c>
      <c r="U3911" t="s">
        <v>4982</v>
      </c>
      <c r="W3911">
        <v>0</v>
      </c>
      <c r="X3911">
        <v>0</v>
      </c>
      <c r="AE3911">
        <v>0</v>
      </c>
      <c r="AF3911">
        <v>0</v>
      </c>
      <c r="AI3911" t="s">
        <v>108</v>
      </c>
      <c r="AJ3911" t="s">
        <v>52</v>
      </c>
      <c r="AK3911" t="s">
        <v>52</v>
      </c>
      <c r="AL3911" t="str">
        <f>HYPERLINK("https://pbs.twimg.com/media/D9sAXHUX4AA6vJs.jpg")</f>
        <v>https://pbs.twimg.com/media/D9sAXHUX4AA6vJs.jpg</v>
      </c>
      <c r="AM3911" t="s">
        <v>52</v>
      </c>
      <c r="AN3911" t="s">
        <v>53</v>
      </c>
    </row>
    <row r="3912" spans="1:40">
      <c r="A3912" t="s">
        <v>8081</v>
      </c>
      <c r="B3912" t="s">
        <v>1058</v>
      </c>
      <c r="C3912" t="s">
        <v>12100</v>
      </c>
      <c r="D3912" t="s">
        <v>52</v>
      </c>
      <c r="E3912" t="s">
        <v>130</v>
      </c>
      <c r="F3912" t="s">
        <v>131</v>
      </c>
      <c r="G3912" t="str">
        <f>HYPERLINK("https://twitter.com/760206067/status/1142749472742608896")</f>
        <v>https://twitter.com/760206067/status/1142749472742608896</v>
      </c>
      <c r="H3912" t="s">
        <v>46</v>
      </c>
      <c r="I3912" t="s">
        <v>12106</v>
      </c>
      <c r="J3912" t="str">
        <f>HYPERLINK("http://twitter.com/widdlywoo")</f>
        <v>http://twitter.com/widdlywoo</v>
      </c>
      <c r="K3912">
        <v>51</v>
      </c>
      <c r="N3912" t="s">
        <v>65</v>
      </c>
      <c r="R3912" t="s">
        <v>60</v>
      </c>
      <c r="W3912">
        <v>0</v>
      </c>
      <c r="X3912">
        <v>0</v>
      </c>
      <c r="AE3912">
        <v>0</v>
      </c>
      <c r="AI3912" t="s">
        <v>108</v>
      </c>
      <c r="AJ3912" t="s">
        <v>52</v>
      </c>
      <c r="AK3912" t="s">
        <v>52</v>
      </c>
      <c r="AL3912" t="str">
        <f>HYPERLINK("https://pbs.twimg.com/media/D9XTkLWW4AAOYnJ.jpg")</f>
        <v>https://pbs.twimg.com/media/D9XTkLWW4AAOYnJ.jpg</v>
      </c>
      <c r="AM3912" t="s">
        <v>52</v>
      </c>
      <c r="AN3912" t="s">
        <v>53</v>
      </c>
    </row>
    <row r="3913" spans="1:40">
      <c r="A3913" t="s">
        <v>8081</v>
      </c>
      <c r="B3913" t="s">
        <v>6899</v>
      </c>
      <c r="C3913" t="s">
        <v>12107</v>
      </c>
      <c r="D3913" t="s">
        <v>52</v>
      </c>
      <c r="E3913" t="s">
        <v>12108</v>
      </c>
      <c r="F3913" t="s">
        <v>45</v>
      </c>
      <c r="G3913" t="str">
        <f>HYPERLINK("https://www.instagram.com/p/BzDLxNZItX7")</f>
        <v>https://www.instagram.com/p/BzDLxNZItX7</v>
      </c>
      <c r="H3913" t="s">
        <v>46</v>
      </c>
      <c r="I3913" t="s">
        <v>12109</v>
      </c>
      <c r="J3913" t="str">
        <f>HYPERLINK("http://instagram.com/_fitness_motivation_tips_")</f>
        <v>http://instagram.com/_fitness_motivation_tips_</v>
      </c>
      <c r="K3913">
        <v>24</v>
      </c>
      <c r="N3913" t="s">
        <v>59</v>
      </c>
      <c r="O3913" t="s">
        <v>12109</v>
      </c>
      <c r="P3913" t="str">
        <f>HYPERLINK("http://instagram.com/_fitness_motivation_tips_")</f>
        <v>http://instagram.com/_fitness_motivation_tips_</v>
      </c>
      <c r="Q3913">
        <v>24</v>
      </c>
      <c r="R3913" t="s">
        <v>60</v>
      </c>
      <c r="S3913" t="s">
        <v>1403</v>
      </c>
      <c r="T3913" t="s">
        <v>12110</v>
      </c>
      <c r="U3913" t="s">
        <v>12111</v>
      </c>
      <c r="W3913">
        <v>15</v>
      </c>
      <c r="X3913">
        <v>15</v>
      </c>
      <c r="AE3913">
        <v>3</v>
      </c>
      <c r="AI3913" t="s">
        <v>4681</v>
      </c>
      <c r="AJ3913" t="s">
        <v>12112</v>
      </c>
      <c r="AK3913" t="s">
        <v>52</v>
      </c>
      <c r="AL3913" t="str">
        <f>HYPERLINK("https://www.instagram.com/p/BzDLxNZItX7/media/?size=l")</f>
        <v>https://www.instagram.com/p/BzDLxNZItX7/media/?size=l</v>
      </c>
      <c r="AM3913" t="s">
        <v>52</v>
      </c>
      <c r="AN3913" t="s">
        <v>53</v>
      </c>
    </row>
    <row r="3914" spans="1:40">
      <c r="A3914" t="s">
        <v>8081</v>
      </c>
      <c r="B3914" t="s">
        <v>6899</v>
      </c>
      <c r="C3914" t="s">
        <v>12113</v>
      </c>
      <c r="D3914" t="s">
        <v>108</v>
      </c>
      <c r="E3914" t="s">
        <v>12114</v>
      </c>
      <c r="F3914" t="s">
        <v>45</v>
      </c>
      <c r="G3914" t="str">
        <f>HYPERLINK("https://www.youtube.com/watch?v=WXguzwg8E1M")</f>
        <v>https://www.youtube.com/watch?v=WXguzwg8E1M</v>
      </c>
      <c r="H3914" t="s">
        <v>46</v>
      </c>
      <c r="I3914" t="s">
        <v>12115</v>
      </c>
      <c r="J3914" t="str">
        <f>HYPERLINK("https://www.youtube.com/channel/UCQ4jGyJsKfSFMQ99VTouTLQ")</f>
        <v>https://www.youtube.com/channel/UCQ4jGyJsKfSFMQ99VTouTLQ</v>
      </c>
      <c r="K3914">
        <v>23</v>
      </c>
      <c r="N3914" t="s">
        <v>116</v>
      </c>
      <c r="O3914" t="s">
        <v>12115</v>
      </c>
      <c r="P3914" t="str">
        <f>HYPERLINK("https://www.youtube.com/channel/UCQ4jGyJsKfSFMQ99VTouTLQ")</f>
        <v>https://www.youtube.com/channel/UCQ4jGyJsKfSFMQ99VTouTLQ</v>
      </c>
      <c r="Q3914">
        <v>23</v>
      </c>
      <c r="R3914" t="s">
        <v>60</v>
      </c>
      <c r="W3914">
        <v>1</v>
      </c>
      <c r="X3914">
        <v>1</v>
      </c>
      <c r="AD3914">
        <v>0</v>
      </c>
      <c r="AE3914">
        <v>0</v>
      </c>
      <c r="AG3914">
        <v>2</v>
      </c>
      <c r="AI3914" t="s">
        <v>52</v>
      </c>
      <c r="AJ3914" t="s">
        <v>52</v>
      </c>
      <c r="AK3914" t="s">
        <v>52</v>
      </c>
      <c r="AL3914" t="str">
        <f>HYPERLINK("https://i.ytimg.com/vi/WXguzwg8E1M/maxresdefault.jpg")</f>
        <v>https://i.ytimg.com/vi/WXguzwg8E1M/maxresdefault.jpg</v>
      </c>
      <c r="AM3914" t="s">
        <v>52</v>
      </c>
      <c r="AN3914" t="s">
        <v>53</v>
      </c>
    </row>
    <row r="3915" spans="1:40">
      <c r="A3915" t="s">
        <v>8081</v>
      </c>
      <c r="B3915" t="s">
        <v>6902</v>
      </c>
      <c r="C3915" t="s">
        <v>12116</v>
      </c>
      <c r="D3915" t="s">
        <v>52</v>
      </c>
      <c r="E3915" t="s">
        <v>12117</v>
      </c>
      <c r="F3915" t="s">
        <v>71</v>
      </c>
      <c r="G3915" t="str">
        <f>HYPERLINK("https://twitter.com/189182904/status/1142748370236317696")</f>
        <v>https://twitter.com/189182904/status/1142748370236317696</v>
      </c>
      <c r="H3915" t="s">
        <v>46</v>
      </c>
      <c r="I3915" t="s">
        <v>12118</v>
      </c>
      <c r="J3915" t="str">
        <f>HYPERLINK("http://twitter.com/wizlutherking")</f>
        <v>http://twitter.com/wizlutherking</v>
      </c>
      <c r="K3915">
        <v>23908</v>
      </c>
      <c r="N3915" t="s">
        <v>65</v>
      </c>
      <c r="R3915" t="s">
        <v>60</v>
      </c>
      <c r="S3915" t="s">
        <v>1071</v>
      </c>
      <c r="T3915" t="s">
        <v>1072</v>
      </c>
      <c r="U3915" t="s">
        <v>1295</v>
      </c>
      <c r="W3915">
        <v>1</v>
      </c>
      <c r="X3915">
        <v>1</v>
      </c>
      <c r="AE3915">
        <v>0</v>
      </c>
      <c r="AF3915">
        <v>0</v>
      </c>
      <c r="AI3915" t="s">
        <v>108</v>
      </c>
      <c r="AJ3915" t="s">
        <v>52</v>
      </c>
      <c r="AK3915" t="s">
        <v>52</v>
      </c>
      <c r="AL3915" t="str">
        <f>HYPERLINK("https://pbs.twimg.com/media/D9sAXHUX4AA6vJs.jpg")</f>
        <v>https://pbs.twimg.com/media/D9sAXHUX4AA6vJs.jpg</v>
      </c>
      <c r="AM3915" t="s">
        <v>52</v>
      </c>
      <c r="AN3915" t="s">
        <v>53</v>
      </c>
    </row>
    <row r="3916" spans="1:40">
      <c r="A3916" t="s">
        <v>8081</v>
      </c>
      <c r="B3916" t="s">
        <v>6902</v>
      </c>
      <c r="C3916" t="s">
        <v>12119</v>
      </c>
      <c r="D3916" t="s">
        <v>52</v>
      </c>
      <c r="E3916" t="s">
        <v>12120</v>
      </c>
      <c r="F3916" t="s">
        <v>71</v>
      </c>
      <c r="G3916" t="str">
        <f>HYPERLINK("https://twitter.com/236141760/status/1142748175972950016")</f>
        <v>https://twitter.com/236141760/status/1142748175972950016</v>
      </c>
      <c r="H3916" t="s">
        <v>215</v>
      </c>
      <c r="I3916" t="s">
        <v>12121</v>
      </c>
      <c r="J3916" t="str">
        <f>HYPERLINK("http://twitter.com/RaegenOlivia_")</f>
        <v>http://twitter.com/RaegenOlivia_</v>
      </c>
      <c r="K3916">
        <v>1152</v>
      </c>
      <c r="N3916" t="s">
        <v>65</v>
      </c>
      <c r="R3916" t="s">
        <v>60</v>
      </c>
      <c r="S3916" t="s">
        <v>51</v>
      </c>
      <c r="T3916" t="s">
        <v>160</v>
      </c>
      <c r="U3916" t="s">
        <v>2658</v>
      </c>
      <c r="W3916">
        <v>0</v>
      </c>
      <c r="X3916">
        <v>0</v>
      </c>
      <c r="AE3916">
        <v>0</v>
      </c>
      <c r="AF3916">
        <v>0</v>
      </c>
      <c r="AM3916" t="s">
        <v>52</v>
      </c>
      <c r="AN3916" t="s">
        <v>53</v>
      </c>
    </row>
    <row r="3917" spans="1:40">
      <c r="A3917" t="s">
        <v>8081</v>
      </c>
      <c r="B3917" t="s">
        <v>6917</v>
      </c>
      <c r="C3917" t="s">
        <v>12116</v>
      </c>
      <c r="D3917" t="s">
        <v>52</v>
      </c>
      <c r="E3917" t="s">
        <v>12122</v>
      </c>
      <c r="F3917" t="s">
        <v>45</v>
      </c>
      <c r="G3917" t="str">
        <f>HYPERLINK("https://twitter.com/727204731949604864/status/1142747534970015745")</f>
        <v>https://twitter.com/727204731949604864/status/1142747534970015745</v>
      </c>
      <c r="H3917" t="s">
        <v>46</v>
      </c>
      <c r="I3917" t="s">
        <v>1327</v>
      </c>
      <c r="J3917" t="str">
        <f>HYPERLINK("http://twitter.com/Poo2D2")</f>
        <v>http://twitter.com/Poo2D2</v>
      </c>
      <c r="K3917">
        <v>51</v>
      </c>
      <c r="L3917" t="s">
        <v>48</v>
      </c>
      <c r="N3917" t="s">
        <v>65</v>
      </c>
      <c r="R3917" t="s">
        <v>60</v>
      </c>
      <c r="S3917" t="s">
        <v>51</v>
      </c>
      <c r="T3917" t="s">
        <v>678</v>
      </c>
      <c r="U3917" t="s">
        <v>1328</v>
      </c>
      <c r="W3917">
        <v>0</v>
      </c>
      <c r="X3917">
        <v>0</v>
      </c>
      <c r="AE3917">
        <v>0</v>
      </c>
      <c r="AF3917">
        <v>0</v>
      </c>
      <c r="AM3917" t="s">
        <v>52</v>
      </c>
      <c r="AN3917" t="s">
        <v>53</v>
      </c>
    </row>
    <row r="3918" spans="1:40">
      <c r="A3918" t="s">
        <v>8081</v>
      </c>
      <c r="B3918" t="s">
        <v>6917</v>
      </c>
      <c r="C3918" t="s">
        <v>12123</v>
      </c>
      <c r="D3918" t="s">
        <v>52</v>
      </c>
      <c r="E3918" t="s">
        <v>12124</v>
      </c>
      <c r="F3918" t="s">
        <v>95</v>
      </c>
      <c r="G3918" t="str">
        <f>HYPERLINK("https://twitter.com/1095332038565978112/status/1142747474756624386")</f>
        <v>https://twitter.com/1095332038565978112/status/1142747474756624386</v>
      </c>
      <c r="H3918" t="s">
        <v>46</v>
      </c>
      <c r="I3918" t="s">
        <v>12125</v>
      </c>
      <c r="J3918" t="str">
        <f>HYPERLINK("http://twitter.com/ReggaeWolves")</f>
        <v>http://twitter.com/ReggaeWolves</v>
      </c>
      <c r="K3918">
        <v>553</v>
      </c>
      <c r="N3918" t="s">
        <v>65</v>
      </c>
      <c r="R3918" t="s">
        <v>60</v>
      </c>
      <c r="S3918" t="s">
        <v>97</v>
      </c>
      <c r="T3918" t="s">
        <v>177</v>
      </c>
      <c r="U3918" t="s">
        <v>1798</v>
      </c>
      <c r="W3918">
        <v>0</v>
      </c>
      <c r="X3918">
        <v>0</v>
      </c>
      <c r="AE3918">
        <v>0</v>
      </c>
      <c r="AF3918">
        <v>0</v>
      </c>
      <c r="AM3918" t="s">
        <v>52</v>
      </c>
      <c r="AN3918" t="s">
        <v>53</v>
      </c>
    </row>
    <row r="3919" spans="1:40">
      <c r="A3919" t="s">
        <v>8081</v>
      </c>
      <c r="B3919" t="s">
        <v>6920</v>
      </c>
      <c r="C3919" t="s">
        <v>12126</v>
      </c>
      <c r="D3919" t="s">
        <v>52</v>
      </c>
      <c r="E3919" t="s">
        <v>3749</v>
      </c>
      <c r="F3919" t="s">
        <v>71</v>
      </c>
      <c r="G3919" t="str">
        <f>HYPERLINK("https://twitter.com/1226436661/status/1142747274772131840")</f>
        <v>https://twitter.com/1226436661/status/1142747274772131840</v>
      </c>
      <c r="H3919" t="s">
        <v>46</v>
      </c>
      <c r="I3919" t="s">
        <v>12127</v>
      </c>
      <c r="J3919" t="str">
        <f>HYPERLINK("http://twitter.com/Hanzosager")</f>
        <v>http://twitter.com/Hanzosager</v>
      </c>
      <c r="K3919">
        <v>320</v>
      </c>
      <c r="N3919" t="s">
        <v>65</v>
      </c>
      <c r="R3919" t="s">
        <v>60</v>
      </c>
      <c r="W3919">
        <v>0</v>
      </c>
      <c r="X3919">
        <v>0</v>
      </c>
      <c r="AE3919">
        <v>0</v>
      </c>
      <c r="AF3919">
        <v>0</v>
      </c>
      <c r="AI3919" t="s">
        <v>108</v>
      </c>
      <c r="AJ3919" t="s">
        <v>52</v>
      </c>
      <c r="AK3919" t="s">
        <v>52</v>
      </c>
      <c r="AL3919" t="str">
        <f>HYPERLINK("https://pbs.twimg.com/media/D9sAXHUX4AA6vJs.jpg")</f>
        <v>https://pbs.twimg.com/media/D9sAXHUX4AA6vJs.jpg</v>
      </c>
      <c r="AM3919" t="s">
        <v>52</v>
      </c>
      <c r="AN3919" t="s">
        <v>53</v>
      </c>
    </row>
    <row r="3920" spans="1:40">
      <c r="A3920" t="s">
        <v>8081</v>
      </c>
      <c r="B3920" t="s">
        <v>6920</v>
      </c>
      <c r="C3920" t="s">
        <v>12128</v>
      </c>
      <c r="D3920" t="s">
        <v>52</v>
      </c>
      <c r="E3920" t="s">
        <v>3749</v>
      </c>
      <c r="F3920" t="s">
        <v>71</v>
      </c>
      <c r="G3920" t="str">
        <f>HYPERLINK("https://twitter.com/1911405374/status/1142747256308883456")</f>
        <v>https://twitter.com/1911405374/status/1142747256308883456</v>
      </c>
      <c r="H3920" t="s">
        <v>46</v>
      </c>
      <c r="I3920" t="s">
        <v>12129</v>
      </c>
      <c r="J3920" t="str">
        <f>HYPERLINK("http://twitter.com/King_Auzzie")</f>
        <v>http://twitter.com/King_Auzzie</v>
      </c>
      <c r="K3920">
        <v>4044</v>
      </c>
      <c r="N3920" t="s">
        <v>65</v>
      </c>
      <c r="R3920" t="s">
        <v>60</v>
      </c>
      <c r="S3920" t="s">
        <v>1071</v>
      </c>
      <c r="T3920" t="s">
        <v>1072</v>
      </c>
      <c r="U3920" t="s">
        <v>1073</v>
      </c>
      <c r="W3920">
        <v>0</v>
      </c>
      <c r="X3920">
        <v>0</v>
      </c>
      <c r="AE3920">
        <v>0</v>
      </c>
      <c r="AF3920">
        <v>0</v>
      </c>
      <c r="AI3920" t="s">
        <v>108</v>
      </c>
      <c r="AJ3920" t="s">
        <v>52</v>
      </c>
      <c r="AK3920" t="s">
        <v>52</v>
      </c>
      <c r="AL3920" t="str">
        <f>HYPERLINK("https://pbs.twimg.com/media/D9sAXHUX4AA6vJs.jpg")</f>
        <v>https://pbs.twimg.com/media/D9sAXHUX4AA6vJs.jpg</v>
      </c>
      <c r="AM3920" t="s">
        <v>52</v>
      </c>
      <c r="AN3920" t="s">
        <v>53</v>
      </c>
    </row>
    <row r="3921" spans="1:40">
      <c r="A3921" t="s">
        <v>8081</v>
      </c>
      <c r="B3921" t="s">
        <v>6924</v>
      </c>
      <c r="C3921" t="s">
        <v>12097</v>
      </c>
      <c r="D3921" t="s">
        <v>1880</v>
      </c>
      <c r="E3921" t="s">
        <v>12130</v>
      </c>
      <c r="F3921" t="s">
        <v>95</v>
      </c>
      <c r="G3921" t="str">
        <f>HYPERLINK("https://www.brandeating.com/2019/06/kfc-set-to-launch-new-cheetos-sandwich-on-july-1-2019.html#comment-4512873894")</f>
        <v>https://www.brandeating.com/2019/06/kfc-set-to-launch-new-cheetos-sandwich-on-july-1-2019.html#comment-4512873894</v>
      </c>
      <c r="H3921" t="s">
        <v>46</v>
      </c>
      <c r="I3921" t="s">
        <v>12131</v>
      </c>
      <c r="J3921" t="str">
        <f>HYPERLINK("https://disqus.com/by/bubbsy/")</f>
        <v>https://disqus.com/by/bubbsy/</v>
      </c>
      <c r="K3921">
        <v>0</v>
      </c>
      <c r="N3921" t="s">
        <v>1883</v>
      </c>
      <c r="O3921" t="s">
        <v>1884</v>
      </c>
      <c r="P3921" t="str">
        <f>HYPERLINK("https://disqus.com/home/forum/brandeating/")</f>
        <v>https://disqus.com/home/forum/brandeating/</v>
      </c>
      <c r="R3921" t="s">
        <v>50</v>
      </c>
      <c r="W3921">
        <v>0</v>
      </c>
      <c r="X3921">
        <v>0</v>
      </c>
      <c r="AM3921" t="s">
        <v>52</v>
      </c>
      <c r="AN3921" t="s">
        <v>53</v>
      </c>
    </row>
    <row r="3922" spans="1:40">
      <c r="A3922" t="s">
        <v>8081</v>
      </c>
      <c r="B3922" t="s">
        <v>6933</v>
      </c>
      <c r="C3922" t="s">
        <v>10933</v>
      </c>
      <c r="D3922" t="s">
        <v>12132</v>
      </c>
      <c r="E3922" t="s">
        <v>12133</v>
      </c>
      <c r="F3922" t="s">
        <v>45</v>
      </c>
      <c r="G3922" t="str">
        <f>HYPERLINK("https://techknowbits.com/2019/06/23/riverview-trust-co-purchases-shares-of-5111-pepsico-inc-pep.html")</f>
        <v>https://techknowbits.com/2019/06/23/riverview-trust-co-purchases-shares-of-5111-pepsico-inc-pep.html</v>
      </c>
      <c r="H3922" t="s">
        <v>91</v>
      </c>
      <c r="I3922" t="s">
        <v>12134</v>
      </c>
      <c r="J3922" t="str">
        <f>HYPERLINK("https://techknowbits.com/2019/06/23/riverview-trust-co-purchases-shares-of-5111-pepsico-inc-pep.html")</f>
        <v>https://techknowbits.com/2019/06/23/riverview-trust-co-purchases-shares-of-5111-pepsico-inc-pep.html</v>
      </c>
      <c r="L3922" t="s">
        <v>58</v>
      </c>
      <c r="N3922" t="s">
        <v>49</v>
      </c>
      <c r="R3922" t="s">
        <v>50</v>
      </c>
      <c r="S3922" t="s">
        <v>51</v>
      </c>
      <c r="AM3922" t="s">
        <v>52</v>
      </c>
      <c r="AN3922" t="s">
        <v>53</v>
      </c>
    </row>
    <row r="3923" spans="1:40">
      <c r="A3923" t="s">
        <v>8081</v>
      </c>
      <c r="B3923" t="s">
        <v>6933</v>
      </c>
      <c r="C3923" t="s">
        <v>10933</v>
      </c>
      <c r="D3923" t="s">
        <v>12135</v>
      </c>
      <c r="E3923" t="s">
        <v>12136</v>
      </c>
      <c r="F3923" t="s">
        <v>45</v>
      </c>
      <c r="G3923" t="str">
        <f>HYPERLINK("https://mayfieldrecorder.com/2019/06/23/pepsico-inc-pep-position-increased-by-mn-services-vermogensbeheer-b-v.html")</f>
        <v>https://mayfieldrecorder.com/2019/06/23/pepsico-inc-pep-position-increased-by-mn-services-vermogensbeheer-b-v.html</v>
      </c>
      <c r="H3923" t="s">
        <v>46</v>
      </c>
      <c r="I3923" t="s">
        <v>5762</v>
      </c>
      <c r="J3923" t="str">
        <f>HYPERLINK("https://mayfieldrecorder.com/2019/06/23/pepsico-inc-pep-position-increased-by-mn-services-vermogensbeheer-b-v.html")</f>
        <v>https://mayfieldrecorder.com/2019/06/23/pepsico-inc-pep-position-increased-by-mn-services-vermogensbeheer-b-v.html</v>
      </c>
      <c r="L3923" t="s">
        <v>58</v>
      </c>
      <c r="N3923" t="s">
        <v>356</v>
      </c>
      <c r="R3923" t="s">
        <v>357</v>
      </c>
      <c r="S3923" t="s">
        <v>51</v>
      </c>
      <c r="AM3923" t="s">
        <v>52</v>
      </c>
      <c r="AN3923" t="s">
        <v>53</v>
      </c>
    </row>
    <row r="3924" spans="1:40">
      <c r="A3924" t="s">
        <v>8081</v>
      </c>
      <c r="B3924" t="s">
        <v>1096</v>
      </c>
      <c r="C3924" t="s">
        <v>12137</v>
      </c>
      <c r="D3924" t="s">
        <v>52</v>
      </c>
      <c r="E3924" t="s">
        <v>7615</v>
      </c>
      <c r="F3924" t="s">
        <v>71</v>
      </c>
      <c r="G3924" t="str">
        <f>HYPERLINK("https://twitter.com/1244297456/status/1142744806755643393")</f>
        <v>https://twitter.com/1244297456/status/1142744806755643393</v>
      </c>
      <c r="H3924" t="s">
        <v>46</v>
      </c>
      <c r="I3924" t="s">
        <v>12138</v>
      </c>
      <c r="J3924" t="str">
        <f>HYPERLINK("http://twitter.com/ngingusbonga")</f>
        <v>http://twitter.com/ngingusbonga</v>
      </c>
      <c r="K3924">
        <v>1926</v>
      </c>
      <c r="N3924" t="s">
        <v>65</v>
      </c>
      <c r="R3924" t="s">
        <v>60</v>
      </c>
      <c r="W3924">
        <v>0</v>
      </c>
      <c r="X3924">
        <v>0</v>
      </c>
      <c r="AE3924">
        <v>0</v>
      </c>
      <c r="AF3924">
        <v>0</v>
      </c>
      <c r="AI3924" t="s">
        <v>108</v>
      </c>
      <c r="AJ3924" t="s">
        <v>52</v>
      </c>
      <c r="AK3924" t="s">
        <v>52</v>
      </c>
      <c r="AL3924" t="str">
        <f>HYPERLINK("https://pbs.twimg.com/media/D9sAXHUX4AA6vJs.jpg")</f>
        <v>https://pbs.twimg.com/media/D9sAXHUX4AA6vJs.jpg</v>
      </c>
      <c r="AM3924" t="s">
        <v>52</v>
      </c>
      <c r="AN3924" t="s">
        <v>53</v>
      </c>
    </row>
    <row r="3925" spans="1:40">
      <c r="A3925" t="s">
        <v>8081</v>
      </c>
      <c r="B3925" t="s">
        <v>12139</v>
      </c>
      <c r="C3925" t="s">
        <v>12140</v>
      </c>
      <c r="D3925" t="s">
        <v>52</v>
      </c>
      <c r="E3925" t="s">
        <v>12141</v>
      </c>
      <c r="F3925" t="s">
        <v>71</v>
      </c>
      <c r="G3925" t="str">
        <f>HYPERLINK("https://twitter.com/2969284181/status/1142744186996891648")</f>
        <v>https://twitter.com/2969284181/status/1142744186996891648</v>
      </c>
      <c r="H3925" t="s">
        <v>46</v>
      </c>
      <c r="I3925" t="s">
        <v>12142</v>
      </c>
      <c r="J3925" t="str">
        <f>HYPERLINK("http://twitter.com/ChandlerJSchwny")</f>
        <v>http://twitter.com/ChandlerJSchwny</v>
      </c>
      <c r="K3925">
        <v>225</v>
      </c>
      <c r="N3925" t="s">
        <v>65</v>
      </c>
      <c r="R3925" t="s">
        <v>60</v>
      </c>
      <c r="S3925" t="s">
        <v>51</v>
      </c>
      <c r="T3925" t="s">
        <v>66</v>
      </c>
      <c r="W3925">
        <v>0</v>
      </c>
      <c r="X3925">
        <v>0</v>
      </c>
      <c r="AE3925">
        <v>0</v>
      </c>
      <c r="AF3925">
        <v>0</v>
      </c>
      <c r="AI3925" t="s">
        <v>52</v>
      </c>
      <c r="AJ3925" t="s">
        <v>2985</v>
      </c>
      <c r="AK3925" t="s">
        <v>2986</v>
      </c>
      <c r="AL3925" t="str">
        <f>HYPERLINK("https://pbs.twimg.com/media/D9r8G5KWkAMKMj0.jpg")</f>
        <v>https://pbs.twimg.com/media/D9r8G5KWkAMKMj0.jpg</v>
      </c>
      <c r="AM3925" t="s">
        <v>52</v>
      </c>
      <c r="AN3925" t="s">
        <v>53</v>
      </c>
    </row>
    <row r="3926" spans="1:40">
      <c r="A3926" t="s">
        <v>8081</v>
      </c>
      <c r="B3926" t="s">
        <v>1107</v>
      </c>
      <c r="C3926" t="s">
        <v>12143</v>
      </c>
      <c r="D3926" t="s">
        <v>52</v>
      </c>
      <c r="E3926" t="s">
        <v>12144</v>
      </c>
      <c r="F3926" t="s">
        <v>45</v>
      </c>
      <c r="G3926" t="str">
        <f>HYPERLINK("https://www.instagram.com/p/BzDJXdkDgPJ")</f>
        <v>https://www.instagram.com/p/BzDJXdkDgPJ</v>
      </c>
      <c r="H3926" t="s">
        <v>46</v>
      </c>
      <c r="I3926" t="s">
        <v>12145</v>
      </c>
      <c r="J3926" t="str">
        <f>HYPERLINK("http://instagram.com/babyyy.niches")</f>
        <v>http://instagram.com/babyyy.niches</v>
      </c>
      <c r="K3926">
        <v>162</v>
      </c>
      <c r="N3926" t="s">
        <v>59</v>
      </c>
      <c r="O3926" t="s">
        <v>12145</v>
      </c>
      <c r="P3926" t="str">
        <f>HYPERLINK("http://instagram.com/babyyy.niches")</f>
        <v>http://instagram.com/babyyy.niches</v>
      </c>
      <c r="Q3926">
        <v>162</v>
      </c>
      <c r="R3926" t="s">
        <v>60</v>
      </c>
      <c r="W3926">
        <v>37</v>
      </c>
      <c r="X3926">
        <v>37</v>
      </c>
      <c r="AE3926">
        <v>8</v>
      </c>
      <c r="AI3926" t="s">
        <v>108</v>
      </c>
      <c r="AJ3926" t="s">
        <v>12146</v>
      </c>
      <c r="AK3926" t="s">
        <v>52</v>
      </c>
      <c r="AL3926" t="str">
        <f>HYPERLINK("https://www.instagram.com/p/BzDJXdkDgPJ/media/?size=l")</f>
        <v>https://www.instagram.com/p/BzDJXdkDgPJ/media/?size=l</v>
      </c>
      <c r="AM3926" t="s">
        <v>52</v>
      </c>
      <c r="AN3926" t="s">
        <v>53</v>
      </c>
    </row>
    <row r="3927" spans="1:40">
      <c r="A3927" t="s">
        <v>8081</v>
      </c>
      <c r="B3927" t="s">
        <v>1107</v>
      </c>
      <c r="C3927" t="s">
        <v>12147</v>
      </c>
      <c r="D3927" t="s">
        <v>52</v>
      </c>
      <c r="E3927" t="s">
        <v>3749</v>
      </c>
      <c r="F3927" t="s">
        <v>71</v>
      </c>
      <c r="G3927" t="str">
        <f>HYPERLINK("https://twitter.com/927512036371849216/status/1142743188895084545")</f>
        <v>https://twitter.com/927512036371849216/status/1142743188895084545</v>
      </c>
      <c r="H3927" t="s">
        <v>46</v>
      </c>
      <c r="I3927" t="s">
        <v>12148</v>
      </c>
      <c r="J3927" t="str">
        <f>HYPERLINK("http://twitter.com/iceIeon")</f>
        <v>http://twitter.com/iceIeon</v>
      </c>
      <c r="K3927">
        <v>1437</v>
      </c>
      <c r="N3927" t="s">
        <v>65</v>
      </c>
      <c r="R3927" t="s">
        <v>60</v>
      </c>
      <c r="S3927" t="s">
        <v>444</v>
      </c>
      <c r="T3927" t="s">
        <v>1062</v>
      </c>
      <c r="U3927" t="s">
        <v>395</v>
      </c>
      <c r="W3927">
        <v>0</v>
      </c>
      <c r="X3927">
        <v>0</v>
      </c>
      <c r="AE3927">
        <v>0</v>
      </c>
      <c r="AF3927">
        <v>0</v>
      </c>
      <c r="AI3927" t="s">
        <v>108</v>
      </c>
      <c r="AJ3927" t="s">
        <v>52</v>
      </c>
      <c r="AK3927" t="s">
        <v>52</v>
      </c>
      <c r="AL3927" t="str">
        <f>HYPERLINK("https://pbs.twimg.com/media/D9sAXHUX4AA6vJs.jpg")</f>
        <v>https://pbs.twimg.com/media/D9sAXHUX4AA6vJs.jpg</v>
      </c>
      <c r="AM3927" t="s">
        <v>52</v>
      </c>
      <c r="AN3927" t="s">
        <v>53</v>
      </c>
    </row>
    <row r="3928" spans="1:40">
      <c r="A3928" t="s">
        <v>8081</v>
      </c>
      <c r="B3928" t="s">
        <v>1107</v>
      </c>
      <c r="C3928" t="s">
        <v>12147</v>
      </c>
      <c r="D3928" t="s">
        <v>52</v>
      </c>
      <c r="E3928" t="s">
        <v>12149</v>
      </c>
      <c r="F3928" t="s">
        <v>95</v>
      </c>
      <c r="G3928" t="str">
        <f>HYPERLINK("https://twitter.com/3104122364/status/1142743188475502592")</f>
        <v>https://twitter.com/3104122364/status/1142743188475502592</v>
      </c>
      <c r="H3928" t="s">
        <v>46</v>
      </c>
      <c r="I3928" t="s">
        <v>12150</v>
      </c>
      <c r="J3928" t="str">
        <f>HYPERLINK("http://twitter.com/KuluPara")</f>
        <v>http://twitter.com/KuluPara</v>
      </c>
      <c r="K3928">
        <v>42</v>
      </c>
      <c r="N3928" t="s">
        <v>65</v>
      </c>
      <c r="R3928" t="s">
        <v>60</v>
      </c>
      <c r="S3928" t="s">
        <v>315</v>
      </c>
      <c r="T3928" t="s">
        <v>2336</v>
      </c>
      <c r="U3928" t="s">
        <v>12151</v>
      </c>
      <c r="W3928">
        <v>0</v>
      </c>
      <c r="X3928">
        <v>0</v>
      </c>
      <c r="AE3928">
        <v>1</v>
      </c>
      <c r="AF3928">
        <v>0</v>
      </c>
      <c r="AM3928" t="s">
        <v>52</v>
      </c>
      <c r="AN3928" t="s">
        <v>53</v>
      </c>
    </row>
    <row r="3929" spans="1:40">
      <c r="A3929" t="s">
        <v>8081</v>
      </c>
      <c r="B3929" t="s">
        <v>6964</v>
      </c>
      <c r="C3929" t="s">
        <v>12152</v>
      </c>
      <c r="D3929" t="s">
        <v>52</v>
      </c>
      <c r="E3929" t="s">
        <v>12153</v>
      </c>
      <c r="F3929" t="s">
        <v>71</v>
      </c>
      <c r="G3929" t="str">
        <f>HYPERLINK("https://twitter.com/92947049/status/1142743004622385152")</f>
        <v>https://twitter.com/92947049/status/1142743004622385152</v>
      </c>
      <c r="H3929" t="s">
        <v>46</v>
      </c>
      <c r="I3929" t="s">
        <v>12154</v>
      </c>
      <c r="J3929" t="str">
        <f>HYPERLINK("http://twitter.com/risanjax1")</f>
        <v>http://twitter.com/risanjax1</v>
      </c>
      <c r="K3929">
        <v>16</v>
      </c>
      <c r="N3929" t="s">
        <v>65</v>
      </c>
      <c r="R3929" t="s">
        <v>60</v>
      </c>
      <c r="S3929" t="s">
        <v>51</v>
      </c>
      <c r="W3929">
        <v>0</v>
      </c>
      <c r="X3929">
        <v>0</v>
      </c>
      <c r="AE3929">
        <v>0</v>
      </c>
      <c r="AF3929">
        <v>0</v>
      </c>
      <c r="AI3929" t="s">
        <v>108</v>
      </c>
      <c r="AJ3929" t="s">
        <v>52</v>
      </c>
      <c r="AK3929" t="s">
        <v>52</v>
      </c>
      <c r="AL3929" t="str">
        <f>HYPERLINK("https://pbs.twimg.com/tweet_video_thumb/D9hvNNzXUAATAS3.jpg")</f>
        <v>https://pbs.twimg.com/tweet_video_thumb/D9hvNNzXUAATAS3.jpg</v>
      </c>
      <c r="AM3929" t="s">
        <v>52</v>
      </c>
      <c r="AN3929" t="s">
        <v>53</v>
      </c>
    </row>
    <row r="3930" spans="1:40">
      <c r="A3930" t="s">
        <v>8081</v>
      </c>
      <c r="B3930" t="s">
        <v>6970</v>
      </c>
      <c r="C3930" t="s">
        <v>12155</v>
      </c>
      <c r="D3930" t="s">
        <v>52</v>
      </c>
      <c r="E3930" t="s">
        <v>12156</v>
      </c>
      <c r="F3930" t="s">
        <v>95</v>
      </c>
      <c r="G3930" t="str">
        <f>HYPERLINK("https://twitter.com/3014454531/status/1142742225715171330")</f>
        <v>https://twitter.com/3014454531/status/1142742225715171330</v>
      </c>
      <c r="H3930" t="s">
        <v>91</v>
      </c>
      <c r="I3930" t="s">
        <v>12157</v>
      </c>
      <c r="J3930" t="str">
        <f>HYPERLINK("http://twitter.com/FatalLeigh")</f>
        <v>http://twitter.com/FatalLeigh</v>
      </c>
      <c r="K3930">
        <v>242</v>
      </c>
      <c r="N3930" t="s">
        <v>65</v>
      </c>
      <c r="R3930" t="s">
        <v>60</v>
      </c>
      <c r="S3930" t="s">
        <v>156</v>
      </c>
      <c r="T3930" t="s">
        <v>2067</v>
      </c>
      <c r="U3930" t="s">
        <v>2068</v>
      </c>
      <c r="W3930">
        <v>4</v>
      </c>
      <c r="X3930">
        <v>4</v>
      </c>
      <c r="AE3930">
        <v>0</v>
      </c>
      <c r="AF3930">
        <v>0</v>
      </c>
      <c r="AM3930" t="s">
        <v>52</v>
      </c>
      <c r="AN3930" t="s">
        <v>53</v>
      </c>
    </row>
    <row r="3931" spans="1:40">
      <c r="A3931" t="s">
        <v>8081</v>
      </c>
      <c r="B3931" t="s">
        <v>12158</v>
      </c>
      <c r="C3931" t="s">
        <v>12155</v>
      </c>
      <c r="D3931" t="s">
        <v>52</v>
      </c>
      <c r="E3931" t="s">
        <v>12159</v>
      </c>
      <c r="F3931" t="s">
        <v>95</v>
      </c>
      <c r="G3931" t="str">
        <f>HYPERLINK("https://twitter.com/2722224010/status/1142741947569725440")</f>
        <v>https://twitter.com/2722224010/status/1142741947569725440</v>
      </c>
      <c r="H3931" t="s">
        <v>215</v>
      </c>
      <c r="I3931" t="s">
        <v>12160</v>
      </c>
      <c r="J3931" t="str">
        <f>HYPERLINK("http://twitter.com/rgarcia1410")</f>
        <v>http://twitter.com/rgarcia1410</v>
      </c>
      <c r="K3931">
        <v>87</v>
      </c>
      <c r="N3931" t="s">
        <v>65</v>
      </c>
      <c r="R3931" t="s">
        <v>60</v>
      </c>
      <c r="W3931">
        <v>0</v>
      </c>
      <c r="X3931">
        <v>0</v>
      </c>
      <c r="AE3931">
        <v>0</v>
      </c>
      <c r="AF3931">
        <v>0</v>
      </c>
      <c r="AM3931" t="s">
        <v>52</v>
      </c>
      <c r="AN3931" t="s">
        <v>53</v>
      </c>
    </row>
    <row r="3932" spans="1:40">
      <c r="A3932" t="s">
        <v>8081</v>
      </c>
      <c r="B3932" t="s">
        <v>12158</v>
      </c>
      <c r="C3932" t="s">
        <v>12161</v>
      </c>
      <c r="D3932" t="s">
        <v>52</v>
      </c>
      <c r="E3932" t="s">
        <v>12162</v>
      </c>
      <c r="F3932" t="s">
        <v>71</v>
      </c>
      <c r="G3932" t="str">
        <f>HYPERLINK("https://twitter.com/2316682027/status/1142741882356871169")</f>
        <v>https://twitter.com/2316682027/status/1142741882356871169</v>
      </c>
      <c r="H3932" t="s">
        <v>46</v>
      </c>
      <c r="I3932" t="s">
        <v>10216</v>
      </c>
      <c r="J3932" t="str">
        <f>HYPERLINK("http://twitter.com/__Lwando")</f>
        <v>http://twitter.com/__Lwando</v>
      </c>
      <c r="K3932">
        <v>1553</v>
      </c>
      <c r="N3932" t="s">
        <v>65</v>
      </c>
      <c r="R3932" t="s">
        <v>60</v>
      </c>
      <c r="S3932" t="s">
        <v>1071</v>
      </c>
      <c r="T3932" t="s">
        <v>1072</v>
      </c>
      <c r="U3932" t="s">
        <v>1073</v>
      </c>
      <c r="W3932">
        <v>0</v>
      </c>
      <c r="X3932">
        <v>0</v>
      </c>
      <c r="AE3932">
        <v>0</v>
      </c>
      <c r="AF3932">
        <v>0</v>
      </c>
      <c r="AI3932" t="s">
        <v>108</v>
      </c>
      <c r="AJ3932" t="s">
        <v>52</v>
      </c>
      <c r="AK3932" t="s">
        <v>52</v>
      </c>
      <c r="AL3932" t="str">
        <f>HYPERLINK("https://pbs.twimg.com/media/D9sAXHUX4AA6vJs.jpg")</f>
        <v>https://pbs.twimg.com/media/D9sAXHUX4AA6vJs.jpg</v>
      </c>
      <c r="AM3932" t="s">
        <v>52</v>
      </c>
      <c r="AN3932" t="s">
        <v>53</v>
      </c>
    </row>
    <row r="3933" spans="1:40">
      <c r="A3933" t="s">
        <v>8081</v>
      </c>
      <c r="B3933" t="s">
        <v>12163</v>
      </c>
      <c r="C3933" t="s">
        <v>12164</v>
      </c>
      <c r="D3933" t="s">
        <v>52</v>
      </c>
      <c r="E3933" t="s">
        <v>12162</v>
      </c>
      <c r="F3933" t="s">
        <v>71</v>
      </c>
      <c r="G3933" t="str">
        <f>HYPERLINK("https://twitter.com/701286192/status/1142741392386662400")</f>
        <v>https://twitter.com/701286192/status/1142741392386662400</v>
      </c>
      <c r="H3933" t="s">
        <v>46</v>
      </c>
      <c r="I3933" t="s">
        <v>12165</v>
      </c>
      <c r="J3933" t="str">
        <f>HYPERLINK("http://twitter.com/qhamani_matunda")</f>
        <v>http://twitter.com/qhamani_matunda</v>
      </c>
      <c r="K3933">
        <v>827</v>
      </c>
      <c r="N3933" t="s">
        <v>65</v>
      </c>
      <c r="R3933" t="s">
        <v>60</v>
      </c>
      <c r="S3933" t="s">
        <v>1071</v>
      </c>
      <c r="T3933" t="s">
        <v>6398</v>
      </c>
      <c r="U3933" t="s">
        <v>9701</v>
      </c>
      <c r="W3933">
        <v>0</v>
      </c>
      <c r="X3933">
        <v>0</v>
      </c>
      <c r="AE3933">
        <v>0</v>
      </c>
      <c r="AF3933">
        <v>0</v>
      </c>
      <c r="AI3933" t="s">
        <v>108</v>
      </c>
      <c r="AJ3933" t="s">
        <v>52</v>
      </c>
      <c r="AK3933" t="s">
        <v>52</v>
      </c>
      <c r="AL3933" t="str">
        <f>HYPERLINK("https://pbs.twimg.com/media/D9sAXHUX4AA6vJs.jpg")</f>
        <v>https://pbs.twimg.com/media/D9sAXHUX4AA6vJs.jpg</v>
      </c>
      <c r="AM3933" t="s">
        <v>52</v>
      </c>
      <c r="AN3933" t="s">
        <v>53</v>
      </c>
    </row>
    <row r="3934" spans="1:40">
      <c r="A3934" t="s">
        <v>8081</v>
      </c>
      <c r="B3934" t="s">
        <v>12166</v>
      </c>
      <c r="C3934" t="s">
        <v>12152</v>
      </c>
      <c r="D3934" t="s">
        <v>52</v>
      </c>
      <c r="E3934" t="s">
        <v>11685</v>
      </c>
      <c r="F3934" t="s">
        <v>131</v>
      </c>
      <c r="G3934" t="str">
        <f>HYPERLINK("https://twitter.com/753581035435220992/status/1142741109094981632")</f>
        <v>https://twitter.com/753581035435220992/status/1142741109094981632</v>
      </c>
      <c r="H3934" t="s">
        <v>46</v>
      </c>
      <c r="I3934" t="s">
        <v>12167</v>
      </c>
      <c r="J3934" t="str">
        <f>HYPERLINK("http://twitter.com/ParkByunSunHee")</f>
        <v>http://twitter.com/ParkByunSunHee</v>
      </c>
      <c r="K3934">
        <v>112</v>
      </c>
      <c r="N3934" t="s">
        <v>65</v>
      </c>
      <c r="R3934" t="s">
        <v>60</v>
      </c>
      <c r="S3934" t="s">
        <v>97</v>
      </c>
      <c r="T3934" t="s">
        <v>177</v>
      </c>
      <c r="U3934" t="s">
        <v>395</v>
      </c>
      <c r="W3934">
        <v>0</v>
      </c>
      <c r="X3934">
        <v>0</v>
      </c>
      <c r="AE3934">
        <v>0</v>
      </c>
      <c r="AM3934" t="s">
        <v>52</v>
      </c>
      <c r="AN3934" t="s">
        <v>53</v>
      </c>
    </row>
    <row r="3935" spans="1:40">
      <c r="A3935" t="s">
        <v>8081</v>
      </c>
      <c r="B3935" t="s">
        <v>6979</v>
      </c>
      <c r="C3935" t="s">
        <v>12168</v>
      </c>
      <c r="D3935" t="s">
        <v>52</v>
      </c>
      <c r="E3935" t="s">
        <v>3749</v>
      </c>
      <c r="F3935" t="s">
        <v>71</v>
      </c>
      <c r="G3935" t="str">
        <f>HYPERLINK("https://twitter.com/1242062130/status/1142740807037915137")</f>
        <v>https://twitter.com/1242062130/status/1142740807037915137</v>
      </c>
      <c r="H3935" t="s">
        <v>46</v>
      </c>
      <c r="I3935" t="s">
        <v>3461</v>
      </c>
      <c r="J3935" t="str">
        <f>HYPERLINK("http://twitter.com/Iam_Wynona")</f>
        <v>http://twitter.com/Iam_Wynona</v>
      </c>
      <c r="K3935">
        <v>6108</v>
      </c>
      <c r="N3935" t="s">
        <v>65</v>
      </c>
      <c r="R3935" t="s">
        <v>60</v>
      </c>
      <c r="S3935" t="s">
        <v>1071</v>
      </c>
      <c r="T3935" t="s">
        <v>7090</v>
      </c>
      <c r="W3935">
        <v>0</v>
      </c>
      <c r="X3935">
        <v>0</v>
      </c>
      <c r="AE3935">
        <v>0</v>
      </c>
      <c r="AF3935">
        <v>0</v>
      </c>
      <c r="AI3935" t="s">
        <v>108</v>
      </c>
      <c r="AJ3935" t="s">
        <v>52</v>
      </c>
      <c r="AK3935" t="s">
        <v>52</v>
      </c>
      <c r="AL3935" t="str">
        <f>HYPERLINK("https://pbs.twimg.com/media/D9sAXHUX4AA6vJs.jpg")</f>
        <v>https://pbs.twimg.com/media/D9sAXHUX4AA6vJs.jpg</v>
      </c>
      <c r="AM3935" t="s">
        <v>52</v>
      </c>
      <c r="AN3935" t="s">
        <v>53</v>
      </c>
    </row>
    <row r="3936" spans="1:40">
      <c r="A3936" t="s">
        <v>8081</v>
      </c>
      <c r="B3936" t="s">
        <v>6979</v>
      </c>
      <c r="C3936" t="s">
        <v>12169</v>
      </c>
      <c r="D3936" t="s">
        <v>52</v>
      </c>
      <c r="E3936" t="s">
        <v>12170</v>
      </c>
      <c r="F3936" t="s">
        <v>45</v>
      </c>
      <c r="G3936" t="str">
        <f>HYPERLINK("https://twitter.com/133006748/status/1142740674837540865")</f>
        <v>https://twitter.com/133006748/status/1142740674837540865</v>
      </c>
      <c r="H3936" t="s">
        <v>215</v>
      </c>
      <c r="I3936" t="s">
        <v>12171</v>
      </c>
      <c r="J3936" t="str">
        <f>HYPERLINK("http://twitter.com/DrewTosch")</f>
        <v>http://twitter.com/DrewTosch</v>
      </c>
      <c r="K3936">
        <v>260</v>
      </c>
      <c r="N3936" t="s">
        <v>65</v>
      </c>
      <c r="R3936" t="s">
        <v>60</v>
      </c>
      <c r="W3936">
        <v>3</v>
      </c>
      <c r="X3936">
        <v>3</v>
      </c>
      <c r="AE3936">
        <v>0</v>
      </c>
      <c r="AF3936">
        <v>0</v>
      </c>
      <c r="AM3936" t="s">
        <v>52</v>
      </c>
      <c r="AN3936" t="s">
        <v>53</v>
      </c>
    </row>
    <row r="3937" spans="1:40">
      <c r="A3937" t="s">
        <v>8081</v>
      </c>
      <c r="B3937" t="s">
        <v>6979</v>
      </c>
      <c r="C3937" t="s">
        <v>12172</v>
      </c>
      <c r="D3937" t="s">
        <v>52</v>
      </c>
      <c r="E3937" t="s">
        <v>12173</v>
      </c>
      <c r="F3937" t="s">
        <v>95</v>
      </c>
      <c r="G3937" t="str">
        <f>HYPERLINK("https://twitter.com/2722224010/status/1142740655480815617")</f>
        <v>https://twitter.com/2722224010/status/1142740655480815617</v>
      </c>
      <c r="H3937" t="s">
        <v>215</v>
      </c>
      <c r="I3937" t="s">
        <v>12160</v>
      </c>
      <c r="J3937" t="str">
        <f>HYPERLINK("http://twitter.com/rgarcia1410")</f>
        <v>http://twitter.com/rgarcia1410</v>
      </c>
      <c r="K3937">
        <v>87</v>
      </c>
      <c r="N3937" t="s">
        <v>65</v>
      </c>
      <c r="R3937" t="s">
        <v>60</v>
      </c>
      <c r="W3937">
        <v>0</v>
      </c>
      <c r="X3937">
        <v>0</v>
      </c>
      <c r="AE3937">
        <v>0</v>
      </c>
      <c r="AF3937">
        <v>0</v>
      </c>
      <c r="AM3937" t="s">
        <v>52</v>
      </c>
      <c r="AN3937" t="s">
        <v>53</v>
      </c>
    </row>
    <row r="3938" spans="1:40">
      <c r="A3938" t="s">
        <v>8081</v>
      </c>
      <c r="B3938" t="s">
        <v>1123</v>
      </c>
      <c r="C3938" t="s">
        <v>12174</v>
      </c>
      <c r="D3938" t="s">
        <v>12175</v>
      </c>
      <c r="E3938" t="s">
        <v>12176</v>
      </c>
      <c r="F3938" t="s">
        <v>45</v>
      </c>
      <c r="G3938" t="str">
        <f>HYPERLINK("https://investtribune.com/analysts-see-1-50-eps-for-pepsico-inc-pep")</f>
        <v>https://investtribune.com/analysts-see-1-50-eps-for-pepsico-inc-pep</v>
      </c>
      <c r="H3938" t="s">
        <v>46</v>
      </c>
      <c r="I3938" t="s">
        <v>12177</v>
      </c>
      <c r="J3938" t="str">
        <f>HYPERLINK("https://investtribune.com/analysts-see-1-50-eps-for-pepsico-inc-pep/")</f>
        <v>https://investtribune.com/analysts-see-1-50-eps-for-pepsico-inc-pep/</v>
      </c>
      <c r="L3938" t="s">
        <v>48</v>
      </c>
      <c r="N3938" t="s">
        <v>1046</v>
      </c>
      <c r="R3938" t="s">
        <v>357</v>
      </c>
      <c r="S3938" t="s">
        <v>51</v>
      </c>
      <c r="AI3938" t="s">
        <v>52</v>
      </c>
      <c r="AJ3938" t="s">
        <v>52</v>
      </c>
      <c r="AK3938" t="s">
        <v>52</v>
      </c>
      <c r="AL3938" t="str">
        <f>HYPERLINK("https://investtribune.com/wp-content/uploads/logos/Logos/PEP.png")</f>
        <v>https://investtribune.com/wp-content/uploads/logos/Logos/PEP.png</v>
      </c>
      <c r="AM3938" t="s">
        <v>52</v>
      </c>
      <c r="AN3938" t="s">
        <v>53</v>
      </c>
    </row>
    <row r="3939" spans="1:40">
      <c r="A3939" t="s">
        <v>8081</v>
      </c>
      <c r="B3939" t="s">
        <v>12178</v>
      </c>
      <c r="C3939" t="s">
        <v>12179</v>
      </c>
      <c r="D3939" t="s">
        <v>52</v>
      </c>
      <c r="E3939" t="s">
        <v>276</v>
      </c>
      <c r="F3939" t="s">
        <v>131</v>
      </c>
      <c r="G3939" t="str">
        <f>HYPERLINK("https://twitter.com/2722224010/status/1142739572469559297")</f>
        <v>https://twitter.com/2722224010/status/1142739572469559297</v>
      </c>
      <c r="H3939" t="s">
        <v>46</v>
      </c>
      <c r="I3939" t="s">
        <v>12160</v>
      </c>
      <c r="J3939" t="str">
        <f>HYPERLINK("http://twitter.com/rgarcia1410")</f>
        <v>http://twitter.com/rgarcia1410</v>
      </c>
      <c r="K3939">
        <v>87</v>
      </c>
      <c r="N3939" t="s">
        <v>65</v>
      </c>
      <c r="R3939" t="s">
        <v>60</v>
      </c>
      <c r="W3939">
        <v>0</v>
      </c>
      <c r="X3939">
        <v>0</v>
      </c>
      <c r="AE3939">
        <v>0</v>
      </c>
      <c r="AI3939" t="s">
        <v>108</v>
      </c>
      <c r="AJ3939" t="s">
        <v>52</v>
      </c>
      <c r="AK3939" t="s">
        <v>52</v>
      </c>
      <c r="AL3939" t="str">
        <f>HYPERLINK("https://pbs.twimg.com/tweet_video_thumb/D9hvNNzXUAATAS3.jpg")</f>
        <v>https://pbs.twimg.com/tweet_video_thumb/D9hvNNzXUAATAS3.jpg</v>
      </c>
      <c r="AM3939" t="s">
        <v>52</v>
      </c>
      <c r="AN3939" t="s">
        <v>53</v>
      </c>
    </row>
    <row r="3940" spans="1:40">
      <c r="A3940" t="s">
        <v>8081</v>
      </c>
      <c r="B3940" t="s">
        <v>1127</v>
      </c>
      <c r="C3940" t="s">
        <v>12180</v>
      </c>
      <c r="D3940" t="s">
        <v>52</v>
      </c>
      <c r="E3940" t="s">
        <v>3749</v>
      </c>
      <c r="F3940" t="s">
        <v>71</v>
      </c>
      <c r="G3940" t="str">
        <f>HYPERLINK("https://twitter.com/1085724756/status/1142739136316628993")</f>
        <v>https://twitter.com/1085724756/status/1142739136316628993</v>
      </c>
      <c r="H3940" t="s">
        <v>46</v>
      </c>
      <c r="I3940" t="s">
        <v>12181</v>
      </c>
      <c r="J3940" t="str">
        <f>HYPERLINK("http://twitter.com/Thamsanqa04")</f>
        <v>http://twitter.com/Thamsanqa04</v>
      </c>
      <c r="K3940">
        <v>732</v>
      </c>
      <c r="N3940" t="s">
        <v>65</v>
      </c>
      <c r="R3940" t="s">
        <v>60</v>
      </c>
      <c r="S3940" t="s">
        <v>1071</v>
      </c>
      <c r="T3940" t="s">
        <v>1072</v>
      </c>
      <c r="U3940" t="s">
        <v>1073</v>
      </c>
      <c r="W3940">
        <v>0</v>
      </c>
      <c r="X3940">
        <v>0</v>
      </c>
      <c r="AE3940">
        <v>0</v>
      </c>
      <c r="AF3940">
        <v>0</v>
      </c>
      <c r="AI3940" t="s">
        <v>108</v>
      </c>
      <c r="AJ3940" t="s">
        <v>52</v>
      </c>
      <c r="AK3940" t="s">
        <v>52</v>
      </c>
      <c r="AL3940" t="str">
        <f>HYPERLINK("https://pbs.twimg.com/media/D9sAXHUX4AA6vJs.jpg")</f>
        <v>https://pbs.twimg.com/media/D9sAXHUX4AA6vJs.jpg</v>
      </c>
      <c r="AM3940" t="s">
        <v>52</v>
      </c>
      <c r="AN3940" t="s">
        <v>53</v>
      </c>
    </row>
    <row r="3941" spans="1:40">
      <c r="A3941" t="s">
        <v>8081</v>
      </c>
      <c r="B3941" t="s">
        <v>7011</v>
      </c>
      <c r="C3941" t="s">
        <v>12180</v>
      </c>
      <c r="D3941" t="s">
        <v>52</v>
      </c>
      <c r="E3941" t="s">
        <v>130</v>
      </c>
      <c r="F3941" t="s">
        <v>131</v>
      </c>
      <c r="G3941" t="str">
        <f>HYPERLINK("https://twitter.com/58271193/status/1142738002139111424")</f>
        <v>https://twitter.com/58271193/status/1142738002139111424</v>
      </c>
      <c r="H3941" t="s">
        <v>46</v>
      </c>
      <c r="I3941" t="s">
        <v>7750</v>
      </c>
      <c r="J3941" t="str">
        <f>HYPERLINK("http://twitter.com/SMOKEYFORMBY")</f>
        <v>http://twitter.com/SMOKEYFORMBY</v>
      </c>
      <c r="K3941">
        <v>6278</v>
      </c>
      <c r="N3941" t="s">
        <v>65</v>
      </c>
      <c r="R3941" t="s">
        <v>60</v>
      </c>
      <c r="W3941">
        <v>0</v>
      </c>
      <c r="X3941">
        <v>0</v>
      </c>
      <c r="AE3941">
        <v>0</v>
      </c>
      <c r="AI3941" t="s">
        <v>108</v>
      </c>
      <c r="AJ3941" t="s">
        <v>52</v>
      </c>
      <c r="AK3941" t="s">
        <v>52</v>
      </c>
      <c r="AL3941" t="str">
        <f>HYPERLINK("https://pbs.twimg.com/media/D9XTkLWW4AAOYnJ.jpg")</f>
        <v>https://pbs.twimg.com/media/D9XTkLWW4AAOYnJ.jpg</v>
      </c>
      <c r="AM3941" t="s">
        <v>52</v>
      </c>
      <c r="AN3941" t="s">
        <v>53</v>
      </c>
    </row>
    <row r="3942" spans="1:40">
      <c r="A3942" t="s">
        <v>8081</v>
      </c>
      <c r="B3942" t="s">
        <v>1145</v>
      </c>
      <c r="C3942" t="s">
        <v>12179</v>
      </c>
      <c r="D3942" t="s">
        <v>52</v>
      </c>
      <c r="E3942" t="s">
        <v>12182</v>
      </c>
      <c r="F3942" t="s">
        <v>45</v>
      </c>
      <c r="G3942" t="str">
        <f>HYPERLINK("https://twitter.com/3976500017/status/1142737474109759488")</f>
        <v>https://twitter.com/3976500017/status/1142737474109759488</v>
      </c>
      <c r="H3942" t="s">
        <v>46</v>
      </c>
      <c r="I3942" t="s">
        <v>1697</v>
      </c>
      <c r="J3942" t="str">
        <f>HYPERLINK("http://twitter.com/memerbot404")</f>
        <v>http://twitter.com/memerbot404</v>
      </c>
      <c r="K3942">
        <v>12</v>
      </c>
      <c r="L3942" t="s">
        <v>48</v>
      </c>
      <c r="N3942" t="s">
        <v>65</v>
      </c>
      <c r="R3942" t="s">
        <v>60</v>
      </c>
      <c r="S3942" t="s">
        <v>774</v>
      </c>
      <c r="W3942">
        <v>0</v>
      </c>
      <c r="X3942">
        <v>0</v>
      </c>
      <c r="AE3942">
        <v>0</v>
      </c>
      <c r="AF3942">
        <v>0</v>
      </c>
      <c r="AM3942" t="s">
        <v>52</v>
      </c>
      <c r="AN3942" t="s">
        <v>53</v>
      </c>
    </row>
    <row r="3943" spans="1:40">
      <c r="A3943" t="s">
        <v>8081</v>
      </c>
      <c r="B3943" t="s">
        <v>7028</v>
      </c>
      <c r="C3943" t="s">
        <v>12183</v>
      </c>
      <c r="D3943" t="s">
        <v>52</v>
      </c>
      <c r="E3943" t="s">
        <v>12184</v>
      </c>
      <c r="F3943" t="s">
        <v>95</v>
      </c>
      <c r="G3943" t="str">
        <f>HYPERLINK("https://twitter.com/4892303367/status/1142737061667098624")</f>
        <v>https://twitter.com/4892303367/status/1142737061667098624</v>
      </c>
      <c r="H3943" t="s">
        <v>46</v>
      </c>
      <c r="I3943" t="s">
        <v>12185</v>
      </c>
      <c r="J3943" t="str">
        <f>HYPERLINK("http://twitter.com/_wolvesgeorge")</f>
        <v>http://twitter.com/_wolvesgeorge</v>
      </c>
      <c r="K3943">
        <v>1336</v>
      </c>
      <c r="N3943" t="s">
        <v>65</v>
      </c>
      <c r="R3943" t="s">
        <v>60</v>
      </c>
      <c r="S3943" t="s">
        <v>97</v>
      </c>
      <c r="T3943" t="s">
        <v>177</v>
      </c>
      <c r="U3943" t="s">
        <v>12186</v>
      </c>
      <c r="W3943">
        <v>2</v>
      </c>
      <c r="X3943">
        <v>2</v>
      </c>
      <c r="AE3943">
        <v>0</v>
      </c>
      <c r="AF3943">
        <v>0</v>
      </c>
      <c r="AM3943" t="s">
        <v>52</v>
      </c>
      <c r="AN3943" t="s">
        <v>53</v>
      </c>
    </row>
    <row r="3944" spans="1:40">
      <c r="A3944" t="s">
        <v>8081</v>
      </c>
      <c r="B3944" t="s">
        <v>7033</v>
      </c>
      <c r="C3944" t="s">
        <v>12187</v>
      </c>
      <c r="D3944" t="s">
        <v>12188</v>
      </c>
      <c r="E3944" t="s">
        <v>12189</v>
      </c>
      <c r="F3944" t="s">
        <v>45</v>
      </c>
      <c r="G3944" t="str">
        <f>HYPERLINK("https://nbonews.com/eps-for-prologis-inc-pld-expected-at-0-77-special-opportunities-fund-has-1-sentiment")</f>
        <v>https://nbonews.com/eps-for-prologis-inc-pld-expected-at-0-77-special-opportunities-fund-has-1-sentiment</v>
      </c>
      <c r="H3944" t="s">
        <v>46</v>
      </c>
      <c r="I3944" t="s">
        <v>12190</v>
      </c>
      <c r="J3944" t="str">
        <f>HYPERLINK("https://nbonews.com/eps-for-prologis-inc-pld-expected-at-0-77-special-opportunities-fund-has-1-sentiment/")</f>
        <v>https://nbonews.com/eps-for-prologis-inc-pld-expected-at-0-77-special-opportunities-fund-has-1-sentiment/</v>
      </c>
      <c r="L3944" t="s">
        <v>48</v>
      </c>
      <c r="N3944" t="s">
        <v>5590</v>
      </c>
      <c r="R3944" t="s">
        <v>357</v>
      </c>
      <c r="S3944" t="s">
        <v>51</v>
      </c>
      <c r="AI3944" t="s">
        <v>52</v>
      </c>
      <c r="AJ3944" t="s">
        <v>52</v>
      </c>
      <c r="AK3944" t="s">
        <v>52</v>
      </c>
      <c r="AL3944" t="str">
        <f>HYPERLINK("https://nbonews.com//wp-content/uploads/logos/Logos/PLD.png")</f>
        <v>https://nbonews.com//wp-content/uploads/logos/Logos/PLD.png</v>
      </c>
      <c r="AM3944" t="s">
        <v>52</v>
      </c>
      <c r="AN3944" t="s">
        <v>53</v>
      </c>
    </row>
    <row r="3945" spans="1:40">
      <c r="A3945" t="s">
        <v>8081</v>
      </c>
      <c r="B3945" t="s">
        <v>1153</v>
      </c>
      <c r="C3945" t="s">
        <v>12191</v>
      </c>
      <c r="D3945" t="s">
        <v>52</v>
      </c>
      <c r="E3945" t="s">
        <v>12192</v>
      </c>
      <c r="F3945" t="s">
        <v>131</v>
      </c>
      <c r="G3945" t="str">
        <f>HYPERLINK("https://twitter.com/318658719/status/1142736684339081217")</f>
        <v>https://twitter.com/318658719/status/1142736684339081217</v>
      </c>
      <c r="H3945" t="s">
        <v>46</v>
      </c>
      <c r="I3945" t="s">
        <v>12193</v>
      </c>
      <c r="J3945" t="str">
        <f>HYPERLINK("http://twitter.com/skybluerose08")</f>
        <v>http://twitter.com/skybluerose08</v>
      </c>
      <c r="K3945">
        <v>7</v>
      </c>
      <c r="L3945" t="s">
        <v>58</v>
      </c>
      <c r="N3945" t="s">
        <v>65</v>
      </c>
      <c r="R3945" t="s">
        <v>60</v>
      </c>
      <c r="S3945" t="s">
        <v>51</v>
      </c>
      <c r="T3945" t="s">
        <v>199</v>
      </c>
      <c r="U3945" t="s">
        <v>658</v>
      </c>
      <c r="W3945">
        <v>0</v>
      </c>
      <c r="X3945">
        <v>0</v>
      </c>
      <c r="AE3945">
        <v>0</v>
      </c>
      <c r="AM3945" t="s">
        <v>52</v>
      </c>
      <c r="AN3945" t="s">
        <v>53</v>
      </c>
    </row>
    <row r="3946" spans="1:40">
      <c r="A3946" t="s">
        <v>8081</v>
      </c>
      <c r="B3946" t="s">
        <v>1153</v>
      </c>
      <c r="C3946" t="s">
        <v>12194</v>
      </c>
      <c r="D3946" t="s">
        <v>52</v>
      </c>
      <c r="E3946" t="s">
        <v>12195</v>
      </c>
      <c r="F3946" t="s">
        <v>71</v>
      </c>
      <c r="G3946" t="str">
        <f>HYPERLINK("https://twitter.com/154158436/status/1142736675786899457")</f>
        <v>https://twitter.com/154158436/status/1142736675786899457</v>
      </c>
      <c r="H3946" t="s">
        <v>46</v>
      </c>
      <c r="I3946" t="s">
        <v>12196</v>
      </c>
      <c r="J3946" t="str">
        <f>HYPERLINK("http://twitter.com/Newey_7")</f>
        <v>http://twitter.com/Newey_7</v>
      </c>
      <c r="K3946">
        <v>1359</v>
      </c>
      <c r="N3946" t="s">
        <v>65</v>
      </c>
      <c r="R3946" t="s">
        <v>60</v>
      </c>
      <c r="S3946" t="s">
        <v>97</v>
      </c>
      <c r="T3946" t="s">
        <v>177</v>
      </c>
      <c r="U3946" t="s">
        <v>1798</v>
      </c>
      <c r="W3946">
        <v>0</v>
      </c>
      <c r="X3946">
        <v>0</v>
      </c>
      <c r="AE3946">
        <v>0</v>
      </c>
      <c r="AF3946">
        <v>0</v>
      </c>
      <c r="AI3946" t="s">
        <v>52</v>
      </c>
      <c r="AJ3946" t="s">
        <v>2072</v>
      </c>
      <c r="AK3946" t="s">
        <v>52</v>
      </c>
      <c r="AL3946" t="str">
        <f>HYPERLINK("https://pbs.twimg.com/media/D9vAfVFWsAIt7ju.jpg")</f>
        <v>https://pbs.twimg.com/media/D9vAfVFWsAIt7ju.jpg</v>
      </c>
      <c r="AM3946" t="s">
        <v>52</v>
      </c>
      <c r="AN3946" t="s">
        <v>53</v>
      </c>
    </row>
    <row r="3947" spans="1:40">
      <c r="A3947" t="s">
        <v>8081</v>
      </c>
      <c r="B3947" t="s">
        <v>12197</v>
      </c>
      <c r="C3947" t="s">
        <v>12198</v>
      </c>
      <c r="D3947" t="s">
        <v>52</v>
      </c>
      <c r="E3947" t="s">
        <v>12195</v>
      </c>
      <c r="F3947" t="s">
        <v>71</v>
      </c>
      <c r="G3947" t="str">
        <f>HYPERLINK("https://twitter.com/306093005/status/1142736513358344192")</f>
        <v>https://twitter.com/306093005/status/1142736513358344192</v>
      </c>
      <c r="H3947" t="s">
        <v>46</v>
      </c>
      <c r="I3947" t="s">
        <v>12199</v>
      </c>
      <c r="J3947" t="str">
        <f>HYPERLINK("http://twitter.com/Crip_Feehorn")</f>
        <v>http://twitter.com/Crip_Feehorn</v>
      </c>
      <c r="K3947">
        <v>130</v>
      </c>
      <c r="N3947" t="s">
        <v>65</v>
      </c>
      <c r="R3947" t="s">
        <v>60</v>
      </c>
      <c r="S3947" t="s">
        <v>97</v>
      </c>
      <c r="T3947" t="s">
        <v>177</v>
      </c>
      <c r="U3947" t="s">
        <v>1798</v>
      </c>
      <c r="W3947">
        <v>3</v>
      </c>
      <c r="X3947">
        <v>3</v>
      </c>
      <c r="AE3947">
        <v>2</v>
      </c>
      <c r="AF3947">
        <v>1</v>
      </c>
      <c r="AI3947" t="s">
        <v>52</v>
      </c>
      <c r="AJ3947" t="s">
        <v>2072</v>
      </c>
      <c r="AK3947" t="s">
        <v>52</v>
      </c>
      <c r="AL3947" t="str">
        <f>HYPERLINK("https://pbs.twimg.com/media/D9vAfVFWsAIt7ju.jpg")</f>
        <v>https://pbs.twimg.com/media/D9vAfVFWsAIt7ju.jpg</v>
      </c>
      <c r="AM3947" t="s">
        <v>52</v>
      </c>
      <c r="AN3947" t="s">
        <v>53</v>
      </c>
    </row>
    <row r="3948" spans="1:40">
      <c r="A3948" t="s">
        <v>8081</v>
      </c>
      <c r="B3948" t="s">
        <v>12197</v>
      </c>
      <c r="C3948" t="s">
        <v>12200</v>
      </c>
      <c r="D3948" t="s">
        <v>52</v>
      </c>
      <c r="E3948" t="s">
        <v>12201</v>
      </c>
      <c r="F3948" t="s">
        <v>45</v>
      </c>
      <c r="G3948" t="str">
        <f>HYPERLINK("https://www.instagram.com/p/BzDGNTCFQ9h")</f>
        <v>https://www.instagram.com/p/BzDGNTCFQ9h</v>
      </c>
      <c r="H3948" t="s">
        <v>46</v>
      </c>
      <c r="I3948" t="s">
        <v>12202</v>
      </c>
      <c r="J3948" t="str">
        <f>HYPERLINK("http://instagram.com/___eldan___")</f>
        <v>http://instagram.com/___eldan___</v>
      </c>
      <c r="K3948">
        <v>448</v>
      </c>
      <c r="N3948" t="s">
        <v>59</v>
      </c>
      <c r="O3948" t="s">
        <v>12202</v>
      </c>
      <c r="P3948" t="str">
        <f>HYPERLINK("http://instagram.com/___eldan___")</f>
        <v>http://instagram.com/___eldan___</v>
      </c>
      <c r="Q3948">
        <v>448</v>
      </c>
      <c r="R3948" t="s">
        <v>60</v>
      </c>
      <c r="S3948" t="s">
        <v>2226</v>
      </c>
      <c r="T3948" t="s">
        <v>12203</v>
      </c>
      <c r="U3948" t="s">
        <v>12204</v>
      </c>
      <c r="W3948">
        <v>14</v>
      </c>
      <c r="X3948">
        <v>14</v>
      </c>
      <c r="AE3948">
        <v>0</v>
      </c>
      <c r="AI3948" t="s">
        <v>52</v>
      </c>
      <c r="AJ3948" t="s">
        <v>1763</v>
      </c>
      <c r="AK3948" t="s">
        <v>52</v>
      </c>
      <c r="AL3948" t="str">
        <f>HYPERLINK("https://www.instagram.com/p/BzDGNTCFQ9h/media/?size=l")</f>
        <v>https://www.instagram.com/p/BzDGNTCFQ9h/media/?size=l</v>
      </c>
      <c r="AM3948" t="s">
        <v>52</v>
      </c>
      <c r="AN3948" t="s">
        <v>53</v>
      </c>
    </row>
    <row r="3949" spans="1:40">
      <c r="A3949" t="s">
        <v>8081</v>
      </c>
      <c r="B3949" t="s">
        <v>12205</v>
      </c>
      <c r="C3949" t="s">
        <v>12206</v>
      </c>
      <c r="D3949" t="s">
        <v>52</v>
      </c>
      <c r="E3949" t="s">
        <v>130</v>
      </c>
      <c r="F3949" t="s">
        <v>131</v>
      </c>
      <c r="G3949" t="str">
        <f>HYPERLINK("https://twitter.com/155635624/status/1142735995105959936")</f>
        <v>https://twitter.com/155635624/status/1142735995105959936</v>
      </c>
      <c r="H3949" t="s">
        <v>46</v>
      </c>
      <c r="I3949" t="s">
        <v>12207</v>
      </c>
      <c r="J3949" t="str">
        <f>HYPERLINK("http://twitter.com/CJUlt")</f>
        <v>http://twitter.com/CJUlt</v>
      </c>
      <c r="K3949">
        <v>1947</v>
      </c>
      <c r="N3949" t="s">
        <v>65</v>
      </c>
      <c r="R3949" t="s">
        <v>60</v>
      </c>
      <c r="S3949" t="s">
        <v>97</v>
      </c>
      <c r="T3949" t="s">
        <v>177</v>
      </c>
      <c r="W3949">
        <v>0</v>
      </c>
      <c r="X3949">
        <v>0</v>
      </c>
      <c r="AE3949">
        <v>0</v>
      </c>
      <c r="AI3949" t="s">
        <v>108</v>
      </c>
      <c r="AJ3949" t="s">
        <v>52</v>
      </c>
      <c r="AK3949" t="s">
        <v>52</v>
      </c>
      <c r="AL3949" t="str">
        <f>HYPERLINK("https://pbs.twimg.com/media/D9XTkLWW4AAOYnJ.jpg")</f>
        <v>https://pbs.twimg.com/media/D9XTkLWW4AAOYnJ.jpg</v>
      </c>
      <c r="AM3949" t="s">
        <v>52</v>
      </c>
      <c r="AN3949" t="s">
        <v>53</v>
      </c>
    </row>
    <row r="3950" spans="1:40">
      <c r="A3950" t="s">
        <v>8081</v>
      </c>
      <c r="B3950" t="s">
        <v>1178</v>
      </c>
      <c r="C3950" t="s">
        <v>12208</v>
      </c>
      <c r="D3950" t="s">
        <v>52</v>
      </c>
      <c r="E3950" t="s">
        <v>7615</v>
      </c>
      <c r="F3950" t="s">
        <v>71</v>
      </c>
      <c r="G3950" t="str">
        <f>HYPERLINK("https://twitter.com/927137637898637312/status/1142735306229211136")</f>
        <v>https://twitter.com/927137637898637312/status/1142735306229211136</v>
      </c>
      <c r="H3950" t="s">
        <v>46</v>
      </c>
      <c r="I3950" t="s">
        <v>12209</v>
      </c>
      <c r="J3950" t="str">
        <f>HYPERLINK("http://twitter.com/OldTraffordKid")</f>
        <v>http://twitter.com/OldTraffordKid</v>
      </c>
      <c r="K3950">
        <v>1705</v>
      </c>
      <c r="L3950" t="s">
        <v>48</v>
      </c>
      <c r="N3950" t="s">
        <v>65</v>
      </c>
      <c r="R3950" t="s">
        <v>60</v>
      </c>
      <c r="W3950">
        <v>0</v>
      </c>
      <c r="X3950">
        <v>0</v>
      </c>
      <c r="AE3950">
        <v>0</v>
      </c>
      <c r="AF3950">
        <v>0</v>
      </c>
      <c r="AI3950" t="s">
        <v>108</v>
      </c>
      <c r="AJ3950" t="s">
        <v>52</v>
      </c>
      <c r="AK3950" t="s">
        <v>52</v>
      </c>
      <c r="AL3950" t="str">
        <f>HYPERLINK("https://pbs.twimg.com/media/D9sAXHUX4AA6vJs.jpg")</f>
        <v>https://pbs.twimg.com/media/D9sAXHUX4AA6vJs.jpg</v>
      </c>
      <c r="AM3950" t="s">
        <v>52</v>
      </c>
      <c r="AN3950" t="s">
        <v>53</v>
      </c>
    </row>
    <row r="3951" spans="1:40">
      <c r="A3951" t="s">
        <v>8081</v>
      </c>
      <c r="B3951" t="s">
        <v>7068</v>
      </c>
      <c r="C3951" t="s">
        <v>12210</v>
      </c>
      <c r="D3951" t="s">
        <v>52</v>
      </c>
      <c r="E3951" t="s">
        <v>12211</v>
      </c>
      <c r="F3951" t="s">
        <v>45</v>
      </c>
      <c r="G3951" t="str">
        <f>HYPERLINK("https://twitter.com/1096838132203470849/status/1142734344588578818")</f>
        <v>https://twitter.com/1096838132203470849/status/1142734344588578818</v>
      </c>
      <c r="H3951" t="s">
        <v>46</v>
      </c>
      <c r="I3951" t="s">
        <v>12212</v>
      </c>
      <c r="J3951" t="str">
        <f>HYPERLINK("http://twitter.com/linda777puckett")</f>
        <v>http://twitter.com/linda777puckett</v>
      </c>
      <c r="K3951">
        <v>182</v>
      </c>
      <c r="N3951" t="s">
        <v>65</v>
      </c>
      <c r="R3951" t="s">
        <v>60</v>
      </c>
      <c r="S3951" t="s">
        <v>1071</v>
      </c>
      <c r="T3951" t="s">
        <v>7055</v>
      </c>
      <c r="U3951" t="s">
        <v>7056</v>
      </c>
      <c r="W3951">
        <v>3</v>
      </c>
      <c r="X3951">
        <v>3</v>
      </c>
      <c r="AE3951">
        <v>0</v>
      </c>
      <c r="AF3951">
        <v>0</v>
      </c>
      <c r="AM3951" t="s">
        <v>52</v>
      </c>
      <c r="AN3951" t="s">
        <v>53</v>
      </c>
    </row>
    <row r="3952" spans="1:40">
      <c r="A3952" t="s">
        <v>8081</v>
      </c>
      <c r="B3952" t="s">
        <v>7096</v>
      </c>
      <c r="C3952" t="s">
        <v>12213</v>
      </c>
      <c r="D3952" t="s">
        <v>12214</v>
      </c>
      <c r="E3952" t="s">
        <v>12215</v>
      </c>
      <c r="F3952" t="s">
        <v>45</v>
      </c>
      <c r="G3952" t="str">
        <f>HYPERLINK("https://www.youtube.com/watch?v=zBz_t6NLT6c")</f>
        <v>https://www.youtube.com/watch?v=zBz_t6NLT6c</v>
      </c>
      <c r="H3952" t="s">
        <v>46</v>
      </c>
      <c r="I3952" t="s">
        <v>12216</v>
      </c>
      <c r="J3952" t="str">
        <f>HYPERLINK("https://www.youtube.com/channel/UCuisCJfuyZmGuPFOQy5eFig")</f>
        <v>https://www.youtube.com/channel/UCuisCJfuyZmGuPFOQy5eFig</v>
      </c>
      <c r="K3952">
        <v>46</v>
      </c>
      <c r="N3952" t="s">
        <v>116</v>
      </c>
      <c r="O3952" t="s">
        <v>12216</v>
      </c>
      <c r="P3952" t="str">
        <f>HYPERLINK("https://www.youtube.com/channel/UCuisCJfuyZmGuPFOQy5eFig")</f>
        <v>https://www.youtube.com/channel/UCuisCJfuyZmGuPFOQy5eFig</v>
      </c>
      <c r="Q3952">
        <v>46</v>
      </c>
      <c r="R3952" t="s">
        <v>60</v>
      </c>
      <c r="S3952" t="s">
        <v>774</v>
      </c>
      <c r="W3952">
        <v>5</v>
      </c>
      <c r="X3952">
        <v>5</v>
      </c>
      <c r="AD3952">
        <v>0</v>
      </c>
      <c r="AE3952">
        <v>0</v>
      </c>
      <c r="AG3952">
        <v>108</v>
      </c>
      <c r="AI3952" t="s">
        <v>52</v>
      </c>
      <c r="AJ3952" t="s">
        <v>3936</v>
      </c>
      <c r="AK3952" t="s">
        <v>52</v>
      </c>
      <c r="AL3952" t="str">
        <f>HYPERLINK("https://i.ytimg.com/vi/zBz_t6NLT6c/hqdefault.jpg")</f>
        <v>https://i.ytimg.com/vi/zBz_t6NLT6c/hqdefault.jpg</v>
      </c>
      <c r="AM3952" t="s">
        <v>52</v>
      </c>
      <c r="AN3952" t="s">
        <v>53</v>
      </c>
    </row>
    <row r="3953" spans="1:40">
      <c r="A3953" t="s">
        <v>8081</v>
      </c>
      <c r="B3953" t="s">
        <v>12217</v>
      </c>
      <c r="C3953" t="s">
        <v>12218</v>
      </c>
      <c r="D3953" t="s">
        <v>52</v>
      </c>
      <c r="E3953" t="s">
        <v>4514</v>
      </c>
      <c r="F3953" t="s">
        <v>71</v>
      </c>
      <c r="G3953" t="str">
        <f>HYPERLINK("https://twitter.com/1042661687474708480/status/1142731982431854592")</f>
        <v>https://twitter.com/1042661687474708480/status/1142731982431854592</v>
      </c>
      <c r="H3953" t="s">
        <v>46</v>
      </c>
      <c r="I3953" t="s">
        <v>12219</v>
      </c>
      <c r="J3953" t="str">
        <f>HYPERLINK("http://twitter.com/PulkitUpadhya11")</f>
        <v>http://twitter.com/PulkitUpadhya11</v>
      </c>
      <c r="K3953">
        <v>2</v>
      </c>
      <c r="N3953" t="s">
        <v>65</v>
      </c>
      <c r="R3953" t="s">
        <v>60</v>
      </c>
      <c r="S3953" t="s">
        <v>315</v>
      </c>
      <c r="T3953" t="s">
        <v>7335</v>
      </c>
      <c r="U3953" t="s">
        <v>7336</v>
      </c>
      <c r="W3953">
        <v>0</v>
      </c>
      <c r="X3953">
        <v>0</v>
      </c>
      <c r="AE3953">
        <v>0</v>
      </c>
      <c r="AF3953">
        <v>0</v>
      </c>
      <c r="AI3953" t="s">
        <v>108</v>
      </c>
      <c r="AJ3953" t="s">
        <v>52</v>
      </c>
      <c r="AK3953" t="s">
        <v>52</v>
      </c>
      <c r="AL3953" t="str">
        <f>HYPERLINK("https://pbs.twimg.com/tweet_video_thumb/D9hvNNzXUAATAS3.jpg")</f>
        <v>https://pbs.twimg.com/tweet_video_thumb/D9hvNNzXUAATAS3.jpg</v>
      </c>
      <c r="AM3953" t="s">
        <v>52</v>
      </c>
      <c r="AN3953" t="s">
        <v>53</v>
      </c>
    </row>
    <row r="3954" spans="1:40">
      <c r="A3954" t="s">
        <v>8081</v>
      </c>
      <c r="B3954" t="s">
        <v>12217</v>
      </c>
      <c r="C3954" t="s">
        <v>12220</v>
      </c>
      <c r="D3954" t="s">
        <v>52</v>
      </c>
      <c r="E3954" t="s">
        <v>12221</v>
      </c>
      <c r="F3954" t="s">
        <v>95</v>
      </c>
      <c r="G3954" t="str">
        <f>HYPERLINK("https://twitter.com/1918976977/status/1142731877075185664")</f>
        <v>https://twitter.com/1918976977/status/1142731877075185664</v>
      </c>
      <c r="H3954" t="s">
        <v>46</v>
      </c>
      <c r="I3954" t="s">
        <v>12222</v>
      </c>
      <c r="J3954" t="str">
        <f>HYPERLINK("http://twitter.com/alexshaylynn15")</f>
        <v>http://twitter.com/alexshaylynn15</v>
      </c>
      <c r="K3954">
        <v>309</v>
      </c>
      <c r="N3954" t="s">
        <v>65</v>
      </c>
      <c r="R3954" t="s">
        <v>60</v>
      </c>
      <c r="W3954">
        <v>0</v>
      </c>
      <c r="X3954">
        <v>0</v>
      </c>
      <c r="AE3954">
        <v>1</v>
      </c>
      <c r="AF3954">
        <v>0</v>
      </c>
      <c r="AM3954" t="s">
        <v>52</v>
      </c>
      <c r="AN3954" t="s">
        <v>53</v>
      </c>
    </row>
    <row r="3955" spans="1:40">
      <c r="A3955" t="s">
        <v>8081</v>
      </c>
      <c r="B3955" t="s">
        <v>7100</v>
      </c>
      <c r="C3955" t="s">
        <v>12223</v>
      </c>
      <c r="D3955" t="s">
        <v>52</v>
      </c>
      <c r="E3955" t="s">
        <v>466</v>
      </c>
      <c r="F3955" t="s">
        <v>131</v>
      </c>
      <c r="G3955" t="str">
        <f>HYPERLINK("https://twitter.com/974919830993170432/status/1142731736800870400")</f>
        <v>https://twitter.com/974919830993170432/status/1142731736800870400</v>
      </c>
      <c r="H3955" t="s">
        <v>46</v>
      </c>
      <c r="I3955" t="s">
        <v>12224</v>
      </c>
      <c r="J3955" t="str">
        <f>HYPERLINK("http://twitter.com/jew0724")</f>
        <v>http://twitter.com/jew0724</v>
      </c>
      <c r="K3955">
        <v>1</v>
      </c>
      <c r="N3955" t="s">
        <v>65</v>
      </c>
      <c r="R3955" t="s">
        <v>60</v>
      </c>
      <c r="W3955">
        <v>0</v>
      </c>
      <c r="X3955">
        <v>0</v>
      </c>
      <c r="AE3955">
        <v>0</v>
      </c>
      <c r="AI3955" t="s">
        <v>108</v>
      </c>
      <c r="AJ3955" t="s">
        <v>52</v>
      </c>
      <c r="AK3955" t="s">
        <v>110</v>
      </c>
      <c r="AL3955" t="str">
        <f>HYPERLINK("https://pbs.twimg.com/media/D9Ya7SQXUAEkrVl.jpg")</f>
        <v>https://pbs.twimg.com/media/D9Ya7SQXUAEkrVl.jpg</v>
      </c>
      <c r="AM3955" t="s">
        <v>52</v>
      </c>
      <c r="AN3955" t="s">
        <v>53</v>
      </c>
    </row>
    <row r="3956" spans="1:40">
      <c r="A3956" t="s">
        <v>8081</v>
      </c>
      <c r="B3956" t="s">
        <v>7100</v>
      </c>
      <c r="C3956" t="s">
        <v>12225</v>
      </c>
      <c r="D3956" t="s">
        <v>52</v>
      </c>
      <c r="E3956" t="s">
        <v>12226</v>
      </c>
      <c r="F3956" t="s">
        <v>45</v>
      </c>
      <c r="G3956" t="str">
        <f>HYPERLINK("https://twitter.com/1082524793373519873/status/1142731680907530241")</f>
        <v>https://twitter.com/1082524793373519873/status/1142731680907530241</v>
      </c>
      <c r="H3956" t="s">
        <v>46</v>
      </c>
      <c r="I3956" t="s">
        <v>12227</v>
      </c>
      <c r="J3956" t="str">
        <f>HYPERLINK("http://twitter.com/_cadillacsx_")</f>
        <v>http://twitter.com/_cadillacsx_</v>
      </c>
      <c r="K3956">
        <v>36</v>
      </c>
      <c r="N3956" t="s">
        <v>65</v>
      </c>
      <c r="R3956" t="s">
        <v>60</v>
      </c>
      <c r="W3956">
        <v>2</v>
      </c>
      <c r="X3956">
        <v>2</v>
      </c>
      <c r="AE3956">
        <v>1</v>
      </c>
      <c r="AF3956">
        <v>0</v>
      </c>
      <c r="AM3956" t="s">
        <v>52</v>
      </c>
      <c r="AN3956" t="s">
        <v>53</v>
      </c>
    </row>
    <row r="3957" spans="1:40">
      <c r="A3957" t="s">
        <v>8081</v>
      </c>
      <c r="B3957" t="s">
        <v>7100</v>
      </c>
      <c r="C3957" t="s">
        <v>12228</v>
      </c>
      <c r="D3957" t="s">
        <v>52</v>
      </c>
      <c r="E3957" t="s">
        <v>3749</v>
      </c>
      <c r="F3957" t="s">
        <v>71</v>
      </c>
      <c r="G3957" t="str">
        <f>HYPERLINK("https://twitter.com/96797395/status/1142731627338043392")</f>
        <v>https://twitter.com/96797395/status/1142731627338043392</v>
      </c>
      <c r="H3957" t="s">
        <v>46</v>
      </c>
      <c r="I3957" t="s">
        <v>12229</v>
      </c>
      <c r="J3957" t="str">
        <f>HYPERLINK("http://twitter.com/911omphile")</f>
        <v>http://twitter.com/911omphile</v>
      </c>
      <c r="K3957">
        <v>826</v>
      </c>
      <c r="N3957" t="s">
        <v>65</v>
      </c>
      <c r="R3957" t="s">
        <v>60</v>
      </c>
      <c r="S3957" t="s">
        <v>521</v>
      </c>
      <c r="T3957" t="s">
        <v>522</v>
      </c>
      <c r="U3957" t="s">
        <v>2043</v>
      </c>
      <c r="W3957">
        <v>0</v>
      </c>
      <c r="X3957">
        <v>0</v>
      </c>
      <c r="AE3957">
        <v>0</v>
      </c>
      <c r="AF3957">
        <v>0</v>
      </c>
      <c r="AI3957" t="s">
        <v>108</v>
      </c>
      <c r="AJ3957" t="s">
        <v>52</v>
      </c>
      <c r="AK3957" t="s">
        <v>52</v>
      </c>
      <c r="AL3957" t="str">
        <f>HYPERLINK("https://pbs.twimg.com/media/D9sAXHUX4AA6vJs.jpg")</f>
        <v>https://pbs.twimg.com/media/D9sAXHUX4AA6vJs.jpg</v>
      </c>
      <c r="AM3957" t="s">
        <v>52</v>
      </c>
      <c r="AN3957" t="s">
        <v>53</v>
      </c>
    </row>
    <row r="3958" spans="1:40">
      <c r="A3958" t="s">
        <v>8081</v>
      </c>
      <c r="B3958" t="s">
        <v>7100</v>
      </c>
      <c r="C3958" t="s">
        <v>12230</v>
      </c>
      <c r="D3958" t="s">
        <v>52</v>
      </c>
      <c r="E3958" t="s">
        <v>3749</v>
      </c>
      <c r="F3958" t="s">
        <v>71</v>
      </c>
      <c r="G3958" t="str">
        <f>HYPERLINK("https://twitter.com/430650103/status/1142731588427497473")</f>
        <v>https://twitter.com/430650103/status/1142731588427497473</v>
      </c>
      <c r="H3958" t="s">
        <v>46</v>
      </c>
      <c r="I3958" t="s">
        <v>12231</v>
      </c>
      <c r="J3958" t="str">
        <f>HYPERLINK("http://twitter.com/Obiiey_")</f>
        <v>http://twitter.com/Obiiey_</v>
      </c>
      <c r="K3958">
        <v>2882</v>
      </c>
      <c r="N3958" t="s">
        <v>65</v>
      </c>
      <c r="R3958" t="s">
        <v>60</v>
      </c>
      <c r="S3958" t="s">
        <v>1071</v>
      </c>
      <c r="T3958" t="s">
        <v>5418</v>
      </c>
      <c r="U3958" t="s">
        <v>5419</v>
      </c>
      <c r="W3958">
        <v>0</v>
      </c>
      <c r="X3958">
        <v>0</v>
      </c>
      <c r="AE3958">
        <v>0</v>
      </c>
      <c r="AF3958">
        <v>0</v>
      </c>
      <c r="AI3958" t="s">
        <v>108</v>
      </c>
      <c r="AJ3958" t="s">
        <v>52</v>
      </c>
      <c r="AK3958" t="s">
        <v>52</v>
      </c>
      <c r="AL3958" t="str">
        <f>HYPERLINK("https://pbs.twimg.com/media/D9sAXHUX4AA6vJs.jpg")</f>
        <v>https://pbs.twimg.com/media/D9sAXHUX4AA6vJs.jpg</v>
      </c>
      <c r="AM3958" t="s">
        <v>52</v>
      </c>
      <c r="AN3958" t="s">
        <v>53</v>
      </c>
    </row>
    <row r="3959" spans="1:40">
      <c r="A3959" t="s">
        <v>8081</v>
      </c>
      <c r="B3959" t="s">
        <v>7100</v>
      </c>
      <c r="C3959" t="s">
        <v>10888</v>
      </c>
      <c r="D3959" t="s">
        <v>52</v>
      </c>
      <c r="E3959" t="s">
        <v>12232</v>
      </c>
      <c r="F3959" t="s">
        <v>45</v>
      </c>
      <c r="G3959" t="str">
        <f>HYPERLINK("https://www.instagram.com/p/BzDEBflAuaH")</f>
        <v>https://www.instagram.com/p/BzDEBflAuaH</v>
      </c>
      <c r="H3959" t="s">
        <v>46</v>
      </c>
      <c r="I3959" t="s">
        <v>12233</v>
      </c>
      <c r="J3959" t="str">
        <f>HYPERLINK("http://instagram.com/dmhardbulking")</f>
        <v>http://instagram.com/dmhardbulking</v>
      </c>
      <c r="K3959">
        <v>162</v>
      </c>
      <c r="N3959" t="s">
        <v>59</v>
      </c>
      <c r="O3959" t="s">
        <v>12233</v>
      </c>
      <c r="P3959" t="str">
        <f>HYPERLINK("http://instagram.com/dmhardbulking")</f>
        <v>http://instagram.com/dmhardbulking</v>
      </c>
      <c r="Q3959">
        <v>162</v>
      </c>
      <c r="R3959" t="s">
        <v>60</v>
      </c>
      <c r="W3959">
        <v>176</v>
      </c>
      <c r="X3959">
        <v>176</v>
      </c>
      <c r="AE3959">
        <v>12</v>
      </c>
      <c r="AI3959" t="s">
        <v>108</v>
      </c>
      <c r="AJ3959" t="s">
        <v>12234</v>
      </c>
      <c r="AK3959" t="s">
        <v>52</v>
      </c>
      <c r="AL3959" t="str">
        <f>HYPERLINK("https://www.instagram.com/p/BzDEBflAuaH/media/?size=l")</f>
        <v>https://www.instagram.com/p/BzDEBflAuaH/media/?size=l</v>
      </c>
      <c r="AM3959" t="s">
        <v>52</v>
      </c>
      <c r="AN3959" t="s">
        <v>53</v>
      </c>
    </row>
    <row r="3960" spans="1:40">
      <c r="A3960" t="s">
        <v>8081</v>
      </c>
      <c r="B3960" t="s">
        <v>7100</v>
      </c>
      <c r="C3960" t="s">
        <v>12230</v>
      </c>
      <c r="D3960" t="s">
        <v>52</v>
      </c>
      <c r="E3960" t="s">
        <v>3749</v>
      </c>
      <c r="F3960" t="s">
        <v>71</v>
      </c>
      <c r="G3960" t="str">
        <f>HYPERLINK("https://twitter.com/2710557155/status/1142731538691514368")</f>
        <v>https://twitter.com/2710557155/status/1142731538691514368</v>
      </c>
      <c r="H3960" t="s">
        <v>46</v>
      </c>
      <c r="I3960" t="s">
        <v>12235</v>
      </c>
      <c r="J3960" t="str">
        <f>HYPERLINK("http://twitter.com/Zodiac_Rebel")</f>
        <v>http://twitter.com/Zodiac_Rebel</v>
      </c>
      <c r="K3960">
        <v>910</v>
      </c>
      <c r="N3960" t="s">
        <v>65</v>
      </c>
      <c r="R3960" t="s">
        <v>60</v>
      </c>
      <c r="W3960">
        <v>0</v>
      </c>
      <c r="X3960">
        <v>0</v>
      </c>
      <c r="AE3960">
        <v>0</v>
      </c>
      <c r="AF3960">
        <v>0</v>
      </c>
      <c r="AI3960" t="s">
        <v>108</v>
      </c>
      <c r="AJ3960" t="s">
        <v>52</v>
      </c>
      <c r="AK3960" t="s">
        <v>52</v>
      </c>
      <c r="AL3960" t="str">
        <f>HYPERLINK("https://pbs.twimg.com/media/D9sAXHUX4AA6vJs.jpg")</f>
        <v>https://pbs.twimg.com/media/D9sAXHUX4AA6vJs.jpg</v>
      </c>
      <c r="AM3960" t="s">
        <v>52</v>
      </c>
      <c r="AN3960" t="s">
        <v>53</v>
      </c>
    </row>
    <row r="3961" spans="1:40">
      <c r="A3961" t="s">
        <v>8081</v>
      </c>
      <c r="B3961" t="s">
        <v>7104</v>
      </c>
      <c r="C3961" t="s">
        <v>12220</v>
      </c>
      <c r="D3961" t="s">
        <v>52</v>
      </c>
      <c r="E3961" t="s">
        <v>3749</v>
      </c>
      <c r="F3961" t="s">
        <v>71</v>
      </c>
      <c r="G3961" t="str">
        <f>HYPERLINK("https://twitter.com/832817200511725568/status/1142731516365213696")</f>
        <v>https://twitter.com/832817200511725568/status/1142731516365213696</v>
      </c>
      <c r="H3961" t="s">
        <v>46</v>
      </c>
      <c r="I3961" t="s">
        <v>12236</v>
      </c>
      <c r="J3961" t="str">
        <f>HYPERLINK("http://twitter.com/soxmadeherwet")</f>
        <v>http://twitter.com/soxmadeherwet</v>
      </c>
      <c r="K3961">
        <v>407</v>
      </c>
      <c r="N3961" t="s">
        <v>65</v>
      </c>
      <c r="R3961" t="s">
        <v>60</v>
      </c>
      <c r="W3961">
        <v>0</v>
      </c>
      <c r="X3961">
        <v>0</v>
      </c>
      <c r="AE3961">
        <v>0</v>
      </c>
      <c r="AF3961">
        <v>0</v>
      </c>
      <c r="AI3961" t="s">
        <v>108</v>
      </c>
      <c r="AJ3961" t="s">
        <v>52</v>
      </c>
      <c r="AK3961" t="s">
        <v>52</v>
      </c>
      <c r="AL3961" t="str">
        <f>HYPERLINK("https://pbs.twimg.com/media/D9sAXHUX4AA6vJs.jpg")</f>
        <v>https://pbs.twimg.com/media/D9sAXHUX4AA6vJs.jpg</v>
      </c>
      <c r="AM3961" t="s">
        <v>52</v>
      </c>
      <c r="AN3961" t="s">
        <v>53</v>
      </c>
    </row>
    <row r="3962" spans="1:40">
      <c r="A3962" t="s">
        <v>8081</v>
      </c>
      <c r="B3962" t="s">
        <v>7104</v>
      </c>
      <c r="C3962" t="s">
        <v>12237</v>
      </c>
      <c r="D3962" t="s">
        <v>52</v>
      </c>
      <c r="E3962" t="s">
        <v>4497</v>
      </c>
      <c r="F3962" t="s">
        <v>131</v>
      </c>
      <c r="G3962" t="str">
        <f>HYPERLINK("https://twitter.com/1133591145974554626/status/1142731417845227520")</f>
        <v>https://twitter.com/1133591145974554626/status/1142731417845227520</v>
      </c>
      <c r="H3962" t="s">
        <v>46</v>
      </c>
      <c r="I3962" t="s">
        <v>12238</v>
      </c>
      <c r="J3962" t="str">
        <f>HYPERLINK("http://twitter.com/grungeundead")</f>
        <v>http://twitter.com/grungeundead</v>
      </c>
      <c r="K3962">
        <v>299</v>
      </c>
      <c r="N3962" t="s">
        <v>65</v>
      </c>
      <c r="R3962" t="s">
        <v>60</v>
      </c>
      <c r="S3962" t="s">
        <v>51</v>
      </c>
      <c r="T3962" t="s">
        <v>137</v>
      </c>
      <c r="U3962" t="s">
        <v>9245</v>
      </c>
      <c r="W3962">
        <v>0</v>
      </c>
      <c r="X3962">
        <v>0</v>
      </c>
      <c r="AE3962">
        <v>0</v>
      </c>
      <c r="AM3962" t="s">
        <v>52</v>
      </c>
      <c r="AN3962" t="s">
        <v>53</v>
      </c>
    </row>
    <row r="3963" spans="1:40">
      <c r="A3963" t="s">
        <v>8081</v>
      </c>
      <c r="B3963" t="s">
        <v>1202</v>
      </c>
      <c r="C3963" t="s">
        <v>12210</v>
      </c>
      <c r="D3963" t="s">
        <v>12239</v>
      </c>
      <c r="E3963" t="s">
        <v>12240</v>
      </c>
      <c r="F3963" t="s">
        <v>45</v>
      </c>
      <c r="G3963" t="str">
        <f>HYPERLINK("https://www.youtube.com/watch?v=_ZiVdygrC3c")</f>
        <v>https://www.youtube.com/watch?v=_ZiVdygrC3c</v>
      </c>
      <c r="H3963" t="s">
        <v>46</v>
      </c>
      <c r="I3963" t="s">
        <v>12241</v>
      </c>
      <c r="J3963" t="str">
        <f>HYPERLINK("https://www.youtube.com/channel/UCt1l0e882h2kWxoECD71Yeg")</f>
        <v>https://www.youtube.com/channel/UCt1l0e882h2kWxoECD71Yeg</v>
      </c>
      <c r="K3963">
        <v>19</v>
      </c>
      <c r="N3963" t="s">
        <v>116</v>
      </c>
      <c r="O3963" t="s">
        <v>12241</v>
      </c>
      <c r="P3963" t="str">
        <f>HYPERLINK("https://www.youtube.com/channel/UCt1l0e882h2kWxoECD71Yeg")</f>
        <v>https://www.youtube.com/channel/UCt1l0e882h2kWxoECD71Yeg</v>
      </c>
      <c r="Q3963">
        <v>19</v>
      </c>
      <c r="R3963" t="s">
        <v>60</v>
      </c>
      <c r="W3963">
        <v>0</v>
      </c>
      <c r="X3963">
        <v>0</v>
      </c>
      <c r="AD3963">
        <v>0</v>
      </c>
      <c r="AE3963">
        <v>0</v>
      </c>
      <c r="AG3963">
        <v>6</v>
      </c>
      <c r="AI3963" t="s">
        <v>52</v>
      </c>
      <c r="AJ3963" t="s">
        <v>52</v>
      </c>
      <c r="AK3963" t="s">
        <v>52</v>
      </c>
      <c r="AL3963" t="str">
        <f>HYPERLINK("https://i.ytimg.com/vi/_ZiVdygrC3c/maxresdefault.jpg")</f>
        <v>https://i.ytimg.com/vi/_ZiVdygrC3c/maxresdefault.jpg</v>
      </c>
      <c r="AM3963" t="s">
        <v>52</v>
      </c>
      <c r="AN3963" t="s">
        <v>53</v>
      </c>
    </row>
    <row r="3964" spans="1:40">
      <c r="A3964" t="s">
        <v>8081</v>
      </c>
      <c r="B3964" t="s">
        <v>12242</v>
      </c>
      <c r="C3964" t="s">
        <v>12243</v>
      </c>
      <c r="D3964" t="s">
        <v>52</v>
      </c>
      <c r="E3964" t="s">
        <v>12244</v>
      </c>
      <c r="F3964" t="s">
        <v>71</v>
      </c>
      <c r="G3964" t="str">
        <f>HYPERLINK("https://twitter.com/716425639/status/1142730508968894464")</f>
        <v>https://twitter.com/716425639/status/1142730508968894464</v>
      </c>
      <c r="H3964" t="s">
        <v>46</v>
      </c>
      <c r="I3964" t="s">
        <v>12245</v>
      </c>
      <c r="J3964" t="str">
        <f>HYPERLINK("http://twitter.com/Kawaala_k")</f>
        <v>http://twitter.com/Kawaala_k</v>
      </c>
      <c r="K3964">
        <v>210</v>
      </c>
      <c r="N3964" t="s">
        <v>65</v>
      </c>
      <c r="R3964" t="s">
        <v>60</v>
      </c>
      <c r="S3964" t="s">
        <v>1071</v>
      </c>
      <c r="W3964">
        <v>0</v>
      </c>
      <c r="X3964">
        <v>0</v>
      </c>
      <c r="AE3964">
        <v>0</v>
      </c>
      <c r="AF3964">
        <v>0</v>
      </c>
      <c r="AI3964" t="s">
        <v>108</v>
      </c>
      <c r="AJ3964" t="s">
        <v>10510</v>
      </c>
      <c r="AK3964" t="s">
        <v>52</v>
      </c>
      <c r="AL3964" t="str">
        <f>HYPERLINK("https://pbs.twimg.com/media/D8dfuycXYAIGMG4.jpg")</f>
        <v>https://pbs.twimg.com/media/D8dfuycXYAIGMG4.jpg</v>
      </c>
      <c r="AM3964" t="s">
        <v>52</v>
      </c>
      <c r="AN3964" t="s">
        <v>53</v>
      </c>
    </row>
    <row r="3965" spans="1:40">
      <c r="A3965" t="s">
        <v>8081</v>
      </c>
      <c r="B3965" t="s">
        <v>1215</v>
      </c>
      <c r="C3965" t="s">
        <v>12246</v>
      </c>
      <c r="D3965" t="s">
        <v>52</v>
      </c>
      <c r="E3965" t="s">
        <v>3749</v>
      </c>
      <c r="F3965" t="s">
        <v>71</v>
      </c>
      <c r="G3965" t="str">
        <f>HYPERLINK("https://twitter.com/953643402029125632/status/1142729853604651008")</f>
        <v>https://twitter.com/953643402029125632/status/1142729853604651008</v>
      </c>
      <c r="H3965" t="s">
        <v>46</v>
      </c>
      <c r="I3965" t="s">
        <v>12247</v>
      </c>
      <c r="J3965" t="str">
        <f>HYPERLINK("http://twitter.com/QhayiyaHalana")</f>
        <v>http://twitter.com/QhayiyaHalana</v>
      </c>
      <c r="K3965">
        <v>445</v>
      </c>
      <c r="N3965" t="s">
        <v>65</v>
      </c>
      <c r="R3965" t="s">
        <v>60</v>
      </c>
      <c r="S3965" t="s">
        <v>1071</v>
      </c>
      <c r="W3965">
        <v>0</v>
      </c>
      <c r="X3965">
        <v>0</v>
      </c>
      <c r="AE3965">
        <v>0</v>
      </c>
      <c r="AF3965">
        <v>0</v>
      </c>
      <c r="AI3965" t="s">
        <v>108</v>
      </c>
      <c r="AJ3965" t="s">
        <v>52</v>
      </c>
      <c r="AK3965" t="s">
        <v>52</v>
      </c>
      <c r="AL3965" t="str">
        <f>HYPERLINK("https://pbs.twimg.com/media/D9sAXHUX4AA6vJs.jpg")</f>
        <v>https://pbs.twimg.com/media/D9sAXHUX4AA6vJs.jpg</v>
      </c>
      <c r="AM3965" t="s">
        <v>52</v>
      </c>
      <c r="AN3965" t="s">
        <v>53</v>
      </c>
    </row>
    <row r="3966" spans="1:40">
      <c r="A3966" t="s">
        <v>8081</v>
      </c>
      <c r="B3966" t="s">
        <v>1220</v>
      </c>
      <c r="C3966" t="s">
        <v>12198</v>
      </c>
      <c r="D3966" t="s">
        <v>52</v>
      </c>
      <c r="E3966" t="s">
        <v>12248</v>
      </c>
      <c r="F3966" t="s">
        <v>45</v>
      </c>
      <c r="G3966" t="str">
        <f>HYPERLINK("https://www.instagram.com/p/BzDDLutjMBK")</f>
        <v>https://www.instagram.com/p/BzDDLutjMBK</v>
      </c>
      <c r="H3966" t="s">
        <v>46</v>
      </c>
      <c r="I3966" t="s">
        <v>12249</v>
      </c>
      <c r="J3966" t="str">
        <f>HYPERLINK("http://instagram.com/littlellacey")</f>
        <v>http://instagram.com/littlellacey</v>
      </c>
      <c r="K3966">
        <v>152</v>
      </c>
      <c r="L3966" t="s">
        <v>58</v>
      </c>
      <c r="N3966" t="s">
        <v>59</v>
      </c>
      <c r="O3966" t="s">
        <v>12249</v>
      </c>
      <c r="P3966" t="str">
        <f>HYPERLINK("http://instagram.com/littlellacey")</f>
        <v>http://instagram.com/littlellacey</v>
      </c>
      <c r="Q3966">
        <v>152</v>
      </c>
      <c r="R3966" t="s">
        <v>60</v>
      </c>
      <c r="W3966">
        <v>16</v>
      </c>
      <c r="X3966">
        <v>16</v>
      </c>
      <c r="AE3966">
        <v>3</v>
      </c>
      <c r="AI3966" t="s">
        <v>52</v>
      </c>
      <c r="AJ3966" t="s">
        <v>12250</v>
      </c>
      <c r="AK3966" t="s">
        <v>52</v>
      </c>
      <c r="AL3966" t="str">
        <f>HYPERLINK("https://www.instagram.com/p/BzDDLutjMBK/media/?size=l")</f>
        <v>https://www.instagram.com/p/BzDDLutjMBK/media/?size=l</v>
      </c>
      <c r="AM3966" t="s">
        <v>52</v>
      </c>
      <c r="AN3966" t="s">
        <v>53</v>
      </c>
    </row>
    <row r="3967" spans="1:40">
      <c r="A3967" t="s">
        <v>8081</v>
      </c>
      <c r="B3967" t="s">
        <v>1220</v>
      </c>
      <c r="C3967" t="s">
        <v>12251</v>
      </c>
      <c r="D3967" t="s">
        <v>52</v>
      </c>
      <c r="E3967" t="s">
        <v>3749</v>
      </c>
      <c r="F3967" t="s">
        <v>71</v>
      </c>
      <c r="G3967" t="str">
        <f>HYPERLINK("https://twitter.com/2530798149/status/1142729712407601152")</f>
        <v>https://twitter.com/2530798149/status/1142729712407601152</v>
      </c>
      <c r="H3967" t="s">
        <v>46</v>
      </c>
      <c r="I3967" t="s">
        <v>12252</v>
      </c>
      <c r="J3967" t="str">
        <f>HYPERLINK("http://twitter.com/yummyyamiwami")</f>
        <v>http://twitter.com/yummyyamiwami</v>
      </c>
      <c r="K3967">
        <v>348</v>
      </c>
      <c r="N3967" t="s">
        <v>65</v>
      </c>
      <c r="R3967" t="s">
        <v>60</v>
      </c>
      <c r="S3967" t="s">
        <v>12253</v>
      </c>
      <c r="T3967" t="s">
        <v>12254</v>
      </c>
      <c r="U3967" t="s">
        <v>12255</v>
      </c>
      <c r="W3967">
        <v>0</v>
      </c>
      <c r="X3967">
        <v>0</v>
      </c>
      <c r="AE3967">
        <v>0</v>
      </c>
      <c r="AF3967">
        <v>0</v>
      </c>
      <c r="AI3967" t="s">
        <v>108</v>
      </c>
      <c r="AJ3967" t="s">
        <v>52</v>
      </c>
      <c r="AK3967" t="s">
        <v>52</v>
      </c>
      <c r="AL3967" t="str">
        <f>HYPERLINK("https://pbs.twimg.com/media/D9sAXHUX4AA6vJs.jpg")</f>
        <v>https://pbs.twimg.com/media/D9sAXHUX4AA6vJs.jpg</v>
      </c>
      <c r="AM3967" t="s">
        <v>52</v>
      </c>
      <c r="AN3967" t="s">
        <v>53</v>
      </c>
    </row>
    <row r="3968" spans="1:40">
      <c r="A3968" t="s">
        <v>8081</v>
      </c>
      <c r="B3968" t="s">
        <v>1220</v>
      </c>
      <c r="C3968" t="s">
        <v>12251</v>
      </c>
      <c r="D3968" t="s">
        <v>52</v>
      </c>
      <c r="E3968" t="s">
        <v>4296</v>
      </c>
      <c r="F3968" t="s">
        <v>131</v>
      </c>
      <c r="G3968" t="str">
        <f>HYPERLINK("https://twitter.com/431656464/status/1142729711887560705")</f>
        <v>https://twitter.com/431656464/status/1142729711887560705</v>
      </c>
      <c r="H3968" t="s">
        <v>46</v>
      </c>
      <c r="I3968" t="s">
        <v>12256</v>
      </c>
      <c r="J3968" t="str">
        <f>HYPERLINK("http://twitter.com/BkiThebe")</f>
        <v>http://twitter.com/BkiThebe</v>
      </c>
      <c r="K3968">
        <v>1871</v>
      </c>
      <c r="N3968" t="s">
        <v>65</v>
      </c>
      <c r="R3968" t="s">
        <v>60</v>
      </c>
      <c r="S3968" t="s">
        <v>1071</v>
      </c>
      <c r="T3968" t="s">
        <v>10309</v>
      </c>
      <c r="U3968" t="s">
        <v>12257</v>
      </c>
      <c r="W3968">
        <v>0</v>
      </c>
      <c r="X3968">
        <v>0</v>
      </c>
      <c r="AE3968">
        <v>0</v>
      </c>
      <c r="AI3968" t="s">
        <v>108</v>
      </c>
      <c r="AJ3968" t="s">
        <v>52</v>
      </c>
      <c r="AK3968" t="s">
        <v>52</v>
      </c>
      <c r="AL3968" t="str">
        <f>HYPERLINK("https://pbs.twimg.com/media/D9sAXHUX4AA6vJs.jpg")</f>
        <v>https://pbs.twimg.com/media/D9sAXHUX4AA6vJs.jpg</v>
      </c>
      <c r="AM3968" t="s">
        <v>52</v>
      </c>
      <c r="AN3968" t="s">
        <v>53</v>
      </c>
    </row>
    <row r="3969" spans="1:40">
      <c r="A3969" t="s">
        <v>8081</v>
      </c>
      <c r="B3969" t="s">
        <v>1224</v>
      </c>
      <c r="C3969" t="s">
        <v>12210</v>
      </c>
      <c r="D3969" t="s">
        <v>52</v>
      </c>
      <c r="E3969" t="s">
        <v>12258</v>
      </c>
      <c r="F3969" t="s">
        <v>45</v>
      </c>
      <c r="G3969" t="str">
        <f>HYPERLINK("https://www.instagram.com/p/BzDDA5IlpfB")</f>
        <v>https://www.instagram.com/p/BzDDA5IlpfB</v>
      </c>
      <c r="H3969" t="s">
        <v>46</v>
      </c>
      <c r="I3969" t="s">
        <v>12259</v>
      </c>
      <c r="J3969" t="str">
        <f>HYPERLINK("http://instagram.com/24sevenin")</f>
        <v>http://instagram.com/24sevenin</v>
      </c>
      <c r="K3969">
        <v>4640</v>
      </c>
      <c r="N3969" t="s">
        <v>59</v>
      </c>
      <c r="O3969" t="s">
        <v>12259</v>
      </c>
      <c r="P3969" t="str">
        <f>HYPERLINK("http://instagram.com/24sevenin")</f>
        <v>http://instagram.com/24sevenin</v>
      </c>
      <c r="Q3969">
        <v>4640</v>
      </c>
      <c r="R3969" t="s">
        <v>60</v>
      </c>
      <c r="S3969" t="s">
        <v>315</v>
      </c>
      <c r="T3969" t="s">
        <v>7335</v>
      </c>
      <c r="U3969" t="s">
        <v>7336</v>
      </c>
      <c r="W3969">
        <v>550</v>
      </c>
      <c r="X3969">
        <v>550</v>
      </c>
      <c r="AE3969">
        <v>5</v>
      </c>
      <c r="AI3969" t="s">
        <v>12260</v>
      </c>
      <c r="AJ3969" t="s">
        <v>12261</v>
      </c>
      <c r="AK3969" t="s">
        <v>52</v>
      </c>
      <c r="AL3969" t="str">
        <f>HYPERLINK("https://www.instagram.com/p/BzDDA5IlpfB/media/?size=l")</f>
        <v>https://www.instagram.com/p/BzDDA5IlpfB/media/?size=l</v>
      </c>
      <c r="AM3969" t="s">
        <v>52</v>
      </c>
      <c r="AN3969" t="s">
        <v>53</v>
      </c>
    </row>
    <row r="3970" spans="1:40">
      <c r="A3970" t="s">
        <v>8081</v>
      </c>
      <c r="B3970" t="s">
        <v>1228</v>
      </c>
      <c r="C3970" t="s">
        <v>12262</v>
      </c>
      <c r="D3970" t="s">
        <v>52</v>
      </c>
      <c r="E3970" t="s">
        <v>4514</v>
      </c>
      <c r="F3970" t="s">
        <v>71</v>
      </c>
      <c r="G3970" t="str">
        <f>HYPERLINK("https://twitter.com/765955540979703808/status/1142729224387624960")</f>
        <v>https://twitter.com/765955540979703808/status/1142729224387624960</v>
      </c>
      <c r="H3970" t="s">
        <v>46</v>
      </c>
      <c r="I3970" t="s">
        <v>12263</v>
      </c>
      <c r="J3970" t="str">
        <f>HYPERLINK("http://twitter.com/smmkap")</f>
        <v>http://twitter.com/smmkap</v>
      </c>
      <c r="K3970">
        <v>59</v>
      </c>
      <c r="N3970" t="s">
        <v>65</v>
      </c>
      <c r="R3970" t="s">
        <v>60</v>
      </c>
      <c r="S3970" t="s">
        <v>8494</v>
      </c>
      <c r="T3970" t="s">
        <v>8495</v>
      </c>
      <c r="W3970">
        <v>0</v>
      </c>
      <c r="X3970">
        <v>0</v>
      </c>
      <c r="AE3970">
        <v>0</v>
      </c>
      <c r="AF3970">
        <v>0</v>
      </c>
      <c r="AI3970" t="s">
        <v>108</v>
      </c>
      <c r="AJ3970" t="s">
        <v>52</v>
      </c>
      <c r="AK3970" t="s">
        <v>52</v>
      </c>
      <c r="AL3970" t="str">
        <f>HYPERLINK("https://pbs.twimg.com/tweet_video_thumb/D9hvNNzXUAATAS3.jpg")</f>
        <v>https://pbs.twimg.com/tweet_video_thumb/D9hvNNzXUAATAS3.jpg</v>
      </c>
      <c r="AM3970" t="s">
        <v>52</v>
      </c>
      <c r="AN3970" t="s">
        <v>53</v>
      </c>
    </row>
    <row r="3971" spans="1:40">
      <c r="A3971" t="s">
        <v>8081</v>
      </c>
      <c r="B3971" t="s">
        <v>12264</v>
      </c>
      <c r="C3971" t="s">
        <v>10094</v>
      </c>
      <c r="D3971" t="s">
        <v>52</v>
      </c>
      <c r="E3971" t="s">
        <v>12265</v>
      </c>
      <c r="F3971" t="s">
        <v>45</v>
      </c>
      <c r="G3971" t="str">
        <f>HYPERLINK("https://www.facebook.com/281202562389149/posts/620142911828444")</f>
        <v>https://www.facebook.com/281202562389149/posts/620142911828444</v>
      </c>
      <c r="H3971" t="s">
        <v>46</v>
      </c>
      <c r="N3971" t="s">
        <v>1792</v>
      </c>
      <c r="O3971" t="s">
        <v>12266</v>
      </c>
      <c r="P3971" t="str">
        <f>HYPERLINK("https://www.facebook.com/281202562389149")</f>
        <v>https://www.facebook.com/281202562389149</v>
      </c>
      <c r="Q3971">
        <v>381810</v>
      </c>
      <c r="R3971" t="s">
        <v>60</v>
      </c>
      <c r="W3971">
        <v>1</v>
      </c>
      <c r="X3971">
        <v>0</v>
      </c>
      <c r="Y3971">
        <v>0</v>
      </c>
      <c r="Z3971">
        <v>1</v>
      </c>
      <c r="AA3971">
        <v>0</v>
      </c>
      <c r="AB3971">
        <v>0</v>
      </c>
      <c r="AC3971">
        <v>0</v>
      </c>
      <c r="AE3971">
        <v>0</v>
      </c>
      <c r="AF3971">
        <v>1</v>
      </c>
      <c r="AM3971" t="s">
        <v>52</v>
      </c>
      <c r="AN3971" t="s">
        <v>53</v>
      </c>
    </row>
    <row r="3972" spans="1:40">
      <c r="A3972" t="s">
        <v>8081</v>
      </c>
      <c r="B3972" t="s">
        <v>12267</v>
      </c>
      <c r="C3972" t="s">
        <v>11011</v>
      </c>
      <c r="D3972" t="s">
        <v>52</v>
      </c>
      <c r="E3972" t="s">
        <v>12268</v>
      </c>
      <c r="F3972" t="s">
        <v>45</v>
      </c>
      <c r="G3972" t="str">
        <f>HYPERLINK("https://www.facebook.com/574459499231998/posts/2591905187487409")</f>
        <v>https://www.facebook.com/574459499231998/posts/2591905187487409</v>
      </c>
      <c r="H3972" t="s">
        <v>46</v>
      </c>
      <c r="I3972" t="s">
        <v>12259</v>
      </c>
      <c r="J3972" t="str">
        <f>HYPERLINK("https://www.facebook.com/574459499231998")</f>
        <v>https://www.facebook.com/574459499231998</v>
      </c>
      <c r="K3972">
        <v>68110</v>
      </c>
      <c r="L3972" t="s">
        <v>651</v>
      </c>
      <c r="N3972" t="s">
        <v>1792</v>
      </c>
      <c r="O3972" t="s">
        <v>12259</v>
      </c>
      <c r="P3972" t="str">
        <f>HYPERLINK("https://www.facebook.com/574459499231998")</f>
        <v>https://www.facebook.com/574459499231998</v>
      </c>
      <c r="Q3972">
        <v>68110</v>
      </c>
      <c r="R3972" t="s">
        <v>60</v>
      </c>
      <c r="S3972" t="s">
        <v>315</v>
      </c>
      <c r="W3972">
        <v>325</v>
      </c>
      <c r="X3972">
        <v>321</v>
      </c>
      <c r="Y3972">
        <v>4</v>
      </c>
      <c r="Z3972">
        <v>0</v>
      </c>
      <c r="AA3972">
        <v>0</v>
      </c>
      <c r="AB3972">
        <v>0</v>
      </c>
      <c r="AC3972">
        <v>0</v>
      </c>
      <c r="AE3972">
        <v>18</v>
      </c>
      <c r="AF3972">
        <v>6</v>
      </c>
      <c r="AI3972" t="s">
        <v>12260</v>
      </c>
      <c r="AJ3972" t="s">
        <v>12261</v>
      </c>
      <c r="AK3972" t="s">
        <v>52</v>
      </c>
      <c r="AL3972" t="str">
        <f>HYPERLINK("https://scontent.xx.fbcdn.net/v/t1.0-9/p720x720/64832458_2591905120820749_4670779412596129792_o.jpg?_nc_cat=100&amp;_nc_oc=AQlqgGwTN0sgdY6THkRm70USVLkBi6ewBECqFscKC1D8IgXyU70mhqiwhW5AsD8Set0&amp;_nc_ht=scontent.xx&amp;oh=5b146958711260f6e2695ffa017773fc&amp;oe=5D903D42")</f>
        <v>https://scontent.xx.fbcdn.net/v/t1.0-9/p720x720/64832458_2591905120820749_4670779412596129792_o.jpg?_nc_cat=100&amp;_nc_oc=AQlqgGwTN0sgdY6THkRm70USVLkBi6ewBECqFscKC1D8IgXyU70mhqiwhW5AsD8Set0&amp;_nc_ht=scontent.xx&amp;oh=5b146958711260f6e2695ffa017773fc&amp;oe=5D903D42</v>
      </c>
      <c r="AM3972" t="s">
        <v>52</v>
      </c>
      <c r="AN3972" t="s">
        <v>53</v>
      </c>
    </row>
    <row r="3973" spans="1:40">
      <c r="A3973" t="s">
        <v>8081</v>
      </c>
      <c r="B3973" t="s">
        <v>12267</v>
      </c>
      <c r="C3973" t="s">
        <v>12269</v>
      </c>
      <c r="D3973" t="s">
        <v>52</v>
      </c>
      <c r="E3973" t="s">
        <v>4296</v>
      </c>
      <c r="F3973" t="s">
        <v>131</v>
      </c>
      <c r="G3973" t="str">
        <f>HYPERLINK("https://twitter.com/2506325308/status/1142727659543310336")</f>
        <v>https://twitter.com/2506325308/status/1142727659543310336</v>
      </c>
      <c r="H3973" t="s">
        <v>46</v>
      </c>
      <c r="I3973" t="s">
        <v>12270</v>
      </c>
      <c r="J3973" t="str">
        <f>HYPERLINK("http://twitter.com/PhulusoManaga")</f>
        <v>http://twitter.com/PhulusoManaga</v>
      </c>
      <c r="K3973">
        <v>1849</v>
      </c>
      <c r="N3973" t="s">
        <v>65</v>
      </c>
      <c r="R3973" t="s">
        <v>60</v>
      </c>
      <c r="S3973" t="s">
        <v>1071</v>
      </c>
      <c r="T3973" t="s">
        <v>1072</v>
      </c>
      <c r="U3973" t="s">
        <v>1295</v>
      </c>
      <c r="W3973">
        <v>0</v>
      </c>
      <c r="X3973">
        <v>0</v>
      </c>
      <c r="AE3973">
        <v>0</v>
      </c>
      <c r="AI3973" t="s">
        <v>108</v>
      </c>
      <c r="AJ3973" t="s">
        <v>52</v>
      </c>
      <c r="AK3973" t="s">
        <v>52</v>
      </c>
      <c r="AL3973" t="str">
        <f>HYPERLINK("https://pbs.twimg.com/media/D9sAXHUX4AA6vJs.jpg")</f>
        <v>https://pbs.twimg.com/media/D9sAXHUX4AA6vJs.jpg</v>
      </c>
      <c r="AM3973" t="s">
        <v>52</v>
      </c>
      <c r="AN3973" t="s">
        <v>53</v>
      </c>
    </row>
    <row r="3974" spans="1:40">
      <c r="A3974" t="s">
        <v>8081</v>
      </c>
      <c r="B3974" t="s">
        <v>12267</v>
      </c>
      <c r="C3974" t="s">
        <v>12271</v>
      </c>
      <c r="D3974" t="s">
        <v>52</v>
      </c>
      <c r="E3974" t="s">
        <v>12272</v>
      </c>
      <c r="F3974" t="s">
        <v>95</v>
      </c>
      <c r="G3974" t="str">
        <f>HYPERLINK("https://twitter.com/3207471479/status/1142727636277497856")</f>
        <v>https://twitter.com/3207471479/status/1142727636277497856</v>
      </c>
      <c r="H3974" t="s">
        <v>46</v>
      </c>
      <c r="I3974" t="s">
        <v>12273</v>
      </c>
      <c r="J3974" t="str">
        <f>HYPERLINK("http://twitter.com/SYakobii")</f>
        <v>http://twitter.com/SYakobii</v>
      </c>
      <c r="K3974">
        <v>86</v>
      </c>
      <c r="N3974" t="s">
        <v>65</v>
      </c>
      <c r="R3974" t="s">
        <v>60</v>
      </c>
      <c r="W3974">
        <v>2</v>
      </c>
      <c r="X3974">
        <v>2</v>
      </c>
      <c r="AE3974">
        <v>0</v>
      </c>
      <c r="AF3974">
        <v>0</v>
      </c>
      <c r="AM3974" t="s">
        <v>52</v>
      </c>
      <c r="AN3974" t="s">
        <v>53</v>
      </c>
    </row>
    <row r="3975" spans="1:40">
      <c r="A3975" t="s">
        <v>8081</v>
      </c>
      <c r="B3975" t="s">
        <v>12267</v>
      </c>
      <c r="C3975" t="s">
        <v>12274</v>
      </c>
      <c r="D3975" t="s">
        <v>52</v>
      </c>
      <c r="E3975" t="s">
        <v>12275</v>
      </c>
      <c r="F3975" t="s">
        <v>71</v>
      </c>
      <c r="G3975" t="str">
        <f>HYPERLINK("https://twitter.com/26608202/status/1142727550105456641")</f>
        <v>https://twitter.com/26608202/status/1142727550105456641</v>
      </c>
      <c r="H3975" t="s">
        <v>46</v>
      </c>
      <c r="I3975" t="s">
        <v>12276</v>
      </c>
      <c r="J3975" t="str">
        <f>HYPERLINK("http://twitter.com/PApi_Knuckles24")</f>
        <v>http://twitter.com/PApi_Knuckles24</v>
      </c>
      <c r="K3975">
        <v>1434</v>
      </c>
      <c r="N3975" t="s">
        <v>65</v>
      </c>
      <c r="R3975" t="s">
        <v>60</v>
      </c>
      <c r="S3975" t="s">
        <v>1774</v>
      </c>
      <c r="T3975" t="s">
        <v>9566</v>
      </c>
      <c r="U3975" t="s">
        <v>12277</v>
      </c>
      <c r="W3975">
        <v>0</v>
      </c>
      <c r="X3975">
        <v>0</v>
      </c>
      <c r="AE3975">
        <v>0</v>
      </c>
      <c r="AF3975">
        <v>0</v>
      </c>
      <c r="AI3975" t="s">
        <v>52</v>
      </c>
      <c r="AJ3975" t="s">
        <v>52</v>
      </c>
      <c r="AK3975" t="s">
        <v>52</v>
      </c>
      <c r="AL3975" t="str">
        <f>HYPERLINK("https://pbs.twimg.com/tweet_video_thumb/D9vIpEdX4AAW1tv.jpg")</f>
        <v>https://pbs.twimg.com/tweet_video_thumb/D9vIpEdX4AAW1tv.jpg</v>
      </c>
      <c r="AM3975" t="s">
        <v>52</v>
      </c>
      <c r="AN3975" t="s">
        <v>53</v>
      </c>
    </row>
    <row r="3976" spans="1:40">
      <c r="A3976" t="s">
        <v>8081</v>
      </c>
      <c r="B3976" t="s">
        <v>12267</v>
      </c>
      <c r="C3976" t="s">
        <v>12278</v>
      </c>
      <c r="D3976" t="s">
        <v>52</v>
      </c>
      <c r="E3976" t="s">
        <v>12279</v>
      </c>
      <c r="F3976" t="s">
        <v>95</v>
      </c>
      <c r="G3976" t="str">
        <f>HYPERLINK("https://twitter.com/89008319/status/1142727511098322944")</f>
        <v>https://twitter.com/89008319/status/1142727511098322944</v>
      </c>
      <c r="H3976" t="s">
        <v>46</v>
      </c>
      <c r="I3976" t="s">
        <v>12280</v>
      </c>
      <c r="J3976" t="str">
        <f>HYPERLINK("http://twitter.com/NinjaBigBoss")</f>
        <v>http://twitter.com/NinjaBigBoss</v>
      </c>
      <c r="K3976">
        <v>11</v>
      </c>
      <c r="L3976" t="s">
        <v>48</v>
      </c>
      <c r="N3976" t="s">
        <v>65</v>
      </c>
      <c r="R3976" t="s">
        <v>60</v>
      </c>
      <c r="S3976" t="s">
        <v>51</v>
      </c>
      <c r="T3976" t="s">
        <v>173</v>
      </c>
      <c r="U3976" t="s">
        <v>12281</v>
      </c>
      <c r="W3976">
        <v>0</v>
      </c>
      <c r="X3976">
        <v>0</v>
      </c>
      <c r="AE3976">
        <v>0</v>
      </c>
      <c r="AF3976">
        <v>0</v>
      </c>
      <c r="AM3976" t="s">
        <v>52</v>
      </c>
      <c r="AN3976" t="s">
        <v>53</v>
      </c>
    </row>
    <row r="3977" spans="1:40">
      <c r="A3977" t="s">
        <v>8081</v>
      </c>
      <c r="B3977" t="s">
        <v>7132</v>
      </c>
      <c r="C3977" t="s">
        <v>10939</v>
      </c>
      <c r="D3977" t="s">
        <v>52</v>
      </c>
      <c r="E3977" t="s">
        <v>12282</v>
      </c>
      <c r="F3977" t="s">
        <v>45</v>
      </c>
      <c r="G3977" t="str">
        <f>HYPERLINK("https://www.instagram.com/p/BzDB5oEhpSu")</f>
        <v>https://www.instagram.com/p/BzDB5oEhpSu</v>
      </c>
      <c r="H3977" t="s">
        <v>46</v>
      </c>
      <c r="I3977" t="s">
        <v>52</v>
      </c>
      <c r="J3977" t="str">
        <f>HYPERLINK("http://instagram.com/styleforarigwildin")</f>
        <v>http://instagram.com/styleforarigwildin</v>
      </c>
      <c r="K3977">
        <v>247</v>
      </c>
      <c r="N3977" t="s">
        <v>59</v>
      </c>
      <c r="O3977" t="s">
        <v>52</v>
      </c>
      <c r="P3977" t="str">
        <f>HYPERLINK("http://instagram.com/styleforarigwildin")</f>
        <v>http://instagram.com/styleforarigwildin</v>
      </c>
      <c r="Q3977">
        <v>247</v>
      </c>
      <c r="R3977" t="s">
        <v>60</v>
      </c>
      <c r="W3977">
        <v>59</v>
      </c>
      <c r="X3977">
        <v>59</v>
      </c>
      <c r="AE3977">
        <v>3</v>
      </c>
      <c r="AI3977" t="s">
        <v>108</v>
      </c>
      <c r="AJ3977" t="s">
        <v>52</v>
      </c>
      <c r="AK3977" t="s">
        <v>52</v>
      </c>
      <c r="AL3977" t="str">
        <f>HYPERLINK("https://www.instagram.com/p/BzDB5oEhpSu/media/?size=l")</f>
        <v>https://www.instagram.com/p/BzDB5oEhpSu/media/?size=l</v>
      </c>
      <c r="AM3977" t="s">
        <v>52</v>
      </c>
      <c r="AN3977" t="s">
        <v>53</v>
      </c>
    </row>
    <row r="3978" spans="1:40">
      <c r="A3978" t="s">
        <v>8081</v>
      </c>
      <c r="B3978" t="s">
        <v>7136</v>
      </c>
      <c r="C3978" t="s">
        <v>12283</v>
      </c>
      <c r="D3978" t="s">
        <v>52</v>
      </c>
      <c r="E3978" t="s">
        <v>9447</v>
      </c>
      <c r="F3978" t="s">
        <v>131</v>
      </c>
      <c r="G3978" t="str">
        <f>HYPERLINK("https://twitter.com/4505788647/status/1142726420596215809")</f>
        <v>https://twitter.com/4505788647/status/1142726420596215809</v>
      </c>
      <c r="H3978" t="s">
        <v>46</v>
      </c>
      <c r="I3978" t="s">
        <v>12284</v>
      </c>
      <c r="J3978" t="str">
        <f>HYPERLINK("http://twitter.com/1Badasspoolboy")</f>
        <v>http://twitter.com/1Badasspoolboy</v>
      </c>
      <c r="K3978">
        <v>8004</v>
      </c>
      <c r="N3978" t="s">
        <v>65</v>
      </c>
      <c r="R3978" t="s">
        <v>60</v>
      </c>
      <c r="W3978">
        <v>0</v>
      </c>
      <c r="X3978">
        <v>0</v>
      </c>
      <c r="AE3978">
        <v>0</v>
      </c>
      <c r="AM3978" t="s">
        <v>52</v>
      </c>
      <c r="AN3978" t="s">
        <v>53</v>
      </c>
    </row>
    <row r="3979" spans="1:40">
      <c r="A3979" t="s">
        <v>8081</v>
      </c>
      <c r="B3979" t="s">
        <v>7136</v>
      </c>
      <c r="C3979" t="s">
        <v>12285</v>
      </c>
      <c r="D3979" t="s">
        <v>52</v>
      </c>
      <c r="E3979" t="s">
        <v>12286</v>
      </c>
      <c r="F3979" t="s">
        <v>45</v>
      </c>
      <c r="G3979" t="str">
        <f>HYPERLINK("https://twitter.com/2276053515/status/1142726299170959362")</f>
        <v>https://twitter.com/2276053515/status/1142726299170959362</v>
      </c>
      <c r="H3979" t="s">
        <v>46</v>
      </c>
      <c r="I3979" t="s">
        <v>12287</v>
      </c>
      <c r="J3979" t="str">
        <f>HYPERLINK("http://twitter.com/sometimesbeamin")</f>
        <v>http://twitter.com/sometimesbeamin</v>
      </c>
      <c r="K3979">
        <v>1538</v>
      </c>
      <c r="N3979" t="s">
        <v>65</v>
      </c>
      <c r="R3979" t="s">
        <v>60</v>
      </c>
      <c r="W3979">
        <v>0</v>
      </c>
      <c r="X3979">
        <v>0</v>
      </c>
      <c r="AE3979">
        <v>0</v>
      </c>
      <c r="AF3979">
        <v>0</v>
      </c>
      <c r="AM3979" t="s">
        <v>52</v>
      </c>
      <c r="AN3979" t="s">
        <v>53</v>
      </c>
    </row>
    <row r="3980" spans="1:40">
      <c r="A3980" t="s">
        <v>8081</v>
      </c>
      <c r="B3980" t="s">
        <v>7148</v>
      </c>
      <c r="C3980" t="s">
        <v>12288</v>
      </c>
      <c r="D3980" t="s">
        <v>52</v>
      </c>
      <c r="E3980" t="s">
        <v>1411</v>
      </c>
      <c r="F3980" t="s">
        <v>131</v>
      </c>
      <c r="G3980" t="str">
        <f>HYPERLINK("https://twitter.com/764957821200834560/status/1142725886308999168")</f>
        <v>https://twitter.com/764957821200834560/status/1142725886308999168</v>
      </c>
      <c r="H3980" t="s">
        <v>46</v>
      </c>
      <c r="I3980" t="s">
        <v>12289</v>
      </c>
      <c r="J3980" t="str">
        <f>HYPERLINK("http://twitter.com/seungkwansbff")</f>
        <v>http://twitter.com/seungkwansbff</v>
      </c>
      <c r="K3980">
        <v>691</v>
      </c>
      <c r="N3980" t="s">
        <v>65</v>
      </c>
      <c r="R3980" t="s">
        <v>60</v>
      </c>
      <c r="W3980">
        <v>0</v>
      </c>
      <c r="X3980">
        <v>0</v>
      </c>
      <c r="AE3980">
        <v>0</v>
      </c>
      <c r="AI3980" t="s">
        <v>52</v>
      </c>
      <c r="AJ3980" t="s">
        <v>52</v>
      </c>
      <c r="AK3980" t="s">
        <v>52</v>
      </c>
      <c r="AL3980" t="str">
        <f>HYPERLINK("https://pbs.twimg.com/media/D9ty30aU0AMJKHB.jpg")</f>
        <v>https://pbs.twimg.com/media/D9ty30aU0AMJKHB.jpg</v>
      </c>
      <c r="AM3980" t="s">
        <v>52</v>
      </c>
      <c r="AN3980" t="s">
        <v>53</v>
      </c>
    </row>
    <row r="3981" spans="1:40">
      <c r="A3981" t="s">
        <v>8081</v>
      </c>
      <c r="B3981" t="s">
        <v>7148</v>
      </c>
      <c r="C3981" t="s">
        <v>12288</v>
      </c>
      <c r="D3981" t="s">
        <v>52</v>
      </c>
      <c r="E3981" t="s">
        <v>12290</v>
      </c>
      <c r="F3981" t="s">
        <v>71</v>
      </c>
      <c r="G3981" t="str">
        <f>HYPERLINK("https://twitter.com/2158796313/status/1142725846349885440")</f>
        <v>https://twitter.com/2158796313/status/1142725846349885440</v>
      </c>
      <c r="H3981" t="s">
        <v>46</v>
      </c>
      <c r="I3981" t="s">
        <v>12291</v>
      </c>
      <c r="J3981" t="str">
        <f>HYPERLINK("http://twitter.com/ishmael_mashab")</f>
        <v>http://twitter.com/ishmael_mashab</v>
      </c>
      <c r="K3981">
        <v>3794</v>
      </c>
      <c r="N3981" t="s">
        <v>65</v>
      </c>
      <c r="R3981" t="s">
        <v>60</v>
      </c>
      <c r="S3981" t="s">
        <v>1071</v>
      </c>
      <c r="T3981" t="s">
        <v>1072</v>
      </c>
      <c r="U3981" t="s">
        <v>1073</v>
      </c>
      <c r="W3981">
        <v>0</v>
      </c>
      <c r="X3981">
        <v>0</v>
      </c>
      <c r="AE3981">
        <v>0</v>
      </c>
      <c r="AF3981">
        <v>0</v>
      </c>
      <c r="AM3981" t="s">
        <v>52</v>
      </c>
      <c r="AN3981" t="s">
        <v>53</v>
      </c>
    </row>
    <row r="3982" spans="1:40">
      <c r="A3982" t="s">
        <v>8081</v>
      </c>
      <c r="B3982" t="s">
        <v>12292</v>
      </c>
      <c r="C3982" t="s">
        <v>12293</v>
      </c>
      <c r="D3982" t="s">
        <v>12294</v>
      </c>
      <c r="E3982" t="s">
        <v>12295</v>
      </c>
      <c r="F3982" t="s">
        <v>45</v>
      </c>
      <c r="G3982" t="str">
        <f>HYPERLINK("https://food.einnews.com/article/488741051/lbgKVcmy2Nh9MpRI")</f>
        <v>https://food.einnews.com/article/488741051/lbgKVcmy2Nh9MpRI</v>
      </c>
      <c r="H3982" t="s">
        <v>46</v>
      </c>
      <c r="I3982" t="s">
        <v>12296</v>
      </c>
      <c r="J3982" t="str">
        <f>HYPERLINK("https://www.einnews.com")</f>
        <v>https://www.einnews.com</v>
      </c>
      <c r="N3982" t="s">
        <v>12297</v>
      </c>
      <c r="R3982" t="s">
        <v>357</v>
      </c>
      <c r="S3982" t="s">
        <v>51</v>
      </c>
      <c r="AI3982" t="s">
        <v>52</v>
      </c>
      <c r="AJ3982" t="s">
        <v>899</v>
      </c>
      <c r="AK3982" t="s">
        <v>12298</v>
      </c>
      <c r="AL3982" t="str">
        <f>HYPERLINK("https://www.heraldscotland.com/resources/images/10025406?type=responsive-gallery-fullscreen")</f>
        <v>https://www.heraldscotland.com/resources/images/10025406?type=responsive-gallery-fullscreen</v>
      </c>
      <c r="AM3982" t="s">
        <v>52</v>
      </c>
      <c r="AN3982" t="s">
        <v>53</v>
      </c>
    </row>
    <row r="3983" spans="1:40">
      <c r="A3983" t="s">
        <v>8081</v>
      </c>
      <c r="B3983" t="s">
        <v>12299</v>
      </c>
      <c r="C3983" t="s">
        <v>12300</v>
      </c>
      <c r="D3983" t="s">
        <v>52</v>
      </c>
      <c r="E3983" t="s">
        <v>12301</v>
      </c>
      <c r="F3983" t="s">
        <v>45</v>
      </c>
      <c r="G3983" t="str">
        <f>HYPERLINK("https://www.instagram.com/p/BzDBPSDnaBR")</f>
        <v>https://www.instagram.com/p/BzDBPSDnaBR</v>
      </c>
      <c r="H3983" t="s">
        <v>46</v>
      </c>
      <c r="I3983" t="s">
        <v>12302</v>
      </c>
      <c r="J3983" t="str">
        <f>HYPERLINK("http://instagram.com/akhir.lv")</f>
        <v>http://instagram.com/akhir.lv</v>
      </c>
      <c r="K3983">
        <v>678</v>
      </c>
      <c r="N3983" t="s">
        <v>59</v>
      </c>
      <c r="O3983" t="s">
        <v>12302</v>
      </c>
      <c r="P3983" t="str">
        <f>HYPERLINK("http://instagram.com/akhir.lv")</f>
        <v>http://instagram.com/akhir.lv</v>
      </c>
      <c r="Q3983">
        <v>678</v>
      </c>
      <c r="R3983" t="s">
        <v>60</v>
      </c>
      <c r="W3983">
        <v>28</v>
      </c>
      <c r="X3983">
        <v>28</v>
      </c>
      <c r="AE3983">
        <v>0</v>
      </c>
      <c r="AI3983" t="s">
        <v>52</v>
      </c>
      <c r="AJ3983" t="s">
        <v>9618</v>
      </c>
      <c r="AK3983" t="s">
        <v>2986</v>
      </c>
      <c r="AL3983" t="str">
        <f>HYPERLINK("https://www.instagram.com/p/BzDBPSDnaBR/media/?size=l")</f>
        <v>https://www.instagram.com/p/BzDBPSDnaBR/media/?size=l</v>
      </c>
      <c r="AM3983" t="s">
        <v>52</v>
      </c>
      <c r="AN3983" t="s">
        <v>53</v>
      </c>
    </row>
    <row r="3984" spans="1:40">
      <c r="A3984" t="s">
        <v>8081</v>
      </c>
      <c r="B3984" t="s">
        <v>12303</v>
      </c>
      <c r="C3984" t="s">
        <v>12304</v>
      </c>
      <c r="D3984" t="s">
        <v>52</v>
      </c>
      <c r="E3984" t="s">
        <v>12305</v>
      </c>
      <c r="F3984" t="s">
        <v>95</v>
      </c>
      <c r="G3984" t="str">
        <f>HYPERLINK("https://twitter.com/317157666/status/1142725031803412480")</f>
        <v>https://twitter.com/317157666/status/1142725031803412480</v>
      </c>
      <c r="H3984" t="s">
        <v>91</v>
      </c>
      <c r="I3984" t="s">
        <v>12306</v>
      </c>
      <c r="J3984" t="str">
        <f>HYPERLINK("http://twitter.com/DarrenProsser")</f>
        <v>http://twitter.com/DarrenProsser</v>
      </c>
      <c r="K3984">
        <v>930</v>
      </c>
      <c r="L3984" t="s">
        <v>48</v>
      </c>
      <c r="N3984" t="s">
        <v>65</v>
      </c>
      <c r="R3984" t="s">
        <v>60</v>
      </c>
      <c r="S3984" t="s">
        <v>97</v>
      </c>
      <c r="T3984" t="s">
        <v>177</v>
      </c>
      <c r="U3984" t="s">
        <v>12307</v>
      </c>
      <c r="W3984">
        <v>1</v>
      </c>
      <c r="X3984">
        <v>1</v>
      </c>
      <c r="AE3984">
        <v>0</v>
      </c>
      <c r="AF3984">
        <v>0</v>
      </c>
      <c r="AM3984" t="s">
        <v>52</v>
      </c>
      <c r="AN3984" t="s">
        <v>53</v>
      </c>
    </row>
    <row r="3985" spans="1:40">
      <c r="A3985" t="s">
        <v>8081</v>
      </c>
      <c r="B3985" t="s">
        <v>1241</v>
      </c>
      <c r="C3985" t="s">
        <v>12300</v>
      </c>
      <c r="D3985" t="s">
        <v>52</v>
      </c>
      <c r="E3985" t="s">
        <v>12308</v>
      </c>
      <c r="F3985" t="s">
        <v>131</v>
      </c>
      <c r="G3985" t="str">
        <f>HYPERLINK("https://twitter.com/1139947018753912832/status/1142724712805609474")</f>
        <v>https://twitter.com/1139947018753912832/status/1142724712805609474</v>
      </c>
      <c r="H3985" t="s">
        <v>46</v>
      </c>
      <c r="I3985" t="s">
        <v>12309</v>
      </c>
      <c r="J3985" t="str">
        <f>HYPERLINK("http://twitter.com/ebunbelce")</f>
        <v>http://twitter.com/ebunbelce</v>
      </c>
      <c r="K3985">
        <v>0</v>
      </c>
      <c r="L3985" t="s">
        <v>58</v>
      </c>
      <c r="N3985" t="s">
        <v>65</v>
      </c>
      <c r="R3985" t="s">
        <v>60</v>
      </c>
      <c r="W3985">
        <v>0</v>
      </c>
      <c r="X3985">
        <v>0</v>
      </c>
      <c r="AE3985">
        <v>0</v>
      </c>
      <c r="AM3985" t="s">
        <v>52</v>
      </c>
      <c r="AN3985" t="s">
        <v>53</v>
      </c>
    </row>
    <row r="3986" spans="1:40">
      <c r="A3986" t="s">
        <v>8081</v>
      </c>
      <c r="B3986" t="s">
        <v>7166</v>
      </c>
      <c r="C3986" t="s">
        <v>12304</v>
      </c>
      <c r="D3986" t="s">
        <v>12310</v>
      </c>
      <c r="E3986" t="s">
        <v>12311</v>
      </c>
      <c r="F3986" t="s">
        <v>45</v>
      </c>
      <c r="G3986" t="str">
        <f>HYPERLINK("https://nbonews.com/1-50-eps-expected-for-pepsico-inc-pep-moneta-group-investment-advisors-has-raised-ameren-aee-position-by-449388")</f>
        <v>https://nbonews.com/1-50-eps-expected-for-pepsico-inc-pep-moneta-group-investment-advisors-has-raised-ameren-aee-position-by-449388</v>
      </c>
      <c r="H3986" t="s">
        <v>46</v>
      </c>
      <c r="I3986" t="s">
        <v>12312</v>
      </c>
      <c r="J3986" t="str">
        <f>HYPERLINK("https://nbonews.com/1-50-eps-expected-for-pepsico-inc-pep-moneta-group-investment-advisors-has-raised-ameren-aee-position-by-449388/")</f>
        <v>https://nbonews.com/1-50-eps-expected-for-pepsico-inc-pep-moneta-group-investment-advisors-has-raised-ameren-aee-position-by-449388/</v>
      </c>
      <c r="L3986" t="s">
        <v>48</v>
      </c>
      <c r="N3986" t="s">
        <v>5590</v>
      </c>
      <c r="R3986" t="s">
        <v>357</v>
      </c>
      <c r="S3986" t="s">
        <v>51</v>
      </c>
      <c r="AI3986" t="s">
        <v>52</v>
      </c>
      <c r="AJ3986" t="s">
        <v>52</v>
      </c>
      <c r="AK3986" t="s">
        <v>52</v>
      </c>
      <c r="AL3986" t="str">
        <f>HYPERLINK("https://nbonews.com//wp-content/uploads/logos/Logos/PEP.png")</f>
        <v>https://nbonews.com//wp-content/uploads/logos/Logos/PEP.png</v>
      </c>
      <c r="AM3986" t="s">
        <v>52</v>
      </c>
      <c r="AN3986" t="s">
        <v>53</v>
      </c>
    </row>
    <row r="3987" spans="1:40">
      <c r="A3987" t="s">
        <v>8081</v>
      </c>
      <c r="B3987" t="s">
        <v>7172</v>
      </c>
      <c r="C3987" t="s">
        <v>12313</v>
      </c>
      <c r="D3987" t="s">
        <v>52</v>
      </c>
      <c r="E3987" t="s">
        <v>7615</v>
      </c>
      <c r="F3987" t="s">
        <v>71</v>
      </c>
      <c r="G3987" t="str">
        <f>HYPERLINK("https://twitter.com/1024429611193655297/status/1142723726607360001")</f>
        <v>https://twitter.com/1024429611193655297/status/1142723726607360001</v>
      </c>
      <c r="H3987" t="s">
        <v>46</v>
      </c>
      <c r="I3987" t="s">
        <v>12314</v>
      </c>
      <c r="J3987" t="str">
        <f>HYPERLINK("http://twitter.com/RaphaIsmael")</f>
        <v>http://twitter.com/RaphaIsmael</v>
      </c>
      <c r="K3987">
        <v>323</v>
      </c>
      <c r="N3987" t="s">
        <v>65</v>
      </c>
      <c r="R3987" t="s">
        <v>60</v>
      </c>
      <c r="S3987" t="s">
        <v>7641</v>
      </c>
      <c r="W3987">
        <v>0</v>
      </c>
      <c r="X3987">
        <v>0</v>
      </c>
      <c r="AE3987">
        <v>0</v>
      </c>
      <c r="AF3987">
        <v>0</v>
      </c>
      <c r="AI3987" t="s">
        <v>108</v>
      </c>
      <c r="AJ3987" t="s">
        <v>52</v>
      </c>
      <c r="AK3987" t="s">
        <v>52</v>
      </c>
      <c r="AL3987" t="str">
        <f>HYPERLINK("https://pbs.twimg.com/media/D9sAXHUX4AA6vJs.jpg")</f>
        <v>https://pbs.twimg.com/media/D9sAXHUX4AA6vJs.jpg</v>
      </c>
      <c r="AM3987" t="s">
        <v>52</v>
      </c>
      <c r="AN3987" t="s">
        <v>53</v>
      </c>
    </row>
    <row r="3988" spans="1:40">
      <c r="A3988" t="s">
        <v>8081</v>
      </c>
      <c r="B3988" t="s">
        <v>7175</v>
      </c>
      <c r="C3988" t="s">
        <v>12313</v>
      </c>
      <c r="D3988" t="s">
        <v>52</v>
      </c>
      <c r="E3988" t="s">
        <v>12315</v>
      </c>
      <c r="F3988" t="s">
        <v>95</v>
      </c>
      <c r="G3988" t="str">
        <f>HYPERLINK("https://twitter.com/1289867462/status/1142723640846409729")</f>
        <v>https://twitter.com/1289867462/status/1142723640846409729</v>
      </c>
      <c r="H3988" t="s">
        <v>46</v>
      </c>
      <c r="I3988" t="s">
        <v>12316</v>
      </c>
      <c r="J3988" t="str">
        <f>HYPERLINK("http://twitter.com/DJSums17")</f>
        <v>http://twitter.com/DJSums17</v>
      </c>
      <c r="K3988">
        <v>559</v>
      </c>
      <c r="N3988" t="s">
        <v>65</v>
      </c>
      <c r="R3988" t="s">
        <v>60</v>
      </c>
      <c r="S3988" t="s">
        <v>51</v>
      </c>
      <c r="T3988" t="s">
        <v>199</v>
      </c>
      <c r="U3988" t="s">
        <v>8693</v>
      </c>
      <c r="W3988">
        <v>1</v>
      </c>
      <c r="X3988">
        <v>1</v>
      </c>
      <c r="AE3988">
        <v>1</v>
      </c>
      <c r="AF3988">
        <v>0</v>
      </c>
      <c r="AI3988" t="s">
        <v>52</v>
      </c>
      <c r="AJ3988" t="s">
        <v>121</v>
      </c>
      <c r="AK3988" t="s">
        <v>12317</v>
      </c>
      <c r="AL3988" t="str">
        <f>HYPERLINK("https://pbs.twimg.com/tweet_video_thumb/D9vFFraXkAIKGt-.jpg")</f>
        <v>https://pbs.twimg.com/tweet_video_thumb/D9vFFraXkAIKGt-.jpg</v>
      </c>
      <c r="AM3988" t="s">
        <v>52</v>
      </c>
      <c r="AN3988" t="s">
        <v>53</v>
      </c>
    </row>
    <row r="3989" spans="1:40">
      <c r="A3989" t="s">
        <v>8081</v>
      </c>
      <c r="B3989" t="s">
        <v>7179</v>
      </c>
      <c r="C3989" t="s">
        <v>12304</v>
      </c>
      <c r="D3989" t="s">
        <v>12318</v>
      </c>
      <c r="E3989" t="s">
        <v>12319</v>
      </c>
      <c r="F3989" t="s">
        <v>45</v>
      </c>
      <c r="G3989" t="str">
        <f>HYPERLINK("http://www.globaltimes.cn/content/1155344.shtml")</f>
        <v>http://www.globaltimes.cn/content/1155344.shtml</v>
      </c>
      <c r="H3989" t="s">
        <v>46</v>
      </c>
      <c r="I3989" t="s">
        <v>12320</v>
      </c>
      <c r="J3989" t="str">
        <f>HYPERLINK("http://www.globaltimes.cn/content/1155344.shtml")</f>
        <v>http://www.globaltimes.cn/content/1155344.shtml</v>
      </c>
      <c r="N3989" t="s">
        <v>12321</v>
      </c>
      <c r="R3989" t="s">
        <v>357</v>
      </c>
      <c r="S3989" t="s">
        <v>965</v>
      </c>
      <c r="AI3989" t="s">
        <v>52</v>
      </c>
      <c r="AJ3989" t="s">
        <v>12322</v>
      </c>
      <c r="AK3989" t="s">
        <v>601</v>
      </c>
      <c r="AL3989" t="str">
        <f>HYPERLINK("http://www.globaltimes.cn/Portals/0/attachment/2019/2019-06-23/93663bc5-d905-44a0-b789-98ceb03c7790.jpeg")</f>
        <v>http://www.globaltimes.cn/Portals/0/attachment/2019/2019-06-23/93663bc5-d905-44a0-b789-98ceb03c7790.jpeg</v>
      </c>
      <c r="AM3989" t="s">
        <v>52</v>
      </c>
      <c r="AN3989" t="s">
        <v>53</v>
      </c>
    </row>
    <row r="3990" spans="1:40">
      <c r="A3990" t="s">
        <v>8081</v>
      </c>
      <c r="B3990" t="s">
        <v>7179</v>
      </c>
      <c r="C3990" t="s">
        <v>10986</v>
      </c>
      <c r="D3990" t="s">
        <v>52</v>
      </c>
      <c r="E3990" t="s">
        <v>12323</v>
      </c>
      <c r="F3990" t="s">
        <v>45</v>
      </c>
      <c r="G3990" t="str">
        <f>HYPERLINK("https://www.instagram.com/p/BzDAS5ioPGY")</f>
        <v>https://www.instagram.com/p/BzDAS5ioPGY</v>
      </c>
      <c r="H3990" t="s">
        <v>46</v>
      </c>
      <c r="I3990" t="s">
        <v>12324</v>
      </c>
      <c r="J3990" t="str">
        <f>HYPERLINK("http://instagram.com/polski_maluch")</f>
        <v>http://instagram.com/polski_maluch</v>
      </c>
      <c r="K3990">
        <v>1968</v>
      </c>
      <c r="N3990" t="s">
        <v>59</v>
      </c>
      <c r="O3990" t="s">
        <v>12324</v>
      </c>
      <c r="P3990" t="str">
        <f>HYPERLINK("http://instagram.com/polski_maluch")</f>
        <v>http://instagram.com/polski_maluch</v>
      </c>
      <c r="Q3990">
        <v>1968</v>
      </c>
      <c r="R3990" t="s">
        <v>60</v>
      </c>
      <c r="W3990">
        <v>305</v>
      </c>
      <c r="X3990">
        <v>305</v>
      </c>
      <c r="AE3990">
        <v>17</v>
      </c>
      <c r="AI3990" t="s">
        <v>108</v>
      </c>
      <c r="AJ3990" t="s">
        <v>121</v>
      </c>
      <c r="AK3990" t="s">
        <v>2468</v>
      </c>
      <c r="AL3990" t="str">
        <f>HYPERLINK("https://www.instagram.com/p/BzDAS5ioPGY/media/?size=l")</f>
        <v>https://www.instagram.com/p/BzDAS5ioPGY/media/?size=l</v>
      </c>
      <c r="AM3990" t="s">
        <v>52</v>
      </c>
      <c r="AN3990" t="s">
        <v>53</v>
      </c>
    </row>
    <row r="3991" spans="1:40">
      <c r="A3991" t="s">
        <v>8081</v>
      </c>
      <c r="B3991" t="s">
        <v>7179</v>
      </c>
      <c r="C3991" t="s">
        <v>10933</v>
      </c>
      <c r="D3991" t="s">
        <v>12325</v>
      </c>
      <c r="E3991" t="s">
        <v>12326</v>
      </c>
      <c r="F3991" t="s">
        <v>45</v>
      </c>
      <c r="G3991" t="str">
        <f>HYPERLINK("https://mayfieldrecorder.com/2019/06/23/colonial-trust-advisors-sells-8584-shares-of-pepsico-inc-pep.html")</f>
        <v>https://mayfieldrecorder.com/2019/06/23/colonial-trust-advisors-sells-8584-shares-of-pepsico-inc-pep.html</v>
      </c>
      <c r="H3991" t="s">
        <v>91</v>
      </c>
      <c r="I3991" t="s">
        <v>1245</v>
      </c>
      <c r="J3991" t="str">
        <f>HYPERLINK("https://mayfieldrecorder.com/2019/06/23/colonial-trust-advisors-sells-8584-shares-of-pepsico-inc-pep.html")</f>
        <v>https://mayfieldrecorder.com/2019/06/23/colonial-trust-advisors-sells-8584-shares-of-pepsico-inc-pep.html</v>
      </c>
      <c r="L3991" t="s">
        <v>48</v>
      </c>
      <c r="N3991" t="s">
        <v>356</v>
      </c>
      <c r="R3991" t="s">
        <v>357</v>
      </c>
      <c r="S3991" t="s">
        <v>51</v>
      </c>
      <c r="AM3991" t="s">
        <v>52</v>
      </c>
      <c r="AN3991" t="s">
        <v>53</v>
      </c>
    </row>
    <row r="3992" spans="1:40">
      <c r="A3992" t="s">
        <v>8081</v>
      </c>
      <c r="B3992" t="s">
        <v>1246</v>
      </c>
      <c r="C3992" t="s">
        <v>12327</v>
      </c>
      <c r="D3992" t="s">
        <v>52</v>
      </c>
      <c r="E3992" t="s">
        <v>7615</v>
      </c>
      <c r="F3992" t="s">
        <v>71</v>
      </c>
      <c r="G3992" t="str">
        <f>HYPERLINK("https://twitter.com/1142258671/status/1142722975491342337")</f>
        <v>https://twitter.com/1142258671/status/1142722975491342337</v>
      </c>
      <c r="H3992" t="s">
        <v>46</v>
      </c>
      <c r="I3992" t="s">
        <v>12328</v>
      </c>
      <c r="J3992" t="str">
        <f>HYPERLINK("http://twitter.com/IsibayaOverHoes")</f>
        <v>http://twitter.com/IsibayaOverHoes</v>
      </c>
      <c r="K3992">
        <v>4120</v>
      </c>
      <c r="N3992" t="s">
        <v>65</v>
      </c>
      <c r="R3992" t="s">
        <v>60</v>
      </c>
      <c r="S3992" t="s">
        <v>51</v>
      </c>
      <c r="T3992" t="s">
        <v>173</v>
      </c>
      <c r="W3992">
        <v>0</v>
      </c>
      <c r="X3992">
        <v>0</v>
      </c>
      <c r="AE3992">
        <v>0</v>
      </c>
      <c r="AF3992">
        <v>0</v>
      </c>
      <c r="AI3992" t="s">
        <v>108</v>
      </c>
      <c r="AJ3992" t="s">
        <v>52</v>
      </c>
      <c r="AK3992" t="s">
        <v>52</v>
      </c>
      <c r="AL3992" t="str">
        <f>HYPERLINK("https://pbs.twimg.com/media/D9sAXHUX4AA6vJs.jpg")</f>
        <v>https://pbs.twimg.com/media/D9sAXHUX4AA6vJs.jpg</v>
      </c>
      <c r="AM3992" t="s">
        <v>52</v>
      </c>
      <c r="AN3992" t="s">
        <v>53</v>
      </c>
    </row>
    <row r="3993" spans="1:40">
      <c r="A3993" t="s">
        <v>8081</v>
      </c>
      <c r="B3993" t="s">
        <v>1261</v>
      </c>
      <c r="C3993" t="s">
        <v>12329</v>
      </c>
      <c r="D3993" t="s">
        <v>52</v>
      </c>
      <c r="E3993" t="s">
        <v>12330</v>
      </c>
      <c r="F3993" t="s">
        <v>45</v>
      </c>
      <c r="G3993" t="str">
        <f>HYPERLINK("https://www.instagram.com/p/BzC_vrilicI")</f>
        <v>https://www.instagram.com/p/BzC_vrilicI</v>
      </c>
      <c r="H3993" t="s">
        <v>46</v>
      </c>
      <c r="I3993" t="s">
        <v>12331</v>
      </c>
      <c r="J3993" t="str">
        <f>HYPERLINK("http://instagram.com/jenji")</f>
        <v>http://instagram.com/jenji</v>
      </c>
      <c r="K3993">
        <v>860</v>
      </c>
      <c r="N3993" t="s">
        <v>59</v>
      </c>
      <c r="O3993" t="s">
        <v>12331</v>
      </c>
      <c r="P3993" t="str">
        <f>HYPERLINK("http://instagram.com/jenji")</f>
        <v>http://instagram.com/jenji</v>
      </c>
      <c r="Q3993">
        <v>860</v>
      </c>
      <c r="R3993" t="s">
        <v>60</v>
      </c>
      <c r="W3993">
        <v>23</v>
      </c>
      <c r="X3993">
        <v>23</v>
      </c>
      <c r="AE3993">
        <v>0</v>
      </c>
      <c r="AI3993" t="s">
        <v>52</v>
      </c>
      <c r="AJ3993" t="s">
        <v>461</v>
      </c>
      <c r="AK3993" t="s">
        <v>52</v>
      </c>
      <c r="AL3993" t="str">
        <f>HYPERLINK("https://www.instagram.com/p/BzC_vrilicI/media/?size=l")</f>
        <v>https://www.instagram.com/p/BzC_vrilicI/media/?size=l</v>
      </c>
      <c r="AM3993" t="s">
        <v>52</v>
      </c>
      <c r="AN3993" t="s">
        <v>53</v>
      </c>
    </row>
    <row r="3994" spans="1:40">
      <c r="A3994" t="s">
        <v>8081</v>
      </c>
      <c r="B3994" t="s">
        <v>1271</v>
      </c>
      <c r="C3994" t="s">
        <v>12332</v>
      </c>
      <c r="D3994" t="s">
        <v>52</v>
      </c>
      <c r="E3994" t="s">
        <v>130</v>
      </c>
      <c r="F3994" t="s">
        <v>131</v>
      </c>
      <c r="G3994" t="str">
        <f>HYPERLINK("https://twitter.com/868033422/status/1142721584324628480")</f>
        <v>https://twitter.com/868033422/status/1142721584324628480</v>
      </c>
      <c r="H3994" t="s">
        <v>46</v>
      </c>
      <c r="I3994" t="s">
        <v>12333</v>
      </c>
      <c r="J3994" t="str">
        <f>HYPERLINK("http://twitter.com/Scatterbrain_1")</f>
        <v>http://twitter.com/Scatterbrain_1</v>
      </c>
      <c r="K3994">
        <v>765</v>
      </c>
      <c r="N3994" t="s">
        <v>65</v>
      </c>
      <c r="R3994" t="s">
        <v>60</v>
      </c>
      <c r="W3994">
        <v>0</v>
      </c>
      <c r="X3994">
        <v>0</v>
      </c>
      <c r="AE3994">
        <v>0</v>
      </c>
      <c r="AI3994" t="s">
        <v>108</v>
      </c>
      <c r="AJ3994" t="s">
        <v>52</v>
      </c>
      <c r="AK3994" t="s">
        <v>52</v>
      </c>
      <c r="AL3994" t="str">
        <f>HYPERLINK("https://pbs.twimg.com/media/D9XTkLWW4AAOYnJ.jpg")</f>
        <v>https://pbs.twimg.com/media/D9XTkLWW4AAOYnJ.jpg</v>
      </c>
      <c r="AM3994" t="s">
        <v>52</v>
      </c>
      <c r="AN3994" t="s">
        <v>53</v>
      </c>
    </row>
    <row r="3995" spans="1:40">
      <c r="A3995" t="s">
        <v>8081</v>
      </c>
      <c r="B3995" t="s">
        <v>1271</v>
      </c>
      <c r="C3995" t="s">
        <v>12334</v>
      </c>
      <c r="D3995" t="s">
        <v>52</v>
      </c>
      <c r="E3995" t="s">
        <v>7615</v>
      </c>
      <c r="F3995" t="s">
        <v>71</v>
      </c>
      <c r="G3995" t="str">
        <f>HYPERLINK("https://twitter.com/440873787/status/1142721536643801088")</f>
        <v>https://twitter.com/440873787/status/1142721536643801088</v>
      </c>
      <c r="H3995" t="s">
        <v>46</v>
      </c>
      <c r="I3995" t="s">
        <v>12335</v>
      </c>
      <c r="J3995" t="str">
        <f>HYPERLINK("http://twitter.com/sihlebaartman")</f>
        <v>http://twitter.com/sihlebaartman</v>
      </c>
      <c r="K3995">
        <v>1034</v>
      </c>
      <c r="N3995" t="s">
        <v>65</v>
      </c>
      <c r="R3995" t="s">
        <v>60</v>
      </c>
      <c r="S3995" t="s">
        <v>1071</v>
      </c>
      <c r="W3995">
        <v>0</v>
      </c>
      <c r="X3995">
        <v>0</v>
      </c>
      <c r="AE3995">
        <v>0</v>
      </c>
      <c r="AF3995">
        <v>0</v>
      </c>
      <c r="AI3995" t="s">
        <v>108</v>
      </c>
      <c r="AJ3995" t="s">
        <v>52</v>
      </c>
      <c r="AK3995" t="s">
        <v>52</v>
      </c>
      <c r="AL3995" t="str">
        <f>HYPERLINK("https://pbs.twimg.com/media/D9sAXHUX4AA6vJs.jpg")</f>
        <v>https://pbs.twimg.com/media/D9sAXHUX4AA6vJs.jpg</v>
      </c>
      <c r="AM3995" t="s">
        <v>52</v>
      </c>
      <c r="AN3995" t="s">
        <v>53</v>
      </c>
    </row>
    <row r="3996" spans="1:40">
      <c r="A3996" t="s">
        <v>8081</v>
      </c>
      <c r="B3996" t="s">
        <v>1271</v>
      </c>
      <c r="C3996" t="s">
        <v>12336</v>
      </c>
      <c r="D3996" t="s">
        <v>52</v>
      </c>
      <c r="E3996" t="s">
        <v>12337</v>
      </c>
      <c r="F3996" t="s">
        <v>45</v>
      </c>
      <c r="G3996" t="str">
        <f>HYPERLINK("https://www.instagram.com/p/BzC_bf4A7f4")</f>
        <v>https://www.instagram.com/p/BzC_bf4A7f4</v>
      </c>
      <c r="H3996" t="s">
        <v>46</v>
      </c>
      <c r="I3996" t="s">
        <v>12338</v>
      </c>
      <c r="J3996" t="str">
        <f>HYPERLINK("http://instagram.com/artcart9")</f>
        <v>http://instagram.com/artcart9</v>
      </c>
      <c r="K3996">
        <v>682</v>
      </c>
      <c r="N3996" t="s">
        <v>59</v>
      </c>
      <c r="O3996" t="s">
        <v>12338</v>
      </c>
      <c r="P3996" t="str">
        <f>HYPERLINK("http://instagram.com/artcart9")</f>
        <v>http://instagram.com/artcart9</v>
      </c>
      <c r="Q3996">
        <v>682</v>
      </c>
      <c r="R3996" t="s">
        <v>60</v>
      </c>
      <c r="W3996">
        <v>23</v>
      </c>
      <c r="X3996">
        <v>23</v>
      </c>
      <c r="AE3996">
        <v>2</v>
      </c>
      <c r="AI3996" t="s">
        <v>52</v>
      </c>
      <c r="AJ3996" t="s">
        <v>12339</v>
      </c>
      <c r="AK3996" t="s">
        <v>52</v>
      </c>
      <c r="AL3996" t="str">
        <f>HYPERLINK("https://www.instagram.com/p/BzC_bf4A7f4/media/?size=l")</f>
        <v>https://www.instagram.com/p/BzC_bf4A7f4/media/?size=l</v>
      </c>
      <c r="AM3996" t="s">
        <v>52</v>
      </c>
      <c r="AN3996" t="s">
        <v>53</v>
      </c>
    </row>
    <row r="3997" spans="1:40">
      <c r="A3997" t="s">
        <v>8081</v>
      </c>
      <c r="B3997" t="s">
        <v>1282</v>
      </c>
      <c r="C3997" t="s">
        <v>12340</v>
      </c>
      <c r="D3997" t="s">
        <v>12341</v>
      </c>
      <c r="E3997" t="s">
        <v>12342</v>
      </c>
      <c r="F3997" t="s">
        <v>95</v>
      </c>
      <c r="G3997" t="str">
        <f>HYPERLINK("https://www.youtube.com/watch?v=AhFflkbGwDg&amp;lc=UgwiX2S5LyQk3PYM1aJ4AaABAg.8wWUgvNlwPS8wWV4r1XteD")</f>
        <v>https://www.youtube.com/watch?v=AhFflkbGwDg&amp;lc=UgwiX2S5LyQk3PYM1aJ4AaABAg.8wWUgvNlwPS8wWV4r1XteD</v>
      </c>
      <c r="H3997" t="s">
        <v>46</v>
      </c>
      <c r="I3997" t="s">
        <v>12343</v>
      </c>
      <c r="J3997" t="str">
        <f>HYPERLINK("https://www.youtube.com/channel/UCpzNagiK3_gsK2KU5U8JREg")</f>
        <v>https://www.youtube.com/channel/UCpzNagiK3_gsK2KU5U8JREg</v>
      </c>
      <c r="K3997">
        <v>6987</v>
      </c>
      <c r="N3997" t="s">
        <v>116</v>
      </c>
      <c r="O3997" t="s">
        <v>12343</v>
      </c>
      <c r="P3997" t="str">
        <f>HYPERLINK("https://www.youtube.com/channel/UCpzNagiK3_gsK2KU5U8JREg")</f>
        <v>https://www.youtube.com/channel/UCpzNagiK3_gsK2KU5U8JREg</v>
      </c>
      <c r="Q3997">
        <v>6987</v>
      </c>
      <c r="R3997" t="s">
        <v>60</v>
      </c>
      <c r="W3997">
        <v>0</v>
      </c>
      <c r="X3997">
        <v>0</v>
      </c>
      <c r="AM3997" t="s">
        <v>52</v>
      </c>
      <c r="AN3997" t="s">
        <v>53</v>
      </c>
    </row>
    <row r="3998" spans="1:40">
      <c r="A3998" t="s">
        <v>8081</v>
      </c>
      <c r="B3998" t="s">
        <v>1287</v>
      </c>
      <c r="C3998" t="s">
        <v>12344</v>
      </c>
      <c r="D3998" t="s">
        <v>52</v>
      </c>
      <c r="E3998" t="s">
        <v>3749</v>
      </c>
      <c r="F3998" t="s">
        <v>71</v>
      </c>
      <c r="G3998" t="str">
        <f>HYPERLINK("https://twitter.com/514154654/status/1142720817840758784")</f>
        <v>https://twitter.com/514154654/status/1142720817840758784</v>
      </c>
      <c r="H3998" t="s">
        <v>46</v>
      </c>
      <c r="I3998" t="s">
        <v>52</v>
      </c>
      <c r="J3998" t="str">
        <f>HYPERLINK("http://twitter.com/maribefly")</f>
        <v>http://twitter.com/maribefly</v>
      </c>
      <c r="K3998">
        <v>1452</v>
      </c>
      <c r="N3998" t="s">
        <v>65</v>
      </c>
      <c r="R3998" t="s">
        <v>60</v>
      </c>
      <c r="S3998" t="s">
        <v>1071</v>
      </c>
      <c r="T3998" t="s">
        <v>1072</v>
      </c>
      <c r="U3998" t="s">
        <v>1073</v>
      </c>
      <c r="W3998">
        <v>0</v>
      </c>
      <c r="X3998">
        <v>0</v>
      </c>
      <c r="AE3998">
        <v>0</v>
      </c>
      <c r="AF3998">
        <v>0</v>
      </c>
      <c r="AI3998" t="s">
        <v>108</v>
      </c>
      <c r="AJ3998" t="s">
        <v>52</v>
      </c>
      <c r="AK3998" t="s">
        <v>52</v>
      </c>
      <c r="AL3998" t="str">
        <f>HYPERLINK("https://pbs.twimg.com/media/D9sAXHUX4AA6vJs.jpg")</f>
        <v>https://pbs.twimg.com/media/D9sAXHUX4AA6vJs.jpg</v>
      </c>
      <c r="AM3998" t="s">
        <v>52</v>
      </c>
      <c r="AN3998" t="s">
        <v>53</v>
      </c>
    </row>
    <row r="3999" spans="1:40">
      <c r="A3999" t="s">
        <v>8081</v>
      </c>
      <c r="B3999" t="s">
        <v>1287</v>
      </c>
      <c r="C3999" t="s">
        <v>12345</v>
      </c>
      <c r="D3999" t="s">
        <v>52</v>
      </c>
      <c r="E3999" t="s">
        <v>12346</v>
      </c>
      <c r="F3999" t="s">
        <v>45</v>
      </c>
      <c r="G3999" t="str">
        <f>HYPERLINK("https://twitter.com/833575787852767232/status/1142720786299363330")</f>
        <v>https://twitter.com/833575787852767232/status/1142720786299363330</v>
      </c>
      <c r="H3999" t="s">
        <v>46</v>
      </c>
      <c r="I3999" t="s">
        <v>12347</v>
      </c>
      <c r="J3999" t="str">
        <f>HYPERLINK("http://twitter.com/jenikka02")</f>
        <v>http://twitter.com/jenikka02</v>
      </c>
      <c r="K3999">
        <v>151</v>
      </c>
      <c r="N3999" t="s">
        <v>65</v>
      </c>
      <c r="R3999" t="s">
        <v>60</v>
      </c>
      <c r="W3999">
        <v>10</v>
      </c>
      <c r="X3999">
        <v>10</v>
      </c>
      <c r="AE3999">
        <v>0</v>
      </c>
      <c r="AF3999">
        <v>0</v>
      </c>
      <c r="AM3999" t="s">
        <v>52</v>
      </c>
      <c r="AN3999" t="s">
        <v>53</v>
      </c>
    </row>
    <row r="4000" spans="1:40">
      <c r="A4000" t="s">
        <v>8081</v>
      </c>
      <c r="B4000" t="s">
        <v>1291</v>
      </c>
      <c r="C4000" t="s">
        <v>12348</v>
      </c>
      <c r="D4000" t="s">
        <v>52</v>
      </c>
      <c r="E4000" t="s">
        <v>12349</v>
      </c>
      <c r="F4000" t="s">
        <v>95</v>
      </c>
      <c r="G4000" t="str">
        <f>HYPERLINK("https://twitter.com/1129259550773719040/status/1142720640501215232")</f>
        <v>https://twitter.com/1129259550773719040/status/1142720640501215232</v>
      </c>
      <c r="H4000" t="s">
        <v>46</v>
      </c>
      <c r="I4000" t="s">
        <v>733</v>
      </c>
      <c r="J4000" t="str">
        <f>HYPERLINK("http://twitter.com/ChillObvious")</f>
        <v>http://twitter.com/ChillObvious</v>
      </c>
      <c r="K4000">
        <v>24</v>
      </c>
      <c r="N4000" t="s">
        <v>65</v>
      </c>
      <c r="R4000" t="s">
        <v>60</v>
      </c>
      <c r="W4000">
        <v>0</v>
      </c>
      <c r="X4000">
        <v>0</v>
      </c>
      <c r="AE4000">
        <v>0</v>
      </c>
      <c r="AF4000">
        <v>0</v>
      </c>
      <c r="AM4000" t="s">
        <v>52</v>
      </c>
      <c r="AN4000" t="s">
        <v>53</v>
      </c>
    </row>
    <row r="4001" spans="1:40">
      <c r="A4001" t="s">
        <v>8081</v>
      </c>
      <c r="B4001" t="s">
        <v>1305</v>
      </c>
      <c r="C4001" t="s">
        <v>12340</v>
      </c>
      <c r="D4001" t="s">
        <v>52</v>
      </c>
      <c r="E4001" t="s">
        <v>7615</v>
      </c>
      <c r="F4001" t="s">
        <v>71</v>
      </c>
      <c r="G4001" t="str">
        <f>HYPERLINK("https://twitter.com/2849574489/status/1142720169824968704")</f>
        <v>https://twitter.com/2849574489/status/1142720169824968704</v>
      </c>
      <c r="H4001" t="s">
        <v>46</v>
      </c>
      <c r="I4001" t="s">
        <v>12350</v>
      </c>
      <c r="J4001" t="str">
        <f>HYPERLINK("http://twitter.com/takutom7")</f>
        <v>http://twitter.com/takutom7</v>
      </c>
      <c r="K4001">
        <v>940</v>
      </c>
      <c r="N4001" t="s">
        <v>65</v>
      </c>
      <c r="R4001" t="s">
        <v>60</v>
      </c>
      <c r="S4001" t="s">
        <v>97</v>
      </c>
      <c r="T4001" t="s">
        <v>177</v>
      </c>
      <c r="U4001" t="s">
        <v>361</v>
      </c>
      <c r="W4001">
        <v>0</v>
      </c>
      <c r="X4001">
        <v>0</v>
      </c>
      <c r="AE4001">
        <v>0</v>
      </c>
      <c r="AF4001">
        <v>0</v>
      </c>
      <c r="AI4001" t="s">
        <v>108</v>
      </c>
      <c r="AJ4001" t="s">
        <v>52</v>
      </c>
      <c r="AK4001" t="s">
        <v>52</v>
      </c>
      <c r="AL4001" t="str">
        <f>HYPERLINK("https://pbs.twimg.com/media/D9sAXHUX4AA6vJs.jpg")</f>
        <v>https://pbs.twimg.com/media/D9sAXHUX4AA6vJs.jpg</v>
      </c>
      <c r="AM4001" t="s">
        <v>52</v>
      </c>
      <c r="AN4001" t="s">
        <v>53</v>
      </c>
    </row>
    <row r="4002" spans="1:40">
      <c r="A4002" t="s">
        <v>8081</v>
      </c>
      <c r="B4002" t="s">
        <v>1305</v>
      </c>
      <c r="C4002" t="s">
        <v>12332</v>
      </c>
      <c r="D4002" t="s">
        <v>52</v>
      </c>
      <c r="E4002" t="s">
        <v>7615</v>
      </c>
      <c r="F4002" t="s">
        <v>71</v>
      </c>
      <c r="G4002" t="str">
        <f>HYPERLINK("https://twitter.com/1585508696/status/1142720103596941313")</f>
        <v>https://twitter.com/1585508696/status/1142720103596941313</v>
      </c>
      <c r="H4002" t="s">
        <v>46</v>
      </c>
      <c r="I4002" t="s">
        <v>12351</v>
      </c>
      <c r="J4002" t="str">
        <f>HYPERLINK("http://twitter.com/canaan_09")</f>
        <v>http://twitter.com/canaan_09</v>
      </c>
      <c r="K4002">
        <v>324</v>
      </c>
      <c r="N4002" t="s">
        <v>65</v>
      </c>
      <c r="R4002" t="s">
        <v>60</v>
      </c>
      <c r="S4002" t="s">
        <v>1071</v>
      </c>
      <c r="T4002" t="s">
        <v>5506</v>
      </c>
      <c r="U4002" t="s">
        <v>10917</v>
      </c>
      <c r="W4002">
        <v>0</v>
      </c>
      <c r="X4002">
        <v>0</v>
      </c>
      <c r="AE4002">
        <v>0</v>
      </c>
      <c r="AF4002">
        <v>0</v>
      </c>
      <c r="AI4002" t="s">
        <v>108</v>
      </c>
      <c r="AJ4002" t="s">
        <v>52</v>
      </c>
      <c r="AK4002" t="s">
        <v>52</v>
      </c>
      <c r="AL4002" t="str">
        <f>HYPERLINK("https://pbs.twimg.com/media/D9sAXHUX4AA6vJs.jpg")</f>
        <v>https://pbs.twimg.com/media/D9sAXHUX4AA6vJs.jpg</v>
      </c>
      <c r="AM4002" t="s">
        <v>52</v>
      </c>
      <c r="AN4002" t="s">
        <v>53</v>
      </c>
    </row>
    <row r="4003" spans="1:40">
      <c r="A4003" t="s">
        <v>8081</v>
      </c>
      <c r="B4003" t="s">
        <v>12352</v>
      </c>
      <c r="C4003" t="s">
        <v>6991</v>
      </c>
      <c r="D4003" t="s">
        <v>12294</v>
      </c>
      <c r="E4003" t="s">
        <v>12353</v>
      </c>
      <c r="F4003" t="s">
        <v>45</v>
      </c>
      <c r="G4003" t="str">
        <f>HYPERLINK("https://www.heraldscotland.com/life_style/17724266.cookbook-food-writer-mimi-aye-talks-burmese-cuisine/?ref=rss")</f>
        <v>https://www.heraldscotland.com/life_style/17724266.cookbook-food-writer-mimi-aye-talks-burmese-cuisine/?ref=rss</v>
      </c>
      <c r="H4003" t="s">
        <v>46</v>
      </c>
      <c r="I4003" t="s">
        <v>12354</v>
      </c>
      <c r="J4003" t="str">
        <f>HYPERLINK("https://www.heraldscotland.com/life_style/17724266.cookbook-food-writer-mimi-aye-talks-burmese-cuisine/?ref=rss")</f>
        <v>https://www.heraldscotland.com/life_style/17724266.cookbook-food-writer-mimi-aye-talks-burmese-cuisine/?ref=rss</v>
      </c>
      <c r="N4003" t="s">
        <v>12354</v>
      </c>
      <c r="R4003" t="s">
        <v>357</v>
      </c>
      <c r="S4003" t="s">
        <v>97</v>
      </c>
      <c r="AM4003" t="s">
        <v>52</v>
      </c>
      <c r="AN4003" t="s">
        <v>53</v>
      </c>
    </row>
    <row r="4004" spans="1:40">
      <c r="A4004" t="s">
        <v>8081</v>
      </c>
      <c r="B4004" t="s">
        <v>1308</v>
      </c>
      <c r="C4004" t="s">
        <v>12355</v>
      </c>
      <c r="D4004" t="s">
        <v>52</v>
      </c>
      <c r="E4004" t="s">
        <v>12356</v>
      </c>
      <c r="F4004" t="s">
        <v>45</v>
      </c>
      <c r="G4004" t="str">
        <f>HYPERLINK("https://www.facebook.com/47485713506/posts/10156584233013507")</f>
        <v>https://www.facebook.com/47485713506/posts/10156584233013507</v>
      </c>
      <c r="H4004" t="s">
        <v>91</v>
      </c>
      <c r="I4004" t="s">
        <v>12357</v>
      </c>
      <c r="J4004" t="str">
        <f>HYPERLINK("https://www.facebook.com/47485713506")</f>
        <v>https://www.facebook.com/47485713506</v>
      </c>
      <c r="K4004">
        <v>110307</v>
      </c>
      <c r="L4004" t="s">
        <v>651</v>
      </c>
      <c r="N4004" t="s">
        <v>1792</v>
      </c>
      <c r="O4004" t="s">
        <v>12357</v>
      </c>
      <c r="P4004" t="str">
        <f>HYPERLINK("https://www.facebook.com/47485713506")</f>
        <v>https://www.facebook.com/47485713506</v>
      </c>
      <c r="Q4004">
        <v>110307</v>
      </c>
      <c r="R4004" t="s">
        <v>60</v>
      </c>
      <c r="S4004" t="s">
        <v>51</v>
      </c>
      <c r="W4004">
        <v>118</v>
      </c>
      <c r="X4004">
        <v>100</v>
      </c>
      <c r="Y4004">
        <v>9</v>
      </c>
      <c r="Z4004">
        <v>2</v>
      </c>
      <c r="AA4004">
        <v>7</v>
      </c>
      <c r="AB4004">
        <v>0</v>
      </c>
      <c r="AC4004">
        <v>0</v>
      </c>
      <c r="AE4004">
        <v>59</v>
      </c>
      <c r="AF4004">
        <v>63</v>
      </c>
      <c r="AI4004" t="s">
        <v>52</v>
      </c>
      <c r="AJ4004" t="s">
        <v>12358</v>
      </c>
      <c r="AK4004" t="s">
        <v>52</v>
      </c>
      <c r="AL4004" t="str">
        <f>HYPERLINK("https://i.iheart.com/v3/re/new_assets/5d0796c9948d343964f58e62")</f>
        <v>https://i.iheart.com/v3/re/new_assets/5d0796c9948d343964f58e62</v>
      </c>
      <c r="AM4004" t="s">
        <v>52</v>
      </c>
      <c r="AN4004" t="s">
        <v>53</v>
      </c>
    </row>
    <row r="4005" spans="1:40">
      <c r="A4005" t="s">
        <v>8081</v>
      </c>
      <c r="B4005" t="s">
        <v>1308</v>
      </c>
      <c r="C4005" t="s">
        <v>12348</v>
      </c>
      <c r="D4005" t="s">
        <v>52</v>
      </c>
      <c r="E4005" t="s">
        <v>4514</v>
      </c>
      <c r="F4005" t="s">
        <v>71</v>
      </c>
      <c r="G4005" t="str">
        <f>HYPERLINK("https://twitter.com/2464222383/status/1142719287888699392")</f>
        <v>https://twitter.com/2464222383/status/1142719287888699392</v>
      </c>
      <c r="H4005" t="s">
        <v>46</v>
      </c>
      <c r="I4005" t="s">
        <v>12359</v>
      </c>
      <c r="J4005" t="str">
        <f>HYPERLINK("http://twitter.com/avengerofhearts")</f>
        <v>http://twitter.com/avengerofhearts</v>
      </c>
      <c r="K4005">
        <v>422</v>
      </c>
      <c r="N4005" t="s">
        <v>65</v>
      </c>
      <c r="R4005" t="s">
        <v>60</v>
      </c>
      <c r="W4005">
        <v>0</v>
      </c>
      <c r="X4005">
        <v>0</v>
      </c>
      <c r="AE4005">
        <v>0</v>
      </c>
      <c r="AF4005">
        <v>0</v>
      </c>
      <c r="AI4005" t="s">
        <v>108</v>
      </c>
      <c r="AJ4005" t="s">
        <v>52</v>
      </c>
      <c r="AK4005" t="s">
        <v>52</v>
      </c>
      <c r="AL4005" t="str">
        <f>HYPERLINK("https://pbs.twimg.com/tweet_video_thumb/D9hvNNzXUAATAS3.jpg")</f>
        <v>https://pbs.twimg.com/tweet_video_thumb/D9hvNNzXUAATAS3.jpg</v>
      </c>
      <c r="AM4005" t="s">
        <v>52</v>
      </c>
      <c r="AN4005" t="s">
        <v>53</v>
      </c>
    </row>
    <row r="4006" spans="1:40">
      <c r="A4006" t="s">
        <v>8081</v>
      </c>
      <c r="B4006" t="s">
        <v>1318</v>
      </c>
      <c r="C4006" t="s">
        <v>10703</v>
      </c>
      <c r="D4006" t="s">
        <v>52</v>
      </c>
      <c r="E4006" t="s">
        <v>12360</v>
      </c>
      <c r="F4006" t="s">
        <v>45</v>
      </c>
      <c r="G4006" t="str">
        <f>HYPERLINK("https://vk.com/wall-149276083_103296")</f>
        <v>https://vk.com/wall-149276083_103296</v>
      </c>
      <c r="H4006" t="s">
        <v>46</v>
      </c>
      <c r="I4006" t="s">
        <v>12361</v>
      </c>
      <c r="J4006" t="str">
        <f>HYPERLINK("http://vk.com/id470178594")</f>
        <v>http://vk.com/id470178594</v>
      </c>
      <c r="K4006">
        <v>4007</v>
      </c>
      <c r="L4006" t="s">
        <v>48</v>
      </c>
      <c r="M4006">
        <v>96</v>
      </c>
      <c r="N4006" t="s">
        <v>1624</v>
      </c>
      <c r="O4006" t="s">
        <v>12362</v>
      </c>
      <c r="P4006" t="str">
        <f>HYPERLINK("http://vk.com/club149276083")</f>
        <v>http://vk.com/club149276083</v>
      </c>
      <c r="Q4006">
        <v>41097</v>
      </c>
      <c r="R4006" t="s">
        <v>60</v>
      </c>
      <c r="S4006" t="s">
        <v>3660</v>
      </c>
      <c r="T4006" t="s">
        <v>6803</v>
      </c>
      <c r="U4006" t="s">
        <v>12363</v>
      </c>
      <c r="W4006">
        <v>209</v>
      </c>
      <c r="X4006">
        <v>209</v>
      </c>
      <c r="AE4006">
        <v>7</v>
      </c>
      <c r="AF4006">
        <v>1</v>
      </c>
      <c r="AG4006">
        <v>4344</v>
      </c>
      <c r="AI4006" t="s">
        <v>108</v>
      </c>
      <c r="AJ4006" t="s">
        <v>3626</v>
      </c>
      <c r="AK4006" t="s">
        <v>52</v>
      </c>
      <c r="AL4006" t="str">
        <f>HYPERLINK("https://sun9-34.userapi.com/c852024/v852024129/151095/lgafMhlWZe0.jpg")</f>
        <v>https://sun9-34.userapi.com/c852024/v852024129/151095/lgafMhlWZe0.jpg</v>
      </c>
      <c r="AM4006" t="s">
        <v>52</v>
      </c>
      <c r="AN4006" t="s">
        <v>53</v>
      </c>
    </row>
    <row r="4007" spans="1:40">
      <c r="A4007" t="s">
        <v>8081</v>
      </c>
      <c r="B4007" t="s">
        <v>7211</v>
      </c>
      <c r="C4007" t="s">
        <v>12364</v>
      </c>
      <c r="D4007" t="s">
        <v>52</v>
      </c>
      <c r="E4007" t="s">
        <v>12365</v>
      </c>
      <c r="F4007" t="s">
        <v>45</v>
      </c>
      <c r="G4007" t="str">
        <f>HYPERLINK("https://www.instagram.com/p/BzC-Rgwlu_h")</f>
        <v>https://www.instagram.com/p/BzC-Rgwlu_h</v>
      </c>
      <c r="H4007" t="s">
        <v>46</v>
      </c>
      <c r="I4007" t="s">
        <v>12366</v>
      </c>
      <c r="J4007" t="str">
        <f>HYPERLINK("http://instagram.com/two_foodiediaries_")</f>
        <v>http://instagram.com/two_foodiediaries_</v>
      </c>
      <c r="K4007">
        <v>5070</v>
      </c>
      <c r="N4007" t="s">
        <v>59</v>
      </c>
      <c r="O4007" t="s">
        <v>12366</v>
      </c>
      <c r="P4007" t="str">
        <f>HYPERLINK("http://instagram.com/two_foodiediaries_")</f>
        <v>http://instagram.com/two_foodiediaries_</v>
      </c>
      <c r="Q4007">
        <v>5070</v>
      </c>
      <c r="R4007" t="s">
        <v>60</v>
      </c>
      <c r="S4007" t="s">
        <v>315</v>
      </c>
      <c r="T4007" t="s">
        <v>316</v>
      </c>
      <c r="U4007" t="s">
        <v>317</v>
      </c>
      <c r="W4007">
        <v>70</v>
      </c>
      <c r="X4007">
        <v>70</v>
      </c>
      <c r="AE4007">
        <v>1</v>
      </c>
      <c r="AI4007" t="s">
        <v>52</v>
      </c>
      <c r="AJ4007" t="s">
        <v>12367</v>
      </c>
      <c r="AK4007" t="s">
        <v>52</v>
      </c>
      <c r="AL4007" t="str">
        <f>HYPERLINK("https://www.instagram.com/p/BzC-Rgwlu_h/media/?size=l")</f>
        <v>https://www.instagram.com/p/BzC-Rgwlu_h/media/?size=l</v>
      </c>
      <c r="AM4007" t="s">
        <v>52</v>
      </c>
      <c r="AN4007" t="s">
        <v>53</v>
      </c>
    </row>
    <row r="4008" spans="1:40">
      <c r="A4008" t="s">
        <v>8081</v>
      </c>
      <c r="B4008" t="s">
        <v>12368</v>
      </c>
      <c r="C4008" t="s">
        <v>12369</v>
      </c>
      <c r="D4008" t="s">
        <v>52</v>
      </c>
      <c r="E4008" t="s">
        <v>7615</v>
      </c>
      <c r="F4008" t="s">
        <v>71</v>
      </c>
      <c r="G4008" t="str">
        <f>HYPERLINK("https://twitter.com/714000588/status/1142717431380623360")</f>
        <v>https://twitter.com/714000588/status/1142717431380623360</v>
      </c>
      <c r="H4008" t="s">
        <v>46</v>
      </c>
      <c r="I4008" t="s">
        <v>12370</v>
      </c>
      <c r="J4008" t="str">
        <f>HYPERLINK("http://twitter.com/ironSabb")</f>
        <v>http://twitter.com/ironSabb</v>
      </c>
      <c r="K4008">
        <v>953</v>
      </c>
      <c r="N4008" t="s">
        <v>65</v>
      </c>
      <c r="R4008" t="s">
        <v>60</v>
      </c>
      <c r="S4008" t="s">
        <v>2416</v>
      </c>
      <c r="T4008" t="s">
        <v>12371</v>
      </c>
      <c r="U4008" t="s">
        <v>12372</v>
      </c>
      <c r="W4008">
        <v>0</v>
      </c>
      <c r="X4008">
        <v>0</v>
      </c>
      <c r="AE4008">
        <v>0</v>
      </c>
      <c r="AF4008">
        <v>0</v>
      </c>
      <c r="AI4008" t="s">
        <v>108</v>
      </c>
      <c r="AJ4008" t="s">
        <v>52</v>
      </c>
      <c r="AK4008" t="s">
        <v>52</v>
      </c>
      <c r="AL4008" t="str">
        <f>HYPERLINK("https://pbs.twimg.com/media/D9sAXHUX4AA6vJs.jpg")</f>
        <v>https://pbs.twimg.com/media/D9sAXHUX4AA6vJs.jpg</v>
      </c>
      <c r="AM4008" t="s">
        <v>52</v>
      </c>
      <c r="AN4008" t="s">
        <v>53</v>
      </c>
    </row>
    <row r="4009" spans="1:40">
      <c r="A4009" t="s">
        <v>8081</v>
      </c>
      <c r="B4009" t="s">
        <v>1353</v>
      </c>
      <c r="C4009" t="s">
        <v>12373</v>
      </c>
      <c r="D4009" t="s">
        <v>52</v>
      </c>
      <c r="E4009" t="s">
        <v>12374</v>
      </c>
      <c r="F4009" t="s">
        <v>131</v>
      </c>
      <c r="G4009" t="str">
        <f>HYPERLINK("https://twitter.com/1072854294523731968/status/1142716864138797059")</f>
        <v>https://twitter.com/1072854294523731968/status/1142716864138797059</v>
      </c>
      <c r="H4009" t="s">
        <v>46</v>
      </c>
      <c r="I4009" t="s">
        <v>12375</v>
      </c>
      <c r="J4009" t="str">
        <f>HYPERLINK("http://twitter.com/Brams07342742")</f>
        <v>http://twitter.com/Brams07342742</v>
      </c>
      <c r="K4009">
        <v>587</v>
      </c>
      <c r="N4009" t="s">
        <v>65</v>
      </c>
      <c r="R4009" t="s">
        <v>60</v>
      </c>
      <c r="W4009">
        <v>0</v>
      </c>
      <c r="X4009">
        <v>0</v>
      </c>
      <c r="AE4009">
        <v>0</v>
      </c>
      <c r="AI4009" t="s">
        <v>52</v>
      </c>
      <c r="AJ4009" t="s">
        <v>52</v>
      </c>
      <c r="AK4009" t="s">
        <v>52</v>
      </c>
      <c r="AL4009" t="str">
        <f>HYPERLINK("https://pbs.twimg.com/media/D9suxGFUYAA_wod.jpg")</f>
        <v>https://pbs.twimg.com/media/D9suxGFUYAA_wod.jpg</v>
      </c>
      <c r="AM4009" t="s">
        <v>52</v>
      </c>
      <c r="AN4009" t="s">
        <v>53</v>
      </c>
    </row>
    <row r="4010" spans="1:40">
      <c r="A4010" t="s">
        <v>8081</v>
      </c>
      <c r="B4010" t="s">
        <v>1353</v>
      </c>
      <c r="C4010" t="s">
        <v>12376</v>
      </c>
      <c r="D4010" t="s">
        <v>52</v>
      </c>
      <c r="E4010" t="s">
        <v>7615</v>
      </c>
      <c r="F4010" t="s">
        <v>71</v>
      </c>
      <c r="G4010" t="str">
        <f>HYPERLINK("https://twitter.com/927137637898637312/status/1142716778830868480")</f>
        <v>https://twitter.com/927137637898637312/status/1142716778830868480</v>
      </c>
      <c r="H4010" t="s">
        <v>46</v>
      </c>
      <c r="I4010" t="s">
        <v>12209</v>
      </c>
      <c r="J4010" t="str">
        <f>HYPERLINK("http://twitter.com/OldTraffordKid")</f>
        <v>http://twitter.com/OldTraffordKid</v>
      </c>
      <c r="K4010">
        <v>1705</v>
      </c>
      <c r="L4010" t="s">
        <v>48</v>
      </c>
      <c r="N4010" t="s">
        <v>65</v>
      </c>
      <c r="R4010" t="s">
        <v>60</v>
      </c>
      <c r="W4010">
        <v>0</v>
      </c>
      <c r="X4010">
        <v>0</v>
      </c>
      <c r="AE4010">
        <v>0</v>
      </c>
      <c r="AF4010">
        <v>0</v>
      </c>
      <c r="AI4010" t="s">
        <v>108</v>
      </c>
      <c r="AJ4010" t="s">
        <v>52</v>
      </c>
      <c r="AK4010" t="s">
        <v>52</v>
      </c>
      <c r="AL4010" t="str">
        <f>HYPERLINK("https://pbs.twimg.com/media/D9sAXHUX4AA6vJs.jpg")</f>
        <v>https://pbs.twimg.com/media/D9sAXHUX4AA6vJs.jpg</v>
      </c>
      <c r="AM4010" t="s">
        <v>52</v>
      </c>
      <c r="AN4010" t="s">
        <v>53</v>
      </c>
    </row>
    <row r="4011" spans="1:40">
      <c r="A4011" t="s">
        <v>8081</v>
      </c>
      <c r="B4011" t="s">
        <v>1353</v>
      </c>
      <c r="C4011" t="s">
        <v>12377</v>
      </c>
      <c r="D4011" t="s">
        <v>52</v>
      </c>
      <c r="E4011" t="s">
        <v>7615</v>
      </c>
      <c r="F4011" t="s">
        <v>71</v>
      </c>
      <c r="G4011" t="str">
        <f>HYPERLINK("https://twitter.com/486339821/status/1142716738938822658")</f>
        <v>https://twitter.com/486339821/status/1142716738938822658</v>
      </c>
      <c r="H4011" t="s">
        <v>46</v>
      </c>
      <c r="I4011" t="s">
        <v>12378</v>
      </c>
      <c r="J4011" t="str">
        <f>HYPERLINK("http://twitter.com/Pablo_pow")</f>
        <v>http://twitter.com/Pablo_pow</v>
      </c>
      <c r="K4011">
        <v>522</v>
      </c>
      <c r="N4011" t="s">
        <v>65</v>
      </c>
      <c r="R4011" t="s">
        <v>60</v>
      </c>
      <c r="S4011" t="s">
        <v>1071</v>
      </c>
      <c r="W4011">
        <v>0</v>
      </c>
      <c r="X4011">
        <v>0</v>
      </c>
      <c r="AE4011">
        <v>0</v>
      </c>
      <c r="AF4011">
        <v>0</v>
      </c>
      <c r="AI4011" t="s">
        <v>108</v>
      </c>
      <c r="AJ4011" t="s">
        <v>52</v>
      </c>
      <c r="AK4011" t="s">
        <v>52</v>
      </c>
      <c r="AL4011" t="str">
        <f>HYPERLINK("https://pbs.twimg.com/media/D9sAXHUX4AA6vJs.jpg")</f>
        <v>https://pbs.twimg.com/media/D9sAXHUX4AA6vJs.jpg</v>
      </c>
      <c r="AM4011" t="s">
        <v>52</v>
      </c>
      <c r="AN4011" t="s">
        <v>53</v>
      </c>
    </row>
    <row r="4012" spans="1:40">
      <c r="A4012" t="s">
        <v>8081</v>
      </c>
      <c r="B4012" t="s">
        <v>1358</v>
      </c>
      <c r="C4012" t="s">
        <v>6965</v>
      </c>
      <c r="D4012" t="s">
        <v>12379</v>
      </c>
      <c r="E4012" t="s">
        <v>12380</v>
      </c>
      <c r="F4012" t="s">
        <v>45</v>
      </c>
      <c r="G4012" t="str">
        <f>HYPERLINK("http://www.scandinavianhomestaging.com/all-madden-pack.html")</f>
        <v>http://www.scandinavianhomestaging.com/all-madden-pack.html</v>
      </c>
      <c r="H4012" t="s">
        <v>46</v>
      </c>
      <c r="N4012" t="s">
        <v>7165</v>
      </c>
      <c r="R4012" t="s">
        <v>50</v>
      </c>
      <c r="S4012" t="s">
        <v>51</v>
      </c>
      <c r="AM4012" t="s">
        <v>52</v>
      </c>
      <c r="AN4012" t="s">
        <v>53</v>
      </c>
    </row>
    <row r="4013" spans="1:40">
      <c r="A4013" t="s">
        <v>8081</v>
      </c>
      <c r="B4013" t="s">
        <v>12381</v>
      </c>
      <c r="C4013" t="s">
        <v>12382</v>
      </c>
      <c r="D4013" t="s">
        <v>52</v>
      </c>
      <c r="E4013" t="s">
        <v>12383</v>
      </c>
      <c r="F4013" t="s">
        <v>71</v>
      </c>
      <c r="G4013" t="str">
        <f>HYPERLINK("https://twitter.com/206232925/status/1142716250088529920")</f>
        <v>https://twitter.com/206232925/status/1142716250088529920</v>
      </c>
      <c r="H4013" t="s">
        <v>46</v>
      </c>
      <c r="I4013" t="s">
        <v>12384</v>
      </c>
      <c r="J4013" t="str">
        <f>HYPERLINK("http://twitter.com/nya_shaa")</f>
        <v>http://twitter.com/nya_shaa</v>
      </c>
      <c r="K4013">
        <v>2096</v>
      </c>
      <c r="N4013" t="s">
        <v>65</v>
      </c>
      <c r="R4013" t="s">
        <v>60</v>
      </c>
      <c r="W4013">
        <v>0</v>
      </c>
      <c r="X4013">
        <v>0</v>
      </c>
      <c r="AE4013">
        <v>0</v>
      </c>
      <c r="AF4013">
        <v>0</v>
      </c>
      <c r="AI4013" t="s">
        <v>108</v>
      </c>
      <c r="AJ4013" t="s">
        <v>52</v>
      </c>
      <c r="AK4013" t="s">
        <v>52</v>
      </c>
      <c r="AL4013" t="str">
        <f>HYPERLINK("https://pbs.twimg.com/media/D9sAXHUX4AA6vJs.jpg")</f>
        <v>https://pbs.twimg.com/media/D9sAXHUX4AA6vJs.jpg</v>
      </c>
      <c r="AM4013" t="s">
        <v>52</v>
      </c>
      <c r="AN4013" t="s">
        <v>53</v>
      </c>
    </row>
    <row r="4014" spans="1:40">
      <c r="A4014" t="s">
        <v>8081</v>
      </c>
      <c r="B4014" t="s">
        <v>7230</v>
      </c>
      <c r="C4014" t="s">
        <v>12377</v>
      </c>
      <c r="D4014" t="s">
        <v>52</v>
      </c>
      <c r="E4014" t="s">
        <v>12385</v>
      </c>
      <c r="F4014" t="s">
        <v>45</v>
      </c>
      <c r="G4014" t="str">
        <f>HYPERLINK("https://www.instagram.com/p/BzC9A7mIrdA")</f>
        <v>https://www.instagram.com/p/BzC9A7mIrdA</v>
      </c>
      <c r="H4014" t="s">
        <v>46</v>
      </c>
      <c r="I4014" t="s">
        <v>12386</v>
      </c>
      <c r="J4014" t="str">
        <f>HYPERLINK("http://instagram.com/flarrow_legirl")</f>
        <v>http://instagram.com/flarrow_legirl</v>
      </c>
      <c r="K4014">
        <v>3</v>
      </c>
      <c r="N4014" t="s">
        <v>59</v>
      </c>
      <c r="O4014" t="s">
        <v>12386</v>
      </c>
      <c r="P4014" t="str">
        <f>HYPERLINK("http://instagram.com/flarrow_legirl")</f>
        <v>http://instagram.com/flarrow_legirl</v>
      </c>
      <c r="Q4014">
        <v>3</v>
      </c>
      <c r="R4014" t="s">
        <v>60</v>
      </c>
      <c r="W4014">
        <v>12</v>
      </c>
      <c r="X4014">
        <v>12</v>
      </c>
      <c r="AE4014">
        <v>0</v>
      </c>
      <c r="AI4014" t="s">
        <v>108</v>
      </c>
      <c r="AJ4014" t="s">
        <v>52</v>
      </c>
      <c r="AK4014" t="s">
        <v>52</v>
      </c>
      <c r="AL4014" t="str">
        <f>HYPERLINK("https://www.instagram.com/p/BzC9A7mIrdA/media/?size=l")</f>
        <v>https://www.instagram.com/p/BzC9A7mIrdA/media/?size=l</v>
      </c>
      <c r="AM4014" t="s">
        <v>52</v>
      </c>
      <c r="AN4014" t="s">
        <v>53</v>
      </c>
    </row>
    <row r="4015" spans="1:40">
      <c r="A4015" t="s">
        <v>8081</v>
      </c>
      <c r="B4015" t="s">
        <v>7230</v>
      </c>
      <c r="C4015" t="s">
        <v>12376</v>
      </c>
      <c r="D4015" t="s">
        <v>52</v>
      </c>
      <c r="E4015" t="s">
        <v>12387</v>
      </c>
      <c r="F4015" t="s">
        <v>71</v>
      </c>
      <c r="G4015" t="str">
        <f>HYPERLINK("https://twitter.com/1029867181763428353/status/1142716074733035521")</f>
        <v>https://twitter.com/1029867181763428353/status/1142716074733035521</v>
      </c>
      <c r="H4015" t="s">
        <v>46</v>
      </c>
      <c r="I4015" t="s">
        <v>12388</v>
      </c>
      <c r="J4015" t="str">
        <f>HYPERLINK("http://twitter.com/foeflavo")</f>
        <v>http://twitter.com/foeflavo</v>
      </c>
      <c r="K4015">
        <v>243</v>
      </c>
      <c r="N4015" t="s">
        <v>65</v>
      </c>
      <c r="R4015" t="s">
        <v>60</v>
      </c>
      <c r="S4015" t="s">
        <v>4114</v>
      </c>
      <c r="T4015" t="s">
        <v>12389</v>
      </c>
      <c r="U4015" t="s">
        <v>12390</v>
      </c>
      <c r="W4015">
        <v>0</v>
      </c>
      <c r="X4015">
        <v>0</v>
      </c>
      <c r="AE4015">
        <v>0</v>
      </c>
      <c r="AF4015">
        <v>0</v>
      </c>
      <c r="AM4015" t="s">
        <v>52</v>
      </c>
      <c r="AN4015" t="s">
        <v>53</v>
      </c>
    </row>
    <row r="4016" spans="1:40">
      <c r="A4016" t="s">
        <v>8081</v>
      </c>
      <c r="B4016" t="s">
        <v>7230</v>
      </c>
      <c r="C4016" t="s">
        <v>6965</v>
      </c>
      <c r="D4016" t="s">
        <v>12391</v>
      </c>
      <c r="E4016" t="s">
        <v>12392</v>
      </c>
      <c r="F4016" t="s">
        <v>45</v>
      </c>
      <c r="G4016" t="str">
        <f>HYPERLINK("https://apkhook.com/blaze-wild-rice.html")</f>
        <v>https://apkhook.com/blaze-wild-rice.html</v>
      </c>
      <c r="H4016" t="s">
        <v>46</v>
      </c>
      <c r="N4016" t="s">
        <v>1633</v>
      </c>
      <c r="R4016" t="s">
        <v>50</v>
      </c>
      <c r="S4016" t="s">
        <v>51</v>
      </c>
      <c r="AM4016" t="s">
        <v>52</v>
      </c>
      <c r="AN4016" t="s">
        <v>53</v>
      </c>
    </row>
    <row r="4017" spans="1:40">
      <c r="A4017" t="s">
        <v>8081</v>
      </c>
      <c r="B4017" t="s">
        <v>12393</v>
      </c>
      <c r="C4017" t="s">
        <v>11135</v>
      </c>
      <c r="D4017" t="s">
        <v>12394</v>
      </c>
      <c r="E4017" t="s">
        <v>12395</v>
      </c>
      <c r="F4017" t="s">
        <v>45</v>
      </c>
      <c r="G4017" t="str">
        <f>HYPERLINK("https://www.youtube.com/watch?v=s57BfK12UyE")</f>
        <v>https://www.youtube.com/watch?v=s57BfK12UyE</v>
      </c>
      <c r="H4017" t="s">
        <v>46</v>
      </c>
      <c r="I4017" t="s">
        <v>12396</v>
      </c>
      <c r="J4017" t="str">
        <f>HYPERLINK("https://www.youtube.com/channel/UC3iK4wRLTqSn-aqNkdRKAaA")</f>
        <v>https://www.youtube.com/channel/UC3iK4wRLTqSn-aqNkdRKAaA</v>
      </c>
      <c r="K4017">
        <v>3</v>
      </c>
      <c r="N4017" t="s">
        <v>116</v>
      </c>
      <c r="O4017" t="s">
        <v>12396</v>
      </c>
      <c r="P4017" t="str">
        <f>HYPERLINK("https://www.youtube.com/channel/UC3iK4wRLTqSn-aqNkdRKAaA")</f>
        <v>https://www.youtube.com/channel/UC3iK4wRLTqSn-aqNkdRKAaA</v>
      </c>
      <c r="Q4017">
        <v>3</v>
      </c>
      <c r="R4017" t="s">
        <v>60</v>
      </c>
      <c r="W4017">
        <v>1</v>
      </c>
      <c r="X4017">
        <v>1</v>
      </c>
      <c r="AD4017">
        <v>0</v>
      </c>
      <c r="AE4017">
        <v>0</v>
      </c>
      <c r="AG4017">
        <v>118</v>
      </c>
      <c r="AI4017" t="s">
        <v>108</v>
      </c>
      <c r="AJ4017" t="s">
        <v>52</v>
      </c>
      <c r="AK4017" t="s">
        <v>52</v>
      </c>
      <c r="AL4017" t="str">
        <f>HYPERLINK("https://i.ytimg.com/vi/s57BfK12UyE/maxresdefault.jpg")</f>
        <v>https://i.ytimg.com/vi/s57BfK12UyE/maxresdefault.jpg</v>
      </c>
      <c r="AM4017" t="s">
        <v>52</v>
      </c>
      <c r="AN4017" t="s">
        <v>53</v>
      </c>
    </row>
    <row r="4018" spans="1:40">
      <c r="A4018" t="s">
        <v>8081</v>
      </c>
      <c r="B4018" t="s">
        <v>12393</v>
      </c>
      <c r="C4018" t="s">
        <v>12397</v>
      </c>
      <c r="D4018" t="s">
        <v>52</v>
      </c>
      <c r="E4018" t="s">
        <v>12398</v>
      </c>
      <c r="F4018" t="s">
        <v>71</v>
      </c>
      <c r="G4018" t="str">
        <f>HYPERLINK("https://twitter.com/261869739/status/1142714436056043520")</f>
        <v>https://twitter.com/261869739/status/1142714436056043520</v>
      </c>
      <c r="H4018" t="s">
        <v>91</v>
      </c>
      <c r="I4018" t="s">
        <v>12399</v>
      </c>
      <c r="J4018" t="str">
        <f>HYPERLINK("http://twitter.com/mantikmusic")</f>
        <v>http://twitter.com/mantikmusic</v>
      </c>
      <c r="K4018">
        <v>2444</v>
      </c>
      <c r="N4018" t="s">
        <v>65</v>
      </c>
      <c r="R4018" t="s">
        <v>60</v>
      </c>
      <c r="W4018">
        <v>12</v>
      </c>
      <c r="X4018">
        <v>12</v>
      </c>
      <c r="AE4018">
        <v>2</v>
      </c>
      <c r="AF4018">
        <v>0</v>
      </c>
      <c r="AM4018" t="s">
        <v>52</v>
      </c>
      <c r="AN4018" t="s">
        <v>53</v>
      </c>
    </row>
    <row r="4019" spans="1:40">
      <c r="A4019" t="s">
        <v>8081</v>
      </c>
      <c r="B4019" t="s">
        <v>12400</v>
      </c>
      <c r="C4019" t="s">
        <v>12401</v>
      </c>
      <c r="D4019" t="s">
        <v>52</v>
      </c>
      <c r="E4019" t="s">
        <v>12402</v>
      </c>
      <c r="F4019" t="s">
        <v>45</v>
      </c>
      <c r="G4019" t="str">
        <f>HYPERLINK("https://twitter.com/1055539860/status/1142713977975300096")</f>
        <v>https://twitter.com/1055539860/status/1142713977975300096</v>
      </c>
      <c r="H4019" t="s">
        <v>46</v>
      </c>
      <c r="I4019" t="s">
        <v>12403</v>
      </c>
      <c r="J4019" t="str">
        <f>HYPERLINK("http://twitter.com/TheyTookMaik")</f>
        <v>http://twitter.com/TheyTookMaik</v>
      </c>
      <c r="K4019">
        <v>163</v>
      </c>
      <c r="L4019" t="s">
        <v>48</v>
      </c>
      <c r="N4019" t="s">
        <v>65</v>
      </c>
      <c r="R4019" t="s">
        <v>60</v>
      </c>
      <c r="S4019" t="s">
        <v>156</v>
      </c>
      <c r="T4019" t="s">
        <v>1398</v>
      </c>
      <c r="U4019" t="s">
        <v>12404</v>
      </c>
      <c r="W4019">
        <v>0</v>
      </c>
      <c r="X4019">
        <v>0</v>
      </c>
      <c r="AE4019">
        <v>0</v>
      </c>
      <c r="AF4019">
        <v>0</v>
      </c>
      <c r="AM4019" t="s">
        <v>52</v>
      </c>
      <c r="AN4019" t="s">
        <v>53</v>
      </c>
    </row>
    <row r="4020" spans="1:40">
      <c r="A4020" t="s">
        <v>8081</v>
      </c>
      <c r="B4020" t="s">
        <v>12405</v>
      </c>
      <c r="C4020" t="s">
        <v>12406</v>
      </c>
      <c r="D4020" t="s">
        <v>52</v>
      </c>
      <c r="E4020" t="s">
        <v>12407</v>
      </c>
      <c r="F4020" t="s">
        <v>95</v>
      </c>
      <c r="G4020" t="str">
        <f>HYPERLINK("https://twitter.com/89649181/status/1142713669182087169")</f>
        <v>https://twitter.com/89649181/status/1142713669182087169</v>
      </c>
      <c r="H4020" t="s">
        <v>46</v>
      </c>
      <c r="I4020" t="s">
        <v>12408</v>
      </c>
      <c r="J4020" t="str">
        <f>HYPERLINK("http://twitter.com/Ninibear0807")</f>
        <v>http://twitter.com/Ninibear0807</v>
      </c>
      <c r="K4020">
        <v>22</v>
      </c>
      <c r="N4020" t="s">
        <v>65</v>
      </c>
      <c r="R4020" t="s">
        <v>60</v>
      </c>
      <c r="S4020" t="s">
        <v>774</v>
      </c>
      <c r="T4020" t="s">
        <v>2679</v>
      </c>
      <c r="U4020" t="s">
        <v>2680</v>
      </c>
      <c r="W4020">
        <v>0</v>
      </c>
      <c r="X4020">
        <v>0</v>
      </c>
      <c r="AE4020">
        <v>1</v>
      </c>
      <c r="AF4020">
        <v>0</v>
      </c>
      <c r="AM4020" t="s">
        <v>52</v>
      </c>
      <c r="AN4020" t="s">
        <v>53</v>
      </c>
    </row>
    <row r="4021" spans="1:40">
      <c r="A4021" t="s">
        <v>8081</v>
      </c>
      <c r="B4021" t="s">
        <v>12405</v>
      </c>
      <c r="C4021" t="s">
        <v>12409</v>
      </c>
      <c r="D4021" t="s">
        <v>12410</v>
      </c>
      <c r="E4021" t="s">
        <v>12411</v>
      </c>
      <c r="F4021" t="s">
        <v>45</v>
      </c>
      <c r="G4021" t="str">
        <f>HYPERLINK("http://www.philropost.com/pizza-hut-taco-bell.html")</f>
        <v>http://www.philropost.com/pizza-hut-taco-bell.html</v>
      </c>
      <c r="H4021" t="s">
        <v>46</v>
      </c>
      <c r="N4021" t="s">
        <v>7552</v>
      </c>
      <c r="R4021" t="s">
        <v>50</v>
      </c>
      <c r="S4021" t="s">
        <v>51</v>
      </c>
      <c r="AM4021" t="s">
        <v>52</v>
      </c>
      <c r="AN4021" t="s">
        <v>53</v>
      </c>
    </row>
    <row r="4022" spans="1:40">
      <c r="A4022" t="s">
        <v>8081</v>
      </c>
      <c r="B4022" t="s">
        <v>12405</v>
      </c>
      <c r="C4022" t="s">
        <v>12409</v>
      </c>
      <c r="D4022" t="s">
        <v>12412</v>
      </c>
      <c r="E4022" t="s">
        <v>12413</v>
      </c>
      <c r="F4022" t="s">
        <v>45</v>
      </c>
      <c r="G4022" t="str">
        <f>HYPERLINK("http://www.philropost.com/taco-bell-saskatoon.html")</f>
        <v>http://www.philropost.com/taco-bell-saskatoon.html</v>
      </c>
      <c r="H4022" t="s">
        <v>46</v>
      </c>
      <c r="N4022" t="s">
        <v>7552</v>
      </c>
      <c r="R4022" t="s">
        <v>50</v>
      </c>
      <c r="S4022" t="s">
        <v>51</v>
      </c>
      <c r="AM4022" t="s">
        <v>52</v>
      </c>
      <c r="AN4022" t="s">
        <v>53</v>
      </c>
    </row>
    <row r="4023" spans="1:40">
      <c r="A4023" t="s">
        <v>8081</v>
      </c>
      <c r="B4023" t="s">
        <v>12414</v>
      </c>
      <c r="C4023" t="s">
        <v>12406</v>
      </c>
      <c r="D4023" t="s">
        <v>52</v>
      </c>
      <c r="E4023" t="s">
        <v>12415</v>
      </c>
      <c r="F4023" t="s">
        <v>71</v>
      </c>
      <c r="G4023" t="str">
        <f>HYPERLINK("https://twitter.com/259900748/status/1142712787254304768")</f>
        <v>https://twitter.com/259900748/status/1142712787254304768</v>
      </c>
      <c r="H4023" t="s">
        <v>46</v>
      </c>
      <c r="I4023" t="s">
        <v>12416</v>
      </c>
      <c r="J4023" t="str">
        <f>HYPERLINK("http://twitter.com/I_Am_Yanda")</f>
        <v>http://twitter.com/I_Am_Yanda</v>
      </c>
      <c r="K4023">
        <v>617</v>
      </c>
      <c r="N4023" t="s">
        <v>65</v>
      </c>
      <c r="R4023" t="s">
        <v>60</v>
      </c>
      <c r="S4023" t="s">
        <v>1071</v>
      </c>
      <c r="T4023" t="s">
        <v>6398</v>
      </c>
      <c r="U4023" t="s">
        <v>9701</v>
      </c>
      <c r="W4023">
        <v>1</v>
      </c>
      <c r="X4023">
        <v>1</v>
      </c>
      <c r="AE4023">
        <v>0</v>
      </c>
      <c r="AF4023">
        <v>0</v>
      </c>
      <c r="AM4023" t="s">
        <v>52</v>
      </c>
      <c r="AN4023" t="s">
        <v>53</v>
      </c>
    </row>
    <row r="4024" spans="1:40">
      <c r="A4024" t="s">
        <v>8081</v>
      </c>
      <c r="B4024" t="s">
        <v>12414</v>
      </c>
      <c r="C4024" t="s">
        <v>12417</v>
      </c>
      <c r="D4024" t="s">
        <v>52</v>
      </c>
      <c r="E4024" t="s">
        <v>12418</v>
      </c>
      <c r="F4024" t="s">
        <v>71</v>
      </c>
      <c r="G4024" t="str">
        <f>HYPERLINK("https://twitter.com/1049029788483166209/status/1142712774742695941")</f>
        <v>https://twitter.com/1049029788483166209/status/1142712774742695941</v>
      </c>
      <c r="H4024" t="s">
        <v>46</v>
      </c>
      <c r="I4024" t="s">
        <v>12419</v>
      </c>
      <c r="J4024" t="str">
        <f>HYPERLINK("http://twitter.com/Bantsi_Didi")</f>
        <v>http://twitter.com/Bantsi_Didi</v>
      </c>
      <c r="K4024">
        <v>386</v>
      </c>
      <c r="N4024" t="s">
        <v>65</v>
      </c>
      <c r="R4024" t="s">
        <v>60</v>
      </c>
      <c r="S4024" t="s">
        <v>51</v>
      </c>
      <c r="T4024" t="s">
        <v>1669</v>
      </c>
      <c r="U4024" t="s">
        <v>7021</v>
      </c>
      <c r="W4024">
        <v>0</v>
      </c>
      <c r="X4024">
        <v>0</v>
      </c>
      <c r="AE4024">
        <v>0</v>
      </c>
      <c r="AF4024">
        <v>0</v>
      </c>
      <c r="AI4024" t="s">
        <v>108</v>
      </c>
      <c r="AJ4024" t="s">
        <v>52</v>
      </c>
      <c r="AK4024" t="s">
        <v>52</v>
      </c>
      <c r="AL4024" t="str">
        <f>HYPERLINK("https://pbs.twimg.com/media/D9sAXHUX4AA6vJs.jpg")</f>
        <v>https://pbs.twimg.com/media/D9sAXHUX4AA6vJs.jpg</v>
      </c>
      <c r="AM4024" t="s">
        <v>52</v>
      </c>
      <c r="AN4024" t="s">
        <v>53</v>
      </c>
    </row>
    <row r="4025" spans="1:40">
      <c r="A4025" t="s">
        <v>8081</v>
      </c>
      <c r="B4025" t="s">
        <v>12414</v>
      </c>
      <c r="C4025" t="s">
        <v>12420</v>
      </c>
      <c r="D4025" t="s">
        <v>12421</v>
      </c>
      <c r="E4025" t="s">
        <v>12422</v>
      </c>
      <c r="F4025" t="s">
        <v>45</v>
      </c>
      <c r="G4025" t="str">
        <f>HYPERLINK("https://www.youtube.com/watch?v=cwl9AqJPmAM")</f>
        <v>https://www.youtube.com/watch?v=cwl9AqJPmAM</v>
      </c>
      <c r="H4025" t="s">
        <v>46</v>
      </c>
      <c r="I4025" t="s">
        <v>12423</v>
      </c>
      <c r="J4025" t="str">
        <f>HYPERLINK("https://www.youtube.com/channel/UCgxxmfUloSQ_cjHJy1LNX3Q")</f>
        <v>https://www.youtube.com/channel/UCgxxmfUloSQ_cjHJy1LNX3Q</v>
      </c>
      <c r="K4025">
        <v>1</v>
      </c>
      <c r="N4025" t="s">
        <v>116</v>
      </c>
      <c r="O4025" t="s">
        <v>12423</v>
      </c>
      <c r="P4025" t="str">
        <f>HYPERLINK("https://www.youtube.com/channel/UCgxxmfUloSQ_cjHJy1LNX3Q")</f>
        <v>https://www.youtube.com/channel/UCgxxmfUloSQ_cjHJy1LNX3Q</v>
      </c>
      <c r="Q4025">
        <v>1</v>
      </c>
      <c r="R4025" t="s">
        <v>60</v>
      </c>
      <c r="W4025">
        <v>4</v>
      </c>
      <c r="X4025">
        <v>4</v>
      </c>
      <c r="AD4025">
        <v>0</v>
      </c>
      <c r="AE4025">
        <v>0</v>
      </c>
      <c r="AG4025">
        <v>8</v>
      </c>
      <c r="AI4025" t="s">
        <v>52</v>
      </c>
      <c r="AJ4025" t="s">
        <v>2072</v>
      </c>
      <c r="AK4025" t="s">
        <v>52</v>
      </c>
      <c r="AL4025" t="str">
        <f>HYPERLINK("https://i.ytimg.com/vi/cwl9AqJPmAM/hqdefault.jpg")</f>
        <v>https://i.ytimg.com/vi/cwl9AqJPmAM/hqdefault.jpg</v>
      </c>
      <c r="AM4025" t="s">
        <v>52</v>
      </c>
      <c r="AN4025" t="s">
        <v>53</v>
      </c>
    </row>
    <row r="4026" spans="1:40">
      <c r="A4026" t="s">
        <v>8081</v>
      </c>
      <c r="B4026" t="s">
        <v>1371</v>
      </c>
      <c r="C4026" t="s">
        <v>12424</v>
      </c>
      <c r="D4026" t="s">
        <v>52</v>
      </c>
      <c r="E4026" t="s">
        <v>12425</v>
      </c>
      <c r="F4026" t="s">
        <v>45</v>
      </c>
      <c r="G4026" t="str">
        <f>HYPERLINK("https://twitter.com/1107790107761958913/status/1142712569213456385")</f>
        <v>https://twitter.com/1107790107761958913/status/1142712569213456385</v>
      </c>
      <c r="H4026" t="s">
        <v>46</v>
      </c>
      <c r="I4026" t="s">
        <v>12426</v>
      </c>
      <c r="J4026" t="str">
        <f>HYPERLINK("http://twitter.com/EvelynYells")</f>
        <v>http://twitter.com/EvelynYells</v>
      </c>
      <c r="K4026">
        <v>279</v>
      </c>
      <c r="L4026" t="s">
        <v>58</v>
      </c>
      <c r="N4026" t="s">
        <v>65</v>
      </c>
      <c r="R4026" t="s">
        <v>60</v>
      </c>
      <c r="W4026">
        <v>3</v>
      </c>
      <c r="X4026">
        <v>3</v>
      </c>
      <c r="AE4026">
        <v>0</v>
      </c>
      <c r="AF4026">
        <v>0</v>
      </c>
      <c r="AM4026" t="s">
        <v>52</v>
      </c>
      <c r="AN4026" t="s">
        <v>53</v>
      </c>
    </row>
    <row r="4027" spans="1:40">
      <c r="A4027" t="s">
        <v>8081</v>
      </c>
      <c r="B4027" t="s">
        <v>1371</v>
      </c>
      <c r="C4027" t="s">
        <v>11151</v>
      </c>
      <c r="D4027" t="s">
        <v>52</v>
      </c>
      <c r="E4027" t="s">
        <v>12427</v>
      </c>
      <c r="F4027" t="s">
        <v>45</v>
      </c>
      <c r="G4027" t="str">
        <f>HYPERLINK("https://www.instagram.com/p/BzC7WHXp4La")</f>
        <v>https://www.instagram.com/p/BzC7WHXp4La</v>
      </c>
      <c r="H4027" t="s">
        <v>46</v>
      </c>
      <c r="I4027" t="s">
        <v>12428</v>
      </c>
      <c r="J4027" t="str">
        <f>HYPERLINK("http://instagram.com/sayali_kulkarni_photography")</f>
        <v>http://instagram.com/sayali_kulkarni_photography</v>
      </c>
      <c r="K4027">
        <v>593</v>
      </c>
      <c r="N4027" t="s">
        <v>59</v>
      </c>
      <c r="O4027" t="s">
        <v>12428</v>
      </c>
      <c r="P4027" t="str">
        <f>HYPERLINK("http://instagram.com/sayali_kulkarni_photography")</f>
        <v>http://instagram.com/sayali_kulkarni_photography</v>
      </c>
      <c r="Q4027">
        <v>593</v>
      </c>
      <c r="R4027" t="s">
        <v>60</v>
      </c>
      <c r="W4027">
        <v>74</v>
      </c>
      <c r="X4027">
        <v>74</v>
      </c>
      <c r="AE4027">
        <v>0</v>
      </c>
      <c r="AI4027" t="s">
        <v>108</v>
      </c>
      <c r="AJ4027" t="s">
        <v>703</v>
      </c>
      <c r="AK4027" t="s">
        <v>680</v>
      </c>
      <c r="AL4027" t="str">
        <f>HYPERLINK("https://www.instagram.com/p/BzC7WHXp4La/media/?size=l")</f>
        <v>https://www.instagram.com/p/BzC7WHXp4La/media/?size=l</v>
      </c>
      <c r="AM4027" t="s">
        <v>52</v>
      </c>
      <c r="AN4027" t="s">
        <v>53</v>
      </c>
    </row>
    <row r="4028" spans="1:40">
      <c r="A4028" t="s">
        <v>8081</v>
      </c>
      <c r="B4028" t="s">
        <v>7281</v>
      </c>
      <c r="C4028" t="s">
        <v>12429</v>
      </c>
      <c r="D4028" t="s">
        <v>52</v>
      </c>
      <c r="E4028" t="s">
        <v>3749</v>
      </c>
      <c r="F4028" t="s">
        <v>71</v>
      </c>
      <c r="G4028" t="str">
        <f>HYPERLINK("https://twitter.com/723235495707303936/status/1142711027328606209")</f>
        <v>https://twitter.com/723235495707303936/status/1142711027328606209</v>
      </c>
      <c r="H4028" t="s">
        <v>46</v>
      </c>
      <c r="I4028" t="s">
        <v>12430</v>
      </c>
      <c r="J4028" t="str">
        <f>HYPERLINK("http://twitter.com/Donisdead_")</f>
        <v>http://twitter.com/Donisdead_</v>
      </c>
      <c r="K4028">
        <v>1056</v>
      </c>
      <c r="N4028" t="s">
        <v>65</v>
      </c>
      <c r="R4028" t="s">
        <v>60</v>
      </c>
      <c r="S4028" t="s">
        <v>1071</v>
      </c>
      <c r="T4028" t="s">
        <v>1072</v>
      </c>
      <c r="U4028" t="s">
        <v>1295</v>
      </c>
      <c r="W4028">
        <v>0</v>
      </c>
      <c r="X4028">
        <v>0</v>
      </c>
      <c r="AE4028">
        <v>0</v>
      </c>
      <c r="AF4028">
        <v>0</v>
      </c>
      <c r="AI4028" t="s">
        <v>108</v>
      </c>
      <c r="AJ4028" t="s">
        <v>52</v>
      </c>
      <c r="AK4028" t="s">
        <v>52</v>
      </c>
      <c r="AL4028" t="str">
        <f>HYPERLINK("https://pbs.twimg.com/media/D9sAXHUX4AA6vJs.jpg")</f>
        <v>https://pbs.twimg.com/media/D9sAXHUX4AA6vJs.jpg</v>
      </c>
      <c r="AM4028" t="s">
        <v>52</v>
      </c>
      <c r="AN4028" t="s">
        <v>53</v>
      </c>
    </row>
    <row r="4029" spans="1:40">
      <c r="A4029" t="s">
        <v>8081</v>
      </c>
      <c r="B4029" t="s">
        <v>7281</v>
      </c>
      <c r="C4029" t="s">
        <v>12431</v>
      </c>
      <c r="D4029" t="s">
        <v>52</v>
      </c>
      <c r="E4029" t="s">
        <v>3749</v>
      </c>
      <c r="F4029" t="s">
        <v>71</v>
      </c>
      <c r="G4029" t="str">
        <f>HYPERLINK("https://twitter.com/929064083793567744/status/1142710944042274816")</f>
        <v>https://twitter.com/929064083793567744/status/1142710944042274816</v>
      </c>
      <c r="H4029" t="s">
        <v>46</v>
      </c>
      <c r="I4029" t="s">
        <v>12432</v>
      </c>
      <c r="J4029" t="str">
        <f>HYPERLINK("http://twitter.com/sphiiwe_uthando")</f>
        <v>http://twitter.com/sphiiwe_uthando</v>
      </c>
      <c r="K4029">
        <v>729</v>
      </c>
      <c r="N4029" t="s">
        <v>65</v>
      </c>
      <c r="R4029" t="s">
        <v>60</v>
      </c>
      <c r="W4029">
        <v>0</v>
      </c>
      <c r="X4029">
        <v>0</v>
      </c>
      <c r="AE4029">
        <v>0</v>
      </c>
      <c r="AF4029">
        <v>0</v>
      </c>
      <c r="AI4029" t="s">
        <v>108</v>
      </c>
      <c r="AJ4029" t="s">
        <v>52</v>
      </c>
      <c r="AK4029" t="s">
        <v>52</v>
      </c>
      <c r="AL4029" t="str">
        <f>HYPERLINK("https://pbs.twimg.com/media/D9sAXHUX4AA6vJs.jpg")</f>
        <v>https://pbs.twimg.com/media/D9sAXHUX4AA6vJs.jpg</v>
      </c>
      <c r="AM4029" t="s">
        <v>52</v>
      </c>
      <c r="AN4029" t="s">
        <v>53</v>
      </c>
    </row>
    <row r="4030" spans="1:40">
      <c r="A4030" t="s">
        <v>8081</v>
      </c>
      <c r="B4030" t="s">
        <v>1416</v>
      </c>
      <c r="C4030" t="s">
        <v>12431</v>
      </c>
      <c r="D4030" t="s">
        <v>12433</v>
      </c>
      <c r="E4030" t="s">
        <v>12433</v>
      </c>
      <c r="F4030" t="s">
        <v>45</v>
      </c>
      <c r="G4030" t="str">
        <f>HYPERLINK("https://www.youtube.com/watch?v=ARIGbLpU7nY")</f>
        <v>https://www.youtube.com/watch?v=ARIGbLpU7nY</v>
      </c>
      <c r="H4030" t="s">
        <v>46</v>
      </c>
      <c r="I4030" t="s">
        <v>12434</v>
      </c>
      <c r="J4030" t="str">
        <f>HYPERLINK("https://www.youtube.com/channel/UCcu7gkcjikyGbfSpOz18X5Q")</f>
        <v>https://www.youtube.com/channel/UCcu7gkcjikyGbfSpOz18X5Q</v>
      </c>
      <c r="K4030">
        <v>1028</v>
      </c>
      <c r="N4030" t="s">
        <v>116</v>
      </c>
      <c r="O4030" t="s">
        <v>12434</v>
      </c>
      <c r="P4030" t="str">
        <f>HYPERLINK("https://www.youtube.com/channel/UCcu7gkcjikyGbfSpOz18X5Q")</f>
        <v>https://www.youtube.com/channel/UCcu7gkcjikyGbfSpOz18X5Q</v>
      </c>
      <c r="Q4030">
        <v>1028</v>
      </c>
      <c r="R4030" t="s">
        <v>60</v>
      </c>
      <c r="W4030">
        <v>2</v>
      </c>
      <c r="X4030">
        <v>2</v>
      </c>
      <c r="AD4030">
        <v>0</v>
      </c>
      <c r="AE4030">
        <v>0</v>
      </c>
      <c r="AG4030">
        <v>19</v>
      </c>
      <c r="AI4030" t="s">
        <v>52</v>
      </c>
      <c r="AJ4030" t="s">
        <v>52</v>
      </c>
      <c r="AK4030" t="s">
        <v>52</v>
      </c>
      <c r="AL4030" t="str">
        <f>HYPERLINK("https://i.ytimg.com/vi/ARIGbLpU7nY/maxresdefault.jpg")</f>
        <v>https://i.ytimg.com/vi/ARIGbLpU7nY/maxresdefault.jpg</v>
      </c>
      <c r="AM4030" t="s">
        <v>52</v>
      </c>
      <c r="AN4030" t="s">
        <v>53</v>
      </c>
    </row>
    <row r="4031" spans="1:40">
      <c r="A4031" t="s">
        <v>8081</v>
      </c>
      <c r="B4031" t="s">
        <v>1430</v>
      </c>
      <c r="C4031" t="s">
        <v>12431</v>
      </c>
      <c r="D4031" t="s">
        <v>52</v>
      </c>
      <c r="E4031" t="s">
        <v>12435</v>
      </c>
      <c r="F4031" t="s">
        <v>45</v>
      </c>
      <c r="G4031" t="str">
        <f>HYPERLINK("https://twitter.com/1057801058217451520/status/1142710116061515776")</f>
        <v>https://twitter.com/1057801058217451520/status/1142710116061515776</v>
      </c>
      <c r="H4031" t="s">
        <v>46</v>
      </c>
      <c r="I4031" t="s">
        <v>12436</v>
      </c>
      <c r="J4031" t="str">
        <f>HYPERLINK("http://twitter.com/SmutLisa")</f>
        <v>http://twitter.com/SmutLisa</v>
      </c>
      <c r="K4031">
        <v>8756</v>
      </c>
      <c r="N4031" t="s">
        <v>65</v>
      </c>
      <c r="R4031" t="s">
        <v>60</v>
      </c>
      <c r="S4031" t="s">
        <v>444</v>
      </c>
      <c r="T4031" t="s">
        <v>1062</v>
      </c>
      <c r="U4031" t="s">
        <v>3442</v>
      </c>
      <c r="W4031">
        <v>75</v>
      </c>
      <c r="X4031">
        <v>75</v>
      </c>
      <c r="AE4031">
        <v>10</v>
      </c>
      <c r="AF4031">
        <v>1</v>
      </c>
      <c r="AM4031" t="s">
        <v>52</v>
      </c>
      <c r="AN4031" t="s">
        <v>53</v>
      </c>
    </row>
    <row r="4032" spans="1:40">
      <c r="A4032" t="s">
        <v>8081</v>
      </c>
      <c r="B4032" t="s">
        <v>1430</v>
      </c>
      <c r="C4032" t="s">
        <v>12437</v>
      </c>
      <c r="D4032" t="s">
        <v>52</v>
      </c>
      <c r="E4032" t="s">
        <v>12438</v>
      </c>
      <c r="F4032" t="s">
        <v>45</v>
      </c>
      <c r="G4032" t="str">
        <f>HYPERLINK("https://www.instagram.com/p/BzC6M7uBVGb")</f>
        <v>https://www.instagram.com/p/BzC6M7uBVGb</v>
      </c>
      <c r="H4032" t="s">
        <v>46</v>
      </c>
      <c r="I4032" t="s">
        <v>12439</v>
      </c>
      <c r="J4032" t="str">
        <f>HYPERLINK("http://instagram.com/naomi_g_swjourney")</f>
        <v>http://instagram.com/naomi_g_swjourney</v>
      </c>
      <c r="K4032">
        <v>2232</v>
      </c>
      <c r="N4032" t="s">
        <v>59</v>
      </c>
      <c r="O4032" t="s">
        <v>12439</v>
      </c>
      <c r="P4032" t="str">
        <f>HYPERLINK("http://instagram.com/naomi_g_swjourney")</f>
        <v>http://instagram.com/naomi_g_swjourney</v>
      </c>
      <c r="Q4032">
        <v>2232</v>
      </c>
      <c r="R4032" t="s">
        <v>60</v>
      </c>
      <c r="W4032">
        <v>31</v>
      </c>
      <c r="X4032">
        <v>31</v>
      </c>
      <c r="AE4032">
        <v>0</v>
      </c>
      <c r="AI4032" t="s">
        <v>52</v>
      </c>
      <c r="AJ4032" t="s">
        <v>12440</v>
      </c>
      <c r="AK4032" t="s">
        <v>52</v>
      </c>
      <c r="AL4032" t="str">
        <f>HYPERLINK("https://www.instagram.com/p/BzC6M7uBVGb/media/?size=l")</f>
        <v>https://www.instagram.com/p/BzC6M7uBVGb/media/?size=l</v>
      </c>
      <c r="AM4032" t="s">
        <v>52</v>
      </c>
      <c r="AN4032" t="s">
        <v>53</v>
      </c>
    </row>
    <row r="4033" spans="1:40">
      <c r="A4033" t="s">
        <v>8081</v>
      </c>
      <c r="B4033" t="s">
        <v>12441</v>
      </c>
      <c r="C4033" t="s">
        <v>12442</v>
      </c>
      <c r="D4033" t="s">
        <v>52</v>
      </c>
      <c r="E4033" t="s">
        <v>12443</v>
      </c>
      <c r="F4033" t="s">
        <v>45</v>
      </c>
      <c r="G4033" t="str">
        <f>HYPERLINK("https://twitter.com/943738037430779904/status/1142709395429527552")</f>
        <v>https://twitter.com/943738037430779904/status/1142709395429527552</v>
      </c>
      <c r="H4033" t="s">
        <v>46</v>
      </c>
      <c r="I4033" t="s">
        <v>12444</v>
      </c>
      <c r="J4033" t="str">
        <f>HYPERLINK("http://twitter.com/fizzypopbitch")</f>
        <v>http://twitter.com/fizzypopbitch</v>
      </c>
      <c r="K4033">
        <v>82</v>
      </c>
      <c r="N4033" t="s">
        <v>65</v>
      </c>
      <c r="R4033" t="s">
        <v>60</v>
      </c>
      <c r="S4033" t="s">
        <v>2118</v>
      </c>
      <c r="T4033" t="s">
        <v>2492</v>
      </c>
      <c r="U4033" t="s">
        <v>2493</v>
      </c>
      <c r="W4033">
        <v>1</v>
      </c>
      <c r="X4033">
        <v>1</v>
      </c>
      <c r="AE4033">
        <v>0</v>
      </c>
      <c r="AF4033">
        <v>0</v>
      </c>
      <c r="AM4033" t="s">
        <v>52</v>
      </c>
      <c r="AN4033" t="s">
        <v>53</v>
      </c>
    </row>
    <row r="4034" spans="1:40">
      <c r="A4034" t="s">
        <v>8081</v>
      </c>
      <c r="B4034" t="s">
        <v>1434</v>
      </c>
      <c r="C4034" t="s">
        <v>12445</v>
      </c>
      <c r="D4034" t="s">
        <v>52</v>
      </c>
      <c r="E4034" t="s">
        <v>130</v>
      </c>
      <c r="F4034" t="s">
        <v>131</v>
      </c>
      <c r="G4034" t="str">
        <f>HYPERLINK("https://twitter.com/181466905/status/1142709234632744960")</f>
        <v>https://twitter.com/181466905/status/1142709234632744960</v>
      </c>
      <c r="H4034" t="s">
        <v>46</v>
      </c>
      <c r="I4034" t="s">
        <v>12446</v>
      </c>
      <c r="J4034" t="str">
        <f>HYPERLINK("http://twitter.com/fripfoll")</f>
        <v>http://twitter.com/fripfoll</v>
      </c>
      <c r="K4034">
        <v>3300</v>
      </c>
      <c r="N4034" t="s">
        <v>65</v>
      </c>
      <c r="R4034" t="s">
        <v>60</v>
      </c>
      <c r="S4034" t="s">
        <v>97</v>
      </c>
      <c r="T4034" t="s">
        <v>177</v>
      </c>
      <c r="U4034" t="s">
        <v>12447</v>
      </c>
      <c r="W4034">
        <v>0</v>
      </c>
      <c r="X4034">
        <v>0</v>
      </c>
      <c r="AE4034">
        <v>0</v>
      </c>
      <c r="AI4034" t="s">
        <v>108</v>
      </c>
      <c r="AJ4034" t="s">
        <v>52</v>
      </c>
      <c r="AK4034" t="s">
        <v>52</v>
      </c>
      <c r="AL4034" t="str">
        <f>HYPERLINK("https://pbs.twimg.com/media/D9XTkLWW4AAOYnJ.jpg")</f>
        <v>https://pbs.twimg.com/media/D9XTkLWW4AAOYnJ.jpg</v>
      </c>
      <c r="AM4034" t="s">
        <v>52</v>
      </c>
      <c r="AN4034" t="s">
        <v>53</v>
      </c>
    </row>
    <row r="4035" spans="1:40">
      <c r="A4035" t="s">
        <v>8081</v>
      </c>
      <c r="B4035" t="s">
        <v>1434</v>
      </c>
      <c r="C4035" t="s">
        <v>12445</v>
      </c>
      <c r="D4035" t="s">
        <v>52</v>
      </c>
      <c r="E4035" t="s">
        <v>12448</v>
      </c>
      <c r="F4035" t="s">
        <v>95</v>
      </c>
      <c r="G4035" t="str">
        <f>HYPERLINK("https://twitter.com/181466905/status/1142709214378434560")</f>
        <v>https://twitter.com/181466905/status/1142709214378434560</v>
      </c>
      <c r="H4035" t="s">
        <v>46</v>
      </c>
      <c r="I4035" t="s">
        <v>12446</v>
      </c>
      <c r="J4035" t="str">
        <f>HYPERLINK("http://twitter.com/fripfoll")</f>
        <v>http://twitter.com/fripfoll</v>
      </c>
      <c r="K4035">
        <v>3300</v>
      </c>
      <c r="N4035" t="s">
        <v>65</v>
      </c>
      <c r="R4035" t="s">
        <v>60</v>
      </c>
      <c r="S4035" t="s">
        <v>97</v>
      </c>
      <c r="T4035" t="s">
        <v>177</v>
      </c>
      <c r="U4035" t="s">
        <v>12447</v>
      </c>
      <c r="W4035">
        <v>0</v>
      </c>
      <c r="X4035">
        <v>0</v>
      </c>
      <c r="AE4035">
        <v>0</v>
      </c>
      <c r="AF4035">
        <v>0</v>
      </c>
      <c r="AI4035" t="s">
        <v>108</v>
      </c>
      <c r="AJ4035" t="s">
        <v>52</v>
      </c>
      <c r="AK4035" t="s">
        <v>52</v>
      </c>
      <c r="AL4035" t="str">
        <f>HYPERLINK("https://pbs.twimg.com/media/D9XTkLWW4AAOYnJ.jpg")</f>
        <v>https://pbs.twimg.com/media/D9XTkLWW4AAOYnJ.jpg</v>
      </c>
      <c r="AM4035" t="s">
        <v>52</v>
      </c>
      <c r="AN4035" t="s">
        <v>53</v>
      </c>
    </row>
    <row r="4036" spans="1:40">
      <c r="A4036" t="s">
        <v>8081</v>
      </c>
      <c r="B4036" t="s">
        <v>7301</v>
      </c>
      <c r="C4036" t="s">
        <v>12445</v>
      </c>
      <c r="D4036" t="s">
        <v>52</v>
      </c>
      <c r="E4036" t="s">
        <v>12449</v>
      </c>
      <c r="F4036" t="s">
        <v>45</v>
      </c>
      <c r="G4036" t="str">
        <f>HYPERLINK("https://twitter.com/240538148/status/1142708527766499328")</f>
        <v>https://twitter.com/240538148/status/1142708527766499328</v>
      </c>
      <c r="H4036" t="s">
        <v>46</v>
      </c>
      <c r="I4036" t="s">
        <v>12450</v>
      </c>
      <c r="J4036" t="str">
        <f>HYPERLINK("http://twitter.com/tokyope")</f>
        <v>http://twitter.com/tokyope</v>
      </c>
      <c r="K4036">
        <v>87</v>
      </c>
      <c r="N4036" t="s">
        <v>65</v>
      </c>
      <c r="R4036" t="s">
        <v>60</v>
      </c>
      <c r="S4036" t="s">
        <v>774</v>
      </c>
      <c r="T4036" t="s">
        <v>2679</v>
      </c>
      <c r="U4036" t="s">
        <v>12451</v>
      </c>
      <c r="W4036">
        <v>0</v>
      </c>
      <c r="X4036">
        <v>0</v>
      </c>
      <c r="AE4036">
        <v>0</v>
      </c>
      <c r="AF4036">
        <v>0</v>
      </c>
      <c r="AM4036" t="s">
        <v>52</v>
      </c>
      <c r="AN4036" t="s">
        <v>53</v>
      </c>
    </row>
    <row r="4037" spans="1:40">
      <c r="A4037" t="s">
        <v>8081</v>
      </c>
      <c r="B4037" t="s">
        <v>7312</v>
      </c>
      <c r="C4037" t="s">
        <v>12442</v>
      </c>
      <c r="D4037" t="s">
        <v>52</v>
      </c>
      <c r="E4037" t="s">
        <v>12452</v>
      </c>
      <c r="F4037" t="s">
        <v>45</v>
      </c>
      <c r="G4037" t="str">
        <f>HYPERLINK("https://www.instagram.com/p/BzC5SBtAPuw")</f>
        <v>https://www.instagram.com/p/BzC5SBtAPuw</v>
      </c>
      <c r="H4037" t="s">
        <v>46</v>
      </c>
      <c r="I4037" t="s">
        <v>12453</v>
      </c>
      <c r="J4037" t="str">
        <f>HYPERLINK("http://instagram.com/mitchycakes")</f>
        <v>http://instagram.com/mitchycakes</v>
      </c>
      <c r="K4037">
        <v>89</v>
      </c>
      <c r="L4037" t="s">
        <v>48</v>
      </c>
      <c r="N4037" t="s">
        <v>59</v>
      </c>
      <c r="O4037" t="s">
        <v>12453</v>
      </c>
      <c r="P4037" t="str">
        <f>HYPERLINK("http://instagram.com/mitchycakes")</f>
        <v>http://instagram.com/mitchycakes</v>
      </c>
      <c r="Q4037">
        <v>89</v>
      </c>
      <c r="R4037" t="s">
        <v>60</v>
      </c>
      <c r="W4037">
        <v>9</v>
      </c>
      <c r="X4037">
        <v>9</v>
      </c>
      <c r="AE4037">
        <v>2</v>
      </c>
      <c r="AI4037" t="s">
        <v>108</v>
      </c>
      <c r="AJ4037" t="s">
        <v>12454</v>
      </c>
      <c r="AK4037" t="s">
        <v>52</v>
      </c>
      <c r="AL4037" t="str">
        <f>HYPERLINK("https://www.instagram.com/p/BzC5SBtAPuw/media/?size=l")</f>
        <v>https://www.instagram.com/p/BzC5SBtAPuw/media/?size=l</v>
      </c>
      <c r="AM4037" t="s">
        <v>52</v>
      </c>
      <c r="AN4037" t="s">
        <v>53</v>
      </c>
    </row>
    <row r="4038" spans="1:40">
      <c r="A4038" t="s">
        <v>8081</v>
      </c>
      <c r="B4038" t="s">
        <v>1463</v>
      </c>
      <c r="C4038" t="s">
        <v>12455</v>
      </c>
      <c r="D4038" t="s">
        <v>52</v>
      </c>
      <c r="E4038" t="s">
        <v>12456</v>
      </c>
      <c r="F4038" t="s">
        <v>45</v>
      </c>
      <c r="G4038" t="str">
        <f>HYPERLINK("https://www.instagram.com/p/BzC5NUvnVAV")</f>
        <v>https://www.instagram.com/p/BzC5NUvnVAV</v>
      </c>
      <c r="H4038" t="s">
        <v>46</v>
      </c>
      <c r="I4038" t="s">
        <v>12457</v>
      </c>
      <c r="J4038" t="str">
        <f>HYPERLINK("http://instagram.com/runningmandy")</f>
        <v>http://instagram.com/runningmandy</v>
      </c>
      <c r="K4038">
        <v>1279</v>
      </c>
      <c r="N4038" t="s">
        <v>59</v>
      </c>
      <c r="O4038" t="s">
        <v>12457</v>
      </c>
      <c r="P4038" t="str">
        <f>HYPERLINK("http://instagram.com/runningmandy")</f>
        <v>http://instagram.com/runningmandy</v>
      </c>
      <c r="Q4038">
        <v>1279</v>
      </c>
      <c r="R4038" t="s">
        <v>60</v>
      </c>
      <c r="W4038">
        <v>28</v>
      </c>
      <c r="X4038">
        <v>28</v>
      </c>
      <c r="AE4038">
        <v>0</v>
      </c>
      <c r="AI4038" t="s">
        <v>52</v>
      </c>
      <c r="AJ4038" t="s">
        <v>461</v>
      </c>
      <c r="AK4038" t="s">
        <v>52</v>
      </c>
      <c r="AL4038" t="str">
        <f>HYPERLINK("https://www.instagram.com/p/BzC5NUvnVAV/media/?size=l")</f>
        <v>https://www.instagram.com/p/BzC5NUvnVAV/media/?size=l</v>
      </c>
      <c r="AM4038" t="s">
        <v>52</v>
      </c>
      <c r="AN4038" t="s">
        <v>53</v>
      </c>
    </row>
    <row r="4039" spans="1:40">
      <c r="A4039" t="s">
        <v>8081</v>
      </c>
      <c r="B4039" t="s">
        <v>1470</v>
      </c>
      <c r="C4039" t="s">
        <v>12458</v>
      </c>
      <c r="D4039" t="s">
        <v>52</v>
      </c>
      <c r="E4039" t="s">
        <v>12459</v>
      </c>
      <c r="F4039" t="s">
        <v>71</v>
      </c>
      <c r="G4039" t="str">
        <f>HYPERLINK("https://twitter.com/138864365/status/1142707337368653826")</f>
        <v>https://twitter.com/138864365/status/1142707337368653826</v>
      </c>
      <c r="H4039" t="s">
        <v>46</v>
      </c>
      <c r="I4039" t="s">
        <v>12460</v>
      </c>
      <c r="J4039" t="str">
        <f>HYPERLINK("http://twitter.com/superpidge")</f>
        <v>http://twitter.com/superpidge</v>
      </c>
      <c r="K4039">
        <v>44289</v>
      </c>
      <c r="N4039" t="s">
        <v>65</v>
      </c>
      <c r="R4039" t="s">
        <v>60</v>
      </c>
      <c r="S4039" t="s">
        <v>97</v>
      </c>
      <c r="T4039" t="s">
        <v>177</v>
      </c>
      <c r="U4039" t="s">
        <v>12461</v>
      </c>
      <c r="W4039">
        <v>0</v>
      </c>
      <c r="X4039">
        <v>0</v>
      </c>
      <c r="AE4039">
        <v>0</v>
      </c>
      <c r="AF4039">
        <v>0</v>
      </c>
      <c r="AM4039" t="s">
        <v>52</v>
      </c>
      <c r="AN4039" t="s">
        <v>53</v>
      </c>
    </row>
    <row r="4040" spans="1:40">
      <c r="A4040" t="s">
        <v>8081</v>
      </c>
      <c r="B4040" t="s">
        <v>1481</v>
      </c>
      <c r="C4040" t="s">
        <v>12462</v>
      </c>
      <c r="D4040" t="s">
        <v>12463</v>
      </c>
      <c r="E4040" t="s">
        <v>12464</v>
      </c>
      <c r="F4040" t="s">
        <v>45</v>
      </c>
      <c r="G4040" t="str">
        <f>HYPERLINK("https://www.youtube.com/watch?v=vz_ghC6vaWc")</f>
        <v>https://www.youtube.com/watch?v=vz_ghC6vaWc</v>
      </c>
      <c r="H4040" t="s">
        <v>215</v>
      </c>
      <c r="I4040" t="s">
        <v>12465</v>
      </c>
      <c r="J4040" t="str">
        <f>HYPERLINK("https://www.youtube.com/channel/UC9Q25U38bZtPeLjQtEi3NnA")</f>
        <v>https://www.youtube.com/channel/UC9Q25U38bZtPeLjQtEi3NnA</v>
      </c>
      <c r="K4040">
        <v>8</v>
      </c>
      <c r="N4040" t="s">
        <v>116</v>
      </c>
      <c r="O4040" t="s">
        <v>12465</v>
      </c>
      <c r="P4040" t="str">
        <f>HYPERLINK("https://www.youtube.com/channel/UC9Q25U38bZtPeLjQtEi3NnA")</f>
        <v>https://www.youtube.com/channel/UC9Q25U38bZtPeLjQtEi3NnA</v>
      </c>
      <c r="Q4040">
        <v>8</v>
      </c>
      <c r="R4040" t="s">
        <v>60</v>
      </c>
      <c r="W4040">
        <v>1</v>
      </c>
      <c r="X4040">
        <v>1</v>
      </c>
      <c r="AD4040">
        <v>0</v>
      </c>
      <c r="AE4040">
        <v>1</v>
      </c>
      <c r="AG4040">
        <v>2</v>
      </c>
      <c r="AI4040" t="s">
        <v>52</v>
      </c>
      <c r="AJ4040" t="s">
        <v>52</v>
      </c>
      <c r="AK4040" t="s">
        <v>52</v>
      </c>
      <c r="AL4040" t="str">
        <f>HYPERLINK("https://i.ytimg.com/vi/vz_ghC6vaWc/sddefault.jpg")</f>
        <v>https://i.ytimg.com/vi/vz_ghC6vaWc/sddefault.jpg</v>
      </c>
      <c r="AM4040" t="s">
        <v>52</v>
      </c>
      <c r="AN4040" t="s">
        <v>53</v>
      </c>
    </row>
    <row r="4041" spans="1:40">
      <c r="A4041" t="s">
        <v>8081</v>
      </c>
      <c r="B4041" t="s">
        <v>12466</v>
      </c>
      <c r="C4041" t="s">
        <v>12467</v>
      </c>
      <c r="D4041" t="s">
        <v>52</v>
      </c>
      <c r="E4041" t="s">
        <v>12468</v>
      </c>
      <c r="F4041" t="s">
        <v>45</v>
      </c>
      <c r="G4041" t="str">
        <f>HYPERLINK("https://www.instagram.com/p/BzC4gK_gpXx")</f>
        <v>https://www.instagram.com/p/BzC4gK_gpXx</v>
      </c>
      <c r="H4041" t="s">
        <v>215</v>
      </c>
      <c r="I4041" t="s">
        <v>12469</v>
      </c>
      <c r="J4041" t="str">
        <f>HYPERLINK("http://instagram.com/fatz_shaik")</f>
        <v>http://instagram.com/fatz_shaik</v>
      </c>
      <c r="K4041">
        <v>202</v>
      </c>
      <c r="L4041" t="s">
        <v>58</v>
      </c>
      <c r="N4041" t="s">
        <v>59</v>
      </c>
      <c r="O4041" t="s">
        <v>12469</v>
      </c>
      <c r="P4041" t="str">
        <f>HYPERLINK("http://instagram.com/fatz_shaik")</f>
        <v>http://instagram.com/fatz_shaik</v>
      </c>
      <c r="Q4041">
        <v>202</v>
      </c>
      <c r="R4041" t="s">
        <v>60</v>
      </c>
      <c r="W4041">
        <v>13</v>
      </c>
      <c r="X4041">
        <v>13</v>
      </c>
      <c r="AE4041">
        <v>0</v>
      </c>
      <c r="AI4041" t="s">
        <v>52</v>
      </c>
      <c r="AJ4041" t="s">
        <v>12470</v>
      </c>
      <c r="AK4041" t="s">
        <v>52</v>
      </c>
      <c r="AL4041" t="str">
        <f>HYPERLINK("https://www.instagram.com/p/BzC4gK_gpXx/media/?size=l")</f>
        <v>https://www.instagram.com/p/BzC4gK_gpXx/media/?size=l</v>
      </c>
      <c r="AM4041" t="s">
        <v>52</v>
      </c>
      <c r="AN4041" t="s">
        <v>53</v>
      </c>
    </row>
    <row r="4042" spans="1:40">
      <c r="A4042" t="s">
        <v>8081</v>
      </c>
      <c r="B4042" t="s">
        <v>1483</v>
      </c>
      <c r="C4042" t="s">
        <v>12467</v>
      </c>
      <c r="D4042" t="s">
        <v>52</v>
      </c>
      <c r="E4042" t="s">
        <v>12471</v>
      </c>
      <c r="F4042" t="s">
        <v>45</v>
      </c>
      <c r="G4042" t="str">
        <f>HYPERLINK("https://www.instagram.com/p/BzC4a_JHgi3")</f>
        <v>https://www.instagram.com/p/BzC4a_JHgi3</v>
      </c>
      <c r="H4042" t="s">
        <v>46</v>
      </c>
      <c r="I4042" t="s">
        <v>12472</v>
      </c>
      <c r="J4042" t="str">
        <f>HYPERLINK("http://instagram.com/holyshiftofficial")</f>
        <v>http://instagram.com/holyshiftofficial</v>
      </c>
      <c r="K4042">
        <v>14543</v>
      </c>
      <c r="N4042" t="s">
        <v>59</v>
      </c>
      <c r="O4042" t="s">
        <v>12472</v>
      </c>
      <c r="P4042" t="str">
        <f>HYPERLINK("http://instagram.com/holyshiftofficial")</f>
        <v>http://instagram.com/holyshiftofficial</v>
      </c>
      <c r="Q4042">
        <v>14543</v>
      </c>
      <c r="R4042" t="s">
        <v>60</v>
      </c>
      <c r="W4042">
        <v>2882</v>
      </c>
      <c r="X4042">
        <v>2882</v>
      </c>
      <c r="AE4042">
        <v>24</v>
      </c>
      <c r="AI4042" t="s">
        <v>52</v>
      </c>
      <c r="AJ4042" t="s">
        <v>12473</v>
      </c>
      <c r="AK4042" t="s">
        <v>12474</v>
      </c>
      <c r="AL4042" t="str">
        <f>HYPERLINK("https://www.instagram.com/p/BzC4a_JHgi3/media/?size=l")</f>
        <v>https://www.instagram.com/p/BzC4a_JHgi3/media/?size=l</v>
      </c>
      <c r="AM4042" t="s">
        <v>52</v>
      </c>
      <c r="AN4042" t="s">
        <v>53</v>
      </c>
    </row>
    <row r="4043" spans="1:40">
      <c r="A4043" t="s">
        <v>8081</v>
      </c>
      <c r="B4043" t="s">
        <v>1483</v>
      </c>
      <c r="C4043" t="s">
        <v>12467</v>
      </c>
      <c r="D4043" t="s">
        <v>52</v>
      </c>
      <c r="E4043" t="s">
        <v>130</v>
      </c>
      <c r="F4043" t="s">
        <v>131</v>
      </c>
      <c r="G4043" t="str">
        <f>HYPERLINK("https://twitter.com/709339336244854784/status/1142706043635621888")</f>
        <v>https://twitter.com/709339336244854784/status/1142706043635621888</v>
      </c>
      <c r="H4043" t="s">
        <v>46</v>
      </c>
      <c r="I4043" t="s">
        <v>12475</v>
      </c>
      <c r="J4043" t="str">
        <f>HYPERLINK("http://twitter.com/mattangelides")</f>
        <v>http://twitter.com/mattangelides</v>
      </c>
      <c r="K4043">
        <v>293</v>
      </c>
      <c r="L4043" t="s">
        <v>48</v>
      </c>
      <c r="N4043" t="s">
        <v>65</v>
      </c>
      <c r="R4043" t="s">
        <v>60</v>
      </c>
      <c r="W4043">
        <v>0</v>
      </c>
      <c r="X4043">
        <v>0</v>
      </c>
      <c r="AE4043">
        <v>0</v>
      </c>
      <c r="AI4043" t="s">
        <v>108</v>
      </c>
      <c r="AJ4043" t="s">
        <v>52</v>
      </c>
      <c r="AK4043" t="s">
        <v>52</v>
      </c>
      <c r="AL4043" t="str">
        <f>HYPERLINK("https://pbs.twimg.com/media/D9XTkLWW4AAOYnJ.jpg")</f>
        <v>https://pbs.twimg.com/media/D9XTkLWW4AAOYnJ.jpg</v>
      </c>
      <c r="AM4043" t="s">
        <v>52</v>
      </c>
      <c r="AN4043" t="s">
        <v>53</v>
      </c>
    </row>
    <row r="4044" spans="1:40">
      <c r="A4044" t="s">
        <v>8081</v>
      </c>
      <c r="B4044" t="s">
        <v>12476</v>
      </c>
      <c r="C4044" t="s">
        <v>12477</v>
      </c>
      <c r="D4044" t="s">
        <v>52</v>
      </c>
      <c r="E4044" t="s">
        <v>12478</v>
      </c>
      <c r="F4044" t="s">
        <v>45</v>
      </c>
      <c r="G4044" t="str">
        <f>HYPERLINK("https://twitter.com/935297961965342720/status/1142705728752443392")</f>
        <v>https://twitter.com/935297961965342720/status/1142705728752443392</v>
      </c>
      <c r="H4044" t="s">
        <v>46</v>
      </c>
      <c r="I4044" t="s">
        <v>12479</v>
      </c>
      <c r="J4044" t="str">
        <f>HYPERLINK("http://twitter.com/97goth")</f>
        <v>http://twitter.com/97goth</v>
      </c>
      <c r="K4044">
        <v>958</v>
      </c>
      <c r="N4044" t="s">
        <v>65</v>
      </c>
      <c r="R4044" t="s">
        <v>60</v>
      </c>
      <c r="S4044" t="s">
        <v>387</v>
      </c>
      <c r="T4044" t="s">
        <v>2839</v>
      </c>
      <c r="U4044" t="s">
        <v>12480</v>
      </c>
      <c r="W4044">
        <v>0</v>
      </c>
      <c r="X4044">
        <v>0</v>
      </c>
      <c r="AE4044">
        <v>2</v>
      </c>
      <c r="AF4044">
        <v>0</v>
      </c>
      <c r="AM4044" t="s">
        <v>52</v>
      </c>
      <c r="AN4044" t="s">
        <v>53</v>
      </c>
    </row>
    <row r="4045" spans="1:40">
      <c r="A4045" t="s">
        <v>8081</v>
      </c>
      <c r="B4045" t="s">
        <v>12476</v>
      </c>
      <c r="C4045" t="s">
        <v>12458</v>
      </c>
      <c r="D4045" t="s">
        <v>52</v>
      </c>
      <c r="E4045" t="s">
        <v>12481</v>
      </c>
      <c r="F4045" t="s">
        <v>45</v>
      </c>
      <c r="G4045" t="str">
        <f>HYPERLINK("https://twitter.com/828416311126429696/status/1142705695315206146")</f>
        <v>https://twitter.com/828416311126429696/status/1142705695315206146</v>
      </c>
      <c r="H4045" t="s">
        <v>46</v>
      </c>
      <c r="I4045" t="s">
        <v>12482</v>
      </c>
      <c r="J4045" t="str">
        <f>HYPERLINK("http://twitter.com/DiegoHa06734351")</f>
        <v>http://twitter.com/DiegoHa06734351</v>
      </c>
      <c r="K4045">
        <v>3</v>
      </c>
      <c r="L4045" t="s">
        <v>48</v>
      </c>
      <c r="N4045" t="s">
        <v>65</v>
      </c>
      <c r="R4045" t="s">
        <v>60</v>
      </c>
      <c r="W4045">
        <v>0</v>
      </c>
      <c r="X4045">
        <v>0</v>
      </c>
      <c r="AE4045">
        <v>0</v>
      </c>
      <c r="AF4045">
        <v>0</v>
      </c>
      <c r="AM4045" t="s">
        <v>52</v>
      </c>
      <c r="AN4045" t="s">
        <v>53</v>
      </c>
    </row>
    <row r="4046" spans="1:40">
      <c r="A4046" t="s">
        <v>8081</v>
      </c>
      <c r="B4046" t="s">
        <v>12476</v>
      </c>
      <c r="C4046" t="s">
        <v>12477</v>
      </c>
      <c r="D4046" t="s">
        <v>52</v>
      </c>
      <c r="E4046" t="s">
        <v>12483</v>
      </c>
      <c r="F4046" t="s">
        <v>45</v>
      </c>
      <c r="G4046" t="str">
        <f>HYPERLINK("https://www.instagram.com/p/BzC3uT7g6Du")</f>
        <v>https://www.instagram.com/p/BzC3uT7g6Du</v>
      </c>
      <c r="H4046" t="s">
        <v>46</v>
      </c>
      <c r="I4046" t="s">
        <v>12484</v>
      </c>
      <c r="J4046" t="str">
        <f>HYPERLINK("http://instagram.com/worldwide_food_recipes")</f>
        <v>http://instagram.com/worldwide_food_recipes</v>
      </c>
      <c r="K4046">
        <v>2883</v>
      </c>
      <c r="N4046" t="s">
        <v>59</v>
      </c>
      <c r="O4046" t="s">
        <v>12484</v>
      </c>
      <c r="P4046" t="str">
        <f>HYPERLINK("http://instagram.com/worldwide_food_recipes")</f>
        <v>http://instagram.com/worldwide_food_recipes</v>
      </c>
      <c r="Q4046">
        <v>2883</v>
      </c>
      <c r="R4046" t="s">
        <v>60</v>
      </c>
      <c r="W4046">
        <v>270</v>
      </c>
      <c r="X4046">
        <v>270</v>
      </c>
      <c r="AE4046">
        <v>0</v>
      </c>
      <c r="AG4046">
        <v>3089</v>
      </c>
      <c r="AI4046" t="s">
        <v>52</v>
      </c>
      <c r="AJ4046" t="s">
        <v>659</v>
      </c>
      <c r="AK4046" t="s">
        <v>52</v>
      </c>
      <c r="AL4046" t="str">
        <f>HYPERLINK("https://www.instagram.com/p/BzC3uT7g6Du/media/?size=l")</f>
        <v>https://www.instagram.com/p/BzC3uT7g6Du/media/?size=l</v>
      </c>
      <c r="AM4046" t="s">
        <v>52</v>
      </c>
      <c r="AN4046" t="s">
        <v>53</v>
      </c>
    </row>
    <row r="4047" spans="1:40">
      <c r="A4047" t="s">
        <v>8081</v>
      </c>
      <c r="B4047" t="s">
        <v>1489</v>
      </c>
      <c r="C4047" t="s">
        <v>12485</v>
      </c>
      <c r="D4047" t="s">
        <v>52</v>
      </c>
      <c r="E4047" t="s">
        <v>12486</v>
      </c>
      <c r="F4047" t="s">
        <v>45</v>
      </c>
      <c r="G4047" t="str">
        <f>HYPERLINK("https://www.instagram.com/p/BzC4LIrgYR0")</f>
        <v>https://www.instagram.com/p/BzC4LIrgYR0</v>
      </c>
      <c r="H4047" t="s">
        <v>46</v>
      </c>
      <c r="I4047" t="s">
        <v>12487</v>
      </c>
      <c r="J4047" t="str">
        <f>HYPERLINK("http://instagram.com/bittercookies_")</f>
        <v>http://instagram.com/bittercookies_</v>
      </c>
      <c r="K4047">
        <v>3374</v>
      </c>
      <c r="N4047" t="s">
        <v>59</v>
      </c>
      <c r="O4047" t="s">
        <v>12487</v>
      </c>
      <c r="P4047" t="str">
        <f>HYPERLINK("http://instagram.com/bittercookies_")</f>
        <v>http://instagram.com/bittercookies_</v>
      </c>
      <c r="Q4047">
        <v>3374</v>
      </c>
      <c r="R4047" t="s">
        <v>60</v>
      </c>
      <c r="W4047">
        <v>643</v>
      </c>
      <c r="X4047">
        <v>643</v>
      </c>
      <c r="AE4047">
        <v>35</v>
      </c>
      <c r="AI4047" t="s">
        <v>108</v>
      </c>
      <c r="AJ4047" t="s">
        <v>12488</v>
      </c>
      <c r="AK4047" t="s">
        <v>4550</v>
      </c>
      <c r="AL4047" t="str">
        <f>HYPERLINK("https://www.instagram.com/p/BzC4LIrgYR0/media/?size=l")</f>
        <v>https://www.instagram.com/p/BzC4LIrgYR0/media/?size=l</v>
      </c>
      <c r="AM4047" t="s">
        <v>52</v>
      </c>
      <c r="AN4047" t="s">
        <v>53</v>
      </c>
    </row>
    <row r="4048" spans="1:40">
      <c r="A4048" t="s">
        <v>8081</v>
      </c>
      <c r="B4048" t="s">
        <v>12489</v>
      </c>
      <c r="C4048" t="s">
        <v>12462</v>
      </c>
      <c r="D4048" t="s">
        <v>52</v>
      </c>
      <c r="E4048" t="s">
        <v>12490</v>
      </c>
      <c r="F4048" t="s">
        <v>45</v>
      </c>
      <c r="G4048" t="str">
        <f>HYPERLINK("https://www.instagram.com/p/BzC4FAkAf0U")</f>
        <v>https://www.instagram.com/p/BzC4FAkAf0U</v>
      </c>
      <c r="H4048" t="s">
        <v>46</v>
      </c>
      <c r="I4048" t="s">
        <v>12491</v>
      </c>
      <c r="J4048" t="str">
        <f>HYPERLINK("http://instagram.com/thereallcunninghamii")</f>
        <v>http://instagram.com/thereallcunninghamii</v>
      </c>
      <c r="K4048">
        <v>1128</v>
      </c>
      <c r="L4048" t="s">
        <v>48</v>
      </c>
      <c r="N4048" t="s">
        <v>59</v>
      </c>
      <c r="O4048" t="s">
        <v>12491</v>
      </c>
      <c r="P4048" t="str">
        <f>HYPERLINK("http://instagram.com/thereallcunninghamii")</f>
        <v>http://instagram.com/thereallcunninghamii</v>
      </c>
      <c r="Q4048">
        <v>1128</v>
      </c>
      <c r="R4048" t="s">
        <v>60</v>
      </c>
      <c r="W4048">
        <v>2</v>
      </c>
      <c r="X4048">
        <v>2</v>
      </c>
      <c r="AE4048">
        <v>0</v>
      </c>
      <c r="AI4048" t="s">
        <v>108</v>
      </c>
      <c r="AJ4048" t="s">
        <v>52</v>
      </c>
      <c r="AK4048" t="s">
        <v>12492</v>
      </c>
      <c r="AL4048" t="str">
        <f>HYPERLINK("https://www.instagram.com/p/BzC4FAkAf0U/media/?size=l")</f>
        <v>https://www.instagram.com/p/BzC4FAkAf0U/media/?size=l</v>
      </c>
      <c r="AM4048" t="s">
        <v>52</v>
      </c>
      <c r="AN4048" t="s">
        <v>53</v>
      </c>
    </row>
    <row r="4049" spans="1:40">
      <c r="A4049" t="s">
        <v>8081</v>
      </c>
      <c r="B4049" t="s">
        <v>12489</v>
      </c>
      <c r="C4049" t="s">
        <v>12493</v>
      </c>
      <c r="D4049" t="s">
        <v>52</v>
      </c>
      <c r="E4049" t="s">
        <v>3749</v>
      </c>
      <c r="F4049" t="s">
        <v>71</v>
      </c>
      <c r="G4049" t="str">
        <f>HYPERLINK("https://twitter.com/1291586280/status/1142705224001433600")</f>
        <v>https://twitter.com/1291586280/status/1142705224001433600</v>
      </c>
      <c r="H4049" t="s">
        <v>46</v>
      </c>
      <c r="I4049" t="s">
        <v>12494</v>
      </c>
      <c r="J4049" t="str">
        <f>HYPERLINK("http://twitter.com/Bhekumuzi_G")</f>
        <v>http://twitter.com/Bhekumuzi_G</v>
      </c>
      <c r="K4049">
        <v>746</v>
      </c>
      <c r="N4049" t="s">
        <v>65</v>
      </c>
      <c r="R4049" t="s">
        <v>60</v>
      </c>
      <c r="S4049" t="s">
        <v>1071</v>
      </c>
      <c r="T4049" t="s">
        <v>5506</v>
      </c>
      <c r="U4049" t="s">
        <v>5507</v>
      </c>
      <c r="W4049">
        <v>0</v>
      </c>
      <c r="X4049">
        <v>0</v>
      </c>
      <c r="AE4049">
        <v>0</v>
      </c>
      <c r="AF4049">
        <v>0</v>
      </c>
      <c r="AI4049" t="s">
        <v>108</v>
      </c>
      <c r="AJ4049" t="s">
        <v>52</v>
      </c>
      <c r="AK4049" t="s">
        <v>52</v>
      </c>
      <c r="AL4049" t="str">
        <f>HYPERLINK("https://pbs.twimg.com/media/D9sAXHUX4AA6vJs.jpg")</f>
        <v>https://pbs.twimg.com/media/D9sAXHUX4AA6vJs.jpg</v>
      </c>
      <c r="AM4049" t="s">
        <v>52</v>
      </c>
      <c r="AN4049" t="s">
        <v>53</v>
      </c>
    </row>
    <row r="4050" spans="1:40">
      <c r="A4050" t="s">
        <v>8081</v>
      </c>
      <c r="B4050" t="s">
        <v>12489</v>
      </c>
      <c r="C4050" t="s">
        <v>11236</v>
      </c>
      <c r="D4050" t="s">
        <v>52</v>
      </c>
      <c r="E4050" t="s">
        <v>12495</v>
      </c>
      <c r="F4050" t="s">
        <v>45</v>
      </c>
      <c r="G4050" t="str">
        <f>HYPERLINK("https://www.instagram.com/p/BzC3_v_g6ER")</f>
        <v>https://www.instagram.com/p/BzC3_v_g6ER</v>
      </c>
      <c r="H4050" t="s">
        <v>46</v>
      </c>
      <c r="I4050" t="s">
        <v>12496</v>
      </c>
      <c r="J4050" t="str">
        <f>HYPERLINK("http://instagram.com/daytona247_")</f>
        <v>http://instagram.com/daytona247_</v>
      </c>
      <c r="K4050">
        <v>180</v>
      </c>
      <c r="L4050" t="s">
        <v>651</v>
      </c>
      <c r="N4050" t="s">
        <v>59</v>
      </c>
      <c r="O4050" t="s">
        <v>12496</v>
      </c>
      <c r="P4050" t="str">
        <f>HYPERLINK("http://instagram.com/daytona247_")</f>
        <v>http://instagram.com/daytona247_</v>
      </c>
      <c r="Q4050">
        <v>180</v>
      </c>
      <c r="R4050" t="s">
        <v>60</v>
      </c>
      <c r="S4050" t="s">
        <v>1592</v>
      </c>
      <c r="T4050" t="s">
        <v>7397</v>
      </c>
      <c r="U4050" t="s">
        <v>7397</v>
      </c>
      <c r="W4050">
        <v>30</v>
      </c>
      <c r="X4050">
        <v>30</v>
      </c>
      <c r="AE4050">
        <v>0</v>
      </c>
      <c r="AI4050" t="s">
        <v>108</v>
      </c>
      <c r="AJ4050" t="s">
        <v>5204</v>
      </c>
      <c r="AK4050" t="s">
        <v>52</v>
      </c>
      <c r="AL4050" t="str">
        <f>HYPERLINK("https://www.instagram.com/p/BzC3_v_g6ER/media/?size=l")</f>
        <v>https://www.instagram.com/p/BzC3_v_g6ER/media/?size=l</v>
      </c>
      <c r="AM4050" t="s">
        <v>52</v>
      </c>
      <c r="AN4050" t="s">
        <v>53</v>
      </c>
    </row>
    <row r="4051" spans="1:40">
      <c r="A4051" t="s">
        <v>8081</v>
      </c>
      <c r="B4051" t="s">
        <v>12489</v>
      </c>
      <c r="C4051" t="s">
        <v>12497</v>
      </c>
      <c r="D4051" t="s">
        <v>52</v>
      </c>
      <c r="E4051" t="s">
        <v>12498</v>
      </c>
      <c r="F4051" t="s">
        <v>45</v>
      </c>
      <c r="G4051" t="str">
        <f>HYPERLINK("https://www.instagram.com/p/BzC3_YqFCMv")</f>
        <v>https://www.instagram.com/p/BzC3_YqFCMv</v>
      </c>
      <c r="H4051" t="s">
        <v>46</v>
      </c>
      <c r="I4051" t="s">
        <v>12499</v>
      </c>
      <c r="J4051" t="str">
        <f>HYPERLINK("http://instagram.com/retro_life_back_to_the_80s")</f>
        <v>http://instagram.com/retro_life_back_to_the_80s</v>
      </c>
      <c r="K4051">
        <v>280</v>
      </c>
      <c r="N4051" t="s">
        <v>59</v>
      </c>
      <c r="O4051" t="s">
        <v>12499</v>
      </c>
      <c r="P4051" t="str">
        <f>HYPERLINK("http://instagram.com/retro_life_back_to_the_80s")</f>
        <v>http://instagram.com/retro_life_back_to_the_80s</v>
      </c>
      <c r="Q4051">
        <v>280</v>
      </c>
      <c r="R4051" t="s">
        <v>60</v>
      </c>
      <c r="W4051">
        <v>4</v>
      </c>
      <c r="X4051">
        <v>4</v>
      </c>
      <c r="AE4051">
        <v>0</v>
      </c>
      <c r="AI4051" t="s">
        <v>52</v>
      </c>
      <c r="AJ4051" t="s">
        <v>1182</v>
      </c>
      <c r="AK4051" t="s">
        <v>52</v>
      </c>
      <c r="AL4051" t="str">
        <f>HYPERLINK("https://www.instagram.com/p/BzC3_YqFCMv/media/?size=l")</f>
        <v>https://www.instagram.com/p/BzC3_YqFCMv/media/?size=l</v>
      </c>
      <c r="AM4051" t="s">
        <v>52</v>
      </c>
      <c r="AN4051" t="s">
        <v>53</v>
      </c>
    </row>
    <row r="4052" spans="1:40">
      <c r="A4052" t="s">
        <v>8081</v>
      </c>
      <c r="B4052" t="s">
        <v>1493</v>
      </c>
      <c r="C4052" t="s">
        <v>12500</v>
      </c>
      <c r="D4052" t="s">
        <v>52</v>
      </c>
      <c r="E4052" t="s">
        <v>12501</v>
      </c>
      <c r="F4052" t="s">
        <v>131</v>
      </c>
      <c r="G4052" t="str">
        <f>HYPERLINK("https://twitter.com/725910310427586561/status/1142704984313622529")</f>
        <v>https://twitter.com/725910310427586561/status/1142704984313622529</v>
      </c>
      <c r="H4052" t="s">
        <v>46</v>
      </c>
      <c r="I4052" t="s">
        <v>12502</v>
      </c>
      <c r="J4052" t="str">
        <f>HYPERLINK("http://twitter.com/Gucciirama")</f>
        <v>http://twitter.com/Gucciirama</v>
      </c>
      <c r="K4052">
        <v>124</v>
      </c>
      <c r="N4052" t="s">
        <v>65</v>
      </c>
      <c r="R4052" t="s">
        <v>60</v>
      </c>
      <c r="S4052" t="s">
        <v>387</v>
      </c>
      <c r="T4052" t="s">
        <v>9986</v>
      </c>
      <c r="U4052" t="s">
        <v>12503</v>
      </c>
      <c r="W4052">
        <v>0</v>
      </c>
      <c r="X4052">
        <v>0</v>
      </c>
      <c r="AE4052">
        <v>0</v>
      </c>
      <c r="AM4052" t="s">
        <v>52</v>
      </c>
      <c r="AN4052" t="s">
        <v>53</v>
      </c>
    </row>
    <row r="4053" spans="1:40">
      <c r="A4053" t="s">
        <v>8081</v>
      </c>
      <c r="B4053" t="s">
        <v>1493</v>
      </c>
      <c r="C4053" t="s">
        <v>12504</v>
      </c>
      <c r="D4053" t="s">
        <v>52</v>
      </c>
      <c r="E4053" t="s">
        <v>12505</v>
      </c>
      <c r="F4053" t="s">
        <v>45</v>
      </c>
      <c r="G4053" t="str">
        <f>HYPERLINK("https://twitter.com/828416311126429696/status/1142704936179793920")</f>
        <v>https://twitter.com/828416311126429696/status/1142704936179793920</v>
      </c>
      <c r="H4053" t="s">
        <v>46</v>
      </c>
      <c r="I4053" t="s">
        <v>12482</v>
      </c>
      <c r="J4053" t="str">
        <f>HYPERLINK("http://twitter.com/DiegoHa06734351")</f>
        <v>http://twitter.com/DiegoHa06734351</v>
      </c>
      <c r="K4053">
        <v>3</v>
      </c>
      <c r="L4053" t="s">
        <v>48</v>
      </c>
      <c r="N4053" t="s">
        <v>65</v>
      </c>
      <c r="R4053" t="s">
        <v>60</v>
      </c>
      <c r="W4053">
        <v>0</v>
      </c>
      <c r="X4053">
        <v>0</v>
      </c>
      <c r="AE4053">
        <v>0</v>
      </c>
      <c r="AF4053">
        <v>0</v>
      </c>
      <c r="AM4053" t="s">
        <v>52</v>
      </c>
      <c r="AN4053" t="s">
        <v>53</v>
      </c>
    </row>
    <row r="4054" spans="1:40">
      <c r="A4054" t="s">
        <v>8081</v>
      </c>
      <c r="B4054" t="s">
        <v>1508</v>
      </c>
      <c r="C4054" t="s">
        <v>12506</v>
      </c>
      <c r="D4054" t="s">
        <v>12507</v>
      </c>
      <c r="E4054" t="s">
        <v>12508</v>
      </c>
      <c r="F4054" t="s">
        <v>95</v>
      </c>
      <c r="G4054" t="str">
        <f>HYPERLINK("https://www.youtube.com/watch?v=VPAJm2QQFpM&amp;lc=Ugz_dFH09JDsqs6SNJR4AaABAg")</f>
        <v>https://www.youtube.com/watch?v=VPAJm2QQFpM&amp;lc=Ugz_dFH09JDsqs6SNJR4AaABAg</v>
      </c>
      <c r="H4054" t="s">
        <v>46</v>
      </c>
      <c r="I4054" t="s">
        <v>12509</v>
      </c>
      <c r="J4054" t="str">
        <f>HYPERLINK("https://www.youtube.com/channel/UCWJ_nMU01-5CAjqlVBMh2kQ")</f>
        <v>https://www.youtube.com/channel/UCWJ_nMU01-5CAjqlVBMh2kQ</v>
      </c>
      <c r="K4054">
        <v>56</v>
      </c>
      <c r="N4054" t="s">
        <v>116</v>
      </c>
      <c r="O4054" t="s">
        <v>12510</v>
      </c>
      <c r="P4054" t="str">
        <f>HYPERLINK("https://www.youtube.com/channel/UCp6ezmt2vCZCB7UAnDxFa7Q")</f>
        <v>https://www.youtube.com/channel/UCp6ezmt2vCZCB7UAnDxFa7Q</v>
      </c>
      <c r="Q4054">
        <v>182</v>
      </c>
      <c r="R4054" t="s">
        <v>60</v>
      </c>
      <c r="W4054">
        <v>1</v>
      </c>
      <c r="X4054">
        <v>1</v>
      </c>
      <c r="AE4054">
        <v>3</v>
      </c>
      <c r="AM4054" t="s">
        <v>52</v>
      </c>
      <c r="AN4054" t="s">
        <v>53</v>
      </c>
    </row>
    <row r="4055" spans="1:40">
      <c r="A4055" t="s">
        <v>8081</v>
      </c>
      <c r="B4055" t="s">
        <v>1518</v>
      </c>
      <c r="C4055" t="s">
        <v>12511</v>
      </c>
      <c r="D4055" t="s">
        <v>52</v>
      </c>
      <c r="E4055" t="s">
        <v>12512</v>
      </c>
      <c r="F4055" t="s">
        <v>45</v>
      </c>
      <c r="G4055" t="str">
        <f>HYPERLINK("https://twitter.com/1073311306210521088/status/1142703762190098432")</f>
        <v>https://twitter.com/1073311306210521088/status/1142703762190098432</v>
      </c>
      <c r="H4055" t="s">
        <v>46</v>
      </c>
      <c r="I4055" t="s">
        <v>12513</v>
      </c>
      <c r="J4055" t="str">
        <f>HYPERLINK("http://twitter.com/BoBrittbosco")</f>
        <v>http://twitter.com/BoBrittbosco</v>
      </c>
      <c r="K4055">
        <v>3188</v>
      </c>
      <c r="N4055" t="s">
        <v>65</v>
      </c>
      <c r="R4055" t="s">
        <v>60</v>
      </c>
      <c r="S4055" t="s">
        <v>51</v>
      </c>
      <c r="T4055" t="s">
        <v>1657</v>
      </c>
      <c r="U4055" t="s">
        <v>366</v>
      </c>
      <c r="W4055">
        <v>30</v>
      </c>
      <c r="X4055">
        <v>30</v>
      </c>
      <c r="AE4055">
        <v>0</v>
      </c>
      <c r="AF4055">
        <v>0</v>
      </c>
      <c r="AM4055" t="s">
        <v>52</v>
      </c>
      <c r="AN4055" t="s">
        <v>53</v>
      </c>
    </row>
    <row r="4056" spans="1:40">
      <c r="A4056" t="s">
        <v>8081</v>
      </c>
      <c r="B4056" t="s">
        <v>1518</v>
      </c>
      <c r="C4056" t="s">
        <v>12514</v>
      </c>
      <c r="D4056" t="s">
        <v>52</v>
      </c>
      <c r="E4056" t="s">
        <v>12515</v>
      </c>
      <c r="F4056" t="s">
        <v>95</v>
      </c>
      <c r="G4056" t="str">
        <f>HYPERLINK("https://twitter.com/74707451/status/1142703640819437569")</f>
        <v>https://twitter.com/74707451/status/1142703640819437569</v>
      </c>
      <c r="H4056" t="s">
        <v>46</v>
      </c>
      <c r="I4056" t="s">
        <v>12516</v>
      </c>
      <c r="J4056" t="str">
        <f>HYPERLINK("http://twitter.com/bootsymcphee_x")</f>
        <v>http://twitter.com/bootsymcphee_x</v>
      </c>
      <c r="K4056">
        <v>402</v>
      </c>
      <c r="N4056" t="s">
        <v>65</v>
      </c>
      <c r="R4056" t="s">
        <v>60</v>
      </c>
      <c r="S4056" t="s">
        <v>1350</v>
      </c>
      <c r="T4056" t="s">
        <v>12517</v>
      </c>
      <c r="U4056" t="s">
        <v>12518</v>
      </c>
      <c r="W4056">
        <v>2</v>
      </c>
      <c r="X4056">
        <v>2</v>
      </c>
      <c r="AE4056">
        <v>0</v>
      </c>
      <c r="AF4056">
        <v>0</v>
      </c>
      <c r="AM4056" t="s">
        <v>52</v>
      </c>
      <c r="AN4056" t="s">
        <v>53</v>
      </c>
    </row>
    <row r="4057" spans="1:40">
      <c r="A4057" t="s">
        <v>8081</v>
      </c>
      <c r="B4057" t="s">
        <v>1533</v>
      </c>
      <c r="C4057" t="s">
        <v>12519</v>
      </c>
      <c r="D4057" t="s">
        <v>52</v>
      </c>
      <c r="E4057" t="s">
        <v>12520</v>
      </c>
      <c r="F4057" t="s">
        <v>71</v>
      </c>
      <c r="G4057" t="str">
        <f>HYPERLINK("https://twitter.com/1034514502769889283/status/1142703077662875648")</f>
        <v>https://twitter.com/1034514502769889283/status/1142703077662875648</v>
      </c>
      <c r="H4057" t="s">
        <v>46</v>
      </c>
      <c r="I4057" t="s">
        <v>12521</v>
      </c>
      <c r="J4057" t="str">
        <f>HYPERLINK("http://twitter.com/kemeticjewels")</f>
        <v>http://twitter.com/kemeticjewels</v>
      </c>
      <c r="K4057">
        <v>262</v>
      </c>
      <c r="N4057" t="s">
        <v>65</v>
      </c>
      <c r="R4057" t="s">
        <v>60</v>
      </c>
      <c r="W4057">
        <v>0</v>
      </c>
      <c r="X4057">
        <v>0</v>
      </c>
      <c r="AE4057">
        <v>0</v>
      </c>
      <c r="AF4057">
        <v>0</v>
      </c>
      <c r="AM4057" t="s">
        <v>52</v>
      </c>
      <c r="AN4057" t="s">
        <v>53</v>
      </c>
    </row>
    <row r="4058" spans="1:40">
      <c r="A4058" t="s">
        <v>8081</v>
      </c>
      <c r="B4058" t="s">
        <v>1533</v>
      </c>
      <c r="C4058" t="s">
        <v>12522</v>
      </c>
      <c r="D4058" t="s">
        <v>52</v>
      </c>
      <c r="E4058" t="s">
        <v>276</v>
      </c>
      <c r="F4058" t="s">
        <v>131</v>
      </c>
      <c r="G4058" t="str">
        <f>HYPERLINK("https://twitter.com/828416311126429696/status/1142703009979179008")</f>
        <v>https://twitter.com/828416311126429696/status/1142703009979179008</v>
      </c>
      <c r="H4058" t="s">
        <v>46</v>
      </c>
      <c r="I4058" t="s">
        <v>12482</v>
      </c>
      <c r="J4058" t="str">
        <f>HYPERLINK("http://twitter.com/DiegoHa06734351")</f>
        <v>http://twitter.com/DiegoHa06734351</v>
      </c>
      <c r="K4058">
        <v>3</v>
      </c>
      <c r="L4058" t="s">
        <v>48</v>
      </c>
      <c r="N4058" t="s">
        <v>65</v>
      </c>
      <c r="R4058" t="s">
        <v>60</v>
      </c>
      <c r="W4058">
        <v>0</v>
      </c>
      <c r="X4058">
        <v>0</v>
      </c>
      <c r="AE4058">
        <v>0</v>
      </c>
      <c r="AI4058" t="s">
        <v>108</v>
      </c>
      <c r="AJ4058" t="s">
        <v>52</v>
      </c>
      <c r="AK4058" t="s">
        <v>52</v>
      </c>
      <c r="AL4058" t="str">
        <f>HYPERLINK("https://pbs.twimg.com/tweet_video_thumb/D9hvNNzXUAATAS3.jpg")</f>
        <v>https://pbs.twimg.com/tweet_video_thumb/D9hvNNzXUAATAS3.jpg</v>
      </c>
      <c r="AM4058" t="s">
        <v>52</v>
      </c>
      <c r="AN4058" t="s">
        <v>53</v>
      </c>
    </row>
    <row r="4059" spans="1:40">
      <c r="A4059" t="s">
        <v>8081</v>
      </c>
      <c r="B4059" t="s">
        <v>1543</v>
      </c>
      <c r="C4059" t="s">
        <v>12523</v>
      </c>
      <c r="D4059" t="s">
        <v>52</v>
      </c>
      <c r="E4059" t="s">
        <v>12524</v>
      </c>
      <c r="F4059" t="s">
        <v>45</v>
      </c>
      <c r="G4059" t="str">
        <f>HYPERLINK("https://www.instagram.com/p/BzC2w0-n-gF")</f>
        <v>https://www.instagram.com/p/BzC2w0-n-gF</v>
      </c>
      <c r="H4059" t="s">
        <v>46</v>
      </c>
      <c r="I4059" t="s">
        <v>12525</v>
      </c>
      <c r="J4059" t="str">
        <f>HYPERLINK("http://instagram.com/quacksonxxhollandxx")</f>
        <v>http://instagram.com/quacksonxxhollandxx</v>
      </c>
      <c r="K4059">
        <v>5</v>
      </c>
      <c r="N4059" t="s">
        <v>59</v>
      </c>
      <c r="O4059" t="s">
        <v>12525</v>
      </c>
      <c r="P4059" t="str">
        <f>HYPERLINK("http://instagram.com/quacksonxxhollandxx")</f>
        <v>http://instagram.com/quacksonxxhollandxx</v>
      </c>
      <c r="Q4059">
        <v>5</v>
      </c>
      <c r="R4059" t="s">
        <v>60</v>
      </c>
      <c r="S4059" t="s">
        <v>51</v>
      </c>
      <c r="T4059" t="s">
        <v>380</v>
      </c>
      <c r="U4059" t="s">
        <v>380</v>
      </c>
      <c r="W4059">
        <v>12</v>
      </c>
      <c r="X4059">
        <v>12</v>
      </c>
      <c r="AE4059">
        <v>0</v>
      </c>
      <c r="AI4059" t="s">
        <v>52</v>
      </c>
      <c r="AJ4059" t="s">
        <v>648</v>
      </c>
      <c r="AK4059" t="s">
        <v>52</v>
      </c>
      <c r="AL4059" t="str">
        <f>HYPERLINK("https://www.instagram.com/p/BzC2w0-n-gF/media/?size=l")</f>
        <v>https://www.instagram.com/p/BzC2w0-n-gF/media/?size=l</v>
      </c>
      <c r="AM4059" t="s">
        <v>52</v>
      </c>
      <c r="AN4059" t="s">
        <v>53</v>
      </c>
    </row>
    <row r="4060" spans="1:40">
      <c r="A4060" t="s">
        <v>8081</v>
      </c>
      <c r="B4060" t="s">
        <v>12526</v>
      </c>
      <c r="C4060" t="s">
        <v>12527</v>
      </c>
      <c r="D4060" t="s">
        <v>52</v>
      </c>
      <c r="E4060" t="s">
        <v>3749</v>
      </c>
      <c r="F4060" t="s">
        <v>71</v>
      </c>
      <c r="G4060" t="str">
        <f>HYPERLINK("https://twitter.com/4886285044/status/1142702180811624448")</f>
        <v>https://twitter.com/4886285044/status/1142702180811624448</v>
      </c>
      <c r="H4060" t="s">
        <v>46</v>
      </c>
      <c r="I4060" t="s">
        <v>12528</v>
      </c>
      <c r="J4060" t="str">
        <f>HYPERLINK("http://twitter.com/DrMartinStrange")</f>
        <v>http://twitter.com/DrMartinStrange</v>
      </c>
      <c r="K4060">
        <v>1294</v>
      </c>
      <c r="N4060" t="s">
        <v>65</v>
      </c>
      <c r="R4060" t="s">
        <v>60</v>
      </c>
      <c r="S4060" t="s">
        <v>51</v>
      </c>
      <c r="T4060" t="s">
        <v>380</v>
      </c>
      <c r="U4060" t="s">
        <v>12529</v>
      </c>
      <c r="W4060">
        <v>0</v>
      </c>
      <c r="X4060">
        <v>0</v>
      </c>
      <c r="AE4060">
        <v>0</v>
      </c>
      <c r="AF4060">
        <v>0</v>
      </c>
      <c r="AI4060" t="s">
        <v>108</v>
      </c>
      <c r="AJ4060" t="s">
        <v>52</v>
      </c>
      <c r="AK4060" t="s">
        <v>52</v>
      </c>
      <c r="AL4060" t="str">
        <f>HYPERLINK("https://pbs.twimg.com/media/D9sAXHUX4AA6vJs.jpg")</f>
        <v>https://pbs.twimg.com/media/D9sAXHUX4AA6vJs.jpg</v>
      </c>
      <c r="AM4060" t="s">
        <v>52</v>
      </c>
      <c r="AN4060" t="s">
        <v>53</v>
      </c>
    </row>
    <row r="4061" spans="1:40">
      <c r="A4061" t="s">
        <v>8081</v>
      </c>
      <c r="B4061" t="s">
        <v>1561</v>
      </c>
      <c r="C4061" t="s">
        <v>12530</v>
      </c>
      <c r="D4061" t="s">
        <v>52</v>
      </c>
      <c r="E4061" t="s">
        <v>130</v>
      </c>
      <c r="F4061" t="s">
        <v>131</v>
      </c>
      <c r="G4061" t="str">
        <f>HYPERLINK("https://twitter.com/761134707627134976/status/1142700754471444480")</f>
        <v>https://twitter.com/761134707627134976/status/1142700754471444480</v>
      </c>
      <c r="H4061" t="s">
        <v>46</v>
      </c>
      <c r="I4061" t="s">
        <v>12531</v>
      </c>
      <c r="J4061" t="str">
        <f>HYPERLINK("http://twitter.com/katyhacket1")</f>
        <v>http://twitter.com/katyhacket1</v>
      </c>
      <c r="K4061">
        <v>141</v>
      </c>
      <c r="N4061" t="s">
        <v>65</v>
      </c>
      <c r="R4061" t="s">
        <v>60</v>
      </c>
      <c r="W4061">
        <v>0</v>
      </c>
      <c r="X4061">
        <v>0</v>
      </c>
      <c r="AE4061">
        <v>0</v>
      </c>
      <c r="AI4061" t="s">
        <v>108</v>
      </c>
      <c r="AJ4061" t="s">
        <v>52</v>
      </c>
      <c r="AK4061" t="s">
        <v>52</v>
      </c>
      <c r="AL4061" t="str">
        <f>HYPERLINK("https://pbs.twimg.com/media/D9XTkLWW4AAOYnJ.jpg")</f>
        <v>https://pbs.twimg.com/media/D9XTkLWW4AAOYnJ.jpg</v>
      </c>
      <c r="AM4061" t="s">
        <v>52</v>
      </c>
      <c r="AN4061" t="s">
        <v>53</v>
      </c>
    </row>
    <row r="4062" spans="1:40">
      <c r="A4062" t="s">
        <v>8081</v>
      </c>
      <c r="B4062" t="s">
        <v>1561</v>
      </c>
      <c r="C4062" t="s">
        <v>12530</v>
      </c>
      <c r="D4062" t="s">
        <v>52</v>
      </c>
      <c r="E4062" t="s">
        <v>12532</v>
      </c>
      <c r="F4062" t="s">
        <v>95</v>
      </c>
      <c r="G4062" t="str">
        <f>HYPERLINK("https://twitter.com/1418938669/status/1142700612066435073")</f>
        <v>https://twitter.com/1418938669/status/1142700612066435073</v>
      </c>
      <c r="H4062" t="s">
        <v>46</v>
      </c>
      <c r="I4062" t="s">
        <v>12533</v>
      </c>
      <c r="J4062" t="str">
        <f>HYPERLINK("http://twitter.com/TChaieb")</f>
        <v>http://twitter.com/TChaieb</v>
      </c>
      <c r="K4062">
        <v>606</v>
      </c>
      <c r="N4062" t="s">
        <v>65</v>
      </c>
      <c r="R4062" t="s">
        <v>60</v>
      </c>
      <c r="S4062" t="s">
        <v>97</v>
      </c>
      <c r="T4062" t="s">
        <v>177</v>
      </c>
      <c r="W4062">
        <v>0</v>
      </c>
      <c r="X4062">
        <v>0</v>
      </c>
      <c r="AE4062">
        <v>0</v>
      </c>
      <c r="AF4062">
        <v>0</v>
      </c>
      <c r="AM4062" t="s">
        <v>52</v>
      </c>
      <c r="AN4062" t="s">
        <v>53</v>
      </c>
    </row>
    <row r="4063" spans="1:40">
      <c r="A4063" t="s">
        <v>8081</v>
      </c>
      <c r="B4063" t="s">
        <v>7371</v>
      </c>
      <c r="C4063" t="s">
        <v>12534</v>
      </c>
      <c r="D4063" t="s">
        <v>52</v>
      </c>
      <c r="E4063" t="s">
        <v>130</v>
      </c>
      <c r="F4063" t="s">
        <v>131</v>
      </c>
      <c r="G4063" t="str">
        <f>HYPERLINK("https://twitter.com/2831222278/status/1142700154639790080")</f>
        <v>https://twitter.com/2831222278/status/1142700154639790080</v>
      </c>
      <c r="H4063" t="s">
        <v>46</v>
      </c>
      <c r="I4063" t="s">
        <v>12535</v>
      </c>
      <c r="J4063" t="str">
        <f>HYPERLINK("http://twitter.com/Ilovecompstoo")</f>
        <v>http://twitter.com/Ilovecompstoo</v>
      </c>
      <c r="K4063">
        <v>119</v>
      </c>
      <c r="L4063" t="s">
        <v>58</v>
      </c>
      <c r="N4063" t="s">
        <v>65</v>
      </c>
      <c r="R4063" t="s">
        <v>60</v>
      </c>
      <c r="S4063" t="s">
        <v>97</v>
      </c>
      <c r="T4063" t="s">
        <v>177</v>
      </c>
      <c r="U4063" t="s">
        <v>6516</v>
      </c>
      <c r="W4063">
        <v>0</v>
      </c>
      <c r="X4063">
        <v>0</v>
      </c>
      <c r="AE4063">
        <v>0</v>
      </c>
      <c r="AI4063" t="s">
        <v>108</v>
      </c>
      <c r="AJ4063" t="s">
        <v>52</v>
      </c>
      <c r="AK4063" t="s">
        <v>52</v>
      </c>
      <c r="AL4063" t="str">
        <f>HYPERLINK("https://pbs.twimg.com/media/D9XTkLWW4AAOYnJ.jpg")</f>
        <v>https://pbs.twimg.com/media/D9XTkLWW4AAOYnJ.jpg</v>
      </c>
      <c r="AM4063" t="s">
        <v>52</v>
      </c>
      <c r="AN4063" t="s">
        <v>53</v>
      </c>
    </row>
    <row r="4064" spans="1:40">
      <c r="A4064" t="s">
        <v>8081</v>
      </c>
      <c r="B4064" t="s">
        <v>1588</v>
      </c>
      <c r="C4064" t="s">
        <v>12536</v>
      </c>
      <c r="D4064" t="s">
        <v>12537</v>
      </c>
      <c r="E4064" t="s">
        <v>12538</v>
      </c>
      <c r="F4064" t="s">
        <v>95</v>
      </c>
      <c r="G4064" t="str">
        <f>HYPERLINK("https://www.youtube.com/watch?v=nIAnZhhCemM&amp;lc=UgyqzJWBLpOnwNrFj-F4AaABAg")</f>
        <v>https://www.youtube.com/watch?v=nIAnZhhCemM&amp;lc=UgyqzJWBLpOnwNrFj-F4AaABAg</v>
      </c>
      <c r="H4064" t="s">
        <v>46</v>
      </c>
      <c r="I4064" t="s">
        <v>12539</v>
      </c>
      <c r="J4064" t="str">
        <f>HYPERLINK("https://www.youtube.com/channel/UCN9ALJpIaMfg4dPXbk_4C2A")</f>
        <v>https://www.youtube.com/channel/UCN9ALJpIaMfg4dPXbk_4C2A</v>
      </c>
      <c r="K4064">
        <v>8</v>
      </c>
      <c r="N4064" t="s">
        <v>116</v>
      </c>
      <c r="O4064" t="s">
        <v>12540</v>
      </c>
      <c r="P4064" t="str">
        <f>HYPERLINK("https://www.youtube.com/channel/UCNPkATeMMzsg0cK8a_SY-Qg")</f>
        <v>https://www.youtube.com/channel/UCNPkATeMMzsg0cK8a_SY-Qg</v>
      </c>
      <c r="Q4064">
        <v>5</v>
      </c>
      <c r="R4064" t="s">
        <v>60</v>
      </c>
      <c r="W4064">
        <v>0</v>
      </c>
      <c r="X4064">
        <v>0</v>
      </c>
      <c r="AE4064">
        <v>0</v>
      </c>
      <c r="AM4064" t="s">
        <v>52</v>
      </c>
      <c r="AN4064" t="s">
        <v>53</v>
      </c>
    </row>
    <row r="4065" spans="1:40">
      <c r="A4065" t="s">
        <v>8081</v>
      </c>
      <c r="B4065" t="s">
        <v>1600</v>
      </c>
      <c r="C4065" t="s">
        <v>12536</v>
      </c>
      <c r="D4065" t="s">
        <v>52</v>
      </c>
      <c r="E4065" t="s">
        <v>12541</v>
      </c>
      <c r="F4065" t="s">
        <v>45</v>
      </c>
      <c r="G4065" t="str">
        <f>HYPERLINK("https://www.instagram.com/p/BzC04OWhL9E")</f>
        <v>https://www.instagram.com/p/BzC04OWhL9E</v>
      </c>
      <c r="H4065" t="s">
        <v>46</v>
      </c>
      <c r="I4065" t="s">
        <v>12542</v>
      </c>
      <c r="J4065" t="str">
        <f>HYPERLINK("http://instagram.com/markas_jajanku")</f>
        <v>http://instagram.com/markas_jajanku</v>
      </c>
      <c r="K4065">
        <v>1</v>
      </c>
      <c r="L4065" t="s">
        <v>651</v>
      </c>
      <c r="N4065" t="s">
        <v>59</v>
      </c>
      <c r="O4065" t="s">
        <v>12542</v>
      </c>
      <c r="P4065" t="str">
        <f>HYPERLINK("http://instagram.com/markas_jajanku")</f>
        <v>http://instagram.com/markas_jajanku</v>
      </c>
      <c r="Q4065">
        <v>1</v>
      </c>
      <c r="R4065" t="s">
        <v>60</v>
      </c>
      <c r="W4065">
        <v>1</v>
      </c>
      <c r="X4065">
        <v>1</v>
      </c>
      <c r="AE4065">
        <v>0</v>
      </c>
      <c r="AI4065" t="s">
        <v>108</v>
      </c>
      <c r="AJ4065" t="s">
        <v>12543</v>
      </c>
      <c r="AK4065" t="s">
        <v>52</v>
      </c>
      <c r="AL4065" t="str">
        <f>HYPERLINK("https://www.instagram.com/p/BzC04OWhL9E/media/?size=l")</f>
        <v>https://www.instagram.com/p/BzC04OWhL9E/media/?size=l</v>
      </c>
      <c r="AM4065" t="s">
        <v>52</v>
      </c>
      <c r="AN4065" t="s">
        <v>53</v>
      </c>
    </row>
    <row r="4066" spans="1:40">
      <c r="A4066" t="s">
        <v>8081</v>
      </c>
      <c r="B4066" t="s">
        <v>1607</v>
      </c>
      <c r="C4066" t="s">
        <v>6976</v>
      </c>
      <c r="D4066" t="s">
        <v>12544</v>
      </c>
      <c r="E4066" t="s">
        <v>12545</v>
      </c>
      <c r="F4066" t="s">
        <v>45</v>
      </c>
      <c r="G4066" t="str">
        <f>HYPERLINK("http://www.philropost.com/taco-bell-cake.html")</f>
        <v>http://www.philropost.com/taco-bell-cake.html</v>
      </c>
      <c r="H4066" t="s">
        <v>46</v>
      </c>
      <c r="N4066" t="s">
        <v>7552</v>
      </c>
      <c r="R4066" t="s">
        <v>50</v>
      </c>
      <c r="S4066" t="s">
        <v>51</v>
      </c>
      <c r="AM4066" t="s">
        <v>52</v>
      </c>
      <c r="AN4066" t="s">
        <v>53</v>
      </c>
    </row>
    <row r="4067" spans="1:40">
      <c r="A4067" t="s">
        <v>8081</v>
      </c>
      <c r="B4067" t="s">
        <v>12546</v>
      </c>
      <c r="C4067" t="s">
        <v>12547</v>
      </c>
      <c r="D4067" t="s">
        <v>12548</v>
      </c>
      <c r="E4067" t="s">
        <v>12549</v>
      </c>
      <c r="F4067" t="s">
        <v>95</v>
      </c>
      <c r="G4067" t="str">
        <f>HYPERLINK("https://www.youtube.com/watch?v=49mKR2srLyM&amp;lc=UgxRAGxP7ZgHnH4MjtF4AaABAg")</f>
        <v>https://www.youtube.com/watch?v=49mKR2srLyM&amp;lc=UgxRAGxP7ZgHnH4MjtF4AaABAg</v>
      </c>
      <c r="H4067" t="s">
        <v>46</v>
      </c>
      <c r="I4067" t="s">
        <v>12550</v>
      </c>
      <c r="J4067" t="str">
        <f>HYPERLINK("https://www.youtube.com/channel/UC910l7srbx5mGBz9rLiNk9w")</f>
        <v>https://www.youtube.com/channel/UC910l7srbx5mGBz9rLiNk9w</v>
      </c>
      <c r="K4067">
        <v>22</v>
      </c>
      <c r="N4067" t="s">
        <v>116</v>
      </c>
      <c r="O4067" t="s">
        <v>12551</v>
      </c>
      <c r="P4067" t="str">
        <f>HYPERLINK("https://www.youtube.com/channel/UCMt0hDpW68u8NoLv6fIjZqg")</f>
        <v>https://www.youtube.com/channel/UCMt0hDpW68u8NoLv6fIjZqg</v>
      </c>
      <c r="Q4067">
        <v>5559</v>
      </c>
      <c r="R4067" t="s">
        <v>60</v>
      </c>
      <c r="S4067" t="s">
        <v>226</v>
      </c>
      <c r="W4067">
        <v>22</v>
      </c>
      <c r="X4067">
        <v>22</v>
      </c>
      <c r="AE4067">
        <v>0</v>
      </c>
      <c r="AM4067" t="s">
        <v>52</v>
      </c>
      <c r="AN4067" t="s">
        <v>53</v>
      </c>
    </row>
    <row r="4068" spans="1:40">
      <c r="A4068" t="s">
        <v>8081</v>
      </c>
      <c r="B4068" t="s">
        <v>12546</v>
      </c>
      <c r="C4068" t="s">
        <v>12552</v>
      </c>
      <c r="D4068" t="s">
        <v>52</v>
      </c>
      <c r="E4068" t="s">
        <v>12553</v>
      </c>
      <c r="F4068" t="s">
        <v>45</v>
      </c>
      <c r="G4068" t="str">
        <f>HYPERLINK("https://twitter.com/796835748595040256/status/1142697055795572736")</f>
        <v>https://twitter.com/796835748595040256/status/1142697055795572736</v>
      </c>
      <c r="H4068" t="s">
        <v>46</v>
      </c>
      <c r="I4068" t="s">
        <v>12554</v>
      </c>
      <c r="J4068" t="str">
        <f>HYPERLINK("http://twitter.com/TheSpeaker0904")</f>
        <v>http://twitter.com/TheSpeaker0904</v>
      </c>
      <c r="K4068">
        <v>0</v>
      </c>
      <c r="N4068" t="s">
        <v>65</v>
      </c>
      <c r="R4068" t="s">
        <v>60</v>
      </c>
      <c r="W4068">
        <v>0</v>
      </c>
      <c r="X4068">
        <v>0</v>
      </c>
      <c r="AE4068">
        <v>0</v>
      </c>
      <c r="AF4068">
        <v>0</v>
      </c>
      <c r="AM4068" t="s">
        <v>52</v>
      </c>
      <c r="AN4068" t="s">
        <v>53</v>
      </c>
    </row>
    <row r="4069" spans="1:40">
      <c r="A4069" t="s">
        <v>8081</v>
      </c>
      <c r="B4069" t="s">
        <v>1611</v>
      </c>
      <c r="C4069" t="s">
        <v>12555</v>
      </c>
      <c r="D4069" t="s">
        <v>52</v>
      </c>
      <c r="E4069" t="s">
        <v>12556</v>
      </c>
      <c r="F4069" t="s">
        <v>45</v>
      </c>
      <c r="G4069" t="str">
        <f>HYPERLINK("https://twitter.com/796835748595040256/status/1142696607697297408")</f>
        <v>https://twitter.com/796835748595040256/status/1142696607697297408</v>
      </c>
      <c r="H4069" t="s">
        <v>46</v>
      </c>
      <c r="I4069" t="s">
        <v>12554</v>
      </c>
      <c r="J4069" t="str">
        <f>HYPERLINK("http://twitter.com/TheSpeaker0904")</f>
        <v>http://twitter.com/TheSpeaker0904</v>
      </c>
      <c r="K4069">
        <v>0</v>
      </c>
      <c r="N4069" t="s">
        <v>65</v>
      </c>
      <c r="R4069" t="s">
        <v>60</v>
      </c>
      <c r="W4069">
        <v>0</v>
      </c>
      <c r="X4069">
        <v>0</v>
      </c>
      <c r="AE4069">
        <v>0</v>
      </c>
      <c r="AF4069">
        <v>0</v>
      </c>
      <c r="AM4069" t="s">
        <v>52</v>
      </c>
      <c r="AN4069" t="s">
        <v>53</v>
      </c>
    </row>
    <row r="4070" spans="1:40">
      <c r="A4070" t="s">
        <v>8081</v>
      </c>
      <c r="B4070" t="s">
        <v>1620</v>
      </c>
      <c r="C4070" t="s">
        <v>12547</v>
      </c>
      <c r="D4070" t="s">
        <v>52</v>
      </c>
      <c r="E4070" t="s">
        <v>12501</v>
      </c>
      <c r="F4070" t="s">
        <v>45</v>
      </c>
      <c r="G4070" t="str">
        <f>HYPERLINK("https://twitter.com/711738136062246912/status/1142696440017408000")</f>
        <v>https://twitter.com/711738136062246912/status/1142696440017408000</v>
      </c>
      <c r="H4070" t="s">
        <v>46</v>
      </c>
      <c r="I4070" t="s">
        <v>12557</v>
      </c>
      <c r="J4070" t="str">
        <f>HYPERLINK("http://twitter.com/sufferingss")</f>
        <v>http://twitter.com/sufferingss</v>
      </c>
      <c r="K4070">
        <v>197</v>
      </c>
      <c r="N4070" t="s">
        <v>65</v>
      </c>
      <c r="R4070" t="s">
        <v>60</v>
      </c>
      <c r="S4070" t="s">
        <v>8494</v>
      </c>
      <c r="T4070" t="s">
        <v>12558</v>
      </c>
      <c r="U4070" t="s">
        <v>12558</v>
      </c>
      <c r="W4070">
        <v>0</v>
      </c>
      <c r="X4070">
        <v>0</v>
      </c>
      <c r="AE4070">
        <v>0</v>
      </c>
      <c r="AF4070">
        <v>1</v>
      </c>
      <c r="AM4070" t="s">
        <v>52</v>
      </c>
      <c r="AN4070" t="s">
        <v>53</v>
      </c>
    </row>
    <row r="4071" spans="1:40">
      <c r="A4071" t="s">
        <v>8081</v>
      </c>
      <c r="B4071" t="s">
        <v>1620</v>
      </c>
      <c r="C4071" t="s">
        <v>12547</v>
      </c>
      <c r="D4071" t="s">
        <v>52</v>
      </c>
      <c r="E4071" t="s">
        <v>12559</v>
      </c>
      <c r="F4071" t="s">
        <v>45</v>
      </c>
      <c r="G4071" t="str">
        <f>HYPERLINK("https://twitter.com/4061890996/status/1142696434946285568")</f>
        <v>https://twitter.com/4061890996/status/1142696434946285568</v>
      </c>
      <c r="H4071" t="s">
        <v>46</v>
      </c>
      <c r="I4071" t="s">
        <v>12560</v>
      </c>
      <c r="J4071" t="str">
        <f>HYPERLINK("http://twitter.com/dailymasochism")</f>
        <v>http://twitter.com/dailymasochism</v>
      </c>
      <c r="K4071">
        <v>13</v>
      </c>
      <c r="N4071" t="s">
        <v>65</v>
      </c>
      <c r="R4071" t="s">
        <v>60</v>
      </c>
      <c r="S4071" t="s">
        <v>387</v>
      </c>
      <c r="T4071" t="s">
        <v>2981</v>
      </c>
      <c r="U4071" t="s">
        <v>7015</v>
      </c>
      <c r="W4071">
        <v>0</v>
      </c>
      <c r="X4071">
        <v>0</v>
      </c>
      <c r="AE4071">
        <v>0</v>
      </c>
      <c r="AF4071">
        <v>0</v>
      </c>
      <c r="AM4071" t="s">
        <v>52</v>
      </c>
      <c r="AN4071" t="s">
        <v>53</v>
      </c>
    </row>
    <row r="4072" spans="1:40">
      <c r="A4072" t="s">
        <v>8081</v>
      </c>
      <c r="B4072" t="s">
        <v>1620</v>
      </c>
      <c r="C4072" t="s">
        <v>12561</v>
      </c>
      <c r="D4072" t="s">
        <v>52</v>
      </c>
      <c r="E4072" t="s">
        <v>130</v>
      </c>
      <c r="F4072" t="s">
        <v>131</v>
      </c>
      <c r="G4072" t="str">
        <f>HYPERLINK("https://twitter.com/69755941/status/1142696433625325568")</f>
        <v>https://twitter.com/69755941/status/1142696433625325568</v>
      </c>
      <c r="H4072" t="s">
        <v>46</v>
      </c>
      <c r="I4072" t="s">
        <v>12562</v>
      </c>
      <c r="J4072" t="str">
        <f>HYPERLINK("http://twitter.com/corn674")</f>
        <v>http://twitter.com/corn674</v>
      </c>
      <c r="K4072">
        <v>613</v>
      </c>
      <c r="L4072" t="s">
        <v>48</v>
      </c>
      <c r="N4072" t="s">
        <v>65</v>
      </c>
      <c r="R4072" t="s">
        <v>60</v>
      </c>
      <c r="S4072" t="s">
        <v>51</v>
      </c>
      <c r="T4072" t="s">
        <v>152</v>
      </c>
      <c r="U4072" t="s">
        <v>12563</v>
      </c>
      <c r="W4072">
        <v>0</v>
      </c>
      <c r="X4072">
        <v>0</v>
      </c>
      <c r="AE4072">
        <v>0</v>
      </c>
      <c r="AI4072" t="s">
        <v>108</v>
      </c>
      <c r="AJ4072" t="s">
        <v>52</v>
      </c>
      <c r="AK4072" t="s">
        <v>52</v>
      </c>
      <c r="AL4072" t="str">
        <f>HYPERLINK("https://pbs.twimg.com/media/D9XTkLWW4AAOYnJ.jpg")</f>
        <v>https://pbs.twimg.com/media/D9XTkLWW4AAOYnJ.jpg</v>
      </c>
      <c r="AM4072" t="s">
        <v>52</v>
      </c>
      <c r="AN4072" t="s">
        <v>53</v>
      </c>
    </row>
    <row r="4073" spans="1:40">
      <c r="A4073" t="s">
        <v>8081</v>
      </c>
      <c r="B4073" t="s">
        <v>1620</v>
      </c>
      <c r="C4073" t="s">
        <v>12555</v>
      </c>
      <c r="D4073" t="s">
        <v>52</v>
      </c>
      <c r="E4073" t="s">
        <v>12564</v>
      </c>
      <c r="F4073" t="s">
        <v>95</v>
      </c>
      <c r="G4073" t="str">
        <f>HYPERLINK("https://twitter.com/40480834/status/1142696319401644032")</f>
        <v>https://twitter.com/40480834/status/1142696319401644032</v>
      </c>
      <c r="H4073" t="s">
        <v>46</v>
      </c>
      <c r="I4073" t="s">
        <v>12565</v>
      </c>
      <c r="J4073" t="str">
        <f>HYPERLINK("http://twitter.com/ANewChallenger")</f>
        <v>http://twitter.com/ANewChallenger</v>
      </c>
      <c r="K4073">
        <v>8</v>
      </c>
      <c r="N4073" t="s">
        <v>65</v>
      </c>
      <c r="R4073" t="s">
        <v>60</v>
      </c>
      <c r="S4073" t="s">
        <v>915</v>
      </c>
      <c r="W4073">
        <v>0</v>
      </c>
      <c r="X4073">
        <v>0</v>
      </c>
      <c r="AE4073">
        <v>0</v>
      </c>
      <c r="AF4073">
        <v>0</v>
      </c>
      <c r="AM4073" t="s">
        <v>52</v>
      </c>
      <c r="AN4073" t="s">
        <v>53</v>
      </c>
    </row>
    <row r="4074" spans="1:40">
      <c r="A4074" t="s">
        <v>8081</v>
      </c>
      <c r="B4074" t="s">
        <v>1620</v>
      </c>
      <c r="C4074" t="s">
        <v>12555</v>
      </c>
      <c r="D4074" t="s">
        <v>52</v>
      </c>
      <c r="E4074" t="s">
        <v>466</v>
      </c>
      <c r="F4074" t="s">
        <v>131</v>
      </c>
      <c r="G4074" t="str">
        <f>HYPERLINK("https://twitter.com/1079204337761439744/status/1142696318915055616")</f>
        <v>https://twitter.com/1079204337761439744/status/1142696318915055616</v>
      </c>
      <c r="H4074" t="s">
        <v>46</v>
      </c>
      <c r="I4074" t="s">
        <v>12566</v>
      </c>
      <c r="J4074" t="str">
        <f>HYPERLINK("http://twitter.com/yJEYttj6fJcvgE1")</f>
        <v>http://twitter.com/yJEYttj6fJcvgE1</v>
      </c>
      <c r="K4074">
        <v>2</v>
      </c>
      <c r="N4074" t="s">
        <v>65</v>
      </c>
      <c r="R4074" t="s">
        <v>60</v>
      </c>
      <c r="W4074">
        <v>0</v>
      </c>
      <c r="X4074">
        <v>0</v>
      </c>
      <c r="AE4074">
        <v>0</v>
      </c>
      <c r="AI4074" t="s">
        <v>108</v>
      </c>
      <c r="AJ4074" t="s">
        <v>52</v>
      </c>
      <c r="AK4074" t="s">
        <v>110</v>
      </c>
      <c r="AL4074" t="str">
        <f>HYPERLINK("https://pbs.twimg.com/media/D9Ya7SQXUAEkrVl.jpg")</f>
        <v>https://pbs.twimg.com/media/D9Ya7SQXUAEkrVl.jpg</v>
      </c>
      <c r="AM4074" t="s">
        <v>52</v>
      </c>
      <c r="AN4074" t="s">
        <v>53</v>
      </c>
    </row>
    <row r="4075" spans="1:40">
      <c r="A4075" t="s">
        <v>8081</v>
      </c>
      <c r="B4075" t="s">
        <v>12567</v>
      </c>
      <c r="C4075" t="s">
        <v>12568</v>
      </c>
      <c r="D4075" t="s">
        <v>52</v>
      </c>
      <c r="E4075" t="s">
        <v>12569</v>
      </c>
      <c r="F4075" t="s">
        <v>45</v>
      </c>
      <c r="G4075" t="str">
        <f>HYPERLINK("https://twitter.com/91664059/status/1142696229396209665")</f>
        <v>https://twitter.com/91664059/status/1142696229396209665</v>
      </c>
      <c r="H4075" t="s">
        <v>46</v>
      </c>
      <c r="I4075" t="s">
        <v>12570</v>
      </c>
      <c r="J4075" t="str">
        <f>HYPERLINK("http://twitter.com/_itskendraa")</f>
        <v>http://twitter.com/_itskendraa</v>
      </c>
      <c r="K4075">
        <v>2247</v>
      </c>
      <c r="N4075" t="s">
        <v>65</v>
      </c>
      <c r="R4075" t="s">
        <v>60</v>
      </c>
      <c r="W4075">
        <v>1</v>
      </c>
      <c r="X4075">
        <v>1</v>
      </c>
      <c r="AE4075">
        <v>0</v>
      </c>
      <c r="AF4075">
        <v>0</v>
      </c>
      <c r="AM4075" t="s">
        <v>52</v>
      </c>
      <c r="AN4075" t="s">
        <v>53</v>
      </c>
    </row>
    <row r="4076" spans="1:40">
      <c r="A4076" t="s">
        <v>8081</v>
      </c>
      <c r="B4076" t="s">
        <v>1638</v>
      </c>
      <c r="C4076" t="s">
        <v>12555</v>
      </c>
      <c r="D4076" t="s">
        <v>52</v>
      </c>
      <c r="E4076" t="s">
        <v>12571</v>
      </c>
      <c r="F4076" t="s">
        <v>95</v>
      </c>
      <c r="G4076" t="str">
        <f>HYPERLINK("https://twitter.com/214213064/status/1142695404678647808")</f>
        <v>https://twitter.com/214213064/status/1142695404678647808</v>
      </c>
      <c r="H4076" t="s">
        <v>46</v>
      </c>
      <c r="I4076" t="s">
        <v>12572</v>
      </c>
      <c r="J4076" t="str">
        <f>HYPERLINK("http://twitter.com/zarakhanye")</f>
        <v>http://twitter.com/zarakhanye</v>
      </c>
      <c r="K4076">
        <v>439</v>
      </c>
      <c r="N4076" t="s">
        <v>65</v>
      </c>
      <c r="R4076" t="s">
        <v>60</v>
      </c>
      <c r="W4076">
        <v>0</v>
      </c>
      <c r="X4076">
        <v>0</v>
      </c>
      <c r="AE4076">
        <v>0</v>
      </c>
      <c r="AF4076">
        <v>0</v>
      </c>
      <c r="AM4076" t="s">
        <v>52</v>
      </c>
      <c r="AN4076" t="s">
        <v>53</v>
      </c>
    </row>
    <row r="4077" spans="1:40">
      <c r="A4077" t="s">
        <v>8081</v>
      </c>
      <c r="B4077" t="s">
        <v>12573</v>
      </c>
      <c r="C4077" t="s">
        <v>12574</v>
      </c>
      <c r="D4077" t="s">
        <v>52</v>
      </c>
      <c r="E4077" t="s">
        <v>4296</v>
      </c>
      <c r="F4077" t="s">
        <v>131</v>
      </c>
      <c r="G4077" t="str">
        <f>HYPERLINK("https://twitter.com/2414875680/status/1142694747775143936")</f>
        <v>https://twitter.com/2414875680/status/1142694747775143936</v>
      </c>
      <c r="H4077" t="s">
        <v>46</v>
      </c>
      <c r="I4077" t="s">
        <v>12575</v>
      </c>
      <c r="J4077" t="str">
        <f>HYPERLINK("http://twitter.com/JakkalZA")</f>
        <v>http://twitter.com/JakkalZA</v>
      </c>
      <c r="K4077">
        <v>273</v>
      </c>
      <c r="N4077" t="s">
        <v>65</v>
      </c>
      <c r="R4077" t="s">
        <v>60</v>
      </c>
      <c r="W4077">
        <v>0</v>
      </c>
      <c r="X4077">
        <v>0</v>
      </c>
      <c r="AE4077">
        <v>0</v>
      </c>
      <c r="AI4077" t="s">
        <v>108</v>
      </c>
      <c r="AJ4077" t="s">
        <v>52</v>
      </c>
      <c r="AK4077" t="s">
        <v>52</v>
      </c>
      <c r="AL4077" t="str">
        <f>HYPERLINK("https://pbs.twimg.com/media/D9sAXHUX4AA6vJs.jpg")</f>
        <v>https://pbs.twimg.com/media/D9sAXHUX4AA6vJs.jpg</v>
      </c>
      <c r="AM4077" t="s">
        <v>52</v>
      </c>
      <c r="AN4077" t="s">
        <v>53</v>
      </c>
    </row>
    <row r="4078" spans="1:40">
      <c r="A4078" t="s">
        <v>8081</v>
      </c>
      <c r="B4078" t="s">
        <v>12573</v>
      </c>
      <c r="C4078" t="s">
        <v>12574</v>
      </c>
      <c r="D4078" t="s">
        <v>52</v>
      </c>
      <c r="E4078" t="s">
        <v>12576</v>
      </c>
      <c r="F4078" t="s">
        <v>71</v>
      </c>
      <c r="G4078" t="str">
        <f>HYPERLINK("https://twitter.com/1142679706057285632/status/1142694728028381185")</f>
        <v>https://twitter.com/1142679706057285632/status/1142694728028381185</v>
      </c>
      <c r="H4078" t="s">
        <v>46</v>
      </c>
      <c r="I4078" t="s">
        <v>12577</v>
      </c>
      <c r="J4078" t="str">
        <f>HYPERLINK("http://twitter.com/lilangelo11")</f>
        <v>http://twitter.com/lilangelo11</v>
      </c>
      <c r="K4078">
        <v>0</v>
      </c>
      <c r="N4078" t="s">
        <v>65</v>
      </c>
      <c r="R4078" t="s">
        <v>60</v>
      </c>
      <c r="W4078">
        <v>0</v>
      </c>
      <c r="X4078">
        <v>0</v>
      </c>
      <c r="AE4078">
        <v>0</v>
      </c>
      <c r="AF4078">
        <v>0</v>
      </c>
      <c r="AM4078" t="s">
        <v>52</v>
      </c>
      <c r="AN4078" t="s">
        <v>53</v>
      </c>
    </row>
    <row r="4079" spans="1:40">
      <c r="A4079" t="s">
        <v>8081</v>
      </c>
      <c r="B4079" t="s">
        <v>12573</v>
      </c>
      <c r="C4079" t="s">
        <v>12578</v>
      </c>
      <c r="D4079" t="s">
        <v>52</v>
      </c>
      <c r="E4079" t="s">
        <v>3749</v>
      </c>
      <c r="F4079" t="s">
        <v>71</v>
      </c>
      <c r="G4079" t="str">
        <f>HYPERLINK("https://twitter.com/315371528/status/1142694544435240961")</f>
        <v>https://twitter.com/315371528/status/1142694544435240961</v>
      </c>
      <c r="H4079" t="s">
        <v>46</v>
      </c>
      <c r="I4079" t="s">
        <v>12579</v>
      </c>
      <c r="J4079" t="str">
        <f>HYPERLINK("http://twitter.com/Ms_khumoetsileM")</f>
        <v>http://twitter.com/Ms_khumoetsileM</v>
      </c>
      <c r="K4079">
        <v>1091</v>
      </c>
      <c r="N4079" t="s">
        <v>65</v>
      </c>
      <c r="R4079" t="s">
        <v>60</v>
      </c>
      <c r="S4079" t="s">
        <v>444</v>
      </c>
      <c r="T4079" t="s">
        <v>8442</v>
      </c>
      <c r="U4079" t="s">
        <v>9645</v>
      </c>
      <c r="W4079">
        <v>0</v>
      </c>
      <c r="X4079">
        <v>0</v>
      </c>
      <c r="AE4079">
        <v>0</v>
      </c>
      <c r="AF4079">
        <v>0</v>
      </c>
      <c r="AI4079" t="s">
        <v>108</v>
      </c>
      <c r="AJ4079" t="s">
        <v>52</v>
      </c>
      <c r="AK4079" t="s">
        <v>52</v>
      </c>
      <c r="AL4079" t="str">
        <f>HYPERLINK("https://pbs.twimg.com/media/D9sAXHUX4AA6vJs.jpg")</f>
        <v>https://pbs.twimg.com/media/D9sAXHUX4AA6vJs.jpg</v>
      </c>
      <c r="AM4079" t="s">
        <v>52</v>
      </c>
      <c r="AN4079" t="s">
        <v>53</v>
      </c>
    </row>
    <row r="4080" spans="1:40">
      <c r="A4080" t="s">
        <v>8081</v>
      </c>
      <c r="B4080" t="s">
        <v>7424</v>
      </c>
      <c r="C4080" t="s">
        <v>12580</v>
      </c>
      <c r="D4080" t="s">
        <v>52</v>
      </c>
      <c r="E4080" t="s">
        <v>12581</v>
      </c>
      <c r="F4080" t="s">
        <v>45</v>
      </c>
      <c r="G4080" t="str">
        <f>HYPERLINK("https://twitter.com/46066179/status/1142694177173434368")</f>
        <v>https://twitter.com/46066179/status/1142694177173434368</v>
      </c>
      <c r="H4080" t="s">
        <v>215</v>
      </c>
      <c r="I4080" t="s">
        <v>12582</v>
      </c>
      <c r="J4080" t="str">
        <f>HYPERLINK("http://twitter.com/ChainsawGeorgia")</f>
        <v>http://twitter.com/ChainsawGeorgia</v>
      </c>
      <c r="K4080">
        <v>195</v>
      </c>
      <c r="N4080" t="s">
        <v>65</v>
      </c>
      <c r="R4080" t="s">
        <v>60</v>
      </c>
      <c r="S4080" t="s">
        <v>2226</v>
      </c>
      <c r="W4080">
        <v>4</v>
      </c>
      <c r="X4080">
        <v>4</v>
      </c>
      <c r="AE4080">
        <v>1</v>
      </c>
      <c r="AF4080">
        <v>0</v>
      </c>
      <c r="AM4080" t="s">
        <v>52</v>
      </c>
      <c r="AN4080" t="s">
        <v>53</v>
      </c>
    </row>
    <row r="4081" spans="1:40">
      <c r="A4081" t="s">
        <v>8081</v>
      </c>
      <c r="B4081" t="s">
        <v>1680</v>
      </c>
      <c r="C4081" t="s">
        <v>12583</v>
      </c>
      <c r="D4081" t="s">
        <v>52</v>
      </c>
      <c r="E4081" t="s">
        <v>4514</v>
      </c>
      <c r="F4081" t="s">
        <v>71</v>
      </c>
      <c r="G4081" t="str">
        <f>HYPERLINK("https://twitter.com/2990549643/status/1142693640852201472")</f>
        <v>https://twitter.com/2990549643/status/1142693640852201472</v>
      </c>
      <c r="H4081" t="s">
        <v>46</v>
      </c>
      <c r="I4081" t="s">
        <v>4063</v>
      </c>
      <c r="J4081" t="str">
        <f>HYPERLINK("http://twitter.com/Franxrodr")</f>
        <v>http://twitter.com/Franxrodr</v>
      </c>
      <c r="K4081">
        <v>115</v>
      </c>
      <c r="N4081" t="s">
        <v>65</v>
      </c>
      <c r="R4081" t="s">
        <v>60</v>
      </c>
      <c r="W4081">
        <v>0</v>
      </c>
      <c r="X4081">
        <v>0</v>
      </c>
      <c r="AE4081">
        <v>0</v>
      </c>
      <c r="AF4081">
        <v>0</v>
      </c>
      <c r="AI4081" t="s">
        <v>108</v>
      </c>
      <c r="AJ4081" t="s">
        <v>52</v>
      </c>
      <c r="AK4081" t="s">
        <v>52</v>
      </c>
      <c r="AL4081" t="str">
        <f>HYPERLINK("https://pbs.twimg.com/tweet_video_thumb/D9hvNNzXUAATAS3.jpg")</f>
        <v>https://pbs.twimg.com/tweet_video_thumb/D9hvNNzXUAATAS3.jpg</v>
      </c>
      <c r="AM4081" t="s">
        <v>52</v>
      </c>
      <c r="AN4081" t="s">
        <v>53</v>
      </c>
    </row>
    <row r="4082" spans="1:40">
      <c r="A4082" t="s">
        <v>8081</v>
      </c>
      <c r="B4082" t="s">
        <v>12584</v>
      </c>
      <c r="C4082" t="s">
        <v>12585</v>
      </c>
      <c r="D4082" t="s">
        <v>52</v>
      </c>
      <c r="E4082" t="s">
        <v>466</v>
      </c>
      <c r="F4082" t="s">
        <v>131</v>
      </c>
      <c r="G4082" t="str">
        <f>HYPERLINK("https://twitter.com/1241024124/status/1142693003431043072")</f>
        <v>https://twitter.com/1241024124/status/1142693003431043072</v>
      </c>
      <c r="H4082" t="s">
        <v>46</v>
      </c>
      <c r="I4082" t="s">
        <v>12586</v>
      </c>
      <c r="J4082" t="str">
        <f>HYPERLINK("http://twitter.com/francescollin_")</f>
        <v>http://twitter.com/francescollin_</v>
      </c>
      <c r="K4082">
        <v>612</v>
      </c>
      <c r="N4082" t="s">
        <v>65</v>
      </c>
      <c r="R4082" t="s">
        <v>60</v>
      </c>
      <c r="W4082">
        <v>0</v>
      </c>
      <c r="X4082">
        <v>0</v>
      </c>
      <c r="AE4082">
        <v>0</v>
      </c>
      <c r="AI4082" t="s">
        <v>108</v>
      </c>
      <c r="AJ4082" t="s">
        <v>52</v>
      </c>
      <c r="AK4082" t="s">
        <v>110</v>
      </c>
      <c r="AL4082" t="str">
        <f>HYPERLINK("https://pbs.twimg.com/media/D9Ya7SQXUAEkrVl.jpg")</f>
        <v>https://pbs.twimg.com/media/D9Ya7SQXUAEkrVl.jpg</v>
      </c>
      <c r="AM4082" t="s">
        <v>52</v>
      </c>
      <c r="AN4082" t="s">
        <v>53</v>
      </c>
    </row>
    <row r="4083" spans="1:40">
      <c r="A4083" t="s">
        <v>8081</v>
      </c>
      <c r="B4083" t="s">
        <v>1686</v>
      </c>
      <c r="C4083" t="s">
        <v>12580</v>
      </c>
      <c r="D4083" t="s">
        <v>52</v>
      </c>
      <c r="E4083" t="s">
        <v>12587</v>
      </c>
      <c r="F4083" t="s">
        <v>45</v>
      </c>
      <c r="G4083" t="str">
        <f>HYPERLINK("https://twitter.com/2340615042/status/1142692364336734208")</f>
        <v>https://twitter.com/2340615042/status/1142692364336734208</v>
      </c>
      <c r="H4083" t="s">
        <v>46</v>
      </c>
      <c r="I4083" t="s">
        <v>12588</v>
      </c>
      <c r="J4083" t="str">
        <f>HYPERLINK("http://twitter.com/MzCoburn")</f>
        <v>http://twitter.com/MzCoburn</v>
      </c>
      <c r="K4083">
        <v>1513</v>
      </c>
      <c r="N4083" t="s">
        <v>65</v>
      </c>
      <c r="R4083" t="s">
        <v>60</v>
      </c>
      <c r="W4083">
        <v>2</v>
      </c>
      <c r="X4083">
        <v>2</v>
      </c>
      <c r="AE4083">
        <v>0</v>
      </c>
      <c r="AF4083">
        <v>0</v>
      </c>
      <c r="AM4083" t="s">
        <v>52</v>
      </c>
      <c r="AN4083" t="s">
        <v>53</v>
      </c>
    </row>
    <row r="4084" spans="1:40">
      <c r="A4084" t="s">
        <v>8081</v>
      </c>
      <c r="B4084" t="s">
        <v>1694</v>
      </c>
      <c r="C4084" t="s">
        <v>12574</v>
      </c>
      <c r="D4084" t="s">
        <v>52</v>
      </c>
      <c r="E4084" t="s">
        <v>12589</v>
      </c>
      <c r="F4084" t="s">
        <v>45</v>
      </c>
      <c r="G4084" t="str">
        <f>HYPERLINK("https://www.instagram.com/p/BzCyGS0AJxJ")</f>
        <v>https://www.instagram.com/p/BzCyGS0AJxJ</v>
      </c>
      <c r="H4084" t="s">
        <v>46</v>
      </c>
      <c r="I4084" t="s">
        <v>12590</v>
      </c>
      <c r="J4084" t="str">
        <f>HYPERLINK("http://instagram.com/__thequintessentials__")</f>
        <v>http://instagram.com/__thequintessentials__</v>
      </c>
      <c r="K4084">
        <v>18293</v>
      </c>
      <c r="L4084" t="s">
        <v>48</v>
      </c>
      <c r="N4084" t="s">
        <v>59</v>
      </c>
      <c r="O4084" t="s">
        <v>12590</v>
      </c>
      <c r="P4084" t="str">
        <f>HYPERLINK("http://instagram.com/__thequintessentials__")</f>
        <v>http://instagram.com/__thequintessentials__</v>
      </c>
      <c r="Q4084">
        <v>18293</v>
      </c>
      <c r="R4084" t="s">
        <v>60</v>
      </c>
      <c r="W4084">
        <v>337</v>
      </c>
      <c r="X4084">
        <v>337</v>
      </c>
      <c r="AE4084">
        <v>19</v>
      </c>
      <c r="AI4084" t="s">
        <v>52</v>
      </c>
      <c r="AJ4084" t="s">
        <v>10685</v>
      </c>
      <c r="AK4084" t="s">
        <v>12591</v>
      </c>
      <c r="AL4084" t="str">
        <f>HYPERLINK("https://www.instagram.com/p/BzCyGS0AJxJ/media/?size=l")</f>
        <v>https://www.instagram.com/p/BzCyGS0AJxJ/media/?size=l</v>
      </c>
      <c r="AM4084" t="s">
        <v>52</v>
      </c>
      <c r="AN4084" t="s">
        <v>53</v>
      </c>
    </row>
    <row r="4085" spans="1:40">
      <c r="A4085" t="s">
        <v>8081</v>
      </c>
      <c r="B4085" t="s">
        <v>1694</v>
      </c>
      <c r="C4085" t="s">
        <v>12592</v>
      </c>
      <c r="D4085" t="s">
        <v>52</v>
      </c>
      <c r="E4085" t="s">
        <v>12593</v>
      </c>
      <c r="F4085" t="s">
        <v>95</v>
      </c>
      <c r="G4085" t="str">
        <f>HYPERLINK("https://twitter.com/943513273/status/1142692056269295616")</f>
        <v>https://twitter.com/943513273/status/1142692056269295616</v>
      </c>
      <c r="H4085" t="s">
        <v>46</v>
      </c>
      <c r="I4085" t="s">
        <v>12594</v>
      </c>
      <c r="J4085" t="str">
        <f>HYPERLINK("http://twitter.com/jeff123memoy")</f>
        <v>http://twitter.com/jeff123memoy</v>
      </c>
      <c r="K4085">
        <v>53</v>
      </c>
      <c r="L4085" t="s">
        <v>48</v>
      </c>
      <c r="N4085" t="s">
        <v>65</v>
      </c>
      <c r="R4085" t="s">
        <v>60</v>
      </c>
      <c r="W4085">
        <v>1</v>
      </c>
      <c r="X4085">
        <v>1</v>
      </c>
      <c r="AE4085">
        <v>1</v>
      </c>
      <c r="AF4085">
        <v>0</v>
      </c>
      <c r="AM4085" t="s">
        <v>52</v>
      </c>
      <c r="AN4085" t="s">
        <v>53</v>
      </c>
    </row>
    <row r="4086" spans="1:40">
      <c r="A4086" t="s">
        <v>8081</v>
      </c>
      <c r="B4086" t="s">
        <v>1698</v>
      </c>
      <c r="C4086" t="s">
        <v>12583</v>
      </c>
      <c r="D4086" t="s">
        <v>52</v>
      </c>
      <c r="E4086" t="s">
        <v>130</v>
      </c>
      <c r="F4086" t="s">
        <v>131</v>
      </c>
      <c r="G4086" t="str">
        <f>HYPERLINK("https://twitter.com/361862731/status/1142691973117173761")</f>
        <v>https://twitter.com/361862731/status/1142691973117173761</v>
      </c>
      <c r="H4086" t="s">
        <v>46</v>
      </c>
      <c r="I4086" t="s">
        <v>12595</v>
      </c>
      <c r="J4086" t="str">
        <f>HYPERLINK("http://twitter.com/_Pau1C")</f>
        <v>http://twitter.com/_Pau1C</v>
      </c>
      <c r="K4086">
        <v>71</v>
      </c>
      <c r="L4086" t="s">
        <v>48</v>
      </c>
      <c r="N4086" t="s">
        <v>65</v>
      </c>
      <c r="R4086" t="s">
        <v>60</v>
      </c>
      <c r="W4086">
        <v>0</v>
      </c>
      <c r="X4086">
        <v>0</v>
      </c>
      <c r="AE4086">
        <v>0</v>
      </c>
      <c r="AI4086" t="s">
        <v>108</v>
      </c>
      <c r="AJ4086" t="s">
        <v>52</v>
      </c>
      <c r="AK4086" t="s">
        <v>52</v>
      </c>
      <c r="AL4086" t="str">
        <f>HYPERLINK("https://pbs.twimg.com/media/D9XTkLWW4AAOYnJ.jpg")</f>
        <v>https://pbs.twimg.com/media/D9XTkLWW4AAOYnJ.jpg</v>
      </c>
      <c r="AM4086" t="s">
        <v>52</v>
      </c>
      <c r="AN4086" t="s">
        <v>53</v>
      </c>
    </row>
    <row r="4087" spans="1:40">
      <c r="A4087" t="s">
        <v>8081</v>
      </c>
      <c r="B4087" t="s">
        <v>1698</v>
      </c>
      <c r="C4087" t="s">
        <v>12596</v>
      </c>
      <c r="D4087" t="s">
        <v>12597</v>
      </c>
      <c r="E4087" t="s">
        <v>12598</v>
      </c>
      <c r="F4087" t="s">
        <v>45</v>
      </c>
      <c r="G4087" t="str">
        <f>HYPERLINK("https://forum.grasscity.com/threads/most-unacceptable-thing-to-happen-to-you-at-your-job.1543638/page-3")</f>
        <v>https://forum.grasscity.com/threads/most-unacceptable-thing-to-happen-to-you-at-your-job.1543638/page-3</v>
      </c>
      <c r="H4087" t="s">
        <v>46</v>
      </c>
      <c r="I4087" t="s">
        <v>12599</v>
      </c>
      <c r="J4087" t="str">
        <f>HYPERLINK("https://forum.grasscity.com/threads/most-unacceptable-thing-to-happen-to-you-at-your-job.1543638/page-3")</f>
        <v>https://forum.grasscity.com/threads/most-unacceptable-thing-to-happen-to-you-at-your-job.1543638/page-3</v>
      </c>
      <c r="N4087" t="s">
        <v>12600</v>
      </c>
      <c r="O4087" t="s">
        <v>12601</v>
      </c>
      <c r="P4087" t="str">
        <f>HYPERLINK("https://forum.grasscity.com/forums/real-life-stories.598/")</f>
        <v>https://forum.grasscity.com/forums/real-life-stories.598/</v>
      </c>
      <c r="R4087" t="s">
        <v>516</v>
      </c>
      <c r="S4087" t="s">
        <v>51</v>
      </c>
      <c r="AM4087" t="s">
        <v>52</v>
      </c>
      <c r="AN4087" t="s">
        <v>53</v>
      </c>
    </row>
    <row r="4088" spans="1:40">
      <c r="A4088" t="s">
        <v>8081</v>
      </c>
      <c r="B4088" t="s">
        <v>1704</v>
      </c>
      <c r="C4088" t="s">
        <v>12602</v>
      </c>
      <c r="D4088" t="s">
        <v>52</v>
      </c>
      <c r="E4088" t="s">
        <v>12603</v>
      </c>
      <c r="F4088" t="s">
        <v>71</v>
      </c>
      <c r="G4088" t="str">
        <f>HYPERLINK("https://twitter.com/3015914288/status/1142691633613271041")</f>
        <v>https://twitter.com/3015914288/status/1142691633613271041</v>
      </c>
      <c r="H4088" t="s">
        <v>46</v>
      </c>
      <c r="I4088" t="s">
        <v>12604</v>
      </c>
      <c r="J4088" t="str">
        <f>HYPERLINK("http://twitter.com/RevaKazen")</f>
        <v>http://twitter.com/RevaKazen</v>
      </c>
      <c r="K4088">
        <v>233</v>
      </c>
      <c r="N4088" t="s">
        <v>65</v>
      </c>
      <c r="R4088" t="s">
        <v>60</v>
      </c>
      <c r="W4088">
        <v>0</v>
      </c>
      <c r="X4088">
        <v>0</v>
      </c>
      <c r="AE4088">
        <v>0</v>
      </c>
      <c r="AF4088">
        <v>0</v>
      </c>
      <c r="AM4088" t="s">
        <v>52</v>
      </c>
      <c r="AN4088" t="s">
        <v>53</v>
      </c>
    </row>
    <row r="4089" spans="1:40">
      <c r="A4089" t="s">
        <v>8081</v>
      </c>
      <c r="B4089" t="s">
        <v>1704</v>
      </c>
      <c r="C4089" t="s">
        <v>12605</v>
      </c>
      <c r="D4089" t="s">
        <v>52</v>
      </c>
      <c r="E4089" t="s">
        <v>12606</v>
      </c>
      <c r="F4089" t="s">
        <v>71</v>
      </c>
      <c r="G4089" t="str">
        <f>HYPERLINK("https://twitter.com/4512542238/status/1142691563937521664")</f>
        <v>https://twitter.com/4512542238/status/1142691563937521664</v>
      </c>
      <c r="H4089" t="s">
        <v>46</v>
      </c>
      <c r="I4089" t="s">
        <v>12607</v>
      </c>
      <c r="J4089" t="str">
        <f>HYPERLINK("http://twitter.com/carzwellben")</f>
        <v>http://twitter.com/carzwellben</v>
      </c>
      <c r="K4089">
        <v>33</v>
      </c>
      <c r="N4089" t="s">
        <v>65</v>
      </c>
      <c r="R4089" t="s">
        <v>60</v>
      </c>
      <c r="S4089" t="s">
        <v>51</v>
      </c>
      <c r="T4089" t="s">
        <v>1669</v>
      </c>
      <c r="U4089" t="s">
        <v>2664</v>
      </c>
      <c r="W4089">
        <v>0</v>
      </c>
      <c r="X4089">
        <v>0</v>
      </c>
      <c r="AE4089">
        <v>0</v>
      </c>
      <c r="AF4089">
        <v>0</v>
      </c>
      <c r="AM4089" t="s">
        <v>52</v>
      </c>
      <c r="AN4089" t="s">
        <v>53</v>
      </c>
    </row>
    <row r="4090" spans="1:40">
      <c r="A4090" t="s">
        <v>8081</v>
      </c>
      <c r="B4090" t="s">
        <v>1713</v>
      </c>
      <c r="C4090" t="s">
        <v>12608</v>
      </c>
      <c r="D4090" t="s">
        <v>12609</v>
      </c>
      <c r="E4090" t="s">
        <v>12610</v>
      </c>
      <c r="F4090" t="s">
        <v>45</v>
      </c>
      <c r="G4090" t="str">
        <f>HYPERLINK("http://www.scandinavianhomestaging.com/pickle-the-pig.html")</f>
        <v>http://www.scandinavianhomestaging.com/pickle-the-pig.html</v>
      </c>
      <c r="H4090" t="s">
        <v>46</v>
      </c>
      <c r="N4090" t="s">
        <v>7165</v>
      </c>
      <c r="R4090" t="s">
        <v>50</v>
      </c>
      <c r="S4090" t="s">
        <v>51</v>
      </c>
      <c r="AM4090" t="s">
        <v>52</v>
      </c>
      <c r="AN4090" t="s">
        <v>53</v>
      </c>
    </row>
    <row r="4091" spans="1:40">
      <c r="A4091" t="s">
        <v>8081</v>
      </c>
      <c r="B4091" t="s">
        <v>1716</v>
      </c>
      <c r="C4091" t="s">
        <v>12611</v>
      </c>
      <c r="D4091" t="s">
        <v>52</v>
      </c>
      <c r="E4091" t="s">
        <v>3749</v>
      </c>
      <c r="F4091" t="s">
        <v>71</v>
      </c>
      <c r="G4091" t="str">
        <f>HYPERLINK("https://twitter.com/464501589/status/1142689939542478849")</f>
        <v>https://twitter.com/464501589/status/1142689939542478849</v>
      </c>
      <c r="H4091" t="s">
        <v>46</v>
      </c>
      <c r="I4091" t="s">
        <v>12612</v>
      </c>
      <c r="J4091" t="str">
        <f>HYPERLINK("http://twitter.com/MasegoLeoto")</f>
        <v>http://twitter.com/MasegoLeoto</v>
      </c>
      <c r="K4091">
        <v>1133</v>
      </c>
      <c r="N4091" t="s">
        <v>65</v>
      </c>
      <c r="R4091" t="s">
        <v>60</v>
      </c>
      <c r="S4091" t="s">
        <v>1071</v>
      </c>
      <c r="W4091">
        <v>0</v>
      </c>
      <c r="X4091">
        <v>0</v>
      </c>
      <c r="AE4091">
        <v>0</v>
      </c>
      <c r="AF4091">
        <v>0</v>
      </c>
      <c r="AI4091" t="s">
        <v>108</v>
      </c>
      <c r="AJ4091" t="s">
        <v>52</v>
      </c>
      <c r="AK4091" t="s">
        <v>52</v>
      </c>
      <c r="AL4091" t="str">
        <f>HYPERLINK("https://pbs.twimg.com/media/D9sAXHUX4AA6vJs.jpg")</f>
        <v>https://pbs.twimg.com/media/D9sAXHUX4AA6vJs.jpg</v>
      </c>
      <c r="AM4091" t="s">
        <v>52</v>
      </c>
      <c r="AN4091" t="s">
        <v>53</v>
      </c>
    </row>
    <row r="4092" spans="1:40">
      <c r="A4092" t="s">
        <v>8081</v>
      </c>
      <c r="B4092" t="s">
        <v>12613</v>
      </c>
      <c r="C4092" t="s">
        <v>12614</v>
      </c>
      <c r="D4092" t="s">
        <v>52</v>
      </c>
      <c r="E4092" t="s">
        <v>12615</v>
      </c>
      <c r="F4092" t="s">
        <v>95</v>
      </c>
      <c r="G4092" t="str">
        <f>HYPERLINK("https://twitter.com/47691481/status/1142689490101657601")</f>
        <v>https://twitter.com/47691481/status/1142689490101657601</v>
      </c>
      <c r="H4092" t="s">
        <v>46</v>
      </c>
      <c r="I4092" t="s">
        <v>12616</v>
      </c>
      <c r="J4092" t="str">
        <f>HYPERLINK("http://twitter.com/NELtheGORGEOUSZ")</f>
        <v>http://twitter.com/NELtheGORGEOUSZ</v>
      </c>
      <c r="K4092">
        <v>198</v>
      </c>
      <c r="N4092" t="s">
        <v>65</v>
      </c>
      <c r="R4092" t="s">
        <v>60</v>
      </c>
      <c r="S4092" t="s">
        <v>5161</v>
      </c>
      <c r="T4092" t="s">
        <v>12617</v>
      </c>
      <c r="U4092" t="s">
        <v>12618</v>
      </c>
      <c r="W4092">
        <v>0</v>
      </c>
      <c r="X4092">
        <v>0</v>
      </c>
      <c r="AE4092">
        <v>1</v>
      </c>
      <c r="AF4092">
        <v>0</v>
      </c>
      <c r="AM4092" t="s">
        <v>52</v>
      </c>
      <c r="AN4092" t="s">
        <v>53</v>
      </c>
    </row>
    <row r="4093" spans="1:40">
      <c r="A4093" t="s">
        <v>8081</v>
      </c>
      <c r="B4093" t="s">
        <v>12613</v>
      </c>
      <c r="C4093" t="s">
        <v>12619</v>
      </c>
      <c r="D4093" t="s">
        <v>52</v>
      </c>
      <c r="E4093" t="s">
        <v>3749</v>
      </c>
      <c r="F4093" t="s">
        <v>71</v>
      </c>
      <c r="G4093" t="str">
        <f>HYPERLINK("https://twitter.com/78326468/status/1142689419289346053")</f>
        <v>https://twitter.com/78326468/status/1142689419289346053</v>
      </c>
      <c r="H4093" t="s">
        <v>46</v>
      </c>
      <c r="I4093" t="s">
        <v>12620</v>
      </c>
      <c r="J4093" t="str">
        <f>HYPERLINK("http://twitter.com/_Tshenolo")</f>
        <v>http://twitter.com/_Tshenolo</v>
      </c>
      <c r="K4093">
        <v>1294</v>
      </c>
      <c r="N4093" t="s">
        <v>65</v>
      </c>
      <c r="R4093" t="s">
        <v>60</v>
      </c>
      <c r="S4093" t="s">
        <v>1071</v>
      </c>
      <c r="T4093" t="s">
        <v>1072</v>
      </c>
      <c r="U4093" t="s">
        <v>1073</v>
      </c>
      <c r="W4093">
        <v>0</v>
      </c>
      <c r="X4093">
        <v>0</v>
      </c>
      <c r="AE4093">
        <v>0</v>
      </c>
      <c r="AF4093">
        <v>0</v>
      </c>
      <c r="AI4093" t="s">
        <v>108</v>
      </c>
      <c r="AJ4093" t="s">
        <v>52</v>
      </c>
      <c r="AK4093" t="s">
        <v>52</v>
      </c>
      <c r="AL4093" t="str">
        <f>HYPERLINK("https://pbs.twimg.com/media/D9sAXHUX4AA6vJs.jpg")</f>
        <v>https://pbs.twimg.com/media/D9sAXHUX4AA6vJs.jpg</v>
      </c>
      <c r="AM4093" t="s">
        <v>52</v>
      </c>
      <c r="AN4093" t="s">
        <v>53</v>
      </c>
    </row>
    <row r="4094" spans="1:40">
      <c r="A4094" t="s">
        <v>8081</v>
      </c>
      <c r="B4094" t="s">
        <v>1732</v>
      </c>
      <c r="C4094" t="s">
        <v>12621</v>
      </c>
      <c r="D4094" t="s">
        <v>52</v>
      </c>
      <c r="E4094" t="s">
        <v>12622</v>
      </c>
      <c r="F4094" t="s">
        <v>95</v>
      </c>
      <c r="G4094" t="str">
        <f>HYPERLINK("https://twitter.com/4512542238/status/1142687930051223553")</f>
        <v>https://twitter.com/4512542238/status/1142687930051223553</v>
      </c>
      <c r="H4094" t="s">
        <v>46</v>
      </c>
      <c r="I4094" t="s">
        <v>12607</v>
      </c>
      <c r="J4094" t="str">
        <f>HYPERLINK("http://twitter.com/carzwellben")</f>
        <v>http://twitter.com/carzwellben</v>
      </c>
      <c r="K4094">
        <v>33</v>
      </c>
      <c r="N4094" t="s">
        <v>65</v>
      </c>
      <c r="R4094" t="s">
        <v>60</v>
      </c>
      <c r="S4094" t="s">
        <v>51</v>
      </c>
      <c r="T4094" t="s">
        <v>173</v>
      </c>
      <c r="U4094" t="s">
        <v>12623</v>
      </c>
      <c r="W4094">
        <v>0</v>
      </c>
      <c r="X4094">
        <v>0</v>
      </c>
      <c r="AE4094">
        <v>0</v>
      </c>
      <c r="AF4094">
        <v>0</v>
      </c>
      <c r="AM4094" t="s">
        <v>52</v>
      </c>
      <c r="AN4094" t="s">
        <v>53</v>
      </c>
    </row>
    <row r="4095" spans="1:40">
      <c r="A4095" t="s">
        <v>8081</v>
      </c>
      <c r="B4095" t="s">
        <v>1732</v>
      </c>
      <c r="C4095" t="s">
        <v>12621</v>
      </c>
      <c r="D4095" t="s">
        <v>52</v>
      </c>
      <c r="E4095" t="s">
        <v>12624</v>
      </c>
      <c r="F4095" t="s">
        <v>45</v>
      </c>
      <c r="G4095" t="str">
        <f>HYPERLINK("https://twitter.com/1365514580/status/1142687892596297728")</f>
        <v>https://twitter.com/1365514580/status/1142687892596297728</v>
      </c>
      <c r="H4095" t="s">
        <v>215</v>
      </c>
      <c r="I4095" t="s">
        <v>12625</v>
      </c>
      <c r="J4095" t="str">
        <f>HYPERLINK("http://twitter.com/idalis_haydee")</f>
        <v>http://twitter.com/idalis_haydee</v>
      </c>
      <c r="K4095">
        <v>179</v>
      </c>
      <c r="N4095" t="s">
        <v>65</v>
      </c>
      <c r="R4095" t="s">
        <v>60</v>
      </c>
      <c r="W4095">
        <v>0</v>
      </c>
      <c r="X4095">
        <v>0</v>
      </c>
      <c r="AE4095">
        <v>0</v>
      </c>
      <c r="AF4095">
        <v>0</v>
      </c>
      <c r="AM4095" t="s">
        <v>52</v>
      </c>
      <c r="AN4095" t="s">
        <v>53</v>
      </c>
    </row>
    <row r="4096" spans="1:40">
      <c r="A4096" t="s">
        <v>8081</v>
      </c>
      <c r="B4096" t="s">
        <v>12626</v>
      </c>
      <c r="C4096" t="s">
        <v>12627</v>
      </c>
      <c r="D4096" t="s">
        <v>52</v>
      </c>
      <c r="E4096" t="s">
        <v>12628</v>
      </c>
      <c r="F4096" t="s">
        <v>71</v>
      </c>
      <c r="G4096" t="str">
        <f>HYPERLINK("https://twitter.com/1687101078/status/1142687603151519745")</f>
        <v>https://twitter.com/1687101078/status/1142687603151519745</v>
      </c>
      <c r="H4096" t="s">
        <v>46</v>
      </c>
      <c r="I4096" t="s">
        <v>12629</v>
      </c>
      <c r="J4096" t="str">
        <f>HYPERLINK("http://twitter.com/kyia_mcc")</f>
        <v>http://twitter.com/kyia_mcc</v>
      </c>
      <c r="K4096">
        <v>514</v>
      </c>
      <c r="N4096" t="s">
        <v>65</v>
      </c>
      <c r="R4096" t="s">
        <v>60</v>
      </c>
      <c r="W4096">
        <v>2</v>
      </c>
      <c r="X4096">
        <v>2</v>
      </c>
      <c r="AE4096">
        <v>0</v>
      </c>
      <c r="AF4096">
        <v>0</v>
      </c>
      <c r="AI4096" t="s">
        <v>52</v>
      </c>
      <c r="AJ4096" t="s">
        <v>52</v>
      </c>
      <c r="AK4096" t="s">
        <v>52</v>
      </c>
      <c r="AL4096" t="str">
        <f>HYPERLINK("https://pbs.twimg.com/ext_tw_video_thumb/1142184635562188801/pu/img/1tvhqR1azOzMIX79.jpg")</f>
        <v>https://pbs.twimg.com/ext_tw_video_thumb/1142184635562188801/pu/img/1tvhqR1azOzMIX79.jpg</v>
      </c>
      <c r="AM4096" t="s">
        <v>52</v>
      </c>
      <c r="AN4096" t="s">
        <v>53</v>
      </c>
    </row>
    <row r="4097" spans="1:40">
      <c r="A4097" t="s">
        <v>8081</v>
      </c>
      <c r="B4097" t="s">
        <v>7522</v>
      </c>
      <c r="C4097" t="s">
        <v>12630</v>
      </c>
      <c r="D4097" t="s">
        <v>52</v>
      </c>
      <c r="E4097" t="s">
        <v>12631</v>
      </c>
      <c r="F4097" t="s">
        <v>45</v>
      </c>
      <c r="G4097" t="str">
        <f>HYPERLINK("https://twitter.com/2241571980/status/1142686528537157632")</f>
        <v>https://twitter.com/2241571980/status/1142686528537157632</v>
      </c>
      <c r="H4097" t="s">
        <v>46</v>
      </c>
      <c r="I4097" t="s">
        <v>12632</v>
      </c>
      <c r="J4097" t="str">
        <f>HYPERLINK("http://twitter.com/_WSGT")</f>
        <v>http://twitter.com/_WSGT</v>
      </c>
      <c r="K4097">
        <v>234</v>
      </c>
      <c r="N4097" t="s">
        <v>65</v>
      </c>
      <c r="R4097" t="s">
        <v>60</v>
      </c>
      <c r="W4097">
        <v>0</v>
      </c>
      <c r="X4097">
        <v>0</v>
      </c>
      <c r="AE4097">
        <v>0</v>
      </c>
      <c r="AF4097">
        <v>0</v>
      </c>
      <c r="AM4097" t="s">
        <v>52</v>
      </c>
      <c r="AN4097" t="s">
        <v>53</v>
      </c>
    </row>
    <row r="4098" spans="1:40">
      <c r="A4098" t="s">
        <v>8081</v>
      </c>
      <c r="B4098" t="s">
        <v>1735</v>
      </c>
      <c r="C4098" t="s">
        <v>12614</v>
      </c>
      <c r="D4098" t="s">
        <v>12633</v>
      </c>
      <c r="E4098" t="s">
        <v>12634</v>
      </c>
      <c r="F4098" t="s">
        <v>45</v>
      </c>
      <c r="G4098" t="str">
        <f>HYPERLINK("https://www.youtube.com/watch?v=n3oF1P1tHHU")</f>
        <v>https://www.youtube.com/watch?v=n3oF1P1tHHU</v>
      </c>
      <c r="H4098" t="s">
        <v>46</v>
      </c>
      <c r="I4098" t="s">
        <v>4388</v>
      </c>
      <c r="J4098" t="str">
        <f>HYPERLINK("https://www.youtube.com/channel/UC0dY73koh1T9PC4cggCToLA")</f>
        <v>https://www.youtube.com/channel/UC0dY73koh1T9PC4cggCToLA</v>
      </c>
      <c r="K4098">
        <v>6</v>
      </c>
      <c r="N4098" t="s">
        <v>116</v>
      </c>
      <c r="O4098" t="s">
        <v>4388</v>
      </c>
      <c r="P4098" t="str">
        <f>HYPERLINK("https://www.youtube.com/channel/UC0dY73koh1T9PC4cggCToLA")</f>
        <v>https://www.youtube.com/channel/UC0dY73koh1T9PC4cggCToLA</v>
      </c>
      <c r="Q4098">
        <v>6</v>
      </c>
      <c r="R4098" t="s">
        <v>60</v>
      </c>
      <c r="W4098">
        <v>0</v>
      </c>
      <c r="X4098">
        <v>0</v>
      </c>
      <c r="AD4098">
        <v>0</v>
      </c>
      <c r="AE4098">
        <v>0</v>
      </c>
      <c r="AG4098">
        <v>3</v>
      </c>
      <c r="AI4098" t="s">
        <v>52</v>
      </c>
      <c r="AJ4098" t="s">
        <v>458</v>
      </c>
      <c r="AK4098" t="s">
        <v>52</v>
      </c>
      <c r="AL4098" t="str">
        <f>HYPERLINK("https://i.ytimg.com/vi/n3oF1P1tHHU/hqdefault.jpg")</f>
        <v>https://i.ytimg.com/vi/n3oF1P1tHHU/hqdefault.jpg</v>
      </c>
      <c r="AM4098" t="s">
        <v>52</v>
      </c>
      <c r="AN4098" t="s">
        <v>53</v>
      </c>
    </row>
    <row r="4099" spans="1:40">
      <c r="A4099" t="s">
        <v>8081</v>
      </c>
      <c r="B4099" t="s">
        <v>1735</v>
      </c>
      <c r="C4099" t="s">
        <v>12635</v>
      </c>
      <c r="D4099" t="s">
        <v>52</v>
      </c>
      <c r="E4099" t="s">
        <v>12636</v>
      </c>
      <c r="F4099" t="s">
        <v>45</v>
      </c>
      <c r="G4099" t="str">
        <f>HYPERLINK("https://www.instagram.com/p/BzCvFNUH3r9")</f>
        <v>https://www.instagram.com/p/BzCvFNUH3r9</v>
      </c>
      <c r="H4099" t="s">
        <v>46</v>
      </c>
      <c r="I4099" t="s">
        <v>833</v>
      </c>
      <c r="J4099" t="str">
        <f>HYPERLINK("http://instagram.com/dori7os_fd3s")</f>
        <v>http://instagram.com/dori7os_fd3s</v>
      </c>
      <c r="K4099">
        <v>6145</v>
      </c>
      <c r="N4099" t="s">
        <v>59</v>
      </c>
      <c r="O4099" t="s">
        <v>833</v>
      </c>
      <c r="P4099" t="str">
        <f>HYPERLINK("http://instagram.com/dori7os_fd3s")</f>
        <v>http://instagram.com/dori7os_fd3s</v>
      </c>
      <c r="Q4099">
        <v>6145</v>
      </c>
      <c r="R4099" t="s">
        <v>60</v>
      </c>
      <c r="S4099" t="s">
        <v>51</v>
      </c>
      <c r="T4099" t="s">
        <v>2522</v>
      </c>
      <c r="U4099" t="s">
        <v>10143</v>
      </c>
      <c r="W4099">
        <v>233</v>
      </c>
      <c r="X4099">
        <v>233</v>
      </c>
      <c r="AE4099">
        <v>12</v>
      </c>
      <c r="AI4099" t="s">
        <v>108</v>
      </c>
      <c r="AJ4099" t="s">
        <v>1182</v>
      </c>
      <c r="AK4099" t="s">
        <v>52</v>
      </c>
      <c r="AL4099" t="str">
        <f>HYPERLINK("https://www.instagram.com/p/BzCvFNUH3r9/media/?size=l")</f>
        <v>https://www.instagram.com/p/BzCvFNUH3r9/media/?size=l</v>
      </c>
      <c r="AM4099" t="s">
        <v>52</v>
      </c>
      <c r="AN4099" t="s">
        <v>53</v>
      </c>
    </row>
    <row r="4100" spans="1:40">
      <c r="A4100" t="s">
        <v>8081</v>
      </c>
      <c r="B4100" t="s">
        <v>1742</v>
      </c>
      <c r="C4100" t="s">
        <v>12608</v>
      </c>
      <c r="D4100" t="s">
        <v>12637</v>
      </c>
      <c r="E4100" t="s">
        <v>12638</v>
      </c>
      <c r="F4100" t="s">
        <v>45</v>
      </c>
      <c r="G4100" t="str">
        <f>HYPERLINK("http://www.philropost.com/milk-duds-head.html")</f>
        <v>http://www.philropost.com/milk-duds-head.html</v>
      </c>
      <c r="H4100" t="s">
        <v>46</v>
      </c>
      <c r="N4100" t="s">
        <v>7552</v>
      </c>
      <c r="R4100" t="s">
        <v>50</v>
      </c>
      <c r="S4100" t="s">
        <v>51</v>
      </c>
      <c r="AM4100" t="s">
        <v>52</v>
      </c>
      <c r="AN4100" t="s">
        <v>53</v>
      </c>
    </row>
    <row r="4101" spans="1:40">
      <c r="A4101" t="s">
        <v>8081</v>
      </c>
      <c r="B4101" t="s">
        <v>1742</v>
      </c>
      <c r="C4101" t="s">
        <v>6980</v>
      </c>
      <c r="D4101" t="s">
        <v>5713</v>
      </c>
      <c r="E4101" t="s">
        <v>5714</v>
      </c>
      <c r="F4101" t="s">
        <v>45</v>
      </c>
      <c r="G4101" t="str">
        <f>HYPERLINK("http://www.scandinavianhomestaging.com/pen-for-women.html")</f>
        <v>http://www.scandinavianhomestaging.com/pen-for-women.html</v>
      </c>
      <c r="H4101" t="s">
        <v>46</v>
      </c>
      <c r="N4101" t="s">
        <v>7165</v>
      </c>
      <c r="R4101" t="s">
        <v>50</v>
      </c>
      <c r="S4101" t="s">
        <v>51</v>
      </c>
      <c r="AM4101" t="s">
        <v>52</v>
      </c>
      <c r="AN4101" t="s">
        <v>53</v>
      </c>
    </row>
    <row r="4102" spans="1:40">
      <c r="A4102" t="s">
        <v>8081</v>
      </c>
      <c r="B4102" t="s">
        <v>12639</v>
      </c>
      <c r="C4102" t="s">
        <v>12640</v>
      </c>
      <c r="D4102" t="s">
        <v>52</v>
      </c>
      <c r="E4102" t="s">
        <v>12641</v>
      </c>
      <c r="F4102" t="s">
        <v>95</v>
      </c>
      <c r="G4102" t="str">
        <f>HYPERLINK("https://twitter.com/757421053928845312/status/1142685130475130881")</f>
        <v>https://twitter.com/757421053928845312/status/1142685130475130881</v>
      </c>
      <c r="H4102" t="s">
        <v>46</v>
      </c>
      <c r="I4102" t="s">
        <v>12642</v>
      </c>
      <c r="J4102" t="str">
        <f>HYPERLINK("http://twitter.com/Thomas_Paul_25")</f>
        <v>http://twitter.com/Thomas_Paul_25</v>
      </c>
      <c r="K4102">
        <v>109</v>
      </c>
      <c r="L4102" t="s">
        <v>48</v>
      </c>
      <c r="N4102" t="s">
        <v>65</v>
      </c>
      <c r="R4102" t="s">
        <v>60</v>
      </c>
      <c r="S4102" t="s">
        <v>51</v>
      </c>
      <c r="T4102" t="s">
        <v>380</v>
      </c>
      <c r="U4102" t="s">
        <v>6274</v>
      </c>
      <c r="W4102">
        <v>1</v>
      </c>
      <c r="X4102">
        <v>1</v>
      </c>
      <c r="AE4102">
        <v>0</v>
      </c>
      <c r="AF4102">
        <v>0</v>
      </c>
      <c r="AM4102" t="s">
        <v>52</v>
      </c>
      <c r="AN4102" t="s">
        <v>53</v>
      </c>
    </row>
    <row r="4103" spans="1:40">
      <c r="A4103" t="s">
        <v>8081</v>
      </c>
      <c r="B4103" t="s">
        <v>1751</v>
      </c>
      <c r="C4103" t="s">
        <v>12643</v>
      </c>
      <c r="D4103" t="s">
        <v>52</v>
      </c>
      <c r="E4103" t="s">
        <v>12644</v>
      </c>
      <c r="F4103" t="s">
        <v>131</v>
      </c>
      <c r="G4103" t="str">
        <f>HYPERLINK("https://twitter.com/70139140/status/1142684610071007233")</f>
        <v>https://twitter.com/70139140/status/1142684610071007233</v>
      </c>
      <c r="H4103" t="s">
        <v>46</v>
      </c>
      <c r="I4103" t="s">
        <v>12645</v>
      </c>
      <c r="J4103" t="str">
        <f>HYPERLINK("http://twitter.com/Juarezelone")</f>
        <v>http://twitter.com/Juarezelone</v>
      </c>
      <c r="K4103">
        <v>4556</v>
      </c>
      <c r="N4103" t="s">
        <v>65</v>
      </c>
      <c r="R4103" t="s">
        <v>60</v>
      </c>
      <c r="S4103" t="s">
        <v>432</v>
      </c>
      <c r="T4103" t="s">
        <v>433</v>
      </c>
      <c r="U4103" t="s">
        <v>12646</v>
      </c>
      <c r="W4103">
        <v>0</v>
      </c>
      <c r="X4103">
        <v>0</v>
      </c>
      <c r="AE4103">
        <v>0</v>
      </c>
      <c r="AI4103" t="s">
        <v>108</v>
      </c>
      <c r="AJ4103" t="s">
        <v>52</v>
      </c>
      <c r="AK4103" t="s">
        <v>52</v>
      </c>
      <c r="AL4103" t="str">
        <f>HYPERLINK("https://pbs.twimg.com/media/D9dw-O5XkAAzASh.jpg")</f>
        <v>https://pbs.twimg.com/media/D9dw-O5XkAAzASh.jpg</v>
      </c>
      <c r="AM4103" t="s">
        <v>52</v>
      </c>
      <c r="AN4103" t="s">
        <v>53</v>
      </c>
    </row>
    <row r="4104" spans="1:40">
      <c r="A4104" t="s">
        <v>8081</v>
      </c>
      <c r="B4104" t="s">
        <v>1751</v>
      </c>
      <c r="C4104" t="s">
        <v>12647</v>
      </c>
      <c r="D4104" t="s">
        <v>52</v>
      </c>
      <c r="E4104" t="s">
        <v>276</v>
      </c>
      <c r="F4104" t="s">
        <v>131</v>
      </c>
      <c r="G4104" t="str">
        <f>HYPERLINK("https://twitter.com/277178375/status/1142684504475099136")</f>
        <v>https://twitter.com/277178375/status/1142684504475099136</v>
      </c>
      <c r="H4104" t="s">
        <v>46</v>
      </c>
      <c r="I4104" t="s">
        <v>12648</v>
      </c>
      <c r="J4104" t="str">
        <f>HYPERLINK("http://twitter.com/KYLE_DEVORE")</f>
        <v>http://twitter.com/KYLE_DEVORE</v>
      </c>
      <c r="K4104">
        <v>2973</v>
      </c>
      <c r="N4104" t="s">
        <v>65</v>
      </c>
      <c r="R4104" t="s">
        <v>60</v>
      </c>
      <c r="S4104" t="s">
        <v>51</v>
      </c>
      <c r="T4104" t="s">
        <v>173</v>
      </c>
      <c r="U4104" t="s">
        <v>1214</v>
      </c>
      <c r="W4104">
        <v>0</v>
      </c>
      <c r="X4104">
        <v>0</v>
      </c>
      <c r="AE4104">
        <v>0</v>
      </c>
      <c r="AI4104" t="s">
        <v>108</v>
      </c>
      <c r="AJ4104" t="s">
        <v>52</v>
      </c>
      <c r="AK4104" t="s">
        <v>52</v>
      </c>
      <c r="AL4104" t="str">
        <f>HYPERLINK("https://pbs.twimg.com/tweet_video_thumb/D9hvNNzXUAATAS3.jpg")</f>
        <v>https://pbs.twimg.com/tweet_video_thumb/D9hvNNzXUAATAS3.jpg</v>
      </c>
      <c r="AM4104" t="s">
        <v>52</v>
      </c>
      <c r="AN4104" t="s">
        <v>53</v>
      </c>
    </row>
    <row r="4105" spans="1:40">
      <c r="A4105" t="s">
        <v>8081</v>
      </c>
      <c r="B4105" t="s">
        <v>1751</v>
      </c>
      <c r="C4105" t="s">
        <v>12647</v>
      </c>
      <c r="D4105" t="s">
        <v>52</v>
      </c>
      <c r="E4105" t="s">
        <v>12649</v>
      </c>
      <c r="F4105" t="s">
        <v>95</v>
      </c>
      <c r="G4105" t="str">
        <f>HYPERLINK("https://twitter.com/941117870238502913/status/1142684488813744129")</f>
        <v>https://twitter.com/941117870238502913/status/1142684488813744129</v>
      </c>
      <c r="H4105" t="s">
        <v>46</v>
      </c>
      <c r="I4105" t="s">
        <v>9133</v>
      </c>
      <c r="J4105" t="str">
        <f>HYPERLINK("http://twitter.com/Agosssttina")</f>
        <v>http://twitter.com/Agosssttina</v>
      </c>
      <c r="K4105">
        <v>624</v>
      </c>
      <c r="N4105" t="s">
        <v>65</v>
      </c>
      <c r="R4105" t="s">
        <v>60</v>
      </c>
      <c r="S4105" t="s">
        <v>701</v>
      </c>
      <c r="T4105" t="s">
        <v>2321</v>
      </c>
      <c r="W4105">
        <v>0</v>
      </c>
      <c r="X4105">
        <v>0</v>
      </c>
      <c r="AE4105">
        <v>1</v>
      </c>
      <c r="AF4105">
        <v>0</v>
      </c>
      <c r="AM4105" t="s">
        <v>52</v>
      </c>
      <c r="AN4105" t="s">
        <v>53</v>
      </c>
    </row>
    <row r="4106" spans="1:40">
      <c r="A4106" t="s">
        <v>8081</v>
      </c>
      <c r="B4106" t="s">
        <v>1755</v>
      </c>
      <c r="C4106" t="s">
        <v>12650</v>
      </c>
      <c r="D4106" t="s">
        <v>52</v>
      </c>
      <c r="E4106" t="s">
        <v>526</v>
      </c>
      <c r="F4106" t="s">
        <v>131</v>
      </c>
      <c r="G4106" t="str">
        <f>HYPERLINK("https://twitter.com/745464287028621312/status/1142684436410097665")</f>
        <v>https://twitter.com/745464287028621312/status/1142684436410097665</v>
      </c>
      <c r="H4106" t="s">
        <v>46</v>
      </c>
      <c r="I4106" t="s">
        <v>12651</v>
      </c>
      <c r="J4106" t="str">
        <f>HYPERLINK("http://twitter.com/candycute89")</f>
        <v>http://twitter.com/candycute89</v>
      </c>
      <c r="K4106">
        <v>89</v>
      </c>
      <c r="N4106" t="s">
        <v>65</v>
      </c>
      <c r="R4106" t="s">
        <v>60</v>
      </c>
      <c r="W4106">
        <v>0</v>
      </c>
      <c r="X4106">
        <v>0</v>
      </c>
      <c r="AE4106">
        <v>0</v>
      </c>
      <c r="AI4106" t="s">
        <v>108</v>
      </c>
      <c r="AJ4106" t="s">
        <v>52</v>
      </c>
      <c r="AK4106" t="s">
        <v>52</v>
      </c>
      <c r="AL4106" t="str">
        <f>HYPERLINK("https://pbs.twimg.com/ext_tw_video_thumb/1141360066962100224/pu/img/5_tGc4hLFQwcD07b.jpg")</f>
        <v>https://pbs.twimg.com/ext_tw_video_thumb/1141360066962100224/pu/img/5_tGc4hLFQwcD07b.jpg</v>
      </c>
      <c r="AM4106" t="s">
        <v>52</v>
      </c>
      <c r="AN4106" t="s">
        <v>53</v>
      </c>
    </row>
    <row r="4107" spans="1:40">
      <c r="A4107" t="s">
        <v>8081</v>
      </c>
      <c r="B4107" t="s">
        <v>1755</v>
      </c>
      <c r="C4107" t="s">
        <v>12650</v>
      </c>
      <c r="D4107" t="s">
        <v>52</v>
      </c>
      <c r="E4107" t="s">
        <v>12652</v>
      </c>
      <c r="F4107" t="s">
        <v>45</v>
      </c>
      <c r="G4107" t="str">
        <f>HYPERLINK("https://www.instagram.com/p/BzCujMjgK2m")</f>
        <v>https://www.instagram.com/p/BzCujMjgK2m</v>
      </c>
      <c r="H4107" t="s">
        <v>46</v>
      </c>
      <c r="I4107" t="s">
        <v>12653</v>
      </c>
      <c r="J4107" t="str">
        <f>HYPERLINK("http://instagram.com/sofisuarez945")</f>
        <v>http://instagram.com/sofisuarez945</v>
      </c>
      <c r="K4107">
        <v>57</v>
      </c>
      <c r="N4107" t="s">
        <v>59</v>
      </c>
      <c r="O4107" t="s">
        <v>12653</v>
      </c>
      <c r="P4107" t="str">
        <f>HYPERLINK("http://instagram.com/sofisuarez945")</f>
        <v>http://instagram.com/sofisuarez945</v>
      </c>
      <c r="Q4107">
        <v>57</v>
      </c>
      <c r="R4107" t="s">
        <v>60</v>
      </c>
      <c r="W4107">
        <v>6</v>
      </c>
      <c r="X4107">
        <v>6</v>
      </c>
      <c r="AE4107">
        <v>0</v>
      </c>
      <c r="AI4107" t="s">
        <v>52</v>
      </c>
      <c r="AJ4107" t="s">
        <v>52</v>
      </c>
      <c r="AK4107" t="s">
        <v>2089</v>
      </c>
      <c r="AL4107" t="str">
        <f>HYPERLINK("https://www.instagram.com/p/BzCujMjgK2m/media/?size=l")</f>
        <v>https://www.instagram.com/p/BzCujMjgK2m/media/?size=l</v>
      </c>
      <c r="AM4107" t="s">
        <v>52</v>
      </c>
      <c r="AN4107" t="s">
        <v>53</v>
      </c>
    </row>
    <row r="4108" spans="1:40">
      <c r="A4108" t="s">
        <v>8081</v>
      </c>
      <c r="B4108" t="s">
        <v>1759</v>
      </c>
      <c r="C4108" t="s">
        <v>12654</v>
      </c>
      <c r="D4108" t="s">
        <v>12655</v>
      </c>
      <c r="E4108" t="s">
        <v>12656</v>
      </c>
      <c r="F4108" t="s">
        <v>45</v>
      </c>
      <c r="G4108" t="str">
        <f>HYPERLINK("https://www.youtube.com/watch?v=0l6VWpp2qlc")</f>
        <v>https://www.youtube.com/watch?v=0l6VWpp2qlc</v>
      </c>
      <c r="H4108" t="s">
        <v>215</v>
      </c>
      <c r="I4108" t="s">
        <v>12657</v>
      </c>
      <c r="J4108" t="str">
        <f>HYPERLINK("https://www.youtube.com/channel/UCK4BCpIkmmV-oMFYzq7QOKA")</f>
        <v>https://www.youtube.com/channel/UCK4BCpIkmmV-oMFYzq7QOKA</v>
      </c>
      <c r="K4108">
        <v>48</v>
      </c>
      <c r="N4108" t="s">
        <v>116</v>
      </c>
      <c r="O4108" t="s">
        <v>12657</v>
      </c>
      <c r="P4108" t="str">
        <f>HYPERLINK("https://www.youtube.com/channel/UCK4BCpIkmmV-oMFYzq7QOKA")</f>
        <v>https://www.youtube.com/channel/UCK4BCpIkmmV-oMFYzq7QOKA</v>
      </c>
      <c r="Q4108">
        <v>48</v>
      </c>
      <c r="R4108" t="s">
        <v>60</v>
      </c>
      <c r="W4108">
        <v>2</v>
      </c>
      <c r="X4108">
        <v>2</v>
      </c>
      <c r="AD4108">
        <v>0</v>
      </c>
      <c r="AE4108">
        <v>7</v>
      </c>
      <c r="AG4108">
        <v>19</v>
      </c>
      <c r="AI4108" t="s">
        <v>108</v>
      </c>
      <c r="AJ4108" t="s">
        <v>52</v>
      </c>
      <c r="AK4108" t="s">
        <v>52</v>
      </c>
      <c r="AL4108" t="str">
        <f>HYPERLINK("https://i.ytimg.com/vi/0l6VWpp2qlc/maxresdefault.jpg")</f>
        <v>https://i.ytimg.com/vi/0l6VWpp2qlc/maxresdefault.jpg</v>
      </c>
      <c r="AM4108" t="s">
        <v>52</v>
      </c>
      <c r="AN4108" t="s">
        <v>53</v>
      </c>
    </row>
    <row r="4109" spans="1:40">
      <c r="A4109" t="s">
        <v>8081</v>
      </c>
      <c r="B4109" t="s">
        <v>1766</v>
      </c>
      <c r="C4109" t="s">
        <v>11577</v>
      </c>
      <c r="D4109" t="s">
        <v>52</v>
      </c>
      <c r="E4109" t="s">
        <v>12658</v>
      </c>
      <c r="F4109" t="s">
        <v>45</v>
      </c>
      <c r="G4109" t="str">
        <f>HYPERLINK("https://www.instagram.com/p/BzCuIC5gty1")</f>
        <v>https://www.instagram.com/p/BzCuIC5gty1</v>
      </c>
      <c r="H4109" t="s">
        <v>46</v>
      </c>
      <c r="I4109" t="s">
        <v>12659</v>
      </c>
      <c r="J4109" t="str">
        <f>HYPERLINK("http://instagram.com/jee.memes")</f>
        <v>http://instagram.com/jee.memes</v>
      </c>
      <c r="K4109">
        <v>460</v>
      </c>
      <c r="N4109" t="s">
        <v>59</v>
      </c>
      <c r="O4109" t="s">
        <v>12659</v>
      </c>
      <c r="P4109" t="str">
        <f>HYPERLINK("http://instagram.com/jee.memes")</f>
        <v>http://instagram.com/jee.memes</v>
      </c>
      <c r="Q4109">
        <v>460</v>
      </c>
      <c r="R4109" t="s">
        <v>60</v>
      </c>
      <c r="W4109">
        <v>189</v>
      </c>
      <c r="X4109">
        <v>189</v>
      </c>
      <c r="AE4109">
        <v>0</v>
      </c>
      <c r="AI4109" t="s">
        <v>108</v>
      </c>
      <c r="AJ4109" t="s">
        <v>5659</v>
      </c>
      <c r="AK4109" t="s">
        <v>52</v>
      </c>
      <c r="AL4109" t="str">
        <f>HYPERLINK("https://www.instagram.com/p/BzCuIC5gty1/media/?size=l")</f>
        <v>https://www.instagram.com/p/BzCuIC5gty1/media/?size=l</v>
      </c>
      <c r="AM4109" t="s">
        <v>52</v>
      </c>
      <c r="AN4109" t="s">
        <v>53</v>
      </c>
    </row>
    <row r="4110" spans="1:40">
      <c r="A4110" t="s">
        <v>8081</v>
      </c>
      <c r="B4110" t="s">
        <v>1780</v>
      </c>
      <c r="C4110" t="s">
        <v>12660</v>
      </c>
      <c r="D4110" t="s">
        <v>52</v>
      </c>
      <c r="E4110" t="s">
        <v>12661</v>
      </c>
      <c r="F4110" t="s">
        <v>45</v>
      </c>
      <c r="G4110" t="str">
        <f>HYPERLINK("https://www.instagram.com/p/BzCt-r6hBZk")</f>
        <v>https://www.instagram.com/p/BzCt-r6hBZk</v>
      </c>
      <c r="H4110" t="s">
        <v>46</v>
      </c>
      <c r="I4110" t="s">
        <v>12662</v>
      </c>
      <c r="J4110" t="str">
        <f>HYPERLINK("http://instagram.com/style_inspo_628")</f>
        <v>http://instagram.com/style_inspo_628</v>
      </c>
      <c r="K4110">
        <v>0</v>
      </c>
      <c r="N4110" t="s">
        <v>59</v>
      </c>
      <c r="O4110" t="s">
        <v>12662</v>
      </c>
      <c r="P4110" t="str">
        <f>HYPERLINK("http://instagram.com/style_inspo_628")</f>
        <v>http://instagram.com/style_inspo_628</v>
      </c>
      <c r="Q4110">
        <v>0</v>
      </c>
      <c r="R4110" t="s">
        <v>60</v>
      </c>
      <c r="W4110">
        <v>3</v>
      </c>
      <c r="X4110">
        <v>3</v>
      </c>
      <c r="AE4110">
        <v>0</v>
      </c>
      <c r="AI4110" t="s">
        <v>108</v>
      </c>
      <c r="AJ4110" t="s">
        <v>12663</v>
      </c>
      <c r="AK4110" t="s">
        <v>52</v>
      </c>
      <c r="AL4110" t="str">
        <f>HYPERLINK("https://www.instagram.com/p/BzCt-r6hBZk/media/?size=l")</f>
        <v>https://www.instagram.com/p/BzCt-r6hBZk/media/?size=l</v>
      </c>
      <c r="AM4110" t="s">
        <v>52</v>
      </c>
      <c r="AN4110" t="s">
        <v>53</v>
      </c>
    </row>
    <row r="4111" spans="1:40">
      <c r="A4111" t="s">
        <v>8081</v>
      </c>
      <c r="B4111" t="s">
        <v>1787</v>
      </c>
      <c r="C4111" t="s">
        <v>3190</v>
      </c>
      <c r="D4111" t="s">
        <v>12664</v>
      </c>
      <c r="E4111" t="s">
        <v>12665</v>
      </c>
      <c r="F4111" t="s">
        <v>45</v>
      </c>
      <c r="G4111" t="str">
        <f>HYPERLINK("https://www.reddit.com/r/NBA2k/comments/c3pcr7/unskippable_ads_in_a_60_game_fuck_you_2k/?sort=new#thing_t1_ertuntt")</f>
        <v>https://www.reddit.com/r/NBA2k/comments/c3pcr7/unskippable_ads_in_a_60_game_fuck_you_2k/?sort=new#thing_t1_ertuntt</v>
      </c>
      <c r="H4111" t="s">
        <v>46</v>
      </c>
      <c r="I4111" t="s">
        <v>12666</v>
      </c>
      <c r="J4111" t="str">
        <f>HYPERLINK("https://www.reddit.com/r/NBA2k/comments/c3pcr7/unskippable_ads_in_a_60_game_fuck_you_2k/?sort=new#thing_t1_ertuntt")</f>
        <v>https://www.reddit.com/r/NBA2k/comments/c3pcr7/unskippable_ads_in_a_60_game_fuck_you_2k/?sort=new#thing_t1_ertuntt</v>
      </c>
      <c r="N4111" t="s">
        <v>545</v>
      </c>
      <c r="O4111" t="s">
        <v>12667</v>
      </c>
      <c r="P4111" t="str">
        <f>HYPERLINK("https://www.reddit.com/r/assholedesign/")</f>
        <v>https://www.reddit.com/r/assholedesign/</v>
      </c>
      <c r="R4111" t="s">
        <v>516</v>
      </c>
      <c r="S4111" t="s">
        <v>51</v>
      </c>
      <c r="AM4111" t="s">
        <v>52</v>
      </c>
      <c r="AN4111" t="s">
        <v>53</v>
      </c>
    </row>
    <row r="4112" spans="1:40">
      <c r="A4112" t="s">
        <v>8081</v>
      </c>
      <c r="B4112" t="s">
        <v>1794</v>
      </c>
      <c r="C4112" t="s">
        <v>12668</v>
      </c>
      <c r="D4112" t="s">
        <v>52</v>
      </c>
      <c r="E4112" t="s">
        <v>12669</v>
      </c>
      <c r="F4112" t="s">
        <v>95</v>
      </c>
      <c r="G4112" t="str">
        <f>HYPERLINK("https://twitter.com/4391915543/status/1142682601007616005")</f>
        <v>https://twitter.com/4391915543/status/1142682601007616005</v>
      </c>
      <c r="H4112" t="s">
        <v>91</v>
      </c>
      <c r="I4112" t="s">
        <v>12670</v>
      </c>
      <c r="J4112" t="str">
        <f>HYPERLINK("http://twitter.com/TheSource87")</f>
        <v>http://twitter.com/TheSource87</v>
      </c>
      <c r="K4112">
        <v>33</v>
      </c>
      <c r="L4112" t="s">
        <v>48</v>
      </c>
      <c r="N4112" t="s">
        <v>65</v>
      </c>
      <c r="R4112" t="s">
        <v>60</v>
      </c>
      <c r="W4112">
        <v>1</v>
      </c>
      <c r="X4112">
        <v>1</v>
      </c>
      <c r="AE4112">
        <v>0</v>
      </c>
      <c r="AF4112">
        <v>0</v>
      </c>
      <c r="AM4112" t="s">
        <v>52</v>
      </c>
      <c r="AN4112" t="s">
        <v>53</v>
      </c>
    </row>
    <row r="4113" spans="1:40">
      <c r="A4113" t="s">
        <v>8081</v>
      </c>
      <c r="B4113" t="s">
        <v>1794</v>
      </c>
      <c r="C4113" t="s">
        <v>12671</v>
      </c>
      <c r="D4113" t="s">
        <v>52</v>
      </c>
      <c r="E4113" t="s">
        <v>12672</v>
      </c>
      <c r="F4113" t="s">
        <v>45</v>
      </c>
      <c r="G4113" t="str">
        <f>HYPERLINK("https://twitter.com/1076206580440256512/status/1142682585346318336")</f>
        <v>https://twitter.com/1076206580440256512/status/1142682585346318336</v>
      </c>
      <c r="H4113" t="s">
        <v>215</v>
      </c>
      <c r="I4113" t="s">
        <v>12673</v>
      </c>
      <c r="J4113" t="str">
        <f>HYPERLINK("http://twitter.com/rocketandonuts")</f>
        <v>http://twitter.com/rocketandonuts</v>
      </c>
      <c r="K4113">
        <v>53</v>
      </c>
      <c r="N4113" t="s">
        <v>65</v>
      </c>
      <c r="R4113" t="s">
        <v>60</v>
      </c>
      <c r="W4113">
        <v>0</v>
      </c>
      <c r="X4113">
        <v>0</v>
      </c>
      <c r="AE4113">
        <v>0</v>
      </c>
      <c r="AF4113">
        <v>0</v>
      </c>
      <c r="AM4113" t="s">
        <v>52</v>
      </c>
      <c r="AN4113" t="s">
        <v>53</v>
      </c>
    </row>
    <row r="4114" spans="1:40">
      <c r="A4114" t="s">
        <v>8081</v>
      </c>
      <c r="B4114" t="s">
        <v>1806</v>
      </c>
      <c r="C4114" t="s">
        <v>12674</v>
      </c>
      <c r="D4114" t="s">
        <v>52</v>
      </c>
      <c r="E4114" t="s">
        <v>9944</v>
      </c>
      <c r="F4114" t="s">
        <v>131</v>
      </c>
      <c r="G4114" t="str">
        <f>HYPERLINK("https://twitter.com/249629260/status/1142682011624255488")</f>
        <v>https://twitter.com/249629260/status/1142682011624255488</v>
      </c>
      <c r="H4114" t="s">
        <v>46</v>
      </c>
      <c r="I4114" t="s">
        <v>12675</v>
      </c>
      <c r="J4114" t="str">
        <f>HYPERLINK("http://twitter.com/BasketballGuruD")</f>
        <v>http://twitter.com/BasketballGuruD</v>
      </c>
      <c r="K4114">
        <v>406</v>
      </c>
      <c r="N4114" t="s">
        <v>65</v>
      </c>
      <c r="R4114" t="s">
        <v>60</v>
      </c>
      <c r="W4114">
        <v>0</v>
      </c>
      <c r="X4114">
        <v>0</v>
      </c>
      <c r="AE4114">
        <v>0</v>
      </c>
      <c r="AI4114" t="s">
        <v>9946</v>
      </c>
      <c r="AJ4114" t="s">
        <v>52</v>
      </c>
      <c r="AK4114" t="s">
        <v>9947</v>
      </c>
      <c r="AL4114" t="str">
        <f>HYPERLINK("https://pbs.twimg.com/media/D9uMOS6WsAEYqLz.jpg")</f>
        <v>https://pbs.twimg.com/media/D9uMOS6WsAEYqLz.jpg</v>
      </c>
      <c r="AM4114" t="s">
        <v>52</v>
      </c>
      <c r="AN4114" t="s">
        <v>53</v>
      </c>
    </row>
    <row r="4115" spans="1:40">
      <c r="A4115" t="s">
        <v>8081</v>
      </c>
      <c r="B4115" t="s">
        <v>1824</v>
      </c>
      <c r="C4115" t="s">
        <v>12676</v>
      </c>
      <c r="D4115" t="s">
        <v>52</v>
      </c>
      <c r="E4115" t="s">
        <v>12677</v>
      </c>
      <c r="F4115" t="s">
        <v>95</v>
      </c>
      <c r="G4115" t="str">
        <f>HYPERLINK("https://twitter.com/1022338965544812550/status/1142681120254939136")</f>
        <v>https://twitter.com/1022338965544812550/status/1142681120254939136</v>
      </c>
      <c r="H4115" t="s">
        <v>46</v>
      </c>
      <c r="I4115" t="s">
        <v>52</v>
      </c>
      <c r="J4115" t="str">
        <f>HYPERLINK("http://twitter.com/gabbeesh")</f>
        <v>http://twitter.com/gabbeesh</v>
      </c>
      <c r="K4115">
        <v>139</v>
      </c>
      <c r="N4115" t="s">
        <v>65</v>
      </c>
      <c r="R4115" t="s">
        <v>60</v>
      </c>
      <c r="S4115" t="s">
        <v>51</v>
      </c>
      <c r="T4115" t="s">
        <v>152</v>
      </c>
      <c r="U4115" t="s">
        <v>1958</v>
      </c>
      <c r="W4115">
        <v>0</v>
      </c>
      <c r="X4115">
        <v>0</v>
      </c>
      <c r="AE4115">
        <v>0</v>
      </c>
      <c r="AF4115">
        <v>0</v>
      </c>
      <c r="AM4115" t="s">
        <v>52</v>
      </c>
      <c r="AN4115" t="s">
        <v>53</v>
      </c>
    </row>
    <row r="4116" spans="1:40">
      <c r="A4116" t="s">
        <v>8081</v>
      </c>
      <c r="B4116" t="s">
        <v>1824</v>
      </c>
      <c r="C4116" t="s">
        <v>12674</v>
      </c>
      <c r="D4116" t="s">
        <v>52</v>
      </c>
      <c r="E4116" t="s">
        <v>3749</v>
      </c>
      <c r="F4116" t="s">
        <v>71</v>
      </c>
      <c r="G4116" t="str">
        <f>HYPERLINK("https://twitter.com/517512787/status/1142680982610464769")</f>
        <v>https://twitter.com/517512787/status/1142680982610464769</v>
      </c>
      <c r="H4116" t="s">
        <v>46</v>
      </c>
      <c r="I4116" t="s">
        <v>12678</v>
      </c>
      <c r="J4116" t="str">
        <f>HYPERLINK("http://twitter.com/Just_Ntokozo")</f>
        <v>http://twitter.com/Just_Ntokozo</v>
      </c>
      <c r="K4116">
        <v>1455</v>
      </c>
      <c r="N4116" t="s">
        <v>65</v>
      </c>
      <c r="R4116" t="s">
        <v>60</v>
      </c>
      <c r="S4116" t="s">
        <v>1071</v>
      </c>
      <c r="T4116" t="s">
        <v>1072</v>
      </c>
      <c r="U4116" t="s">
        <v>11290</v>
      </c>
      <c r="W4116">
        <v>0</v>
      </c>
      <c r="X4116">
        <v>0</v>
      </c>
      <c r="AE4116">
        <v>0</v>
      </c>
      <c r="AF4116">
        <v>0</v>
      </c>
      <c r="AI4116" t="s">
        <v>108</v>
      </c>
      <c r="AJ4116" t="s">
        <v>52</v>
      </c>
      <c r="AK4116" t="s">
        <v>52</v>
      </c>
      <c r="AL4116" t="str">
        <f>HYPERLINK("https://pbs.twimg.com/media/D9sAXHUX4AA6vJs.jpg")</f>
        <v>https://pbs.twimg.com/media/D9sAXHUX4AA6vJs.jpg</v>
      </c>
      <c r="AM4116" t="s">
        <v>52</v>
      </c>
      <c r="AN4116" t="s">
        <v>53</v>
      </c>
    </row>
    <row r="4117" spans="1:40">
      <c r="A4117" t="s">
        <v>8081</v>
      </c>
      <c r="B4117" t="s">
        <v>1844</v>
      </c>
      <c r="C4117" t="s">
        <v>12679</v>
      </c>
      <c r="D4117" t="s">
        <v>12680</v>
      </c>
      <c r="E4117" t="s">
        <v>108</v>
      </c>
      <c r="F4117" t="s">
        <v>45</v>
      </c>
      <c r="G4117" t="str">
        <f>HYPERLINK("https://www.reddit.com/r/freshalbumart/comments/c3tl4q/mf_doom_mm_food/?sort=new#thing_t1_erttzdt")</f>
        <v>https://www.reddit.com/r/freshalbumart/comments/c3tl4q/mf_doom_mm_food/?sort=new#thing_t1_erttzdt</v>
      </c>
      <c r="H4117" t="s">
        <v>215</v>
      </c>
      <c r="I4117" t="s">
        <v>12681</v>
      </c>
      <c r="J4117" t="str">
        <f>HYPERLINK("https://www.reddit.com/r/freshalbumart/comments/c3tl4q/mf_doom_mm_food/?sort=new#thing_t1_erttzdt")</f>
        <v>https://www.reddit.com/r/freshalbumart/comments/c3tl4q/mf_doom_mm_food/?sort=new#thing_t1_erttzdt</v>
      </c>
      <c r="N4117" t="s">
        <v>545</v>
      </c>
      <c r="O4117" t="s">
        <v>52</v>
      </c>
      <c r="P4117" t="str">
        <f>HYPERLINK("https://www.reddit.com/r/freshalbumart/")</f>
        <v>https://www.reddit.com/r/freshalbumart/</v>
      </c>
      <c r="R4117" t="s">
        <v>516</v>
      </c>
      <c r="S4117" t="s">
        <v>51</v>
      </c>
      <c r="AM4117" t="s">
        <v>52</v>
      </c>
      <c r="AN4117" t="s">
        <v>53</v>
      </c>
    </row>
    <row r="4118" spans="1:40">
      <c r="A4118" t="s">
        <v>8081</v>
      </c>
      <c r="B4118" t="s">
        <v>1844</v>
      </c>
      <c r="C4118" t="s">
        <v>12650</v>
      </c>
      <c r="D4118" t="s">
        <v>52</v>
      </c>
      <c r="E4118" t="s">
        <v>12682</v>
      </c>
      <c r="F4118" t="s">
        <v>45</v>
      </c>
      <c r="G4118" t="str">
        <f>HYPERLINK("https://www.instagram.com/p/BzCsxDpJZnK")</f>
        <v>https://www.instagram.com/p/BzCsxDpJZnK</v>
      </c>
      <c r="H4118" t="s">
        <v>46</v>
      </c>
      <c r="I4118" t="s">
        <v>12683</v>
      </c>
      <c r="J4118" t="str">
        <f>HYPERLINK("http://instagram.com/alyrose1995")</f>
        <v>http://instagram.com/alyrose1995</v>
      </c>
      <c r="K4118">
        <v>1379</v>
      </c>
      <c r="N4118" t="s">
        <v>59</v>
      </c>
      <c r="O4118" t="s">
        <v>12683</v>
      </c>
      <c r="P4118" t="str">
        <f>HYPERLINK("http://instagram.com/alyrose1995")</f>
        <v>http://instagram.com/alyrose1995</v>
      </c>
      <c r="Q4118">
        <v>1379</v>
      </c>
      <c r="R4118" t="s">
        <v>60</v>
      </c>
      <c r="W4118">
        <v>7</v>
      </c>
      <c r="X4118">
        <v>7</v>
      </c>
      <c r="AE4118">
        <v>0</v>
      </c>
      <c r="AI4118" t="s">
        <v>52</v>
      </c>
      <c r="AJ4118" t="s">
        <v>12684</v>
      </c>
      <c r="AK4118" t="s">
        <v>52</v>
      </c>
      <c r="AL4118" t="str">
        <f>HYPERLINK("https://www.instagram.com/p/BzCsxDpJZnK/media/?size=l")</f>
        <v>https://www.instagram.com/p/BzCsxDpJZnK/media/?size=l</v>
      </c>
      <c r="AM4118" t="s">
        <v>52</v>
      </c>
      <c r="AN4118" t="s">
        <v>53</v>
      </c>
    </row>
    <row r="4119" spans="1:40">
      <c r="A4119" t="s">
        <v>8081</v>
      </c>
      <c r="B4119" t="s">
        <v>12685</v>
      </c>
      <c r="C4119" t="s">
        <v>12686</v>
      </c>
      <c r="D4119" t="s">
        <v>52</v>
      </c>
      <c r="E4119" t="s">
        <v>9023</v>
      </c>
      <c r="F4119" t="s">
        <v>131</v>
      </c>
      <c r="G4119" t="str">
        <f>HYPERLINK("https://twitter.com/958036460485206016/status/1142680369378074624")</f>
        <v>https://twitter.com/958036460485206016/status/1142680369378074624</v>
      </c>
      <c r="H4119" t="s">
        <v>46</v>
      </c>
      <c r="I4119" t="s">
        <v>12687</v>
      </c>
      <c r="J4119" t="str">
        <f>HYPERLINK("http://twitter.com/Alice94281875")</f>
        <v>http://twitter.com/Alice94281875</v>
      </c>
      <c r="K4119">
        <v>8</v>
      </c>
      <c r="N4119" t="s">
        <v>65</v>
      </c>
      <c r="R4119" t="s">
        <v>60</v>
      </c>
      <c r="W4119">
        <v>0</v>
      </c>
      <c r="X4119">
        <v>0</v>
      </c>
      <c r="AE4119">
        <v>0</v>
      </c>
      <c r="AI4119" t="s">
        <v>108</v>
      </c>
      <c r="AJ4119" t="s">
        <v>1182</v>
      </c>
      <c r="AK4119" t="s">
        <v>52</v>
      </c>
      <c r="AL4119" t="str">
        <f>HYPERLINK("https://pbs.twimg.com/media/D9tPJcrXoAAuJyr.jpg")</f>
        <v>https://pbs.twimg.com/media/D9tPJcrXoAAuJyr.jpg</v>
      </c>
      <c r="AM4119" t="s">
        <v>52</v>
      </c>
      <c r="AN4119" t="s">
        <v>53</v>
      </c>
    </row>
    <row r="4120" spans="1:40">
      <c r="A4120" t="s">
        <v>8081</v>
      </c>
      <c r="B4120" t="s">
        <v>7608</v>
      </c>
      <c r="C4120" t="s">
        <v>11507</v>
      </c>
      <c r="D4120" t="s">
        <v>52</v>
      </c>
      <c r="E4120" t="s">
        <v>12688</v>
      </c>
      <c r="F4120" t="s">
        <v>45</v>
      </c>
      <c r="G4120" t="str">
        <f>HYPERLINK("https://www.instagram.com/p/BzCsfEYAzjn")</f>
        <v>https://www.instagram.com/p/BzCsfEYAzjn</v>
      </c>
      <c r="H4120" t="s">
        <v>46</v>
      </c>
      <c r="I4120" t="s">
        <v>12689</v>
      </c>
      <c r="J4120" t="str">
        <f>HYPERLINK("http://instagram.com/worldelectricians")</f>
        <v>http://instagram.com/worldelectricians</v>
      </c>
      <c r="K4120">
        <v>13733</v>
      </c>
      <c r="N4120" t="s">
        <v>59</v>
      </c>
      <c r="O4120" t="s">
        <v>12689</v>
      </c>
      <c r="P4120" t="str">
        <f>HYPERLINK("http://instagram.com/worldelectricians")</f>
        <v>http://instagram.com/worldelectricians</v>
      </c>
      <c r="Q4120">
        <v>13733</v>
      </c>
      <c r="R4120" t="s">
        <v>60</v>
      </c>
      <c r="W4120">
        <v>70</v>
      </c>
      <c r="X4120">
        <v>70</v>
      </c>
      <c r="AE4120">
        <v>1</v>
      </c>
      <c r="AG4120">
        <v>988</v>
      </c>
      <c r="AI4120" t="s">
        <v>108</v>
      </c>
      <c r="AJ4120" t="s">
        <v>52</v>
      </c>
      <c r="AK4120" t="s">
        <v>52</v>
      </c>
      <c r="AL4120" t="str">
        <f>HYPERLINK("https://www.instagram.com/p/BzCsfEYAzjn/media/?size=l")</f>
        <v>https://www.instagram.com/p/BzCsfEYAzjn/media/?size=l</v>
      </c>
      <c r="AM4120" t="s">
        <v>52</v>
      </c>
      <c r="AN4120" t="s">
        <v>53</v>
      </c>
    </row>
    <row r="4121" spans="1:40">
      <c r="A4121" t="s">
        <v>8081</v>
      </c>
      <c r="B4121" t="s">
        <v>7608</v>
      </c>
      <c r="C4121" t="s">
        <v>12690</v>
      </c>
      <c r="D4121" t="s">
        <v>52</v>
      </c>
      <c r="E4121" t="s">
        <v>12691</v>
      </c>
      <c r="F4121" t="s">
        <v>45</v>
      </c>
      <c r="G4121" t="str">
        <f>HYPERLINK("https://www.instagram.com/p/BzCsbNwg5Ks")</f>
        <v>https://www.instagram.com/p/BzCsbNwg5Ks</v>
      </c>
      <c r="H4121" t="s">
        <v>46</v>
      </c>
      <c r="I4121" t="s">
        <v>2280</v>
      </c>
      <c r="J4121" t="str">
        <f>HYPERLINK("http://instagram.com/theuntroublebones")</f>
        <v>http://instagram.com/theuntroublebones</v>
      </c>
      <c r="K4121">
        <v>1136</v>
      </c>
      <c r="N4121" t="s">
        <v>59</v>
      </c>
      <c r="O4121" t="s">
        <v>2280</v>
      </c>
      <c r="P4121" t="str">
        <f>HYPERLINK("http://instagram.com/theuntroublebones")</f>
        <v>http://instagram.com/theuntroublebones</v>
      </c>
      <c r="Q4121">
        <v>1136</v>
      </c>
      <c r="R4121" t="s">
        <v>60</v>
      </c>
      <c r="S4121" t="s">
        <v>51</v>
      </c>
      <c r="T4121" t="s">
        <v>152</v>
      </c>
      <c r="U4121" t="s">
        <v>424</v>
      </c>
      <c r="W4121">
        <v>107</v>
      </c>
      <c r="X4121">
        <v>107</v>
      </c>
      <c r="AE4121">
        <v>1</v>
      </c>
      <c r="AI4121" t="s">
        <v>52</v>
      </c>
      <c r="AJ4121" t="s">
        <v>458</v>
      </c>
      <c r="AK4121" t="s">
        <v>110</v>
      </c>
      <c r="AL4121" t="str">
        <f>HYPERLINK("https://www.instagram.com/p/BzCsbNwg5Ks/media/?size=l")</f>
        <v>https://www.instagram.com/p/BzCsbNwg5Ks/media/?size=l</v>
      </c>
      <c r="AM4121" t="s">
        <v>52</v>
      </c>
      <c r="AN4121" t="s">
        <v>53</v>
      </c>
    </row>
    <row r="4122" spans="1:40">
      <c r="A4122" t="s">
        <v>8081</v>
      </c>
      <c r="B4122" t="s">
        <v>1858</v>
      </c>
      <c r="C4122" t="s">
        <v>12690</v>
      </c>
      <c r="D4122" t="s">
        <v>52</v>
      </c>
      <c r="E4122" t="s">
        <v>12692</v>
      </c>
      <c r="F4122" t="s">
        <v>71</v>
      </c>
      <c r="G4122" t="str">
        <f>HYPERLINK("https://twitter.com/780383741692801024/status/1142679625895763968")</f>
        <v>https://twitter.com/780383741692801024/status/1142679625895763968</v>
      </c>
      <c r="H4122" t="s">
        <v>46</v>
      </c>
      <c r="I4122" t="s">
        <v>12693</v>
      </c>
      <c r="J4122" t="str">
        <f>HYPERLINK("http://twitter.com/_chaxtic")</f>
        <v>http://twitter.com/_chaxtic</v>
      </c>
      <c r="K4122">
        <v>233</v>
      </c>
      <c r="N4122" t="s">
        <v>65</v>
      </c>
      <c r="R4122" t="s">
        <v>60</v>
      </c>
      <c r="S4122" t="s">
        <v>2001</v>
      </c>
      <c r="T4122" t="s">
        <v>2002</v>
      </c>
      <c r="U4122" t="s">
        <v>12694</v>
      </c>
      <c r="W4122">
        <v>0</v>
      </c>
      <c r="X4122">
        <v>0</v>
      </c>
      <c r="AE4122">
        <v>0</v>
      </c>
      <c r="AF4122">
        <v>0</v>
      </c>
      <c r="AM4122" t="s">
        <v>52</v>
      </c>
      <c r="AN4122" t="s">
        <v>53</v>
      </c>
    </row>
    <row r="4123" spans="1:40">
      <c r="A4123" t="s">
        <v>8081</v>
      </c>
      <c r="B4123" t="s">
        <v>1858</v>
      </c>
      <c r="C4123" t="s">
        <v>12695</v>
      </c>
      <c r="D4123" t="s">
        <v>52</v>
      </c>
      <c r="E4123" t="s">
        <v>12696</v>
      </c>
      <c r="F4123" t="s">
        <v>45</v>
      </c>
      <c r="G4123" t="str">
        <f>HYPERLINK("https://twitter.com/1127628308642820096/status/1142679434291367937")</f>
        <v>https://twitter.com/1127628308642820096/status/1142679434291367937</v>
      </c>
      <c r="H4123" t="s">
        <v>215</v>
      </c>
      <c r="I4123" t="s">
        <v>12697</v>
      </c>
      <c r="J4123" t="str">
        <f>HYPERLINK("http://twitter.com/kirstieanna1")</f>
        <v>http://twitter.com/kirstieanna1</v>
      </c>
      <c r="K4123">
        <v>29</v>
      </c>
      <c r="L4123" t="s">
        <v>58</v>
      </c>
      <c r="N4123" t="s">
        <v>65</v>
      </c>
      <c r="R4123" t="s">
        <v>60</v>
      </c>
      <c r="S4123" t="s">
        <v>51</v>
      </c>
      <c r="T4123" t="s">
        <v>2527</v>
      </c>
      <c r="U4123" t="s">
        <v>12698</v>
      </c>
      <c r="W4123">
        <v>1</v>
      </c>
      <c r="X4123">
        <v>1</v>
      </c>
      <c r="AE4123">
        <v>1</v>
      </c>
      <c r="AF4123">
        <v>0</v>
      </c>
      <c r="AM4123" t="s">
        <v>52</v>
      </c>
      <c r="AN4123" t="s">
        <v>53</v>
      </c>
    </row>
    <row r="4124" spans="1:40">
      <c r="A4124" t="s">
        <v>8081</v>
      </c>
      <c r="B4124" t="s">
        <v>12699</v>
      </c>
      <c r="C4124" t="s">
        <v>12700</v>
      </c>
      <c r="D4124" t="s">
        <v>52</v>
      </c>
      <c r="E4124" t="s">
        <v>130</v>
      </c>
      <c r="F4124" t="s">
        <v>131</v>
      </c>
      <c r="G4124" t="str">
        <f>HYPERLINK("https://twitter.com/802426679700361216/status/1142678583862857729")</f>
        <v>https://twitter.com/802426679700361216/status/1142678583862857729</v>
      </c>
      <c r="H4124" t="s">
        <v>46</v>
      </c>
      <c r="I4124" t="s">
        <v>12701</v>
      </c>
      <c r="J4124" t="str">
        <f>HYPERLINK("http://twitter.com/vixtervic00")</f>
        <v>http://twitter.com/vixtervic00</v>
      </c>
      <c r="K4124">
        <v>147</v>
      </c>
      <c r="L4124" t="s">
        <v>58</v>
      </c>
      <c r="N4124" t="s">
        <v>65</v>
      </c>
      <c r="R4124" t="s">
        <v>60</v>
      </c>
      <c r="S4124" t="s">
        <v>97</v>
      </c>
      <c r="T4124" t="s">
        <v>177</v>
      </c>
      <c r="U4124" t="s">
        <v>195</v>
      </c>
      <c r="W4124">
        <v>0</v>
      </c>
      <c r="X4124">
        <v>0</v>
      </c>
      <c r="AE4124">
        <v>0</v>
      </c>
      <c r="AI4124" t="s">
        <v>108</v>
      </c>
      <c r="AJ4124" t="s">
        <v>52</v>
      </c>
      <c r="AK4124" t="s">
        <v>52</v>
      </c>
      <c r="AL4124" t="str">
        <f>HYPERLINK("https://pbs.twimg.com/media/D9XTkLWW4AAOYnJ.jpg")</f>
        <v>https://pbs.twimg.com/media/D9XTkLWW4AAOYnJ.jpg</v>
      </c>
      <c r="AM4124" t="s">
        <v>52</v>
      </c>
      <c r="AN4124" t="s">
        <v>53</v>
      </c>
    </row>
    <row r="4125" spans="1:40">
      <c r="A4125" t="s">
        <v>8081</v>
      </c>
      <c r="B4125" t="s">
        <v>1873</v>
      </c>
      <c r="C4125" t="s">
        <v>12702</v>
      </c>
      <c r="D4125" t="s">
        <v>52</v>
      </c>
      <c r="E4125" t="s">
        <v>276</v>
      </c>
      <c r="F4125" t="s">
        <v>131</v>
      </c>
      <c r="G4125" t="str">
        <f>HYPERLINK("https://twitter.com/575026442/status/1142678344028368897")</f>
        <v>https://twitter.com/575026442/status/1142678344028368897</v>
      </c>
      <c r="H4125" t="s">
        <v>46</v>
      </c>
      <c r="I4125" t="s">
        <v>12703</v>
      </c>
      <c r="J4125" t="str">
        <f>HYPERLINK("http://twitter.com/simms3710")</f>
        <v>http://twitter.com/simms3710</v>
      </c>
      <c r="K4125">
        <v>1138</v>
      </c>
      <c r="N4125" t="s">
        <v>65</v>
      </c>
      <c r="R4125" t="s">
        <v>60</v>
      </c>
      <c r="W4125">
        <v>0</v>
      </c>
      <c r="X4125">
        <v>0</v>
      </c>
      <c r="AE4125">
        <v>0</v>
      </c>
      <c r="AI4125" t="s">
        <v>108</v>
      </c>
      <c r="AJ4125" t="s">
        <v>52</v>
      </c>
      <c r="AK4125" t="s">
        <v>52</v>
      </c>
      <c r="AL4125" t="str">
        <f>HYPERLINK("https://pbs.twimg.com/tweet_video_thumb/D9hvNNzXUAATAS3.jpg")</f>
        <v>https://pbs.twimg.com/tweet_video_thumb/D9hvNNzXUAATAS3.jpg</v>
      </c>
      <c r="AM4125" t="s">
        <v>52</v>
      </c>
      <c r="AN4125" t="s">
        <v>53</v>
      </c>
    </row>
    <row r="4126" spans="1:40">
      <c r="A4126" t="s">
        <v>8081</v>
      </c>
      <c r="B4126" t="s">
        <v>7635</v>
      </c>
      <c r="C4126" t="s">
        <v>12704</v>
      </c>
      <c r="D4126" t="s">
        <v>52</v>
      </c>
      <c r="E4126" t="s">
        <v>276</v>
      </c>
      <c r="F4126" t="s">
        <v>131</v>
      </c>
      <c r="G4126" t="str">
        <f>HYPERLINK("https://twitter.com/2921966283/status/1142677805051895810")</f>
        <v>https://twitter.com/2921966283/status/1142677805051895810</v>
      </c>
      <c r="H4126" t="s">
        <v>46</v>
      </c>
      <c r="I4126" t="s">
        <v>12705</v>
      </c>
      <c r="J4126" t="str">
        <f>HYPERLINK("http://twitter.com/cinnaman7")</f>
        <v>http://twitter.com/cinnaman7</v>
      </c>
      <c r="K4126">
        <v>154</v>
      </c>
      <c r="N4126" t="s">
        <v>65</v>
      </c>
      <c r="R4126" t="s">
        <v>60</v>
      </c>
      <c r="W4126">
        <v>0</v>
      </c>
      <c r="X4126">
        <v>0</v>
      </c>
      <c r="AE4126">
        <v>0</v>
      </c>
      <c r="AI4126" t="s">
        <v>108</v>
      </c>
      <c r="AJ4126" t="s">
        <v>52</v>
      </c>
      <c r="AK4126" t="s">
        <v>52</v>
      </c>
      <c r="AL4126" t="str">
        <f>HYPERLINK("https://pbs.twimg.com/tweet_video_thumb/D9hvNNzXUAATAS3.jpg")</f>
        <v>https://pbs.twimg.com/tweet_video_thumb/D9hvNNzXUAATAS3.jpg</v>
      </c>
      <c r="AM4126" t="s">
        <v>52</v>
      </c>
      <c r="AN4126" t="s">
        <v>53</v>
      </c>
    </row>
    <row r="4127" spans="1:40">
      <c r="A4127" t="s">
        <v>8081</v>
      </c>
      <c r="B4127" t="s">
        <v>1878</v>
      </c>
      <c r="C4127" t="s">
        <v>12706</v>
      </c>
      <c r="D4127" t="s">
        <v>52</v>
      </c>
      <c r="E4127" t="s">
        <v>12707</v>
      </c>
      <c r="F4127" t="s">
        <v>45</v>
      </c>
      <c r="G4127" t="str">
        <f>HYPERLINK("https://www.instagram.com/p/BzCrdVPnYKP")</f>
        <v>https://www.instagram.com/p/BzCrdVPnYKP</v>
      </c>
      <c r="H4127" t="s">
        <v>215</v>
      </c>
      <c r="I4127" t="s">
        <v>12708</v>
      </c>
      <c r="J4127" t="str">
        <f>HYPERLINK("http://instagram.com/eddievining")</f>
        <v>http://instagram.com/eddievining</v>
      </c>
      <c r="K4127">
        <v>1081</v>
      </c>
      <c r="L4127" t="s">
        <v>48</v>
      </c>
      <c r="N4127" t="s">
        <v>59</v>
      </c>
      <c r="O4127" t="s">
        <v>12708</v>
      </c>
      <c r="P4127" t="str">
        <f>HYPERLINK("http://instagram.com/eddievining")</f>
        <v>http://instagram.com/eddievining</v>
      </c>
      <c r="Q4127">
        <v>1081</v>
      </c>
      <c r="R4127" t="s">
        <v>60</v>
      </c>
      <c r="S4127" t="s">
        <v>774</v>
      </c>
      <c r="T4127" t="s">
        <v>2679</v>
      </c>
      <c r="U4127" t="s">
        <v>2680</v>
      </c>
      <c r="W4127">
        <v>121</v>
      </c>
      <c r="X4127">
        <v>121</v>
      </c>
      <c r="AE4127">
        <v>6</v>
      </c>
      <c r="AI4127" t="s">
        <v>52</v>
      </c>
      <c r="AJ4127" t="s">
        <v>12709</v>
      </c>
      <c r="AK4127" t="s">
        <v>12710</v>
      </c>
      <c r="AL4127" t="str">
        <f>HYPERLINK("https://www.instagram.com/p/BzCrdVPnYKP/media/?size=l")</f>
        <v>https://www.instagram.com/p/BzCrdVPnYKP/media/?size=l</v>
      </c>
      <c r="AM4127" t="s">
        <v>52</v>
      </c>
      <c r="AN4127" t="s">
        <v>53</v>
      </c>
    </row>
    <row r="4128" spans="1:40">
      <c r="A4128" t="s">
        <v>8081</v>
      </c>
      <c r="B4128" t="s">
        <v>1891</v>
      </c>
      <c r="C4128" t="s">
        <v>12711</v>
      </c>
      <c r="D4128" t="s">
        <v>52</v>
      </c>
      <c r="E4128" t="s">
        <v>12712</v>
      </c>
      <c r="F4128" t="s">
        <v>95</v>
      </c>
      <c r="G4128" t="str">
        <f>HYPERLINK("https://twitter.com/2586501253/status/1142677125222154241")</f>
        <v>https://twitter.com/2586501253/status/1142677125222154241</v>
      </c>
      <c r="H4128" t="s">
        <v>46</v>
      </c>
      <c r="I4128" t="s">
        <v>12713</v>
      </c>
      <c r="J4128" t="str">
        <f>HYPERLINK("http://twitter.com/SpiderDamashii")</f>
        <v>http://twitter.com/SpiderDamashii</v>
      </c>
      <c r="K4128">
        <v>67</v>
      </c>
      <c r="N4128" t="s">
        <v>65</v>
      </c>
      <c r="R4128" t="s">
        <v>60</v>
      </c>
      <c r="W4128">
        <v>0</v>
      </c>
      <c r="X4128">
        <v>0</v>
      </c>
      <c r="AE4128">
        <v>0</v>
      </c>
      <c r="AF4128">
        <v>0</v>
      </c>
      <c r="AI4128" t="s">
        <v>52</v>
      </c>
      <c r="AJ4128" t="s">
        <v>52</v>
      </c>
      <c r="AK4128" t="s">
        <v>7251</v>
      </c>
      <c r="AL4128" t="str">
        <f>HYPERLINK("https://pbs.twimg.com/tweet_video_thumb/D9uax4pU0AAMiqb.jpg")</f>
        <v>https://pbs.twimg.com/tweet_video_thumb/D9uax4pU0AAMiqb.jpg</v>
      </c>
      <c r="AM4128" t="s">
        <v>52</v>
      </c>
      <c r="AN4128" t="s">
        <v>53</v>
      </c>
    </row>
    <row r="4129" spans="1:40">
      <c r="A4129" t="s">
        <v>8081</v>
      </c>
      <c r="B4129" t="s">
        <v>1891</v>
      </c>
      <c r="C4129" t="s">
        <v>12711</v>
      </c>
      <c r="D4129" t="s">
        <v>52</v>
      </c>
      <c r="E4129" t="s">
        <v>12714</v>
      </c>
      <c r="F4129" t="s">
        <v>95</v>
      </c>
      <c r="G4129" t="str">
        <f>HYPERLINK("https://twitter.com/763777070111436801/status/1142676911564480512")</f>
        <v>https://twitter.com/763777070111436801/status/1142676911564480512</v>
      </c>
      <c r="H4129" t="s">
        <v>46</v>
      </c>
      <c r="I4129" t="s">
        <v>12715</v>
      </c>
      <c r="J4129" t="str">
        <f>HYPERLINK("http://twitter.com/marshmaIIoon")</f>
        <v>http://twitter.com/marshmaIIoon</v>
      </c>
      <c r="K4129">
        <v>1</v>
      </c>
      <c r="N4129" t="s">
        <v>65</v>
      </c>
      <c r="R4129" t="s">
        <v>60</v>
      </c>
      <c r="W4129">
        <v>1</v>
      </c>
      <c r="X4129">
        <v>1</v>
      </c>
      <c r="AE4129">
        <v>0</v>
      </c>
      <c r="AF4129">
        <v>0</v>
      </c>
      <c r="AM4129" t="s">
        <v>52</v>
      </c>
      <c r="AN4129" t="s">
        <v>53</v>
      </c>
    </row>
    <row r="4130" spans="1:40">
      <c r="A4130" t="s">
        <v>8081</v>
      </c>
      <c r="B4130" t="s">
        <v>1895</v>
      </c>
      <c r="C4130" t="s">
        <v>12716</v>
      </c>
      <c r="D4130" t="s">
        <v>52</v>
      </c>
      <c r="E4130" t="s">
        <v>12717</v>
      </c>
      <c r="F4130" t="s">
        <v>45</v>
      </c>
      <c r="G4130" t="str">
        <f>HYPERLINK("https://twitter.com/4661547152/status/1142676844270850048")</f>
        <v>https://twitter.com/4661547152/status/1142676844270850048</v>
      </c>
      <c r="H4130" t="s">
        <v>46</v>
      </c>
      <c r="I4130" t="s">
        <v>6767</v>
      </c>
      <c r="J4130" t="str">
        <f>HYPERLINK("http://twitter.com/souvlakiboi1")</f>
        <v>http://twitter.com/souvlakiboi1</v>
      </c>
      <c r="K4130">
        <v>33</v>
      </c>
      <c r="N4130" t="s">
        <v>65</v>
      </c>
      <c r="R4130" t="s">
        <v>60</v>
      </c>
      <c r="W4130">
        <v>4</v>
      </c>
      <c r="X4130">
        <v>4</v>
      </c>
      <c r="AE4130">
        <v>2</v>
      </c>
      <c r="AF4130">
        <v>0</v>
      </c>
      <c r="AM4130" t="s">
        <v>52</v>
      </c>
      <c r="AN4130" t="s">
        <v>53</v>
      </c>
    </row>
    <row r="4131" spans="1:40">
      <c r="A4131" t="s">
        <v>8081</v>
      </c>
      <c r="B4131" t="s">
        <v>1902</v>
      </c>
      <c r="C4131" t="s">
        <v>12718</v>
      </c>
      <c r="D4131" t="s">
        <v>52</v>
      </c>
      <c r="E4131" t="s">
        <v>12719</v>
      </c>
      <c r="F4131" t="s">
        <v>45</v>
      </c>
      <c r="G4131" t="str">
        <f>HYPERLINK("https://www.instagram.com/p/BzCqv-fBbud")</f>
        <v>https://www.instagram.com/p/BzCqv-fBbud</v>
      </c>
      <c r="H4131" t="s">
        <v>46</v>
      </c>
      <c r="I4131" t="s">
        <v>12720</v>
      </c>
      <c r="J4131" t="str">
        <f>HYPERLINK("http://instagram.com/autotrizaustralia")</f>
        <v>http://instagram.com/autotrizaustralia</v>
      </c>
      <c r="K4131">
        <v>563</v>
      </c>
      <c r="N4131" t="s">
        <v>59</v>
      </c>
      <c r="O4131" t="s">
        <v>12720</v>
      </c>
      <c r="P4131" t="str">
        <f>HYPERLINK("http://instagram.com/autotrizaustralia")</f>
        <v>http://instagram.com/autotrizaustralia</v>
      </c>
      <c r="Q4131">
        <v>563</v>
      </c>
      <c r="R4131" t="s">
        <v>60</v>
      </c>
      <c r="S4131" t="s">
        <v>774</v>
      </c>
      <c r="T4131" t="s">
        <v>3540</v>
      </c>
      <c r="U4131" t="s">
        <v>6248</v>
      </c>
      <c r="W4131">
        <v>32</v>
      </c>
      <c r="X4131">
        <v>32</v>
      </c>
      <c r="AE4131">
        <v>4</v>
      </c>
      <c r="AG4131">
        <v>86</v>
      </c>
      <c r="AI4131" t="s">
        <v>52</v>
      </c>
      <c r="AJ4131" t="s">
        <v>5828</v>
      </c>
      <c r="AK4131" t="s">
        <v>12721</v>
      </c>
      <c r="AL4131" t="str">
        <f>HYPERLINK("https://www.instagram.com/p/BzCqv-fBbud/media/?size=l")</f>
        <v>https://www.instagram.com/p/BzCqv-fBbud/media/?size=l</v>
      </c>
      <c r="AM4131" t="s">
        <v>52</v>
      </c>
      <c r="AN4131" t="s">
        <v>53</v>
      </c>
    </row>
    <row r="4132" spans="1:40">
      <c r="A4132" t="s">
        <v>8081</v>
      </c>
      <c r="B4132" t="s">
        <v>1902</v>
      </c>
      <c r="C4132" t="s">
        <v>12718</v>
      </c>
      <c r="D4132" t="s">
        <v>52</v>
      </c>
      <c r="E4132" t="s">
        <v>12722</v>
      </c>
      <c r="F4132" t="s">
        <v>45</v>
      </c>
      <c r="G4132" t="str">
        <f>HYPERLINK("https://www.instagram.com/p/BzCqyFZh1lX")</f>
        <v>https://www.instagram.com/p/BzCqyFZh1lX</v>
      </c>
      <c r="H4132" t="s">
        <v>46</v>
      </c>
      <c r="I4132" t="s">
        <v>12723</v>
      </c>
      <c r="J4132" t="str">
        <f>HYPERLINK("http://instagram.com/vic_oin")</f>
        <v>http://instagram.com/vic_oin</v>
      </c>
      <c r="K4132">
        <v>176</v>
      </c>
      <c r="N4132" t="s">
        <v>59</v>
      </c>
      <c r="O4132" t="s">
        <v>12723</v>
      </c>
      <c r="P4132" t="str">
        <f>HYPERLINK("http://instagram.com/vic_oin")</f>
        <v>http://instagram.com/vic_oin</v>
      </c>
      <c r="Q4132">
        <v>176</v>
      </c>
      <c r="R4132" t="s">
        <v>60</v>
      </c>
      <c r="W4132">
        <v>16</v>
      </c>
      <c r="X4132">
        <v>16</v>
      </c>
      <c r="AE4132">
        <v>0</v>
      </c>
      <c r="AI4132" t="s">
        <v>108</v>
      </c>
      <c r="AJ4132" t="s">
        <v>659</v>
      </c>
      <c r="AK4132" t="s">
        <v>52</v>
      </c>
      <c r="AL4132" t="str">
        <f>HYPERLINK("https://www.instagram.com/p/BzCqyFZh1lX/media/?size=l")</f>
        <v>https://www.instagram.com/p/BzCqyFZh1lX/media/?size=l</v>
      </c>
      <c r="AM4132" t="s">
        <v>52</v>
      </c>
      <c r="AN4132" t="s">
        <v>53</v>
      </c>
    </row>
    <row r="4133" spans="1:40">
      <c r="A4133" t="s">
        <v>8081</v>
      </c>
      <c r="B4133" t="s">
        <v>1902</v>
      </c>
      <c r="C4133" t="s">
        <v>12718</v>
      </c>
      <c r="D4133" t="s">
        <v>52</v>
      </c>
      <c r="E4133" t="s">
        <v>12724</v>
      </c>
      <c r="F4133" t="s">
        <v>45</v>
      </c>
      <c r="G4133" t="str">
        <f>HYPERLINK("https://www.instagram.com/p/BzCqxlNHRAa")</f>
        <v>https://www.instagram.com/p/BzCqxlNHRAa</v>
      </c>
      <c r="H4133" t="s">
        <v>46</v>
      </c>
      <c r="I4133" t="s">
        <v>12725</v>
      </c>
      <c r="J4133" t="str">
        <f>HYPERLINK("http://instagram.com/tewoj10")</f>
        <v>http://instagram.com/tewoj10</v>
      </c>
      <c r="K4133">
        <v>152</v>
      </c>
      <c r="N4133" t="s">
        <v>59</v>
      </c>
      <c r="O4133" t="s">
        <v>12725</v>
      </c>
      <c r="P4133" t="str">
        <f>HYPERLINK("http://instagram.com/tewoj10")</f>
        <v>http://instagram.com/tewoj10</v>
      </c>
      <c r="Q4133">
        <v>152</v>
      </c>
      <c r="R4133" t="s">
        <v>60</v>
      </c>
      <c r="S4133" t="s">
        <v>915</v>
      </c>
      <c r="T4133" t="s">
        <v>12726</v>
      </c>
      <c r="U4133" t="s">
        <v>12727</v>
      </c>
      <c r="W4133">
        <v>8</v>
      </c>
      <c r="X4133">
        <v>8</v>
      </c>
      <c r="AE4133">
        <v>0</v>
      </c>
      <c r="AI4133" t="s">
        <v>108</v>
      </c>
      <c r="AJ4133" t="s">
        <v>52</v>
      </c>
      <c r="AK4133" t="s">
        <v>52</v>
      </c>
      <c r="AL4133" t="str">
        <f>HYPERLINK("https://www.instagram.com/p/BzCqxlNHRAa/media/?size=l")</f>
        <v>https://www.instagram.com/p/BzCqxlNHRAa/media/?size=l</v>
      </c>
      <c r="AM4133" t="s">
        <v>52</v>
      </c>
      <c r="AN4133" t="s">
        <v>53</v>
      </c>
    </row>
    <row r="4134" spans="1:40">
      <c r="A4134" t="s">
        <v>8081</v>
      </c>
      <c r="B4134" t="s">
        <v>7652</v>
      </c>
      <c r="C4134" t="s">
        <v>12728</v>
      </c>
      <c r="D4134" t="s">
        <v>52</v>
      </c>
      <c r="E4134" t="s">
        <v>12729</v>
      </c>
      <c r="F4134" t="s">
        <v>45</v>
      </c>
      <c r="G4134" t="str">
        <f>HYPERLINK("https://twitter.com/500796879/status/1142675492069347328")</f>
        <v>https://twitter.com/500796879/status/1142675492069347328</v>
      </c>
      <c r="H4134" t="s">
        <v>46</v>
      </c>
      <c r="I4134" t="s">
        <v>12730</v>
      </c>
      <c r="J4134" t="str">
        <f>HYPERLINK("http://twitter.com/catieaveli")</f>
        <v>http://twitter.com/catieaveli</v>
      </c>
      <c r="K4134">
        <v>602</v>
      </c>
      <c r="N4134" t="s">
        <v>65</v>
      </c>
      <c r="R4134" t="s">
        <v>60</v>
      </c>
      <c r="S4134" t="s">
        <v>51</v>
      </c>
      <c r="T4134" t="s">
        <v>1657</v>
      </c>
      <c r="U4134" t="s">
        <v>12731</v>
      </c>
      <c r="W4134">
        <v>1</v>
      </c>
      <c r="X4134">
        <v>1</v>
      </c>
      <c r="AE4134">
        <v>0</v>
      </c>
      <c r="AF4134">
        <v>0</v>
      </c>
      <c r="AM4134" t="s">
        <v>52</v>
      </c>
      <c r="AN4134" t="s">
        <v>53</v>
      </c>
    </row>
    <row r="4135" spans="1:40">
      <c r="A4135" t="s">
        <v>8081</v>
      </c>
      <c r="B4135" t="s">
        <v>1931</v>
      </c>
      <c r="C4135" t="s">
        <v>11575</v>
      </c>
      <c r="D4135" t="s">
        <v>52</v>
      </c>
      <c r="E4135" t="s">
        <v>12732</v>
      </c>
      <c r="F4135" t="s">
        <v>45</v>
      </c>
      <c r="G4135" t="str">
        <f>HYPERLINK("https://twitter.com/1064549013297528833/status/1142673791081992194")</f>
        <v>https://twitter.com/1064549013297528833/status/1142673791081992194</v>
      </c>
      <c r="H4135" t="s">
        <v>46</v>
      </c>
      <c r="I4135" t="s">
        <v>12733</v>
      </c>
      <c r="J4135" t="str">
        <f>HYPERLINK("http://twitter.com/catotoyy")</f>
        <v>http://twitter.com/catotoyy</v>
      </c>
      <c r="K4135">
        <v>669</v>
      </c>
      <c r="N4135" t="s">
        <v>65</v>
      </c>
      <c r="R4135" t="s">
        <v>60</v>
      </c>
      <c r="S4135" t="s">
        <v>592</v>
      </c>
      <c r="T4135" t="s">
        <v>7352</v>
      </c>
      <c r="U4135" t="s">
        <v>7352</v>
      </c>
      <c r="W4135">
        <v>3</v>
      </c>
      <c r="X4135">
        <v>3</v>
      </c>
      <c r="AE4135">
        <v>0</v>
      </c>
      <c r="AF4135">
        <v>0</v>
      </c>
      <c r="AI4135" t="s">
        <v>108</v>
      </c>
      <c r="AJ4135" t="s">
        <v>12734</v>
      </c>
      <c r="AK4135" t="s">
        <v>52</v>
      </c>
      <c r="AL4135" t="str">
        <f>HYPERLINK("https://pbs.twimg.com/media/D9uXv05WwAAhoIO.jpg")</f>
        <v>https://pbs.twimg.com/media/D9uXv05WwAAhoIO.jpg</v>
      </c>
      <c r="AM4135" t="s">
        <v>52</v>
      </c>
      <c r="AN4135" t="s">
        <v>53</v>
      </c>
    </row>
    <row r="4136" spans="1:40">
      <c r="A4136" t="s">
        <v>8081</v>
      </c>
      <c r="B4136" t="s">
        <v>7681</v>
      </c>
      <c r="C4136" t="s">
        <v>12735</v>
      </c>
      <c r="D4136" t="s">
        <v>12736</v>
      </c>
      <c r="E4136" t="s">
        <v>12737</v>
      </c>
      <c r="F4136" t="s">
        <v>45</v>
      </c>
      <c r="G4136" t="str">
        <f>HYPERLINK("http://bbs.clutchfans.net/index.php?threads/kfc-cheetos-sandwich.299626")</f>
        <v>http://bbs.clutchfans.net/index.php?threads/kfc-cheetos-sandwich.299626</v>
      </c>
      <c r="H4136" t="s">
        <v>46</v>
      </c>
      <c r="I4136" t="s">
        <v>12738</v>
      </c>
      <c r="J4136" t="str">
        <f>HYPERLINK("http://bbs.clutchfans.net/index.php?threads/kfc-cheetos-sandwich.299626/")</f>
        <v>http://bbs.clutchfans.net/index.php?threads/kfc-cheetos-sandwich.299626/</v>
      </c>
      <c r="N4136" t="s">
        <v>12739</v>
      </c>
      <c r="R4136" t="s">
        <v>357</v>
      </c>
      <c r="S4136" t="s">
        <v>51</v>
      </c>
      <c r="AM4136" t="s">
        <v>52</v>
      </c>
      <c r="AN4136" t="s">
        <v>53</v>
      </c>
    </row>
    <row r="4137" spans="1:40">
      <c r="A4137" t="s">
        <v>8081</v>
      </c>
      <c r="B4137" t="s">
        <v>7685</v>
      </c>
      <c r="C4137" t="s">
        <v>12740</v>
      </c>
      <c r="D4137" t="s">
        <v>52</v>
      </c>
      <c r="E4137" t="s">
        <v>9854</v>
      </c>
      <c r="F4137" t="s">
        <v>131</v>
      </c>
      <c r="G4137" t="str">
        <f>HYPERLINK("https://twitter.com/1056379599267876864/status/1142673356354809856")</f>
        <v>https://twitter.com/1056379599267876864/status/1142673356354809856</v>
      </c>
      <c r="H4137" t="s">
        <v>215</v>
      </c>
      <c r="I4137" t="s">
        <v>12741</v>
      </c>
      <c r="J4137" t="str">
        <f>HYPERLINK("http://twitter.com/teikokoku_1993")</f>
        <v>http://twitter.com/teikokoku_1993</v>
      </c>
      <c r="K4137">
        <v>786</v>
      </c>
      <c r="N4137" t="s">
        <v>65</v>
      </c>
      <c r="R4137" t="s">
        <v>60</v>
      </c>
      <c r="S4137" t="s">
        <v>965</v>
      </c>
      <c r="T4137" t="s">
        <v>12742</v>
      </c>
      <c r="U4137" t="s">
        <v>12743</v>
      </c>
      <c r="W4137">
        <v>0</v>
      </c>
      <c r="X4137">
        <v>0</v>
      </c>
      <c r="AE4137">
        <v>0</v>
      </c>
      <c r="AI4137" t="s">
        <v>52</v>
      </c>
      <c r="AJ4137" t="s">
        <v>52</v>
      </c>
      <c r="AK4137" t="s">
        <v>110</v>
      </c>
      <c r="AL4137" t="str">
        <f>HYPERLINK("https://pbs.twimg.com/ext_tw_video_thumb/1142646022713118720/pu/img/mITRfwP1eYqQ_wvd.jpg")</f>
        <v>https://pbs.twimg.com/ext_tw_video_thumb/1142646022713118720/pu/img/mITRfwP1eYqQ_wvd.jpg</v>
      </c>
      <c r="AM4137" t="s">
        <v>52</v>
      </c>
      <c r="AN4137" t="s">
        <v>53</v>
      </c>
    </row>
    <row r="4138" spans="1:40">
      <c r="A4138" t="s">
        <v>8081</v>
      </c>
      <c r="B4138" t="s">
        <v>7685</v>
      </c>
      <c r="C4138" t="s">
        <v>12744</v>
      </c>
      <c r="D4138" t="s">
        <v>52</v>
      </c>
      <c r="E4138" t="s">
        <v>4514</v>
      </c>
      <c r="F4138" t="s">
        <v>71</v>
      </c>
      <c r="G4138" t="str">
        <f>HYPERLINK("https://twitter.com/1159768033/status/1142673213295661056")</f>
        <v>https://twitter.com/1159768033/status/1142673213295661056</v>
      </c>
      <c r="H4138" t="s">
        <v>46</v>
      </c>
      <c r="I4138" t="s">
        <v>12745</v>
      </c>
      <c r="J4138" t="str">
        <f>HYPERLINK("http://twitter.com/Zeynep_SudeBal")</f>
        <v>http://twitter.com/Zeynep_SudeBal</v>
      </c>
      <c r="K4138">
        <v>311</v>
      </c>
      <c r="N4138" t="s">
        <v>65</v>
      </c>
      <c r="R4138" t="s">
        <v>60</v>
      </c>
      <c r="W4138">
        <v>0</v>
      </c>
      <c r="X4138">
        <v>0</v>
      </c>
      <c r="AE4138">
        <v>0</v>
      </c>
      <c r="AF4138">
        <v>0</v>
      </c>
      <c r="AI4138" t="s">
        <v>108</v>
      </c>
      <c r="AJ4138" t="s">
        <v>52</v>
      </c>
      <c r="AK4138" t="s">
        <v>52</v>
      </c>
      <c r="AL4138" t="str">
        <f>HYPERLINK("https://pbs.twimg.com/tweet_video_thumb/D9hvNNzXUAATAS3.jpg")</f>
        <v>https://pbs.twimg.com/tweet_video_thumb/D9hvNNzXUAATAS3.jpg</v>
      </c>
      <c r="AM4138" t="s">
        <v>52</v>
      </c>
      <c r="AN4138" t="s">
        <v>53</v>
      </c>
    </row>
    <row r="4139" spans="1:40">
      <c r="A4139" t="s">
        <v>8081</v>
      </c>
      <c r="B4139" t="s">
        <v>1955</v>
      </c>
      <c r="C4139" t="s">
        <v>12746</v>
      </c>
      <c r="D4139" t="s">
        <v>52</v>
      </c>
      <c r="E4139" t="s">
        <v>12747</v>
      </c>
      <c r="F4139" t="s">
        <v>45</v>
      </c>
      <c r="G4139" t="str">
        <f>HYPERLINK("https://www.instagram.com/p/BzCo-2MHWcy")</f>
        <v>https://www.instagram.com/p/BzCo-2MHWcy</v>
      </c>
      <c r="H4139" t="s">
        <v>46</v>
      </c>
      <c r="I4139" t="s">
        <v>52</v>
      </c>
      <c r="J4139" t="str">
        <f>HYPERLINK("http://instagram.com/dicckpics")</f>
        <v>http://instagram.com/dicckpics</v>
      </c>
      <c r="K4139">
        <v>1438</v>
      </c>
      <c r="N4139" t="s">
        <v>59</v>
      </c>
      <c r="O4139" t="s">
        <v>52</v>
      </c>
      <c r="P4139" t="str">
        <f>HYPERLINK("http://instagram.com/dicckpics")</f>
        <v>http://instagram.com/dicckpics</v>
      </c>
      <c r="Q4139">
        <v>1438</v>
      </c>
      <c r="R4139" t="s">
        <v>60</v>
      </c>
      <c r="W4139">
        <v>21</v>
      </c>
      <c r="X4139">
        <v>21</v>
      </c>
      <c r="AE4139">
        <v>4</v>
      </c>
      <c r="AI4139" t="s">
        <v>52</v>
      </c>
      <c r="AJ4139" t="s">
        <v>2072</v>
      </c>
      <c r="AK4139" t="s">
        <v>52</v>
      </c>
      <c r="AL4139" t="str">
        <f>HYPERLINK("https://www.instagram.com/p/BzCo-2MHWcy/media/?size=l")</f>
        <v>https://www.instagram.com/p/BzCo-2MHWcy/media/?size=l</v>
      </c>
      <c r="AM4139" t="s">
        <v>52</v>
      </c>
      <c r="AN4139" t="s">
        <v>53</v>
      </c>
    </row>
    <row r="4140" spans="1:40">
      <c r="A4140" t="s">
        <v>8081</v>
      </c>
      <c r="B4140" t="s">
        <v>1955</v>
      </c>
      <c r="C4140" t="s">
        <v>12748</v>
      </c>
      <c r="D4140" t="s">
        <v>52</v>
      </c>
      <c r="E4140" t="s">
        <v>12749</v>
      </c>
      <c r="F4140" t="s">
        <v>45</v>
      </c>
      <c r="G4140" t="str">
        <f>HYPERLINK("https://twitter.com/2838811681/status/1142671941716680704")</f>
        <v>https://twitter.com/2838811681/status/1142671941716680704</v>
      </c>
      <c r="H4140" t="s">
        <v>46</v>
      </c>
      <c r="I4140" t="s">
        <v>12750</v>
      </c>
      <c r="J4140" t="str">
        <f>HYPERLINK("http://twitter.com/demii4lifee")</f>
        <v>http://twitter.com/demii4lifee</v>
      </c>
      <c r="K4140">
        <v>749</v>
      </c>
      <c r="N4140" t="s">
        <v>65</v>
      </c>
      <c r="R4140" t="s">
        <v>60</v>
      </c>
      <c r="S4140" t="s">
        <v>1530</v>
      </c>
      <c r="T4140" t="s">
        <v>12751</v>
      </c>
      <c r="U4140" t="s">
        <v>12752</v>
      </c>
      <c r="W4140">
        <v>1</v>
      </c>
      <c r="X4140">
        <v>1</v>
      </c>
      <c r="AE4140">
        <v>0</v>
      </c>
      <c r="AF4140">
        <v>0</v>
      </c>
      <c r="AM4140" t="s">
        <v>52</v>
      </c>
      <c r="AN4140" t="s">
        <v>53</v>
      </c>
    </row>
    <row r="4141" spans="1:40">
      <c r="A4141" t="s">
        <v>8081</v>
      </c>
      <c r="B4141" t="s">
        <v>1959</v>
      </c>
      <c r="C4141" t="s">
        <v>12753</v>
      </c>
      <c r="D4141" t="s">
        <v>52</v>
      </c>
      <c r="E4141" t="s">
        <v>9023</v>
      </c>
      <c r="F4141" t="s">
        <v>131</v>
      </c>
      <c r="G4141" t="str">
        <f>HYPERLINK("https://twitter.com/3301125935/status/1142671864436797441")</f>
        <v>https://twitter.com/3301125935/status/1142671864436797441</v>
      </c>
      <c r="H4141" t="s">
        <v>46</v>
      </c>
      <c r="I4141" t="s">
        <v>12754</v>
      </c>
      <c r="J4141" t="str">
        <f>HYPERLINK("http://twitter.com/uwuespos")</f>
        <v>http://twitter.com/uwuespos</v>
      </c>
      <c r="K4141">
        <v>656</v>
      </c>
      <c r="N4141" t="s">
        <v>65</v>
      </c>
      <c r="R4141" t="s">
        <v>60</v>
      </c>
      <c r="S4141" t="s">
        <v>2118</v>
      </c>
      <c r="T4141" t="s">
        <v>2492</v>
      </c>
      <c r="U4141" t="s">
        <v>12755</v>
      </c>
      <c r="W4141">
        <v>0</v>
      </c>
      <c r="X4141">
        <v>0</v>
      </c>
      <c r="AE4141">
        <v>0</v>
      </c>
      <c r="AI4141" t="s">
        <v>108</v>
      </c>
      <c r="AJ4141" t="s">
        <v>1182</v>
      </c>
      <c r="AK4141" t="s">
        <v>52</v>
      </c>
      <c r="AL4141" t="str">
        <f>HYPERLINK("https://pbs.twimg.com/media/D9tPJcrXoAAuJyr.jpg")</f>
        <v>https://pbs.twimg.com/media/D9tPJcrXoAAuJyr.jpg</v>
      </c>
      <c r="AM4141" t="s">
        <v>52</v>
      </c>
      <c r="AN4141" t="s">
        <v>53</v>
      </c>
    </row>
    <row r="4142" spans="1:40">
      <c r="A4142" t="s">
        <v>8081</v>
      </c>
      <c r="B4142" t="s">
        <v>1959</v>
      </c>
      <c r="C4142" t="s">
        <v>12753</v>
      </c>
      <c r="D4142" t="s">
        <v>52</v>
      </c>
      <c r="E4142" t="s">
        <v>3749</v>
      </c>
      <c r="F4142" t="s">
        <v>71</v>
      </c>
      <c r="G4142" t="str">
        <f>HYPERLINK("https://twitter.com/888392503736623105/status/1142671863438557184")</f>
        <v>https://twitter.com/888392503736623105/status/1142671863438557184</v>
      </c>
      <c r="H4142" t="s">
        <v>46</v>
      </c>
      <c r="I4142" t="s">
        <v>12756</v>
      </c>
      <c r="J4142" t="str">
        <f>HYPERLINK("http://twitter.com/Nkgadimaclinton")</f>
        <v>http://twitter.com/Nkgadimaclinton</v>
      </c>
      <c r="K4142">
        <v>520</v>
      </c>
      <c r="N4142" t="s">
        <v>65</v>
      </c>
      <c r="R4142" t="s">
        <v>60</v>
      </c>
      <c r="S4142" t="s">
        <v>1071</v>
      </c>
      <c r="T4142" t="s">
        <v>5971</v>
      </c>
      <c r="U4142" t="s">
        <v>6207</v>
      </c>
      <c r="W4142">
        <v>0</v>
      </c>
      <c r="X4142">
        <v>0</v>
      </c>
      <c r="AE4142">
        <v>0</v>
      </c>
      <c r="AF4142">
        <v>0</v>
      </c>
      <c r="AI4142" t="s">
        <v>108</v>
      </c>
      <c r="AJ4142" t="s">
        <v>52</v>
      </c>
      <c r="AK4142" t="s">
        <v>52</v>
      </c>
      <c r="AL4142" t="str">
        <f>HYPERLINK("https://pbs.twimg.com/media/D9sAXHUX4AA6vJs.jpg")</f>
        <v>https://pbs.twimg.com/media/D9sAXHUX4AA6vJs.jpg</v>
      </c>
      <c r="AM4142" t="s">
        <v>52</v>
      </c>
      <c r="AN4142" t="s">
        <v>53</v>
      </c>
    </row>
    <row r="4143" spans="1:40">
      <c r="A4143" t="s">
        <v>8081</v>
      </c>
      <c r="B4143" t="s">
        <v>7700</v>
      </c>
      <c r="C4143" t="s">
        <v>12757</v>
      </c>
      <c r="D4143" t="s">
        <v>52</v>
      </c>
      <c r="E4143" t="s">
        <v>12758</v>
      </c>
      <c r="F4143" t="s">
        <v>45</v>
      </c>
      <c r="G4143" t="str">
        <f>HYPERLINK("https://www.instagram.com/p/BzCot-XgrCl")</f>
        <v>https://www.instagram.com/p/BzCot-XgrCl</v>
      </c>
      <c r="H4143" t="s">
        <v>215</v>
      </c>
      <c r="I4143" t="s">
        <v>12759</v>
      </c>
      <c r="J4143" t="str">
        <f>HYPERLINK("http://instagram.com/_threads_n_yo_beauty_")</f>
        <v>http://instagram.com/_threads_n_yo_beauty_</v>
      </c>
      <c r="K4143">
        <v>25</v>
      </c>
      <c r="L4143" t="s">
        <v>651</v>
      </c>
      <c r="N4143" t="s">
        <v>59</v>
      </c>
      <c r="O4143" t="s">
        <v>12759</v>
      </c>
      <c r="P4143" t="str">
        <f>HYPERLINK("http://instagram.com/_threads_n_yo_beauty_")</f>
        <v>http://instagram.com/_threads_n_yo_beauty_</v>
      </c>
      <c r="Q4143">
        <v>25</v>
      </c>
      <c r="R4143" t="s">
        <v>60</v>
      </c>
      <c r="W4143">
        <v>13</v>
      </c>
      <c r="X4143">
        <v>13</v>
      </c>
      <c r="AE4143">
        <v>3</v>
      </c>
      <c r="AI4143" t="s">
        <v>2529</v>
      </c>
      <c r="AJ4143" t="s">
        <v>659</v>
      </c>
      <c r="AK4143" t="s">
        <v>52</v>
      </c>
      <c r="AL4143" t="str">
        <f>HYPERLINK("https://www.instagram.com/p/BzCot-XgrCl/media/?size=l")</f>
        <v>https://www.instagram.com/p/BzCot-XgrCl/media/?size=l</v>
      </c>
      <c r="AM4143" t="s">
        <v>52</v>
      </c>
      <c r="AN4143" t="s">
        <v>53</v>
      </c>
    </row>
    <row r="4144" spans="1:40">
      <c r="A4144" t="s">
        <v>8081</v>
      </c>
      <c r="B4144" t="s">
        <v>1964</v>
      </c>
      <c r="C4144" t="s">
        <v>12760</v>
      </c>
      <c r="D4144" t="s">
        <v>52</v>
      </c>
      <c r="E4144" t="s">
        <v>12761</v>
      </c>
      <c r="F4144" t="s">
        <v>45</v>
      </c>
      <c r="G4144" t="str">
        <f>HYPERLINK("https://twitter.com/911379067089321984/status/1142670839516684289")</f>
        <v>https://twitter.com/911379067089321984/status/1142670839516684289</v>
      </c>
      <c r="H4144" t="s">
        <v>46</v>
      </c>
      <c r="I4144" t="s">
        <v>12762</v>
      </c>
      <c r="J4144" t="str">
        <f>HYPERLINK("http://twitter.com/Deaf_Savior")</f>
        <v>http://twitter.com/Deaf_Savior</v>
      </c>
      <c r="K4144">
        <v>1</v>
      </c>
      <c r="N4144" t="s">
        <v>65</v>
      </c>
      <c r="R4144" t="s">
        <v>60</v>
      </c>
      <c r="W4144">
        <v>0</v>
      </c>
      <c r="X4144">
        <v>0</v>
      </c>
      <c r="AE4144">
        <v>0</v>
      </c>
      <c r="AF4144">
        <v>0</v>
      </c>
      <c r="AM4144" t="s">
        <v>52</v>
      </c>
      <c r="AN4144" t="s">
        <v>53</v>
      </c>
    </row>
    <row r="4145" spans="1:40">
      <c r="A4145" t="s">
        <v>8081</v>
      </c>
      <c r="B4145" t="s">
        <v>1964</v>
      </c>
      <c r="C4145" t="s">
        <v>12763</v>
      </c>
      <c r="D4145" t="s">
        <v>52</v>
      </c>
      <c r="E4145" t="s">
        <v>12764</v>
      </c>
      <c r="F4145" t="s">
        <v>45</v>
      </c>
      <c r="G4145" t="str">
        <f>HYPERLINK("https://twitter.com/423469931/status/1142670780771250176")</f>
        <v>https://twitter.com/423469931/status/1142670780771250176</v>
      </c>
      <c r="H4145" t="s">
        <v>46</v>
      </c>
      <c r="I4145" t="s">
        <v>12765</v>
      </c>
      <c r="J4145" t="str">
        <f>HYPERLINK("http://twitter.com/july_llo")</f>
        <v>http://twitter.com/july_llo</v>
      </c>
      <c r="K4145">
        <v>139</v>
      </c>
      <c r="N4145" t="s">
        <v>65</v>
      </c>
      <c r="R4145" t="s">
        <v>60</v>
      </c>
      <c r="W4145">
        <v>0</v>
      </c>
      <c r="X4145">
        <v>0</v>
      </c>
      <c r="AE4145">
        <v>0</v>
      </c>
      <c r="AF4145">
        <v>0</v>
      </c>
      <c r="AM4145" t="s">
        <v>52</v>
      </c>
      <c r="AN4145" t="s">
        <v>53</v>
      </c>
    </row>
    <row r="4146" spans="1:40">
      <c r="A4146" t="s">
        <v>8081</v>
      </c>
      <c r="B4146" t="s">
        <v>1964</v>
      </c>
      <c r="C4146" t="s">
        <v>12760</v>
      </c>
      <c r="D4146" t="s">
        <v>52</v>
      </c>
      <c r="E4146" t="s">
        <v>3749</v>
      </c>
      <c r="F4146" t="s">
        <v>71</v>
      </c>
      <c r="G4146" t="str">
        <f>HYPERLINK("https://twitter.com/51084694/status/1142670728355110912")</f>
        <v>https://twitter.com/51084694/status/1142670728355110912</v>
      </c>
      <c r="H4146" t="s">
        <v>46</v>
      </c>
      <c r="I4146" t="s">
        <v>12766</v>
      </c>
      <c r="J4146" t="str">
        <f>HYPERLINK("http://twitter.com/TheVillageGod")</f>
        <v>http://twitter.com/TheVillageGod</v>
      </c>
      <c r="K4146">
        <v>1126</v>
      </c>
      <c r="N4146" t="s">
        <v>65</v>
      </c>
      <c r="R4146" t="s">
        <v>60</v>
      </c>
      <c r="S4146" t="s">
        <v>1071</v>
      </c>
      <c r="T4146" t="s">
        <v>10309</v>
      </c>
      <c r="U4146" t="s">
        <v>12767</v>
      </c>
      <c r="W4146">
        <v>0</v>
      </c>
      <c r="X4146">
        <v>0</v>
      </c>
      <c r="AE4146">
        <v>0</v>
      </c>
      <c r="AF4146">
        <v>0</v>
      </c>
      <c r="AI4146" t="s">
        <v>108</v>
      </c>
      <c r="AJ4146" t="s">
        <v>52</v>
      </c>
      <c r="AK4146" t="s">
        <v>52</v>
      </c>
      <c r="AL4146" t="str">
        <f>HYPERLINK("https://pbs.twimg.com/media/D9sAXHUX4AA6vJs.jpg")</f>
        <v>https://pbs.twimg.com/media/D9sAXHUX4AA6vJs.jpg</v>
      </c>
      <c r="AM4146" t="s">
        <v>52</v>
      </c>
      <c r="AN4146" t="s">
        <v>53</v>
      </c>
    </row>
    <row r="4147" spans="1:40">
      <c r="A4147" t="s">
        <v>8081</v>
      </c>
      <c r="B4147" t="s">
        <v>7727</v>
      </c>
      <c r="C4147" t="s">
        <v>12768</v>
      </c>
      <c r="D4147" t="s">
        <v>52</v>
      </c>
      <c r="E4147" t="s">
        <v>12769</v>
      </c>
      <c r="F4147" t="s">
        <v>45</v>
      </c>
      <c r="G4147" t="str">
        <f>HYPERLINK("https://telegram.me/furposting/935642")</f>
        <v>https://telegram.me/furposting/935642</v>
      </c>
      <c r="H4147" t="s">
        <v>46</v>
      </c>
      <c r="I4147" t="s">
        <v>12770</v>
      </c>
      <c r="J4147" t="str">
        <f>HYPERLINK("https://telegram.me/cyanide26")</f>
        <v>https://telegram.me/cyanide26</v>
      </c>
      <c r="L4147" t="s">
        <v>48</v>
      </c>
      <c r="N4147" t="s">
        <v>4242</v>
      </c>
      <c r="O4147" t="s">
        <v>12771</v>
      </c>
      <c r="P4147" t="str">
        <f>HYPERLINK("https://telegram.me/furposting")</f>
        <v>https://telegram.me/furposting</v>
      </c>
      <c r="Q4147">
        <v>575</v>
      </c>
      <c r="R4147" t="s">
        <v>4244</v>
      </c>
      <c r="AM4147" t="s">
        <v>52</v>
      </c>
      <c r="AN4147" t="s">
        <v>53</v>
      </c>
    </row>
    <row r="4148" spans="1:40">
      <c r="A4148" t="s">
        <v>8081</v>
      </c>
      <c r="B4148" t="s">
        <v>7727</v>
      </c>
      <c r="C4148" t="s">
        <v>6945</v>
      </c>
      <c r="D4148" t="s">
        <v>12772</v>
      </c>
      <c r="E4148" t="s">
        <v>12773</v>
      </c>
      <c r="F4148" t="s">
        <v>45</v>
      </c>
      <c r="G4148" t="str">
        <f>HYPERLINK("https://us.forums.blizzard.com/en/overwatch/t/cryin-for-my-girl-d-va/360353#post-6")</f>
        <v>https://us.forums.blizzard.com/en/overwatch/t/cryin-for-my-girl-d-va/360353#post-6</v>
      </c>
      <c r="H4148" t="s">
        <v>46</v>
      </c>
      <c r="I4148" t="s">
        <v>12774</v>
      </c>
      <c r="J4148" t="str">
        <f>HYPERLINK("https://us.forums.blizzard.com/en/overwatch/t/cryin-for-my-girl-d-va/360353#post-6")</f>
        <v>https://us.forums.blizzard.com/en/overwatch/t/cryin-for-my-girl-d-va/360353#post-6</v>
      </c>
      <c r="N4148" t="s">
        <v>7279</v>
      </c>
      <c r="O4148" t="s">
        <v>12775</v>
      </c>
      <c r="P4148" t="str">
        <f>HYPERLINK("https://us.forums.blizzard.com/en/overwatch/c/general-discussion")</f>
        <v>https://us.forums.blizzard.com/en/overwatch/c/general-discussion</v>
      </c>
      <c r="R4148" t="s">
        <v>516</v>
      </c>
      <c r="S4148" t="s">
        <v>51</v>
      </c>
      <c r="AM4148" t="s">
        <v>52</v>
      </c>
      <c r="AN4148" t="s">
        <v>53</v>
      </c>
    </row>
    <row r="4149" spans="1:40">
      <c r="A4149" t="s">
        <v>8081</v>
      </c>
      <c r="B4149" t="s">
        <v>12776</v>
      </c>
      <c r="C4149" t="s">
        <v>12777</v>
      </c>
      <c r="D4149" t="s">
        <v>52</v>
      </c>
      <c r="E4149" t="s">
        <v>12778</v>
      </c>
      <c r="F4149" t="s">
        <v>45</v>
      </c>
      <c r="G4149" t="str">
        <f>HYPERLINK("https://www.instagram.com/p/BzCn_2AlI0d")</f>
        <v>https://www.instagram.com/p/BzCn_2AlI0d</v>
      </c>
      <c r="H4149" t="s">
        <v>46</v>
      </c>
      <c r="I4149" t="s">
        <v>12779</v>
      </c>
      <c r="J4149" t="str">
        <f>HYPERLINK("http://instagram.com/jonasbrother.s")</f>
        <v>http://instagram.com/jonasbrother.s</v>
      </c>
      <c r="K4149">
        <v>13358</v>
      </c>
      <c r="L4149" t="s">
        <v>48</v>
      </c>
      <c r="N4149" t="s">
        <v>59</v>
      </c>
      <c r="O4149" t="s">
        <v>12779</v>
      </c>
      <c r="P4149" t="str">
        <f>HYPERLINK("http://instagram.com/jonasbrother.s")</f>
        <v>http://instagram.com/jonasbrother.s</v>
      </c>
      <c r="Q4149">
        <v>13358</v>
      </c>
      <c r="R4149" t="s">
        <v>60</v>
      </c>
      <c r="W4149">
        <v>1113</v>
      </c>
      <c r="X4149">
        <v>1113</v>
      </c>
      <c r="AE4149">
        <v>9</v>
      </c>
      <c r="AI4149" t="s">
        <v>108</v>
      </c>
      <c r="AJ4149" t="s">
        <v>52</v>
      </c>
      <c r="AK4149" t="s">
        <v>52</v>
      </c>
      <c r="AL4149" t="str">
        <f>HYPERLINK("https://www.instagram.com/p/BzCn_2AlI0d/media/?size=l")</f>
        <v>https://www.instagram.com/p/BzCn_2AlI0d/media/?size=l</v>
      </c>
      <c r="AM4149" t="s">
        <v>52</v>
      </c>
      <c r="AN4149" t="s">
        <v>53</v>
      </c>
    </row>
    <row r="4150" spans="1:40">
      <c r="A4150" t="s">
        <v>8081</v>
      </c>
      <c r="B4150" t="s">
        <v>12776</v>
      </c>
      <c r="C4150" t="s">
        <v>12780</v>
      </c>
      <c r="D4150" t="s">
        <v>52</v>
      </c>
      <c r="E4150" t="s">
        <v>276</v>
      </c>
      <c r="F4150" t="s">
        <v>131</v>
      </c>
      <c r="G4150" t="str">
        <f>HYPERLINK("https://twitter.com/1036778783506944001/status/1142669882422693888")</f>
        <v>https://twitter.com/1036778783506944001/status/1142669882422693888</v>
      </c>
      <c r="H4150" t="s">
        <v>46</v>
      </c>
      <c r="I4150" t="s">
        <v>12781</v>
      </c>
      <c r="J4150" t="str">
        <f>HYPERLINK("http://twitter.com/_wdwm1_")</f>
        <v>http://twitter.com/_wdwm1_</v>
      </c>
      <c r="K4150">
        <v>408</v>
      </c>
      <c r="N4150" t="s">
        <v>65</v>
      </c>
      <c r="R4150" t="s">
        <v>60</v>
      </c>
      <c r="S4150" t="s">
        <v>1592</v>
      </c>
      <c r="T4150" t="s">
        <v>1593</v>
      </c>
      <c r="U4150" t="s">
        <v>12782</v>
      </c>
      <c r="W4150">
        <v>0</v>
      </c>
      <c r="X4150">
        <v>0</v>
      </c>
      <c r="AE4150">
        <v>0</v>
      </c>
      <c r="AI4150" t="s">
        <v>108</v>
      </c>
      <c r="AJ4150" t="s">
        <v>52</v>
      </c>
      <c r="AK4150" t="s">
        <v>52</v>
      </c>
      <c r="AL4150" t="str">
        <f>HYPERLINK("https://pbs.twimg.com/tweet_video_thumb/D9hvNNzXUAATAS3.jpg")</f>
        <v>https://pbs.twimg.com/tweet_video_thumb/D9hvNNzXUAATAS3.jpg</v>
      </c>
      <c r="AM4150" t="s">
        <v>52</v>
      </c>
      <c r="AN4150" t="s">
        <v>53</v>
      </c>
    </row>
    <row r="4151" spans="1:40">
      <c r="A4151" t="s">
        <v>8081</v>
      </c>
      <c r="B4151" t="s">
        <v>12776</v>
      </c>
      <c r="C4151" t="s">
        <v>6965</v>
      </c>
      <c r="D4151" t="s">
        <v>12783</v>
      </c>
      <c r="E4151" t="s">
        <v>12784</v>
      </c>
      <c r="F4151" t="s">
        <v>45</v>
      </c>
      <c r="G4151" t="str">
        <f>HYPERLINK("https://www.reddit.com/r/torontoraptors/comments/c3ua5y/if_kawhi_signs_a_five_year_contract_with_the/?sort=new#thing_t1_ertr6ua")</f>
        <v>https://www.reddit.com/r/torontoraptors/comments/c3ua5y/if_kawhi_signs_a_five_year_contract_with_the/?sort=new#thing_t1_ertr6ua</v>
      </c>
      <c r="H4151" t="s">
        <v>46</v>
      </c>
      <c r="I4151" t="s">
        <v>12785</v>
      </c>
      <c r="J4151" t="str">
        <f>HYPERLINK("https://www.reddit.com/r/torontoraptors/comments/c3ua5y/if_kawhi_signs_a_five_year_contract_with_the/?sort=new#thing_t1_ertr6ua")</f>
        <v>https://www.reddit.com/r/torontoraptors/comments/c3ua5y/if_kawhi_signs_a_five_year_contract_with_the/?sort=new#thing_t1_ertr6ua</v>
      </c>
      <c r="N4151" t="s">
        <v>545</v>
      </c>
      <c r="O4151" t="s">
        <v>12786</v>
      </c>
      <c r="P4151" t="str">
        <f>HYPERLINK("https://www.reddit.com/r/torontoraptors/")</f>
        <v>https://www.reddit.com/r/torontoraptors/</v>
      </c>
      <c r="R4151" t="s">
        <v>516</v>
      </c>
      <c r="S4151" t="s">
        <v>51</v>
      </c>
      <c r="AM4151" t="s">
        <v>52</v>
      </c>
      <c r="AN4151" t="s">
        <v>53</v>
      </c>
    </row>
    <row r="4152" spans="1:40">
      <c r="A4152" t="s">
        <v>8081</v>
      </c>
      <c r="B4152" t="s">
        <v>1992</v>
      </c>
      <c r="C4152" t="s">
        <v>12787</v>
      </c>
      <c r="D4152" t="s">
        <v>52</v>
      </c>
      <c r="E4152" t="s">
        <v>12788</v>
      </c>
      <c r="F4152" t="s">
        <v>95</v>
      </c>
      <c r="G4152" t="str">
        <f>HYPERLINK("https://twitter.com/1222020997/status/1142669544676368385")</f>
        <v>https://twitter.com/1222020997/status/1142669544676368385</v>
      </c>
      <c r="H4152" t="s">
        <v>46</v>
      </c>
      <c r="I4152" t="s">
        <v>12789</v>
      </c>
      <c r="J4152" t="str">
        <f>HYPERLINK("http://twitter.com/chaya_mc")</f>
        <v>http://twitter.com/chaya_mc</v>
      </c>
      <c r="K4152">
        <v>501</v>
      </c>
      <c r="N4152" t="s">
        <v>65</v>
      </c>
      <c r="R4152" t="s">
        <v>60</v>
      </c>
      <c r="S4152" t="s">
        <v>51</v>
      </c>
      <c r="T4152" t="s">
        <v>851</v>
      </c>
      <c r="U4152" t="s">
        <v>12790</v>
      </c>
      <c r="W4152">
        <v>0</v>
      </c>
      <c r="X4152">
        <v>0</v>
      </c>
      <c r="AE4152">
        <v>1</v>
      </c>
      <c r="AF4152">
        <v>0</v>
      </c>
      <c r="AM4152" t="s">
        <v>52</v>
      </c>
      <c r="AN4152" t="s">
        <v>53</v>
      </c>
    </row>
    <row r="4153" spans="1:40">
      <c r="A4153" t="s">
        <v>8081</v>
      </c>
      <c r="B4153" t="s">
        <v>1992</v>
      </c>
      <c r="C4153" t="s">
        <v>12791</v>
      </c>
      <c r="D4153" t="s">
        <v>12792</v>
      </c>
      <c r="E4153" t="s">
        <v>12793</v>
      </c>
      <c r="F4153" t="s">
        <v>95</v>
      </c>
      <c r="G4153" t="str">
        <f>HYPERLINK("https://www.youtube.com/watch?v=jj6E1gbddy4&amp;lc=UgzRvE46WFQCrqp6Weh4AaABAg")</f>
        <v>https://www.youtube.com/watch?v=jj6E1gbddy4&amp;lc=UgzRvE46WFQCrqp6Weh4AaABAg</v>
      </c>
      <c r="H4153" t="s">
        <v>46</v>
      </c>
      <c r="I4153" t="s">
        <v>12794</v>
      </c>
      <c r="J4153" t="str">
        <f>HYPERLINK("https://www.youtube.com/channel/UC_7HfLMhuluevhbxPNY8vaA")</f>
        <v>https://www.youtube.com/channel/UC_7HfLMhuluevhbxPNY8vaA</v>
      </c>
      <c r="K4153">
        <v>233</v>
      </c>
      <c r="N4153" t="s">
        <v>116</v>
      </c>
      <c r="O4153" t="s">
        <v>12795</v>
      </c>
      <c r="P4153" t="str">
        <f>HYPERLINK("https://www.youtube.com/channel/UCf4nJlAgSczHEN9Hkrr0vGg")</f>
        <v>https://www.youtube.com/channel/UCf4nJlAgSczHEN9Hkrr0vGg</v>
      </c>
      <c r="Q4153">
        <v>45</v>
      </c>
      <c r="R4153" t="s">
        <v>60</v>
      </c>
      <c r="S4153" t="s">
        <v>12796</v>
      </c>
      <c r="W4153">
        <v>1</v>
      </c>
      <c r="X4153">
        <v>1</v>
      </c>
      <c r="AE4153">
        <v>0</v>
      </c>
      <c r="AM4153" t="s">
        <v>52</v>
      </c>
      <c r="AN4153" t="s">
        <v>53</v>
      </c>
    </row>
    <row r="4154" spans="1:40">
      <c r="A4154" t="s">
        <v>8081</v>
      </c>
      <c r="B4154" t="s">
        <v>1996</v>
      </c>
      <c r="C4154" t="s">
        <v>12797</v>
      </c>
      <c r="D4154" t="s">
        <v>52</v>
      </c>
      <c r="E4154" t="s">
        <v>130</v>
      </c>
      <c r="F4154" t="s">
        <v>131</v>
      </c>
      <c r="G4154" t="str">
        <f>HYPERLINK("https://twitter.com/61764737/status/1142669109194297344")</f>
        <v>https://twitter.com/61764737/status/1142669109194297344</v>
      </c>
      <c r="H4154" t="s">
        <v>46</v>
      </c>
      <c r="I4154" t="s">
        <v>12798</v>
      </c>
      <c r="J4154" t="str">
        <f>HYPERLINK("http://twitter.com/enyastockton")</f>
        <v>http://twitter.com/enyastockton</v>
      </c>
      <c r="K4154">
        <v>308</v>
      </c>
      <c r="L4154" t="s">
        <v>58</v>
      </c>
      <c r="N4154" t="s">
        <v>65</v>
      </c>
      <c r="R4154" t="s">
        <v>60</v>
      </c>
      <c r="W4154">
        <v>0</v>
      </c>
      <c r="X4154">
        <v>0</v>
      </c>
      <c r="AE4154">
        <v>0</v>
      </c>
      <c r="AI4154" t="s">
        <v>108</v>
      </c>
      <c r="AJ4154" t="s">
        <v>52</v>
      </c>
      <c r="AK4154" t="s">
        <v>52</v>
      </c>
      <c r="AL4154" t="str">
        <f>HYPERLINK("https://pbs.twimg.com/media/D9XTkLWW4AAOYnJ.jpg")</f>
        <v>https://pbs.twimg.com/media/D9XTkLWW4AAOYnJ.jpg</v>
      </c>
      <c r="AM4154" t="s">
        <v>52</v>
      </c>
      <c r="AN4154" t="s">
        <v>53</v>
      </c>
    </row>
    <row r="4155" spans="1:40">
      <c r="A4155" t="s">
        <v>8081</v>
      </c>
      <c r="B4155" t="s">
        <v>2010</v>
      </c>
      <c r="C4155" t="s">
        <v>12799</v>
      </c>
      <c r="D4155" t="s">
        <v>52</v>
      </c>
      <c r="E4155" t="s">
        <v>12800</v>
      </c>
      <c r="F4155" t="s">
        <v>45</v>
      </c>
      <c r="G4155" t="str">
        <f>HYPERLINK("https://www.instagram.com/p/BzCneZnnO-9")</f>
        <v>https://www.instagram.com/p/BzCneZnnO-9</v>
      </c>
      <c r="H4155" t="s">
        <v>46</v>
      </c>
      <c r="I4155" t="s">
        <v>12801</v>
      </c>
      <c r="J4155" t="str">
        <f>HYPERLINK("http://instagram.com/shoppingalot2")</f>
        <v>http://instagram.com/shoppingalot2</v>
      </c>
      <c r="K4155">
        <v>3224</v>
      </c>
      <c r="N4155" t="s">
        <v>59</v>
      </c>
      <c r="O4155" t="s">
        <v>12801</v>
      </c>
      <c r="P4155" t="str">
        <f>HYPERLINK("http://instagram.com/shoppingalot2")</f>
        <v>http://instagram.com/shoppingalot2</v>
      </c>
      <c r="Q4155">
        <v>3224</v>
      </c>
      <c r="R4155" t="s">
        <v>60</v>
      </c>
      <c r="S4155" t="s">
        <v>315</v>
      </c>
      <c r="T4155" t="s">
        <v>8737</v>
      </c>
      <c r="U4155" t="s">
        <v>12802</v>
      </c>
      <c r="W4155">
        <v>60</v>
      </c>
      <c r="X4155">
        <v>60</v>
      </c>
      <c r="AE4155">
        <v>9</v>
      </c>
      <c r="AI4155" t="s">
        <v>108</v>
      </c>
      <c r="AJ4155" t="s">
        <v>12803</v>
      </c>
      <c r="AK4155" t="s">
        <v>52</v>
      </c>
      <c r="AL4155" t="str">
        <f>HYPERLINK("https://www.instagram.com/p/BzCneZnnO-9/media/?size=l")</f>
        <v>https://www.instagram.com/p/BzCneZnnO-9/media/?size=l</v>
      </c>
      <c r="AM4155" t="s">
        <v>52</v>
      </c>
      <c r="AN4155" t="s">
        <v>53</v>
      </c>
    </row>
    <row r="4156" spans="1:40">
      <c r="A4156" t="s">
        <v>8081</v>
      </c>
      <c r="B4156" t="s">
        <v>2010</v>
      </c>
      <c r="C4156" t="s">
        <v>12804</v>
      </c>
      <c r="D4156" t="s">
        <v>52</v>
      </c>
      <c r="E4156" t="s">
        <v>12805</v>
      </c>
      <c r="F4156" t="s">
        <v>45</v>
      </c>
      <c r="G4156" t="str">
        <f>HYPERLINK("https://twitter.com/326829403/status/1142668749167837184")</f>
        <v>https://twitter.com/326829403/status/1142668749167837184</v>
      </c>
      <c r="H4156" t="s">
        <v>46</v>
      </c>
      <c r="I4156" t="s">
        <v>3461</v>
      </c>
      <c r="J4156" t="str">
        <f>HYPERLINK("http://twitter.com/BBlondeLex")</f>
        <v>http://twitter.com/BBlondeLex</v>
      </c>
      <c r="K4156">
        <v>857</v>
      </c>
      <c r="N4156" t="s">
        <v>65</v>
      </c>
      <c r="R4156" t="s">
        <v>60</v>
      </c>
      <c r="S4156" t="s">
        <v>51</v>
      </c>
      <c r="T4156" t="s">
        <v>2822</v>
      </c>
      <c r="U4156" t="s">
        <v>2522</v>
      </c>
      <c r="W4156">
        <v>0</v>
      </c>
      <c r="X4156">
        <v>0</v>
      </c>
      <c r="AE4156">
        <v>0</v>
      </c>
      <c r="AF4156">
        <v>0</v>
      </c>
      <c r="AM4156" t="s">
        <v>52</v>
      </c>
      <c r="AN4156" t="s">
        <v>53</v>
      </c>
    </row>
    <row r="4157" spans="1:40">
      <c r="A4157" t="s">
        <v>8081</v>
      </c>
      <c r="B4157" t="s">
        <v>2010</v>
      </c>
      <c r="C4157" t="s">
        <v>12806</v>
      </c>
      <c r="D4157" t="s">
        <v>52</v>
      </c>
      <c r="E4157" t="s">
        <v>12807</v>
      </c>
      <c r="F4157" t="s">
        <v>45</v>
      </c>
      <c r="G4157" t="str">
        <f>HYPERLINK("https://twitter.com/110904616/status/1142668651046174720")</f>
        <v>https://twitter.com/110904616/status/1142668651046174720</v>
      </c>
      <c r="H4157" t="s">
        <v>46</v>
      </c>
      <c r="I4157" t="s">
        <v>12808</v>
      </c>
      <c r="J4157" t="str">
        <f>HYPERLINK("http://twitter.com/j01263")</f>
        <v>http://twitter.com/j01263</v>
      </c>
      <c r="K4157">
        <v>62</v>
      </c>
      <c r="L4157" t="s">
        <v>48</v>
      </c>
      <c r="N4157" t="s">
        <v>65</v>
      </c>
      <c r="R4157" t="s">
        <v>60</v>
      </c>
      <c r="W4157">
        <v>0</v>
      </c>
      <c r="X4157">
        <v>0</v>
      </c>
      <c r="AE4157">
        <v>0</v>
      </c>
      <c r="AF4157">
        <v>0</v>
      </c>
      <c r="AM4157" t="s">
        <v>52</v>
      </c>
      <c r="AN4157" t="s">
        <v>53</v>
      </c>
    </row>
    <row r="4158" spans="1:40">
      <c r="A4158" t="s">
        <v>8081</v>
      </c>
      <c r="B4158" t="s">
        <v>2010</v>
      </c>
      <c r="C4158" t="s">
        <v>12804</v>
      </c>
      <c r="D4158" t="s">
        <v>52</v>
      </c>
      <c r="E4158" t="s">
        <v>12809</v>
      </c>
      <c r="F4158" t="s">
        <v>131</v>
      </c>
      <c r="G4158" t="str">
        <f>HYPERLINK("https://twitter.com/17526613/status/1142668620067196928")</f>
        <v>https://twitter.com/17526613/status/1142668620067196928</v>
      </c>
      <c r="H4158" t="s">
        <v>46</v>
      </c>
      <c r="I4158" t="s">
        <v>12810</v>
      </c>
      <c r="J4158" t="str">
        <f>HYPERLINK("http://twitter.com/spikeydlux")</f>
        <v>http://twitter.com/spikeydlux</v>
      </c>
      <c r="K4158">
        <v>731</v>
      </c>
      <c r="L4158" t="s">
        <v>58</v>
      </c>
      <c r="N4158" t="s">
        <v>65</v>
      </c>
      <c r="R4158" t="s">
        <v>60</v>
      </c>
      <c r="S4158" t="s">
        <v>51</v>
      </c>
      <c r="T4158" t="s">
        <v>152</v>
      </c>
      <c r="U4158" t="s">
        <v>1958</v>
      </c>
      <c r="W4158">
        <v>0</v>
      </c>
      <c r="X4158">
        <v>0</v>
      </c>
      <c r="AE4158">
        <v>0</v>
      </c>
      <c r="AM4158" t="s">
        <v>52</v>
      </c>
      <c r="AN4158" t="s">
        <v>53</v>
      </c>
    </row>
    <row r="4159" spans="1:40">
      <c r="A4159" t="s">
        <v>8081</v>
      </c>
      <c r="B4159" t="s">
        <v>7740</v>
      </c>
      <c r="C4159" t="s">
        <v>12811</v>
      </c>
      <c r="D4159" t="s">
        <v>52</v>
      </c>
      <c r="E4159" t="s">
        <v>12812</v>
      </c>
      <c r="F4159" t="s">
        <v>131</v>
      </c>
      <c r="G4159" t="str">
        <f>HYPERLINK("https://twitter.com/1029903786108542976/status/1142668587414380544")</f>
        <v>https://twitter.com/1029903786108542976/status/1142668587414380544</v>
      </c>
      <c r="H4159" t="s">
        <v>46</v>
      </c>
      <c r="I4159" t="s">
        <v>12813</v>
      </c>
      <c r="J4159" t="str">
        <f>HYPERLINK("http://twitter.com/Sometallwhited1")</f>
        <v>http://twitter.com/Sometallwhited1</v>
      </c>
      <c r="K4159">
        <v>133</v>
      </c>
      <c r="N4159" t="s">
        <v>65</v>
      </c>
      <c r="R4159" t="s">
        <v>60</v>
      </c>
      <c r="W4159">
        <v>0</v>
      </c>
      <c r="X4159">
        <v>0</v>
      </c>
      <c r="AE4159">
        <v>0</v>
      </c>
      <c r="AM4159" t="s">
        <v>52</v>
      </c>
      <c r="AN4159" t="s">
        <v>53</v>
      </c>
    </row>
    <row r="4160" spans="1:40">
      <c r="A4160" t="s">
        <v>8081</v>
      </c>
      <c r="B4160" t="s">
        <v>7740</v>
      </c>
      <c r="C4160" t="s">
        <v>12763</v>
      </c>
      <c r="D4160" t="s">
        <v>52</v>
      </c>
      <c r="E4160" t="s">
        <v>12812</v>
      </c>
      <c r="F4160" t="s">
        <v>95</v>
      </c>
      <c r="G4160" t="str">
        <f>HYPERLINK("https://twitter.com/1029903786108542976/status/1142668565855608834")</f>
        <v>https://twitter.com/1029903786108542976/status/1142668565855608834</v>
      </c>
      <c r="H4160" t="s">
        <v>46</v>
      </c>
      <c r="I4160" t="s">
        <v>12813</v>
      </c>
      <c r="J4160" t="str">
        <f>HYPERLINK("http://twitter.com/Sometallwhited1")</f>
        <v>http://twitter.com/Sometallwhited1</v>
      </c>
      <c r="K4160">
        <v>133</v>
      </c>
      <c r="N4160" t="s">
        <v>65</v>
      </c>
      <c r="R4160" t="s">
        <v>60</v>
      </c>
      <c r="W4160">
        <v>1</v>
      </c>
      <c r="X4160">
        <v>1</v>
      </c>
      <c r="AE4160">
        <v>0</v>
      </c>
      <c r="AF4160">
        <v>1</v>
      </c>
      <c r="AM4160" t="s">
        <v>52</v>
      </c>
      <c r="AN4160" t="s">
        <v>53</v>
      </c>
    </row>
    <row r="4161" spans="1:40">
      <c r="A4161" t="s">
        <v>8081</v>
      </c>
      <c r="B4161" t="s">
        <v>7740</v>
      </c>
      <c r="C4161" t="s">
        <v>12787</v>
      </c>
      <c r="D4161" t="s">
        <v>52</v>
      </c>
      <c r="E4161" t="s">
        <v>526</v>
      </c>
      <c r="F4161" t="s">
        <v>131</v>
      </c>
      <c r="G4161" t="str">
        <f>HYPERLINK("https://twitter.com/152039463/status/1142668465372712962")</f>
        <v>https://twitter.com/152039463/status/1142668465372712962</v>
      </c>
      <c r="H4161" t="s">
        <v>46</v>
      </c>
      <c r="I4161" t="s">
        <v>12814</v>
      </c>
      <c r="J4161" t="str">
        <f>HYPERLINK("http://twitter.com/pelitozzz")</f>
        <v>http://twitter.com/pelitozzz</v>
      </c>
      <c r="K4161">
        <v>70</v>
      </c>
      <c r="L4161" t="s">
        <v>58</v>
      </c>
      <c r="N4161" t="s">
        <v>65</v>
      </c>
      <c r="R4161" t="s">
        <v>60</v>
      </c>
      <c r="W4161">
        <v>0</v>
      </c>
      <c r="X4161">
        <v>0</v>
      </c>
      <c r="AE4161">
        <v>0</v>
      </c>
      <c r="AI4161" t="s">
        <v>108</v>
      </c>
      <c r="AJ4161" t="s">
        <v>52</v>
      </c>
      <c r="AK4161" t="s">
        <v>52</v>
      </c>
      <c r="AL4161" t="str">
        <f>HYPERLINK("https://pbs.twimg.com/ext_tw_video_thumb/1141360066962100224/pu/img/5_tGc4hLFQwcD07b.jpg")</f>
        <v>https://pbs.twimg.com/ext_tw_video_thumb/1141360066962100224/pu/img/5_tGc4hLFQwcD07b.jpg</v>
      </c>
      <c r="AM4161" t="s">
        <v>52</v>
      </c>
      <c r="AN4161" t="s">
        <v>53</v>
      </c>
    </row>
    <row r="4162" spans="1:40">
      <c r="A4162" t="s">
        <v>8081</v>
      </c>
      <c r="B4162" t="s">
        <v>7740</v>
      </c>
      <c r="C4162" t="s">
        <v>12815</v>
      </c>
      <c r="D4162" t="s">
        <v>52</v>
      </c>
      <c r="E4162" t="s">
        <v>12816</v>
      </c>
      <c r="F4162" t="s">
        <v>131</v>
      </c>
      <c r="G4162" t="str">
        <f>HYPERLINK("https://twitter.com/1029903786108542976/status/1142668456459849729")</f>
        <v>https://twitter.com/1029903786108542976/status/1142668456459849729</v>
      </c>
      <c r="H4162" t="s">
        <v>46</v>
      </c>
      <c r="I4162" t="s">
        <v>12813</v>
      </c>
      <c r="J4162" t="str">
        <f>HYPERLINK("http://twitter.com/Sometallwhited1")</f>
        <v>http://twitter.com/Sometallwhited1</v>
      </c>
      <c r="K4162">
        <v>133</v>
      </c>
      <c r="N4162" t="s">
        <v>65</v>
      </c>
      <c r="R4162" t="s">
        <v>60</v>
      </c>
      <c r="W4162">
        <v>0</v>
      </c>
      <c r="X4162">
        <v>0</v>
      </c>
      <c r="AE4162">
        <v>0</v>
      </c>
      <c r="AM4162" t="s">
        <v>52</v>
      </c>
      <c r="AN4162" t="s">
        <v>53</v>
      </c>
    </row>
    <row r="4163" spans="1:40">
      <c r="A4163" t="s">
        <v>8081</v>
      </c>
      <c r="B4163" t="s">
        <v>7740</v>
      </c>
      <c r="C4163" t="s">
        <v>12787</v>
      </c>
      <c r="D4163" t="s">
        <v>52</v>
      </c>
      <c r="E4163" t="s">
        <v>12816</v>
      </c>
      <c r="F4163" t="s">
        <v>95</v>
      </c>
      <c r="G4163" t="str">
        <f>HYPERLINK("https://twitter.com/1029903786108542976/status/1142668419231207424")</f>
        <v>https://twitter.com/1029903786108542976/status/1142668419231207424</v>
      </c>
      <c r="H4163" t="s">
        <v>46</v>
      </c>
      <c r="I4163" t="s">
        <v>12813</v>
      </c>
      <c r="J4163" t="str">
        <f>HYPERLINK("http://twitter.com/Sometallwhited1")</f>
        <v>http://twitter.com/Sometallwhited1</v>
      </c>
      <c r="K4163">
        <v>133</v>
      </c>
      <c r="N4163" t="s">
        <v>65</v>
      </c>
      <c r="R4163" t="s">
        <v>60</v>
      </c>
      <c r="W4163">
        <v>0</v>
      </c>
      <c r="X4163">
        <v>0</v>
      </c>
      <c r="AE4163">
        <v>0</v>
      </c>
      <c r="AF4163">
        <v>0</v>
      </c>
      <c r="AM4163" t="s">
        <v>52</v>
      </c>
      <c r="AN4163" t="s">
        <v>53</v>
      </c>
    </row>
    <row r="4164" spans="1:40">
      <c r="A4164" t="s">
        <v>8081</v>
      </c>
      <c r="B4164" t="s">
        <v>7749</v>
      </c>
      <c r="C4164" t="s">
        <v>12760</v>
      </c>
      <c r="D4164" t="s">
        <v>52</v>
      </c>
      <c r="E4164" t="s">
        <v>12817</v>
      </c>
      <c r="F4164" t="s">
        <v>45</v>
      </c>
      <c r="G4164" t="str">
        <f>HYPERLINK("https://www.instagram.com/p/BzCnKdUDoua")</f>
        <v>https://www.instagram.com/p/BzCnKdUDoua</v>
      </c>
      <c r="H4164" t="s">
        <v>46</v>
      </c>
      <c r="I4164" t="s">
        <v>12818</v>
      </c>
      <c r="J4164" t="str">
        <f>HYPERLINK("http://instagram.com/getfitcuzyoutheshit")</f>
        <v>http://instagram.com/getfitcuzyoutheshit</v>
      </c>
      <c r="K4164">
        <v>336</v>
      </c>
      <c r="L4164" t="s">
        <v>58</v>
      </c>
      <c r="N4164" t="s">
        <v>59</v>
      </c>
      <c r="O4164" t="s">
        <v>12818</v>
      </c>
      <c r="P4164" t="str">
        <f>HYPERLINK("http://instagram.com/getfitcuzyoutheshit")</f>
        <v>http://instagram.com/getfitcuzyoutheshit</v>
      </c>
      <c r="Q4164">
        <v>336</v>
      </c>
      <c r="R4164" t="s">
        <v>60</v>
      </c>
      <c r="S4164" t="s">
        <v>51</v>
      </c>
      <c r="T4164" t="s">
        <v>173</v>
      </c>
      <c r="U4164" t="s">
        <v>12819</v>
      </c>
      <c r="W4164">
        <v>20</v>
      </c>
      <c r="X4164">
        <v>20</v>
      </c>
      <c r="AE4164">
        <v>2</v>
      </c>
      <c r="AI4164" t="s">
        <v>108</v>
      </c>
      <c r="AJ4164" t="s">
        <v>985</v>
      </c>
      <c r="AK4164" t="s">
        <v>52</v>
      </c>
      <c r="AL4164" t="str">
        <f>HYPERLINK("https://www.instagram.com/p/BzCnKdUDoua/media/?size=l")</f>
        <v>https://www.instagram.com/p/BzCnKdUDoua/media/?size=l</v>
      </c>
      <c r="AM4164" t="s">
        <v>52</v>
      </c>
      <c r="AN4164" t="s">
        <v>53</v>
      </c>
    </row>
    <row r="4165" spans="1:40">
      <c r="A4165" t="s">
        <v>8081</v>
      </c>
      <c r="B4165" t="s">
        <v>12820</v>
      </c>
      <c r="C4165" t="s">
        <v>12821</v>
      </c>
      <c r="D4165" t="s">
        <v>52</v>
      </c>
      <c r="E4165" t="s">
        <v>526</v>
      </c>
      <c r="F4165" t="s">
        <v>131</v>
      </c>
      <c r="G4165" t="str">
        <f>HYPERLINK("https://twitter.com/863944076529291265/status/1142667446018613258")</f>
        <v>https://twitter.com/863944076529291265/status/1142667446018613258</v>
      </c>
      <c r="H4165" t="s">
        <v>46</v>
      </c>
      <c r="I4165" t="s">
        <v>12822</v>
      </c>
      <c r="J4165" t="str">
        <f>HYPERLINK("http://twitter.com/RafaelCapxd")</f>
        <v>http://twitter.com/RafaelCapxd</v>
      </c>
      <c r="K4165">
        <v>15</v>
      </c>
      <c r="L4165" t="s">
        <v>48</v>
      </c>
      <c r="N4165" t="s">
        <v>65</v>
      </c>
      <c r="R4165" t="s">
        <v>60</v>
      </c>
      <c r="W4165">
        <v>0</v>
      </c>
      <c r="X4165">
        <v>0</v>
      </c>
      <c r="AE4165">
        <v>0</v>
      </c>
      <c r="AI4165" t="s">
        <v>108</v>
      </c>
      <c r="AJ4165" t="s">
        <v>52</v>
      </c>
      <c r="AK4165" t="s">
        <v>52</v>
      </c>
      <c r="AL4165" t="str">
        <f>HYPERLINK("https://pbs.twimg.com/ext_tw_video_thumb/1141360066962100224/pu/img/5_tGc4hLFQwcD07b.jpg")</f>
        <v>https://pbs.twimg.com/ext_tw_video_thumb/1141360066962100224/pu/img/5_tGc4hLFQwcD07b.jpg</v>
      </c>
      <c r="AM4165" t="s">
        <v>52</v>
      </c>
      <c r="AN4165" t="s">
        <v>53</v>
      </c>
    </row>
    <row r="4166" spans="1:40">
      <c r="A4166" t="s">
        <v>8081</v>
      </c>
      <c r="B4166" t="s">
        <v>2028</v>
      </c>
      <c r="C4166" t="s">
        <v>12823</v>
      </c>
      <c r="D4166" t="s">
        <v>52</v>
      </c>
      <c r="E4166" t="s">
        <v>12824</v>
      </c>
      <c r="F4166" t="s">
        <v>45</v>
      </c>
      <c r="G4166" t="str">
        <f>HYPERLINK("https://twitter.com/1140288463402459136/status/1142667082410020864")</f>
        <v>https://twitter.com/1140288463402459136/status/1142667082410020864</v>
      </c>
      <c r="H4166" t="s">
        <v>46</v>
      </c>
      <c r="I4166" t="s">
        <v>12825</v>
      </c>
      <c r="J4166" t="str">
        <f>HYPERLINK("http://twitter.com/Serendipityist1")</f>
        <v>http://twitter.com/Serendipityist1</v>
      </c>
      <c r="K4166">
        <v>3</v>
      </c>
      <c r="N4166" t="s">
        <v>65</v>
      </c>
      <c r="R4166" t="s">
        <v>60</v>
      </c>
      <c r="W4166">
        <v>1</v>
      </c>
      <c r="X4166">
        <v>1</v>
      </c>
      <c r="AE4166">
        <v>0</v>
      </c>
      <c r="AF4166">
        <v>0</v>
      </c>
      <c r="AM4166" t="s">
        <v>52</v>
      </c>
      <c r="AN4166" t="s">
        <v>53</v>
      </c>
    </row>
    <row r="4167" spans="1:40">
      <c r="A4167" t="s">
        <v>8081</v>
      </c>
      <c r="B4167" t="s">
        <v>7759</v>
      </c>
      <c r="C4167" t="s">
        <v>12826</v>
      </c>
      <c r="D4167" t="s">
        <v>52</v>
      </c>
      <c r="E4167" t="s">
        <v>12827</v>
      </c>
      <c r="F4167" t="s">
        <v>45</v>
      </c>
      <c r="G4167" t="str">
        <f>HYPERLINK("https://www.instagram.com/p/BzCmiJBgD4e")</f>
        <v>https://www.instagram.com/p/BzCmiJBgD4e</v>
      </c>
      <c r="H4167" t="s">
        <v>46</v>
      </c>
      <c r="I4167" t="s">
        <v>12828</v>
      </c>
      <c r="J4167" t="str">
        <f>HYPERLINK("http://instagram.com/mood_random_")</f>
        <v>http://instagram.com/mood_random_</v>
      </c>
      <c r="K4167">
        <v>17</v>
      </c>
      <c r="N4167" t="s">
        <v>59</v>
      </c>
      <c r="O4167" t="s">
        <v>12828</v>
      </c>
      <c r="P4167" t="str">
        <f>HYPERLINK("http://instagram.com/mood_random_")</f>
        <v>http://instagram.com/mood_random_</v>
      </c>
      <c r="Q4167">
        <v>17</v>
      </c>
      <c r="R4167" t="s">
        <v>60</v>
      </c>
      <c r="W4167">
        <v>11</v>
      </c>
      <c r="X4167">
        <v>11</v>
      </c>
      <c r="AE4167">
        <v>0</v>
      </c>
      <c r="AI4167" t="s">
        <v>108</v>
      </c>
      <c r="AJ4167" t="s">
        <v>12829</v>
      </c>
      <c r="AK4167" t="s">
        <v>52</v>
      </c>
      <c r="AL4167" t="str">
        <f>HYPERLINK("https://www.instagram.com/p/BzCmiJBgD4e/media/?size=l")</f>
        <v>https://www.instagram.com/p/BzCmiJBgD4e/media/?size=l</v>
      </c>
      <c r="AM4167" t="s">
        <v>52</v>
      </c>
      <c r="AN4167" t="s">
        <v>53</v>
      </c>
    </row>
    <row r="4168" spans="1:40">
      <c r="A4168" t="s">
        <v>8081</v>
      </c>
      <c r="B4168" t="s">
        <v>2032</v>
      </c>
      <c r="C4168" t="s">
        <v>12830</v>
      </c>
      <c r="D4168" t="s">
        <v>52</v>
      </c>
      <c r="E4168" t="s">
        <v>12831</v>
      </c>
      <c r="F4168" t="s">
        <v>71</v>
      </c>
      <c r="G4168" t="str">
        <f>HYPERLINK("https://twitter.com/446535036/status/1142666443894525953")</f>
        <v>https://twitter.com/446535036/status/1142666443894525953</v>
      </c>
      <c r="H4168" t="s">
        <v>215</v>
      </c>
      <c r="I4168" t="s">
        <v>12832</v>
      </c>
      <c r="J4168" t="str">
        <f>HYPERLINK("http://twitter.com/its_Novl")</f>
        <v>http://twitter.com/its_Novl</v>
      </c>
      <c r="K4168">
        <v>404</v>
      </c>
      <c r="N4168" t="s">
        <v>65</v>
      </c>
      <c r="R4168" t="s">
        <v>60</v>
      </c>
      <c r="W4168">
        <v>0</v>
      </c>
      <c r="X4168">
        <v>0</v>
      </c>
      <c r="AE4168">
        <v>0</v>
      </c>
      <c r="AF4168">
        <v>0</v>
      </c>
      <c r="AI4168" t="s">
        <v>108</v>
      </c>
      <c r="AJ4168" t="s">
        <v>4898</v>
      </c>
      <c r="AK4168" t="s">
        <v>52</v>
      </c>
      <c r="AL4168" t="str">
        <f>HYPERLINK("https://pbs.twimg.com/ext_tw_video_thumb/1139606642172026880/pu/img/s5GpULKAthC14gHN.jpg")</f>
        <v>https://pbs.twimg.com/ext_tw_video_thumb/1139606642172026880/pu/img/s5GpULKAthC14gHN.jpg</v>
      </c>
      <c r="AM4168" t="s">
        <v>52</v>
      </c>
      <c r="AN4168" t="s">
        <v>53</v>
      </c>
    </row>
    <row r="4169" spans="1:40">
      <c r="A4169" t="s">
        <v>8081</v>
      </c>
      <c r="B4169" t="s">
        <v>2037</v>
      </c>
      <c r="C4169" t="s">
        <v>12830</v>
      </c>
      <c r="D4169" t="s">
        <v>52</v>
      </c>
      <c r="E4169" t="s">
        <v>12833</v>
      </c>
      <c r="F4169" t="s">
        <v>45</v>
      </c>
      <c r="G4169" t="str">
        <f>HYPERLINK("https://www.instagram.com/p/BzCmUOsFYZE")</f>
        <v>https://www.instagram.com/p/BzCmUOsFYZE</v>
      </c>
      <c r="H4169" t="s">
        <v>46</v>
      </c>
      <c r="I4169" t="s">
        <v>12834</v>
      </c>
      <c r="J4169" t="str">
        <f>HYPERLINK("http://instagram.com/bigbootydoggo")</f>
        <v>http://instagram.com/bigbootydoggo</v>
      </c>
      <c r="K4169">
        <v>155</v>
      </c>
      <c r="N4169" t="s">
        <v>59</v>
      </c>
      <c r="O4169" t="s">
        <v>12834</v>
      </c>
      <c r="P4169" t="str">
        <f>HYPERLINK("http://instagram.com/bigbootydoggo")</f>
        <v>http://instagram.com/bigbootydoggo</v>
      </c>
      <c r="Q4169">
        <v>155</v>
      </c>
      <c r="R4169" t="s">
        <v>60</v>
      </c>
      <c r="W4169">
        <v>33</v>
      </c>
      <c r="X4169">
        <v>33</v>
      </c>
      <c r="AE4169">
        <v>0</v>
      </c>
      <c r="AI4169" t="s">
        <v>52</v>
      </c>
      <c r="AJ4169" t="s">
        <v>52</v>
      </c>
      <c r="AK4169" t="s">
        <v>52</v>
      </c>
      <c r="AL4169" t="str">
        <f>HYPERLINK("https://www.instagram.com/p/BzCmUOsFYZE/media/?size=l")</f>
        <v>https://www.instagram.com/p/BzCmUOsFYZE/media/?size=l</v>
      </c>
      <c r="AM4169" t="s">
        <v>52</v>
      </c>
      <c r="AN4169" t="s">
        <v>53</v>
      </c>
    </row>
    <row r="4170" spans="1:40">
      <c r="A4170" t="s">
        <v>8081</v>
      </c>
      <c r="B4170" t="s">
        <v>2054</v>
      </c>
      <c r="C4170" t="s">
        <v>12835</v>
      </c>
      <c r="D4170" t="s">
        <v>52</v>
      </c>
      <c r="E4170" t="s">
        <v>12836</v>
      </c>
      <c r="F4170" t="s">
        <v>71</v>
      </c>
      <c r="G4170" t="str">
        <f>HYPERLINK("https://twitter.com/22321439/status/1142665403879104513")</f>
        <v>https://twitter.com/22321439/status/1142665403879104513</v>
      </c>
      <c r="H4170" t="s">
        <v>46</v>
      </c>
      <c r="I4170" t="s">
        <v>12837</v>
      </c>
      <c r="J4170" t="str">
        <f>HYPERLINK("http://twitter.com/KhaiiTheGreat")</f>
        <v>http://twitter.com/KhaiiTheGreat</v>
      </c>
      <c r="K4170">
        <v>1306</v>
      </c>
      <c r="N4170" t="s">
        <v>65</v>
      </c>
      <c r="R4170" t="s">
        <v>60</v>
      </c>
      <c r="S4170" t="s">
        <v>51</v>
      </c>
      <c r="T4170" t="s">
        <v>3312</v>
      </c>
      <c r="U4170" t="s">
        <v>3313</v>
      </c>
      <c r="W4170">
        <v>0</v>
      </c>
      <c r="X4170">
        <v>0</v>
      </c>
      <c r="AE4170">
        <v>1</v>
      </c>
      <c r="AF4170">
        <v>0</v>
      </c>
      <c r="AM4170" t="s">
        <v>52</v>
      </c>
      <c r="AN4170" t="s">
        <v>53</v>
      </c>
    </row>
    <row r="4171" spans="1:40">
      <c r="A4171" t="s">
        <v>8081</v>
      </c>
      <c r="B4171" t="s">
        <v>2054</v>
      </c>
      <c r="C4171" t="s">
        <v>12838</v>
      </c>
      <c r="D4171" t="s">
        <v>52</v>
      </c>
      <c r="E4171" t="s">
        <v>526</v>
      </c>
      <c r="F4171" t="s">
        <v>131</v>
      </c>
      <c r="G4171" t="str">
        <f>HYPERLINK("https://twitter.com/949175481106022400/status/1142665352846827521")</f>
        <v>https://twitter.com/949175481106022400/status/1142665352846827521</v>
      </c>
      <c r="H4171" t="s">
        <v>46</v>
      </c>
      <c r="I4171" t="s">
        <v>12839</v>
      </c>
      <c r="J4171" t="str">
        <f>HYPERLINK("http://twitter.com/the_good_shit_3")</f>
        <v>http://twitter.com/the_good_shit_3</v>
      </c>
      <c r="K4171">
        <v>66</v>
      </c>
      <c r="L4171" t="s">
        <v>58</v>
      </c>
      <c r="N4171" t="s">
        <v>65</v>
      </c>
      <c r="R4171" t="s">
        <v>60</v>
      </c>
      <c r="S4171" t="s">
        <v>226</v>
      </c>
      <c r="T4171" t="s">
        <v>8136</v>
      </c>
      <c r="U4171" t="s">
        <v>8137</v>
      </c>
      <c r="W4171">
        <v>0</v>
      </c>
      <c r="X4171">
        <v>0</v>
      </c>
      <c r="AE4171">
        <v>0</v>
      </c>
      <c r="AI4171" t="s">
        <v>108</v>
      </c>
      <c r="AJ4171" t="s">
        <v>52</v>
      </c>
      <c r="AK4171" t="s">
        <v>52</v>
      </c>
      <c r="AL4171" t="str">
        <f>HYPERLINK("https://pbs.twimg.com/ext_tw_video_thumb/1141360066962100224/pu/img/5_tGc4hLFQwcD07b.jpg")</f>
        <v>https://pbs.twimg.com/ext_tw_video_thumb/1141360066962100224/pu/img/5_tGc4hLFQwcD07b.jpg</v>
      </c>
      <c r="AM4171" t="s">
        <v>52</v>
      </c>
      <c r="AN4171" t="s">
        <v>53</v>
      </c>
    </row>
    <row r="4172" spans="1:40">
      <c r="A4172" t="s">
        <v>8081</v>
      </c>
      <c r="B4172" t="s">
        <v>2058</v>
      </c>
      <c r="C4172" t="s">
        <v>12840</v>
      </c>
      <c r="D4172" t="s">
        <v>52</v>
      </c>
      <c r="E4172" t="s">
        <v>10279</v>
      </c>
      <c r="F4172" t="s">
        <v>45</v>
      </c>
      <c r="G4172" t="str">
        <f>HYPERLINK("https://twitter.com/3243771342/status/1142665204154585089")</f>
        <v>https://twitter.com/3243771342/status/1142665204154585089</v>
      </c>
      <c r="H4172" t="s">
        <v>46</v>
      </c>
      <c r="I4172" t="s">
        <v>12841</v>
      </c>
      <c r="J4172" t="str">
        <f>HYPERLINK("http://twitter.com/qu3chid0")</f>
        <v>http://twitter.com/qu3chid0</v>
      </c>
      <c r="K4172">
        <v>45</v>
      </c>
      <c r="N4172" t="s">
        <v>65</v>
      </c>
      <c r="R4172" t="s">
        <v>60</v>
      </c>
      <c r="W4172">
        <v>5</v>
      </c>
      <c r="X4172">
        <v>5</v>
      </c>
      <c r="AE4172">
        <v>1</v>
      </c>
      <c r="AF4172">
        <v>2</v>
      </c>
      <c r="AM4172" t="s">
        <v>52</v>
      </c>
      <c r="AN4172" t="s">
        <v>53</v>
      </c>
    </row>
    <row r="4173" spans="1:40">
      <c r="A4173" t="s">
        <v>8081</v>
      </c>
      <c r="B4173" t="s">
        <v>2058</v>
      </c>
      <c r="C4173" t="s">
        <v>12842</v>
      </c>
      <c r="D4173" t="s">
        <v>52</v>
      </c>
      <c r="E4173" t="s">
        <v>12843</v>
      </c>
      <c r="F4173" t="s">
        <v>71</v>
      </c>
      <c r="G4173" t="str">
        <f>HYPERLINK("https://twitter.com/382454800/status/1142665189063626752")</f>
        <v>https://twitter.com/382454800/status/1142665189063626752</v>
      </c>
      <c r="H4173" t="s">
        <v>46</v>
      </c>
      <c r="I4173" t="s">
        <v>12844</v>
      </c>
      <c r="J4173" t="str">
        <f>HYPERLINK("http://twitter.com/WhiteWineMami6x")</f>
        <v>http://twitter.com/WhiteWineMami6x</v>
      </c>
      <c r="K4173">
        <v>1538</v>
      </c>
      <c r="N4173" t="s">
        <v>65</v>
      </c>
      <c r="R4173" t="s">
        <v>60</v>
      </c>
      <c r="S4173" t="s">
        <v>51</v>
      </c>
      <c r="T4173" t="s">
        <v>1657</v>
      </c>
      <c r="U4173" t="s">
        <v>3215</v>
      </c>
      <c r="W4173">
        <v>0</v>
      </c>
      <c r="X4173">
        <v>0</v>
      </c>
      <c r="AE4173">
        <v>0</v>
      </c>
      <c r="AF4173">
        <v>0</v>
      </c>
      <c r="AI4173" t="s">
        <v>9946</v>
      </c>
      <c r="AJ4173" t="s">
        <v>52</v>
      </c>
      <c r="AK4173" t="s">
        <v>9947</v>
      </c>
      <c r="AL4173" t="str">
        <f>HYPERLINK("https://pbs.twimg.com/media/D9uMOS6WsAEYqLz.jpg")</f>
        <v>https://pbs.twimg.com/media/D9uMOS6WsAEYqLz.jpg</v>
      </c>
      <c r="AM4173" t="s">
        <v>52</v>
      </c>
      <c r="AN4173" t="s">
        <v>53</v>
      </c>
    </row>
    <row r="4174" spans="1:40">
      <c r="A4174" t="s">
        <v>8081</v>
      </c>
      <c r="B4174" t="s">
        <v>2084</v>
      </c>
      <c r="C4174" t="s">
        <v>12845</v>
      </c>
      <c r="D4174" t="s">
        <v>52</v>
      </c>
      <c r="E4174" t="s">
        <v>12846</v>
      </c>
      <c r="F4174" t="s">
        <v>95</v>
      </c>
      <c r="G4174" t="str">
        <f>HYPERLINK("https://twitter.com/137152481/status/1142664578490200064")</f>
        <v>https://twitter.com/137152481/status/1142664578490200064</v>
      </c>
      <c r="H4174" t="s">
        <v>46</v>
      </c>
      <c r="I4174" t="s">
        <v>12847</v>
      </c>
      <c r="J4174" t="str">
        <f>HYPERLINK("http://twitter.com/iNCREDiPiNOY")</f>
        <v>http://twitter.com/iNCREDiPiNOY</v>
      </c>
      <c r="K4174">
        <v>1319</v>
      </c>
      <c r="N4174" t="s">
        <v>65</v>
      </c>
      <c r="R4174" t="s">
        <v>60</v>
      </c>
      <c r="S4174" t="s">
        <v>51</v>
      </c>
      <c r="T4174" t="s">
        <v>173</v>
      </c>
      <c r="U4174" t="s">
        <v>1214</v>
      </c>
      <c r="W4174">
        <v>0</v>
      </c>
      <c r="X4174">
        <v>0</v>
      </c>
      <c r="AE4174">
        <v>0</v>
      </c>
      <c r="AF4174">
        <v>0</v>
      </c>
      <c r="AM4174" t="s">
        <v>52</v>
      </c>
      <c r="AN4174" t="s">
        <v>53</v>
      </c>
    </row>
    <row r="4175" spans="1:40">
      <c r="A4175" t="s">
        <v>8081</v>
      </c>
      <c r="B4175" t="s">
        <v>2084</v>
      </c>
      <c r="C4175" t="s">
        <v>12815</v>
      </c>
      <c r="D4175" t="s">
        <v>52</v>
      </c>
      <c r="E4175" t="s">
        <v>12848</v>
      </c>
      <c r="F4175" t="s">
        <v>45</v>
      </c>
      <c r="G4175" t="str">
        <f>HYPERLINK("https://www.instagram.com/p/BzClgh3lnpr")</f>
        <v>https://www.instagram.com/p/BzClgh3lnpr</v>
      </c>
      <c r="H4175" t="s">
        <v>46</v>
      </c>
      <c r="I4175" t="s">
        <v>12259</v>
      </c>
      <c r="J4175" t="str">
        <f>HYPERLINK("http://instagram.com/24sevenin")</f>
        <v>http://instagram.com/24sevenin</v>
      </c>
      <c r="K4175">
        <v>4640</v>
      </c>
      <c r="N4175" t="s">
        <v>59</v>
      </c>
      <c r="O4175" t="s">
        <v>12259</v>
      </c>
      <c r="P4175" t="str">
        <f>HYPERLINK("http://instagram.com/24sevenin")</f>
        <v>http://instagram.com/24sevenin</v>
      </c>
      <c r="Q4175">
        <v>4640</v>
      </c>
      <c r="R4175" t="s">
        <v>60</v>
      </c>
      <c r="S4175" t="s">
        <v>315</v>
      </c>
      <c r="T4175" t="s">
        <v>7335</v>
      </c>
      <c r="U4175" t="s">
        <v>7336</v>
      </c>
      <c r="W4175">
        <v>683</v>
      </c>
      <c r="X4175">
        <v>683</v>
      </c>
      <c r="AE4175">
        <v>5</v>
      </c>
      <c r="AI4175" t="s">
        <v>1875</v>
      </c>
      <c r="AJ4175" t="s">
        <v>12261</v>
      </c>
      <c r="AK4175" t="s">
        <v>52</v>
      </c>
      <c r="AL4175" t="str">
        <f>HYPERLINK("https://www.instagram.com/p/BzClgh3lnpr/media/?size=l")</f>
        <v>https://www.instagram.com/p/BzClgh3lnpr/media/?size=l</v>
      </c>
      <c r="AM4175" t="s">
        <v>52</v>
      </c>
      <c r="AN4175" t="s">
        <v>53</v>
      </c>
    </row>
    <row r="4176" spans="1:40">
      <c r="A4176" t="s">
        <v>8081</v>
      </c>
      <c r="B4176" t="s">
        <v>2084</v>
      </c>
      <c r="C4176" t="s">
        <v>12849</v>
      </c>
      <c r="D4176" t="s">
        <v>52</v>
      </c>
      <c r="E4176" t="s">
        <v>12850</v>
      </c>
      <c r="F4176" t="s">
        <v>95</v>
      </c>
      <c r="G4176" t="str">
        <f>HYPERLINK("https://twitter.com/3319620949/status/1142664423896522752")</f>
        <v>https://twitter.com/3319620949/status/1142664423896522752</v>
      </c>
      <c r="H4176" t="s">
        <v>46</v>
      </c>
      <c r="I4176" t="s">
        <v>12851</v>
      </c>
      <c r="J4176" t="str">
        <f>HYPERLINK("http://twitter.com/SanDiegoGeekdom")</f>
        <v>http://twitter.com/SanDiegoGeekdom</v>
      </c>
      <c r="K4176">
        <v>52</v>
      </c>
      <c r="L4176" t="s">
        <v>48</v>
      </c>
      <c r="N4176" t="s">
        <v>65</v>
      </c>
      <c r="R4176" t="s">
        <v>60</v>
      </c>
      <c r="S4176" t="s">
        <v>51</v>
      </c>
      <c r="T4176" t="s">
        <v>173</v>
      </c>
      <c r="U4176" t="s">
        <v>3886</v>
      </c>
      <c r="W4176">
        <v>2</v>
      </c>
      <c r="X4176">
        <v>2</v>
      </c>
      <c r="AE4176">
        <v>0</v>
      </c>
      <c r="AF4176">
        <v>0</v>
      </c>
      <c r="AM4176" t="s">
        <v>52</v>
      </c>
      <c r="AN4176" t="s">
        <v>53</v>
      </c>
    </row>
    <row r="4177" spans="1:40">
      <c r="A4177" t="s">
        <v>8081</v>
      </c>
      <c r="B4177" t="s">
        <v>2084</v>
      </c>
      <c r="C4177" t="s">
        <v>12852</v>
      </c>
      <c r="D4177" t="s">
        <v>52</v>
      </c>
      <c r="E4177" t="s">
        <v>12853</v>
      </c>
      <c r="F4177" t="s">
        <v>45</v>
      </c>
      <c r="G4177" t="str">
        <f>HYPERLINK("https://www.facebook.com/574459499231998/posts/2591623014182293")</f>
        <v>https://www.facebook.com/574459499231998/posts/2591623014182293</v>
      </c>
      <c r="H4177" t="s">
        <v>46</v>
      </c>
      <c r="I4177" t="s">
        <v>12259</v>
      </c>
      <c r="J4177" t="str">
        <f>HYPERLINK("https://www.facebook.com/574459499231998")</f>
        <v>https://www.facebook.com/574459499231998</v>
      </c>
      <c r="K4177">
        <v>68110</v>
      </c>
      <c r="L4177" t="s">
        <v>651</v>
      </c>
      <c r="N4177" t="s">
        <v>1792</v>
      </c>
      <c r="O4177" t="s">
        <v>12259</v>
      </c>
      <c r="P4177" t="str">
        <f>HYPERLINK("https://www.facebook.com/574459499231998")</f>
        <v>https://www.facebook.com/574459499231998</v>
      </c>
      <c r="Q4177">
        <v>68110</v>
      </c>
      <c r="R4177" t="s">
        <v>60</v>
      </c>
      <c r="S4177" t="s">
        <v>315</v>
      </c>
      <c r="W4177">
        <v>74</v>
      </c>
      <c r="X4177">
        <v>73</v>
      </c>
      <c r="Y4177">
        <v>1</v>
      </c>
      <c r="Z4177">
        <v>0</v>
      </c>
      <c r="AA4177">
        <v>0</v>
      </c>
      <c r="AB4177">
        <v>0</v>
      </c>
      <c r="AC4177">
        <v>0</v>
      </c>
      <c r="AE4177">
        <v>10</v>
      </c>
      <c r="AF4177">
        <v>2</v>
      </c>
      <c r="AI4177" t="s">
        <v>1875</v>
      </c>
      <c r="AJ4177" t="s">
        <v>12261</v>
      </c>
      <c r="AK4177" t="s">
        <v>52</v>
      </c>
      <c r="AL4177" t="str">
        <f>HYPERLINK("https://scontent.xx.fbcdn.net/v/t1.0-9/p720x720/64910663_2591622940848967_3317642617302286336_o.jpg?_nc_cat=104&amp;_nc_oc=AQmqk6FQEXuP-ate2JOhkfPnh191wEGc1ympPhol74ULbBjI_muKkMYiFz1cJEwfr3A&amp;_nc_ht=scontent.xx&amp;oh=89bffb429ef3196ad07affc9bd56d97f&amp;oe=5D82F9DC")</f>
        <v>https://scontent.xx.fbcdn.net/v/t1.0-9/p720x720/64910663_2591622940848967_3317642617302286336_o.jpg?_nc_cat=104&amp;_nc_oc=AQmqk6FQEXuP-ate2JOhkfPnh191wEGc1ympPhol74ULbBjI_muKkMYiFz1cJEwfr3A&amp;_nc_ht=scontent.xx&amp;oh=89bffb429ef3196ad07affc9bd56d97f&amp;oe=5D82F9DC</v>
      </c>
      <c r="AM4177" t="s">
        <v>52</v>
      </c>
      <c r="AN4177" t="s">
        <v>53</v>
      </c>
    </row>
    <row r="4178" spans="1:40">
      <c r="A4178" t="s">
        <v>8081</v>
      </c>
      <c r="B4178" t="s">
        <v>2090</v>
      </c>
      <c r="C4178" t="s">
        <v>12854</v>
      </c>
      <c r="D4178" t="s">
        <v>52</v>
      </c>
      <c r="E4178" t="s">
        <v>12855</v>
      </c>
      <c r="F4178" t="s">
        <v>95</v>
      </c>
      <c r="G4178" t="str">
        <f>HYPERLINK("https://twitter.com/3319620949/status/1142664124268068865")</f>
        <v>https://twitter.com/3319620949/status/1142664124268068865</v>
      </c>
      <c r="H4178" t="s">
        <v>46</v>
      </c>
      <c r="I4178" t="s">
        <v>12851</v>
      </c>
      <c r="J4178" t="str">
        <f>HYPERLINK("http://twitter.com/SanDiegoGeekdom")</f>
        <v>http://twitter.com/SanDiegoGeekdom</v>
      </c>
      <c r="K4178">
        <v>52</v>
      </c>
      <c r="L4178" t="s">
        <v>48</v>
      </c>
      <c r="N4178" t="s">
        <v>65</v>
      </c>
      <c r="R4178" t="s">
        <v>60</v>
      </c>
      <c r="S4178" t="s">
        <v>51</v>
      </c>
      <c r="T4178" t="s">
        <v>173</v>
      </c>
      <c r="U4178" t="s">
        <v>3886</v>
      </c>
      <c r="W4178">
        <v>0</v>
      </c>
      <c r="X4178">
        <v>0</v>
      </c>
      <c r="AE4178">
        <v>0</v>
      </c>
      <c r="AF4178">
        <v>0</v>
      </c>
      <c r="AM4178" t="s">
        <v>52</v>
      </c>
      <c r="AN4178" t="s">
        <v>53</v>
      </c>
    </row>
    <row r="4179" spans="1:40">
      <c r="A4179" t="s">
        <v>8081</v>
      </c>
      <c r="B4179" t="s">
        <v>2090</v>
      </c>
      <c r="C4179" t="s">
        <v>12849</v>
      </c>
      <c r="D4179" t="s">
        <v>52</v>
      </c>
      <c r="E4179" t="s">
        <v>12856</v>
      </c>
      <c r="F4179" t="s">
        <v>95</v>
      </c>
      <c r="G4179" t="str">
        <f>HYPERLINK("https://twitter.com/23629103/status/1142664120480751616")</f>
        <v>https://twitter.com/23629103/status/1142664120480751616</v>
      </c>
      <c r="H4179" t="s">
        <v>46</v>
      </c>
      <c r="I4179" t="s">
        <v>12857</v>
      </c>
      <c r="J4179" t="str">
        <f>HYPERLINK("http://twitter.com/RealChrisCal")</f>
        <v>http://twitter.com/RealChrisCal</v>
      </c>
      <c r="K4179">
        <v>2967</v>
      </c>
      <c r="N4179" t="s">
        <v>65</v>
      </c>
      <c r="R4179" t="s">
        <v>60</v>
      </c>
      <c r="W4179">
        <v>2</v>
      </c>
      <c r="X4179">
        <v>2</v>
      </c>
      <c r="AE4179">
        <v>1</v>
      </c>
      <c r="AF4179">
        <v>0</v>
      </c>
      <c r="AM4179" t="s">
        <v>52</v>
      </c>
      <c r="AN4179" t="s">
        <v>53</v>
      </c>
    </row>
    <row r="4180" spans="1:40">
      <c r="A4180" t="s">
        <v>8081</v>
      </c>
      <c r="B4180" t="s">
        <v>2109</v>
      </c>
      <c r="C4180" t="s">
        <v>12858</v>
      </c>
      <c r="D4180" t="s">
        <v>52</v>
      </c>
      <c r="E4180" t="s">
        <v>3749</v>
      </c>
      <c r="F4180" t="s">
        <v>71</v>
      </c>
      <c r="G4180" t="str">
        <f>HYPERLINK("https://twitter.com/129858781/status/1142662792815796224")</f>
        <v>https://twitter.com/129858781/status/1142662792815796224</v>
      </c>
      <c r="H4180" t="s">
        <v>46</v>
      </c>
      <c r="I4180" t="s">
        <v>12859</v>
      </c>
      <c r="J4180" t="str">
        <f>HYPERLINK("http://twitter.com/Tlou_regi")</f>
        <v>http://twitter.com/Tlou_regi</v>
      </c>
      <c r="K4180">
        <v>7211</v>
      </c>
      <c r="N4180" t="s">
        <v>65</v>
      </c>
      <c r="R4180" t="s">
        <v>60</v>
      </c>
      <c r="S4180" t="s">
        <v>1071</v>
      </c>
      <c r="T4180" t="s">
        <v>1072</v>
      </c>
      <c r="U4180" t="s">
        <v>2123</v>
      </c>
      <c r="W4180">
        <v>0</v>
      </c>
      <c r="X4180">
        <v>0</v>
      </c>
      <c r="AE4180">
        <v>0</v>
      </c>
      <c r="AF4180">
        <v>0</v>
      </c>
      <c r="AI4180" t="s">
        <v>108</v>
      </c>
      <c r="AJ4180" t="s">
        <v>52</v>
      </c>
      <c r="AK4180" t="s">
        <v>52</v>
      </c>
      <c r="AL4180" t="str">
        <f>HYPERLINK("https://pbs.twimg.com/media/D9sAXHUX4AA6vJs.jpg")</f>
        <v>https://pbs.twimg.com/media/D9sAXHUX4AA6vJs.jpg</v>
      </c>
      <c r="AM4180" t="s">
        <v>52</v>
      </c>
      <c r="AN4180" t="s">
        <v>53</v>
      </c>
    </row>
    <row r="4181" spans="1:40">
      <c r="A4181" t="s">
        <v>8081</v>
      </c>
      <c r="B4181" t="s">
        <v>2109</v>
      </c>
      <c r="C4181" t="s">
        <v>12860</v>
      </c>
      <c r="D4181" t="s">
        <v>52</v>
      </c>
      <c r="E4181" t="s">
        <v>130</v>
      </c>
      <c r="F4181" t="s">
        <v>131</v>
      </c>
      <c r="G4181" t="str">
        <f>HYPERLINK("https://twitter.com/860240191/status/1142662768757280769")</f>
        <v>https://twitter.com/860240191/status/1142662768757280769</v>
      </c>
      <c r="H4181" t="s">
        <v>46</v>
      </c>
      <c r="I4181" t="s">
        <v>12861</v>
      </c>
      <c r="J4181" t="str">
        <f>HYPERLINK("http://twitter.com/eoakley31")</f>
        <v>http://twitter.com/eoakley31</v>
      </c>
      <c r="K4181">
        <v>10</v>
      </c>
      <c r="N4181" t="s">
        <v>65</v>
      </c>
      <c r="R4181" t="s">
        <v>60</v>
      </c>
      <c r="W4181">
        <v>0</v>
      </c>
      <c r="X4181">
        <v>0</v>
      </c>
      <c r="AE4181">
        <v>0</v>
      </c>
      <c r="AI4181" t="s">
        <v>108</v>
      </c>
      <c r="AJ4181" t="s">
        <v>52</v>
      </c>
      <c r="AK4181" t="s">
        <v>52</v>
      </c>
      <c r="AL4181" t="str">
        <f>HYPERLINK("https://pbs.twimg.com/media/D9XTkLWW4AAOYnJ.jpg")</f>
        <v>https://pbs.twimg.com/media/D9XTkLWW4AAOYnJ.jpg</v>
      </c>
      <c r="AM4181" t="s">
        <v>52</v>
      </c>
      <c r="AN4181" t="s">
        <v>53</v>
      </c>
    </row>
    <row r="4182" spans="1:40">
      <c r="A4182" t="s">
        <v>8081</v>
      </c>
      <c r="B4182" t="s">
        <v>2112</v>
      </c>
      <c r="C4182" t="s">
        <v>12858</v>
      </c>
      <c r="D4182" t="s">
        <v>52</v>
      </c>
      <c r="E4182" t="s">
        <v>276</v>
      </c>
      <c r="F4182" t="s">
        <v>131</v>
      </c>
      <c r="G4182" t="str">
        <f>HYPERLINK("https://twitter.com/924000759359840256/status/1142662554126176257")</f>
        <v>https://twitter.com/924000759359840256/status/1142662554126176257</v>
      </c>
      <c r="H4182" t="s">
        <v>46</v>
      </c>
      <c r="I4182" t="s">
        <v>12862</v>
      </c>
      <c r="J4182" t="str">
        <f>HYPERLINK("http://twitter.com/xeno_world")</f>
        <v>http://twitter.com/xeno_world</v>
      </c>
      <c r="K4182">
        <v>26</v>
      </c>
      <c r="N4182" t="s">
        <v>65</v>
      </c>
      <c r="R4182" t="s">
        <v>60</v>
      </c>
      <c r="W4182">
        <v>0</v>
      </c>
      <c r="X4182">
        <v>0</v>
      </c>
      <c r="AE4182">
        <v>0</v>
      </c>
      <c r="AI4182" t="s">
        <v>108</v>
      </c>
      <c r="AJ4182" t="s">
        <v>52</v>
      </c>
      <c r="AK4182" t="s">
        <v>52</v>
      </c>
      <c r="AL4182" t="str">
        <f>HYPERLINK("https://pbs.twimg.com/tweet_video_thumb/D9hvNNzXUAATAS3.jpg")</f>
        <v>https://pbs.twimg.com/tweet_video_thumb/D9hvNNzXUAATAS3.jpg</v>
      </c>
      <c r="AM4182" t="s">
        <v>52</v>
      </c>
      <c r="AN4182" t="s">
        <v>53</v>
      </c>
    </row>
    <row r="4183" spans="1:40">
      <c r="A4183" t="s">
        <v>8081</v>
      </c>
      <c r="B4183" t="s">
        <v>7832</v>
      </c>
      <c r="C4183" t="s">
        <v>12863</v>
      </c>
      <c r="D4183" t="s">
        <v>12864</v>
      </c>
      <c r="E4183" t="s">
        <v>12864</v>
      </c>
      <c r="F4183" t="s">
        <v>45</v>
      </c>
      <c r="G4183" t="str">
        <f>HYPERLINK("https://www.youtube.com/watch?v=W5qjuBQDOLk")</f>
        <v>https://www.youtube.com/watch?v=W5qjuBQDOLk</v>
      </c>
      <c r="H4183" t="s">
        <v>46</v>
      </c>
      <c r="I4183" t="s">
        <v>12865</v>
      </c>
      <c r="J4183" t="str">
        <f>HYPERLINK("https://www.youtube.com/channel/UCn2cEDRp8Axxjk91gJhSdsg")</f>
        <v>https://www.youtube.com/channel/UCn2cEDRp8Axxjk91gJhSdsg</v>
      </c>
      <c r="K4183">
        <v>11</v>
      </c>
      <c r="N4183" t="s">
        <v>116</v>
      </c>
      <c r="O4183" t="s">
        <v>12865</v>
      </c>
      <c r="P4183" t="str">
        <f>HYPERLINK("https://www.youtube.com/channel/UCn2cEDRp8Axxjk91gJhSdsg")</f>
        <v>https://www.youtube.com/channel/UCn2cEDRp8Axxjk91gJhSdsg</v>
      </c>
      <c r="Q4183">
        <v>11</v>
      </c>
      <c r="R4183" t="s">
        <v>60</v>
      </c>
      <c r="W4183">
        <v>0</v>
      </c>
      <c r="X4183">
        <v>0</v>
      </c>
      <c r="AD4183">
        <v>0</v>
      </c>
      <c r="AE4183">
        <v>0</v>
      </c>
      <c r="AG4183">
        <v>0</v>
      </c>
      <c r="AI4183" t="s">
        <v>52</v>
      </c>
      <c r="AJ4183" t="s">
        <v>52</v>
      </c>
      <c r="AK4183" t="s">
        <v>52</v>
      </c>
      <c r="AL4183" t="str">
        <f>HYPERLINK("https://i.ytimg.com/vi/W5qjuBQDOLk/maxresdefault.jpg")</f>
        <v>https://i.ytimg.com/vi/W5qjuBQDOLk/maxresdefault.jpg</v>
      </c>
      <c r="AM4183" t="s">
        <v>52</v>
      </c>
      <c r="AN4183" t="s">
        <v>53</v>
      </c>
    </row>
    <row r="4184" spans="1:40">
      <c r="A4184" t="s">
        <v>8081</v>
      </c>
      <c r="B4184" t="s">
        <v>7842</v>
      </c>
      <c r="C4184" t="s">
        <v>12849</v>
      </c>
      <c r="D4184" t="s">
        <v>52</v>
      </c>
      <c r="E4184" t="s">
        <v>12866</v>
      </c>
      <c r="F4184" t="s">
        <v>71</v>
      </c>
      <c r="G4184" t="str">
        <f>HYPERLINK("https://twitter.com/329498405/status/1142661986397892610")</f>
        <v>https://twitter.com/329498405/status/1142661986397892610</v>
      </c>
      <c r="H4184" t="s">
        <v>46</v>
      </c>
      <c r="I4184" t="s">
        <v>12867</v>
      </c>
      <c r="J4184" t="str">
        <f>HYPERLINK("http://twitter.com/amarinyshae")</f>
        <v>http://twitter.com/amarinyshae</v>
      </c>
      <c r="K4184">
        <v>1182</v>
      </c>
      <c r="L4184" t="s">
        <v>48</v>
      </c>
      <c r="N4184" t="s">
        <v>65</v>
      </c>
      <c r="R4184" t="s">
        <v>60</v>
      </c>
      <c r="W4184">
        <v>1</v>
      </c>
      <c r="X4184">
        <v>1</v>
      </c>
      <c r="AE4184">
        <v>0</v>
      </c>
      <c r="AF4184">
        <v>0</v>
      </c>
      <c r="AM4184" t="s">
        <v>52</v>
      </c>
      <c r="AN4184" t="s">
        <v>53</v>
      </c>
    </row>
    <row r="4185" spans="1:40">
      <c r="A4185" t="s">
        <v>8081</v>
      </c>
      <c r="B4185" t="s">
        <v>12868</v>
      </c>
      <c r="C4185" t="s">
        <v>12869</v>
      </c>
      <c r="D4185" t="s">
        <v>52</v>
      </c>
      <c r="E4185" t="s">
        <v>12870</v>
      </c>
      <c r="F4185" t="s">
        <v>45</v>
      </c>
      <c r="G4185" t="str">
        <f>HYPERLINK("https://twitter.com/227991338/status/1142661542967685121")</f>
        <v>https://twitter.com/227991338/status/1142661542967685121</v>
      </c>
      <c r="H4185" t="s">
        <v>46</v>
      </c>
      <c r="I4185" t="s">
        <v>12871</v>
      </c>
      <c r="J4185" t="str">
        <f>HYPERLINK("http://twitter.com/billsource")</f>
        <v>http://twitter.com/billsource</v>
      </c>
      <c r="K4185">
        <v>137</v>
      </c>
      <c r="L4185" t="s">
        <v>48</v>
      </c>
      <c r="N4185" t="s">
        <v>65</v>
      </c>
      <c r="R4185" t="s">
        <v>60</v>
      </c>
      <c r="S4185" t="s">
        <v>51</v>
      </c>
      <c r="W4185">
        <v>0</v>
      </c>
      <c r="X4185">
        <v>0</v>
      </c>
      <c r="AE4185">
        <v>0</v>
      </c>
      <c r="AF4185">
        <v>0</v>
      </c>
      <c r="AI4185" t="s">
        <v>9946</v>
      </c>
      <c r="AJ4185" t="s">
        <v>52</v>
      </c>
      <c r="AK4185" t="s">
        <v>9947</v>
      </c>
      <c r="AL4185" t="str">
        <f>HYPERLINK("https://pbs.twimg.com/media/D9uMnlDXoAUFOZx.jpg")</f>
        <v>https://pbs.twimg.com/media/D9uMnlDXoAUFOZx.jpg</v>
      </c>
      <c r="AM4185" t="s">
        <v>52</v>
      </c>
      <c r="AN4185" t="s">
        <v>53</v>
      </c>
    </row>
    <row r="4186" spans="1:40">
      <c r="A4186" t="s">
        <v>8081</v>
      </c>
      <c r="B4186" t="s">
        <v>12868</v>
      </c>
      <c r="C4186" t="s">
        <v>12872</v>
      </c>
      <c r="D4186" t="s">
        <v>12873</v>
      </c>
      <c r="E4186" t="s">
        <v>12874</v>
      </c>
      <c r="F4186" t="s">
        <v>45</v>
      </c>
      <c r="G4186" t="str">
        <f>HYPERLINK("https://blacksportsonline.com/2019/06/how-if-it-wasnt-for-doritos-ja-morants-might-have-never-been-the-2-in-nba-draft-video")</f>
        <v>https://blacksportsonline.com/2019/06/how-if-it-wasnt-for-doritos-ja-morants-might-have-never-been-the-2-in-nba-draft-video</v>
      </c>
      <c r="H4186" t="s">
        <v>46</v>
      </c>
      <c r="I4186" t="s">
        <v>12875</v>
      </c>
      <c r="J4186" t="str">
        <f>HYPERLINK("http://blacksportsonline.com")</f>
        <v>http://blacksportsonline.com</v>
      </c>
      <c r="N4186" t="s">
        <v>12876</v>
      </c>
      <c r="R4186" t="s">
        <v>357</v>
      </c>
      <c r="S4186" t="s">
        <v>51</v>
      </c>
      <c r="AI4186" t="s">
        <v>9946</v>
      </c>
      <c r="AJ4186" t="s">
        <v>52</v>
      </c>
      <c r="AK4186" t="s">
        <v>12877</v>
      </c>
      <c r="AL4186" t="str">
        <f>HYPERLINK("https://ftks732kpvy18zwzc2s17egw-wpengine.netdna-ssl.com/wp-content/uploads/2019/06/Ja-Morant-and-Doritos-800x445.jpg")</f>
        <v>https://ftks732kpvy18zwzc2s17egw-wpengine.netdna-ssl.com/wp-content/uploads/2019/06/Ja-Morant-and-Doritos-800x445.jpg</v>
      </c>
      <c r="AM4186" t="s">
        <v>52</v>
      </c>
      <c r="AN4186" t="s">
        <v>53</v>
      </c>
    </row>
    <row r="4187" spans="1:40">
      <c r="A4187" t="s">
        <v>8081</v>
      </c>
      <c r="B4187" t="s">
        <v>12868</v>
      </c>
      <c r="C4187" t="s">
        <v>12869</v>
      </c>
      <c r="D4187" t="s">
        <v>52</v>
      </c>
      <c r="E4187" t="s">
        <v>12878</v>
      </c>
      <c r="F4187" t="s">
        <v>131</v>
      </c>
      <c r="G4187" t="str">
        <f>HYPERLINK("https://twitter.com/3237445051/status/1142661314856280069")</f>
        <v>https://twitter.com/3237445051/status/1142661314856280069</v>
      </c>
      <c r="H4187" t="s">
        <v>46</v>
      </c>
      <c r="I4187" t="s">
        <v>12879</v>
      </c>
      <c r="J4187" t="str">
        <f>HYPERLINK("http://twitter.com/don_haworth")</f>
        <v>http://twitter.com/don_haworth</v>
      </c>
      <c r="K4187">
        <v>5104</v>
      </c>
      <c r="N4187" t="s">
        <v>65</v>
      </c>
      <c r="R4187" t="s">
        <v>60</v>
      </c>
      <c r="W4187">
        <v>0</v>
      </c>
      <c r="X4187">
        <v>0</v>
      </c>
      <c r="AE4187">
        <v>0</v>
      </c>
      <c r="AM4187" t="s">
        <v>52</v>
      </c>
      <c r="AN4187" t="s">
        <v>53</v>
      </c>
    </row>
    <row r="4188" spans="1:40">
      <c r="A4188" t="s">
        <v>8081</v>
      </c>
      <c r="B4188" t="s">
        <v>2116</v>
      </c>
      <c r="C4188" t="s">
        <v>12880</v>
      </c>
      <c r="D4188" t="s">
        <v>52</v>
      </c>
      <c r="E4188" t="s">
        <v>3749</v>
      </c>
      <c r="F4188" t="s">
        <v>71</v>
      </c>
      <c r="G4188" t="str">
        <f>HYPERLINK("https://twitter.com/2687036458/status/1142661266529538048")</f>
        <v>https://twitter.com/2687036458/status/1142661266529538048</v>
      </c>
      <c r="H4188" t="s">
        <v>46</v>
      </c>
      <c r="I4188" t="s">
        <v>12881</v>
      </c>
      <c r="J4188" t="str">
        <f>HYPERLINK("http://twitter.com/Miss_Makgou")</f>
        <v>http://twitter.com/Miss_Makgou</v>
      </c>
      <c r="K4188">
        <v>2022</v>
      </c>
      <c r="N4188" t="s">
        <v>65</v>
      </c>
      <c r="R4188" t="s">
        <v>60</v>
      </c>
      <c r="S4188" t="s">
        <v>774</v>
      </c>
      <c r="T4188" t="s">
        <v>2679</v>
      </c>
      <c r="U4188" t="s">
        <v>11217</v>
      </c>
      <c r="W4188">
        <v>0</v>
      </c>
      <c r="X4188">
        <v>0</v>
      </c>
      <c r="AE4188">
        <v>0</v>
      </c>
      <c r="AF4188">
        <v>0</v>
      </c>
      <c r="AI4188" t="s">
        <v>108</v>
      </c>
      <c r="AJ4188" t="s">
        <v>52</v>
      </c>
      <c r="AK4188" t="s">
        <v>52</v>
      </c>
      <c r="AL4188" t="str">
        <f>HYPERLINK("https://pbs.twimg.com/media/D9sAXHUX4AA6vJs.jpg")</f>
        <v>https://pbs.twimg.com/media/D9sAXHUX4AA6vJs.jpg</v>
      </c>
      <c r="AM4188" t="s">
        <v>52</v>
      </c>
      <c r="AN4188" t="s">
        <v>53</v>
      </c>
    </row>
    <row r="4189" spans="1:40">
      <c r="A4189" t="s">
        <v>8081</v>
      </c>
      <c r="B4189" t="s">
        <v>2116</v>
      </c>
      <c r="C4189" t="s">
        <v>12882</v>
      </c>
      <c r="D4189" t="s">
        <v>52</v>
      </c>
      <c r="E4189" t="s">
        <v>9944</v>
      </c>
      <c r="F4189" t="s">
        <v>45</v>
      </c>
      <c r="G4189" t="str">
        <f>HYPERLINK("https://twitter.com/18823758/status/1142661109494816768")</f>
        <v>https://twitter.com/18823758/status/1142661109494816768</v>
      </c>
      <c r="H4189" t="s">
        <v>46</v>
      </c>
      <c r="I4189" t="s">
        <v>9969</v>
      </c>
      <c r="J4189" t="str">
        <f>HYPERLINK("http://twitter.com/BSO")</f>
        <v>http://twitter.com/BSO</v>
      </c>
      <c r="K4189">
        <v>95826</v>
      </c>
      <c r="L4189" t="s">
        <v>48</v>
      </c>
      <c r="N4189" t="s">
        <v>65</v>
      </c>
      <c r="R4189" t="s">
        <v>60</v>
      </c>
      <c r="S4189" t="s">
        <v>51</v>
      </c>
      <c r="T4189" t="s">
        <v>173</v>
      </c>
      <c r="U4189" t="s">
        <v>1214</v>
      </c>
      <c r="W4189">
        <v>11</v>
      </c>
      <c r="X4189">
        <v>11</v>
      </c>
      <c r="AE4189">
        <v>0</v>
      </c>
      <c r="AF4189">
        <v>1</v>
      </c>
      <c r="AI4189" t="s">
        <v>9946</v>
      </c>
      <c r="AJ4189" t="s">
        <v>52</v>
      </c>
      <c r="AK4189" t="s">
        <v>9947</v>
      </c>
      <c r="AL4189" t="str">
        <f>HYPERLINK("https://pbs.twimg.com/media/D9uMOS6WsAEYqLz.jpg")</f>
        <v>https://pbs.twimg.com/media/D9uMOS6WsAEYqLz.jpg</v>
      </c>
      <c r="AM4189" t="s">
        <v>52</v>
      </c>
      <c r="AN4189" t="s">
        <v>53</v>
      </c>
    </row>
    <row r="4190" spans="1:40">
      <c r="A4190" t="s">
        <v>8081</v>
      </c>
      <c r="B4190" t="s">
        <v>2116</v>
      </c>
      <c r="C4190" t="s">
        <v>12608</v>
      </c>
      <c r="D4190" t="s">
        <v>12883</v>
      </c>
      <c r="E4190" t="s">
        <v>12884</v>
      </c>
      <c r="F4190" t="s">
        <v>45</v>
      </c>
      <c r="G4190" t="str">
        <f>HYPERLINK("https://iwaspoisoned.com/incident/taco-bell-calimesa-blvd-calimesa-california-usa-220948")</f>
        <v>https://iwaspoisoned.com/incident/taco-bell-calimesa-blvd-calimesa-california-usa-220948</v>
      </c>
      <c r="H4190" t="s">
        <v>91</v>
      </c>
      <c r="I4190" t="s">
        <v>9480</v>
      </c>
      <c r="J4190" t="str">
        <f>HYPERLINK("https://iwaspoisoned.com/incident/taco-bell-calimesa-blvd-calimesa-california-usa-220948")</f>
        <v>https://iwaspoisoned.com/incident/taco-bell-calimesa-blvd-calimesa-california-usa-220948</v>
      </c>
      <c r="N4190" t="s">
        <v>9481</v>
      </c>
      <c r="R4190" t="s">
        <v>357</v>
      </c>
      <c r="S4190" t="s">
        <v>51</v>
      </c>
      <c r="AM4190" t="s">
        <v>52</v>
      </c>
      <c r="AN4190" t="s">
        <v>53</v>
      </c>
    </row>
    <row r="4191" spans="1:40">
      <c r="A4191" t="s">
        <v>8081</v>
      </c>
      <c r="B4191" t="s">
        <v>12885</v>
      </c>
      <c r="C4191" t="s">
        <v>12313</v>
      </c>
      <c r="D4191" t="s">
        <v>52</v>
      </c>
      <c r="E4191" t="s">
        <v>12886</v>
      </c>
      <c r="F4191" t="s">
        <v>45</v>
      </c>
      <c r="G4191" t="str">
        <f>HYPERLINK("https://www.facebook.com/1039007402819998/posts/2208736992513694")</f>
        <v>https://www.facebook.com/1039007402819998/posts/2208736992513694</v>
      </c>
      <c r="H4191" t="s">
        <v>46</v>
      </c>
      <c r="I4191" t="s">
        <v>12887</v>
      </c>
      <c r="J4191" t="str">
        <f>HYPERLINK("https://www.facebook.com/1039007402819998")</f>
        <v>https://www.facebook.com/1039007402819998</v>
      </c>
      <c r="K4191">
        <v>8602</v>
      </c>
      <c r="L4191" t="s">
        <v>651</v>
      </c>
      <c r="N4191" t="s">
        <v>1792</v>
      </c>
      <c r="O4191" t="s">
        <v>12887</v>
      </c>
      <c r="P4191" t="str">
        <f>HYPERLINK("https://www.facebook.com/1039007402819998")</f>
        <v>https://www.facebook.com/1039007402819998</v>
      </c>
      <c r="Q4191">
        <v>8602</v>
      </c>
      <c r="R4191" t="s">
        <v>60</v>
      </c>
      <c r="W4191">
        <v>8</v>
      </c>
      <c r="X4191">
        <v>7</v>
      </c>
      <c r="Y4191">
        <v>1</v>
      </c>
      <c r="Z4191">
        <v>0</v>
      </c>
      <c r="AA4191">
        <v>0</v>
      </c>
      <c r="AB4191">
        <v>0</v>
      </c>
      <c r="AC4191">
        <v>0</v>
      </c>
      <c r="AE4191">
        <v>9</v>
      </c>
      <c r="AF4191">
        <v>1</v>
      </c>
      <c r="AI4191" t="s">
        <v>52</v>
      </c>
      <c r="AJ4191" t="s">
        <v>12888</v>
      </c>
      <c r="AK4191" t="s">
        <v>52</v>
      </c>
      <c r="AL4191" t="str">
        <f>HYPERLINK("https://scontent.xx.fbcdn.net/v/t1.0-0/p180x540/64673311_847326708985046_717240520316813312_o.jpg?_nc_cat=111&amp;_nc_oc=AQm5W43UxfOKTgCIpq4yH0gjpSETAl5hYjpnVAI6ELjiKvfig-ob8D6sLZ3YwH2bxJI&amp;_nc_ht=scontent.xx&amp;oh=43521575568f53d0dc3e200feb90b307&amp;oe=5D8C1BD9")</f>
        <v>https://scontent.xx.fbcdn.net/v/t1.0-0/p180x540/64673311_847326708985046_717240520316813312_o.jpg?_nc_cat=111&amp;_nc_oc=AQm5W43UxfOKTgCIpq4yH0gjpSETAl5hYjpnVAI6ELjiKvfig-ob8D6sLZ3YwH2bxJI&amp;_nc_ht=scontent.xx&amp;oh=43521575568f53d0dc3e200feb90b307&amp;oe=5D8C1BD9</v>
      </c>
      <c r="AM4191" t="s">
        <v>52</v>
      </c>
      <c r="AN4191" t="s">
        <v>53</v>
      </c>
    </row>
    <row r="4192" spans="1:40">
      <c r="A4192" t="s">
        <v>8081</v>
      </c>
      <c r="B4192" t="s">
        <v>12885</v>
      </c>
      <c r="C4192" t="s">
        <v>12889</v>
      </c>
      <c r="D4192" t="s">
        <v>52</v>
      </c>
      <c r="E4192" t="s">
        <v>12890</v>
      </c>
      <c r="F4192" t="s">
        <v>95</v>
      </c>
      <c r="G4192" t="str">
        <f>HYPERLINK("https://twitter.com/3361127172/status/1142659893536710656")</f>
        <v>https://twitter.com/3361127172/status/1142659893536710656</v>
      </c>
      <c r="H4192" t="s">
        <v>46</v>
      </c>
      <c r="I4192" t="s">
        <v>12891</v>
      </c>
      <c r="J4192" t="str">
        <f>HYPERLINK("http://twitter.com/TaraNNoe85")</f>
        <v>http://twitter.com/TaraNNoe85</v>
      </c>
      <c r="K4192">
        <v>29</v>
      </c>
      <c r="N4192" t="s">
        <v>65</v>
      </c>
      <c r="R4192" t="s">
        <v>60</v>
      </c>
      <c r="S4192" t="s">
        <v>51</v>
      </c>
      <c r="T4192" t="s">
        <v>2923</v>
      </c>
      <c r="U4192" t="s">
        <v>12892</v>
      </c>
      <c r="W4192">
        <v>0</v>
      </c>
      <c r="X4192">
        <v>0</v>
      </c>
      <c r="AE4192">
        <v>1</v>
      </c>
      <c r="AF4192">
        <v>0</v>
      </c>
      <c r="AM4192" t="s">
        <v>52</v>
      </c>
      <c r="AN4192" t="s">
        <v>53</v>
      </c>
    </row>
    <row r="4193" spans="1:40">
      <c r="A4193" t="s">
        <v>8081</v>
      </c>
      <c r="B4193" t="s">
        <v>12893</v>
      </c>
      <c r="C4193" t="s">
        <v>12894</v>
      </c>
      <c r="D4193" t="s">
        <v>52</v>
      </c>
      <c r="E4193" t="s">
        <v>12895</v>
      </c>
      <c r="F4193" t="s">
        <v>45</v>
      </c>
      <c r="G4193" t="str">
        <f>HYPERLINK("https://twitter.com/1587142346/status/1142659355369725953")</f>
        <v>https://twitter.com/1587142346/status/1142659355369725953</v>
      </c>
      <c r="H4193" t="s">
        <v>46</v>
      </c>
      <c r="I4193" t="s">
        <v>12896</v>
      </c>
      <c r="J4193" t="str">
        <f>HYPERLINK("http://twitter.com/CaroMoretta")</f>
        <v>http://twitter.com/CaroMoretta</v>
      </c>
      <c r="K4193">
        <v>965</v>
      </c>
      <c r="N4193" t="s">
        <v>65</v>
      </c>
      <c r="R4193" t="s">
        <v>60</v>
      </c>
      <c r="S4193" t="s">
        <v>701</v>
      </c>
      <c r="T4193" t="s">
        <v>2528</v>
      </c>
      <c r="U4193" t="s">
        <v>12897</v>
      </c>
      <c r="W4193">
        <v>1</v>
      </c>
      <c r="X4193">
        <v>1</v>
      </c>
      <c r="AE4193">
        <v>0</v>
      </c>
      <c r="AF4193">
        <v>0</v>
      </c>
      <c r="AM4193" t="s">
        <v>52</v>
      </c>
      <c r="AN4193" t="s">
        <v>53</v>
      </c>
    </row>
    <row r="4194" spans="1:40">
      <c r="A4194" t="s">
        <v>8081</v>
      </c>
      <c r="B4194" t="s">
        <v>12893</v>
      </c>
      <c r="C4194" t="s">
        <v>12898</v>
      </c>
      <c r="D4194" t="s">
        <v>52</v>
      </c>
      <c r="E4194" t="s">
        <v>12899</v>
      </c>
      <c r="F4194" t="s">
        <v>95</v>
      </c>
      <c r="G4194" t="str">
        <f>HYPERLINK("https://twitter.com/1069493115218735104/status/1142659298780168192")</f>
        <v>https://twitter.com/1069493115218735104/status/1142659298780168192</v>
      </c>
      <c r="H4194" t="s">
        <v>46</v>
      </c>
      <c r="I4194" t="s">
        <v>12900</v>
      </c>
      <c r="J4194" t="str">
        <f>HYPERLINK("http://twitter.com/azuara_iker")</f>
        <v>http://twitter.com/azuara_iker</v>
      </c>
      <c r="K4194">
        <v>37</v>
      </c>
      <c r="N4194" t="s">
        <v>65</v>
      </c>
      <c r="R4194" t="s">
        <v>60</v>
      </c>
      <c r="W4194">
        <v>1</v>
      </c>
      <c r="X4194">
        <v>1</v>
      </c>
      <c r="AE4194">
        <v>0</v>
      </c>
      <c r="AF4194">
        <v>0</v>
      </c>
      <c r="AM4194" t="s">
        <v>52</v>
      </c>
      <c r="AN4194" t="s">
        <v>53</v>
      </c>
    </row>
    <row r="4195" spans="1:40">
      <c r="A4195" t="s">
        <v>8081</v>
      </c>
      <c r="B4195" t="s">
        <v>7865</v>
      </c>
      <c r="C4195" t="s">
        <v>12901</v>
      </c>
      <c r="D4195" t="s">
        <v>52</v>
      </c>
      <c r="E4195" t="s">
        <v>12902</v>
      </c>
      <c r="F4195" t="s">
        <v>45</v>
      </c>
      <c r="G4195" t="str">
        <f>HYPERLINK("https://www.instagram.com/p/BzCjFxdFrwz")</f>
        <v>https://www.instagram.com/p/BzCjFxdFrwz</v>
      </c>
      <c r="H4195" t="s">
        <v>46</v>
      </c>
      <c r="I4195" t="s">
        <v>12903</v>
      </c>
      <c r="J4195" t="str">
        <f>HYPERLINK("http://instagram.com/_stuntmanmike_")</f>
        <v>http://instagram.com/_stuntmanmike_</v>
      </c>
      <c r="K4195">
        <v>465</v>
      </c>
      <c r="L4195" t="s">
        <v>48</v>
      </c>
      <c r="N4195" t="s">
        <v>59</v>
      </c>
      <c r="O4195" t="s">
        <v>12903</v>
      </c>
      <c r="P4195" t="str">
        <f>HYPERLINK("http://instagram.com/_stuntmanmike_")</f>
        <v>http://instagram.com/_stuntmanmike_</v>
      </c>
      <c r="Q4195">
        <v>465</v>
      </c>
      <c r="R4195" t="s">
        <v>60</v>
      </c>
      <c r="W4195">
        <v>29</v>
      </c>
      <c r="X4195">
        <v>29</v>
      </c>
      <c r="AE4195">
        <v>0</v>
      </c>
      <c r="AI4195" t="s">
        <v>52</v>
      </c>
      <c r="AJ4195" t="s">
        <v>471</v>
      </c>
      <c r="AK4195" t="s">
        <v>52</v>
      </c>
      <c r="AL4195" t="str">
        <f>HYPERLINK("https://www.instagram.com/p/BzCjFxdFrwz/media/?size=l")</f>
        <v>https://www.instagram.com/p/BzCjFxdFrwz/media/?size=l</v>
      </c>
      <c r="AM4195" t="s">
        <v>52</v>
      </c>
      <c r="AN4195" t="s">
        <v>53</v>
      </c>
    </row>
    <row r="4196" spans="1:40">
      <c r="A4196" t="s">
        <v>8081</v>
      </c>
      <c r="B4196" t="s">
        <v>7865</v>
      </c>
      <c r="C4196" t="s">
        <v>12904</v>
      </c>
      <c r="D4196" t="s">
        <v>52</v>
      </c>
      <c r="E4196" t="s">
        <v>12905</v>
      </c>
      <c r="F4196" t="s">
        <v>95</v>
      </c>
      <c r="G4196" t="str">
        <f>HYPERLINK("https://twitter.com/1596844255/status/1142659049638551552")</f>
        <v>https://twitter.com/1596844255/status/1142659049638551552</v>
      </c>
      <c r="H4196" t="s">
        <v>46</v>
      </c>
      <c r="I4196" t="s">
        <v>12906</v>
      </c>
      <c r="J4196" t="str">
        <f>HYPERLINK("http://twitter.com/KristenSadlocha")</f>
        <v>http://twitter.com/KristenSadlocha</v>
      </c>
      <c r="K4196">
        <v>115</v>
      </c>
      <c r="N4196" t="s">
        <v>65</v>
      </c>
      <c r="R4196" t="s">
        <v>60</v>
      </c>
      <c r="S4196" t="s">
        <v>51</v>
      </c>
      <c r="T4196" t="s">
        <v>3136</v>
      </c>
      <c r="W4196">
        <v>0</v>
      </c>
      <c r="X4196">
        <v>0</v>
      </c>
      <c r="AE4196">
        <v>0</v>
      </c>
      <c r="AF4196">
        <v>0</v>
      </c>
      <c r="AM4196" t="s">
        <v>52</v>
      </c>
      <c r="AN4196" t="s">
        <v>53</v>
      </c>
    </row>
    <row r="4197" spans="1:40">
      <c r="A4197" t="s">
        <v>8081</v>
      </c>
      <c r="B4197" t="s">
        <v>7869</v>
      </c>
      <c r="C4197" t="s">
        <v>12907</v>
      </c>
      <c r="D4197" t="s">
        <v>52</v>
      </c>
      <c r="E4197" t="s">
        <v>12908</v>
      </c>
      <c r="F4197" t="s">
        <v>95</v>
      </c>
      <c r="G4197" t="str">
        <f>HYPERLINK("https://twitter.com/1132065516258975745/status/1142658946718507008")</f>
        <v>https://twitter.com/1132065516258975745/status/1142658946718507008</v>
      </c>
      <c r="H4197" t="s">
        <v>46</v>
      </c>
      <c r="I4197" t="s">
        <v>12909</v>
      </c>
      <c r="J4197" t="str">
        <f>HYPERLINK("http://twitter.com/Rayneivy2")</f>
        <v>http://twitter.com/Rayneivy2</v>
      </c>
      <c r="K4197">
        <v>12</v>
      </c>
      <c r="N4197" t="s">
        <v>65</v>
      </c>
      <c r="R4197" t="s">
        <v>60</v>
      </c>
      <c r="W4197">
        <v>0</v>
      </c>
      <c r="X4197">
        <v>0</v>
      </c>
      <c r="AE4197">
        <v>0</v>
      </c>
      <c r="AF4197">
        <v>0</v>
      </c>
      <c r="AM4197" t="s">
        <v>52</v>
      </c>
      <c r="AN4197" t="s">
        <v>53</v>
      </c>
    </row>
    <row r="4198" spans="1:40">
      <c r="A4198" t="s">
        <v>8081</v>
      </c>
      <c r="B4198" t="s">
        <v>7869</v>
      </c>
      <c r="C4198" t="s">
        <v>12910</v>
      </c>
      <c r="D4198" t="s">
        <v>52</v>
      </c>
      <c r="E4198" t="s">
        <v>12911</v>
      </c>
      <c r="F4198" t="s">
        <v>45</v>
      </c>
      <c r="G4198" t="str">
        <f>HYPERLINK("https://www.instagram.com/p/BzCi_c5g94z")</f>
        <v>https://www.instagram.com/p/BzCi_c5g94z</v>
      </c>
      <c r="H4198" t="s">
        <v>46</v>
      </c>
      <c r="I4198" t="s">
        <v>12912</v>
      </c>
      <c r="J4198" t="str">
        <f>HYPERLINK("http://instagram.com/dr_punch")</f>
        <v>http://instagram.com/dr_punch</v>
      </c>
      <c r="K4198">
        <v>1064</v>
      </c>
      <c r="L4198" t="s">
        <v>48</v>
      </c>
      <c r="N4198" t="s">
        <v>59</v>
      </c>
      <c r="O4198" t="s">
        <v>12912</v>
      </c>
      <c r="P4198" t="str">
        <f>HYPERLINK("http://instagram.com/dr_punch")</f>
        <v>http://instagram.com/dr_punch</v>
      </c>
      <c r="Q4198">
        <v>1064</v>
      </c>
      <c r="R4198" t="s">
        <v>60</v>
      </c>
      <c r="S4198" t="s">
        <v>444</v>
      </c>
      <c r="T4198" t="s">
        <v>3183</v>
      </c>
      <c r="U4198" t="s">
        <v>12913</v>
      </c>
      <c r="W4198">
        <v>37</v>
      </c>
      <c r="X4198">
        <v>37</v>
      </c>
      <c r="AE4198">
        <v>1</v>
      </c>
      <c r="AI4198" t="s">
        <v>52</v>
      </c>
      <c r="AJ4198" t="s">
        <v>12914</v>
      </c>
      <c r="AK4198" t="s">
        <v>52</v>
      </c>
      <c r="AL4198" t="str">
        <f>HYPERLINK("https://www.instagram.com/p/BzCi_c5g94z/media/?size=l")</f>
        <v>https://www.instagram.com/p/BzCi_c5g94z/media/?size=l</v>
      </c>
      <c r="AM4198" t="s">
        <v>52</v>
      </c>
      <c r="AN4198" t="s">
        <v>53</v>
      </c>
    </row>
    <row r="4199" spans="1:40">
      <c r="A4199" t="s">
        <v>8081</v>
      </c>
      <c r="B4199" t="s">
        <v>7869</v>
      </c>
      <c r="C4199" t="s">
        <v>12907</v>
      </c>
      <c r="D4199" t="s">
        <v>52</v>
      </c>
      <c r="E4199" t="s">
        <v>12915</v>
      </c>
      <c r="F4199" t="s">
        <v>95</v>
      </c>
      <c r="G4199" t="str">
        <f>HYPERLINK("https://twitter.com/1132065516258975745/status/1142658916922187776")</f>
        <v>https://twitter.com/1132065516258975745/status/1142658916922187776</v>
      </c>
      <c r="H4199" t="s">
        <v>46</v>
      </c>
      <c r="I4199" t="s">
        <v>12909</v>
      </c>
      <c r="J4199" t="str">
        <f>HYPERLINK("http://twitter.com/Rayneivy2")</f>
        <v>http://twitter.com/Rayneivy2</v>
      </c>
      <c r="K4199">
        <v>12</v>
      </c>
      <c r="N4199" t="s">
        <v>65</v>
      </c>
      <c r="R4199" t="s">
        <v>60</v>
      </c>
      <c r="W4199">
        <v>0</v>
      </c>
      <c r="X4199">
        <v>0</v>
      </c>
      <c r="AE4199">
        <v>0</v>
      </c>
      <c r="AF4199">
        <v>0</v>
      </c>
      <c r="AM4199" t="s">
        <v>52</v>
      </c>
      <c r="AN4199" t="s">
        <v>53</v>
      </c>
    </row>
    <row r="4200" spans="1:40">
      <c r="A4200" t="s">
        <v>8081</v>
      </c>
      <c r="B4200" t="s">
        <v>7869</v>
      </c>
      <c r="C4200" t="s">
        <v>12907</v>
      </c>
      <c r="D4200" t="s">
        <v>52</v>
      </c>
      <c r="E4200" t="s">
        <v>12915</v>
      </c>
      <c r="F4200" t="s">
        <v>95</v>
      </c>
      <c r="G4200" t="str">
        <f>HYPERLINK("https://twitter.com/1132065516258975745/status/1142658893891289089")</f>
        <v>https://twitter.com/1132065516258975745/status/1142658893891289089</v>
      </c>
      <c r="H4200" t="s">
        <v>46</v>
      </c>
      <c r="I4200" t="s">
        <v>12909</v>
      </c>
      <c r="J4200" t="str">
        <f>HYPERLINK("http://twitter.com/Rayneivy2")</f>
        <v>http://twitter.com/Rayneivy2</v>
      </c>
      <c r="K4200">
        <v>12</v>
      </c>
      <c r="N4200" t="s">
        <v>65</v>
      </c>
      <c r="R4200" t="s">
        <v>60</v>
      </c>
      <c r="W4200">
        <v>0</v>
      </c>
      <c r="X4200">
        <v>0</v>
      </c>
      <c r="AE4200">
        <v>0</v>
      </c>
      <c r="AF4200">
        <v>0</v>
      </c>
      <c r="AM4200" t="s">
        <v>52</v>
      </c>
      <c r="AN4200" t="s">
        <v>53</v>
      </c>
    </row>
    <row r="4201" spans="1:40">
      <c r="A4201" t="s">
        <v>8081</v>
      </c>
      <c r="B4201" t="s">
        <v>2137</v>
      </c>
      <c r="C4201" t="s">
        <v>12907</v>
      </c>
      <c r="D4201" t="s">
        <v>52</v>
      </c>
      <c r="E4201" t="s">
        <v>11685</v>
      </c>
      <c r="F4201" t="s">
        <v>131</v>
      </c>
      <c r="G4201" t="str">
        <f>HYPERLINK("https://twitter.com/1133014297137668096/status/1142658572762750976")</f>
        <v>https://twitter.com/1133014297137668096/status/1142658572762750976</v>
      </c>
      <c r="H4201" t="s">
        <v>46</v>
      </c>
      <c r="I4201" t="s">
        <v>12916</v>
      </c>
      <c r="J4201" t="str">
        <f>HYPERLINK("http://twitter.com/DaBellary")</f>
        <v>http://twitter.com/DaBellary</v>
      </c>
      <c r="K4201">
        <v>184</v>
      </c>
      <c r="N4201" t="s">
        <v>65</v>
      </c>
      <c r="R4201" t="s">
        <v>60</v>
      </c>
      <c r="W4201">
        <v>0</v>
      </c>
      <c r="X4201">
        <v>0</v>
      </c>
      <c r="AE4201">
        <v>0</v>
      </c>
      <c r="AM4201" t="s">
        <v>52</v>
      </c>
      <c r="AN4201" t="s">
        <v>53</v>
      </c>
    </row>
    <row r="4202" spans="1:40">
      <c r="A4202" t="s">
        <v>8081</v>
      </c>
      <c r="B4202" t="s">
        <v>2143</v>
      </c>
      <c r="C4202" t="s">
        <v>6985</v>
      </c>
      <c r="D4202" t="s">
        <v>12917</v>
      </c>
      <c r="E4202" t="s">
        <v>12918</v>
      </c>
      <c r="F4202" t="s">
        <v>45</v>
      </c>
      <c r="G4202" t="str">
        <f>HYPERLINK("https://apkhook.com/frito-lay-chip-flavor.html")</f>
        <v>https://apkhook.com/frito-lay-chip-flavor.html</v>
      </c>
      <c r="H4202" t="s">
        <v>46</v>
      </c>
      <c r="N4202" t="s">
        <v>1633</v>
      </c>
      <c r="R4202" t="s">
        <v>50</v>
      </c>
      <c r="S4202" t="s">
        <v>51</v>
      </c>
      <c r="AM4202" t="s">
        <v>52</v>
      </c>
      <c r="AN4202" t="s">
        <v>53</v>
      </c>
    </row>
    <row r="4203" spans="1:40">
      <c r="A4203" t="s">
        <v>8081</v>
      </c>
      <c r="B4203" t="s">
        <v>2150</v>
      </c>
      <c r="C4203" t="s">
        <v>12863</v>
      </c>
      <c r="D4203" t="s">
        <v>12919</v>
      </c>
      <c r="E4203" t="s">
        <v>12919</v>
      </c>
      <c r="F4203" t="s">
        <v>45</v>
      </c>
      <c r="G4203" t="str">
        <f>HYPERLINK("https://www.youtube.com/watch?v=MVCEmyDCcKc")</f>
        <v>https://www.youtube.com/watch?v=MVCEmyDCcKc</v>
      </c>
      <c r="H4203" t="s">
        <v>46</v>
      </c>
      <c r="I4203" t="s">
        <v>12920</v>
      </c>
      <c r="J4203" t="str">
        <f>HYPERLINK("https://www.youtube.com/channel/UCA-zni-adsXe6kMPv1Uwd2A")</f>
        <v>https://www.youtube.com/channel/UCA-zni-adsXe6kMPv1Uwd2A</v>
      </c>
      <c r="K4203">
        <v>17</v>
      </c>
      <c r="N4203" t="s">
        <v>116</v>
      </c>
      <c r="O4203" t="s">
        <v>12920</v>
      </c>
      <c r="P4203" t="str">
        <f>HYPERLINK("https://www.youtube.com/channel/UCA-zni-adsXe6kMPv1Uwd2A")</f>
        <v>https://www.youtube.com/channel/UCA-zni-adsXe6kMPv1Uwd2A</v>
      </c>
      <c r="Q4203">
        <v>17</v>
      </c>
      <c r="R4203" t="s">
        <v>60</v>
      </c>
      <c r="W4203">
        <v>2</v>
      </c>
      <c r="X4203">
        <v>2</v>
      </c>
      <c r="AD4203">
        <v>0</v>
      </c>
      <c r="AE4203">
        <v>3</v>
      </c>
      <c r="AG4203">
        <v>14</v>
      </c>
      <c r="AI4203" t="s">
        <v>52</v>
      </c>
      <c r="AJ4203" t="s">
        <v>52</v>
      </c>
      <c r="AK4203" t="s">
        <v>52</v>
      </c>
      <c r="AL4203" t="str">
        <f>HYPERLINK("https://i.ytimg.com/vi/MVCEmyDCcKc/hqdefault.jpg")</f>
        <v>https://i.ytimg.com/vi/MVCEmyDCcKc/hqdefault.jpg</v>
      </c>
      <c r="AM4203" t="s">
        <v>52</v>
      </c>
      <c r="AN4203" t="s">
        <v>53</v>
      </c>
    </row>
    <row r="4204" spans="1:40">
      <c r="A4204" t="s">
        <v>8081</v>
      </c>
      <c r="B4204" t="s">
        <v>12921</v>
      </c>
      <c r="C4204" t="s">
        <v>12910</v>
      </c>
      <c r="D4204" t="s">
        <v>52</v>
      </c>
      <c r="E4204" t="s">
        <v>12922</v>
      </c>
      <c r="F4204" t="s">
        <v>131</v>
      </c>
      <c r="G4204" t="str">
        <f>HYPERLINK("https://twitter.com/737147992000462857/status/1142657897601462273")</f>
        <v>https://twitter.com/737147992000462857/status/1142657897601462273</v>
      </c>
      <c r="H4204" t="s">
        <v>46</v>
      </c>
      <c r="I4204" t="s">
        <v>12923</v>
      </c>
      <c r="J4204" t="str">
        <f>HYPERLINK("http://twitter.com/okdevyn")</f>
        <v>http://twitter.com/okdevyn</v>
      </c>
      <c r="K4204">
        <v>166</v>
      </c>
      <c r="N4204" t="s">
        <v>65</v>
      </c>
      <c r="R4204" t="s">
        <v>60</v>
      </c>
      <c r="S4204" t="s">
        <v>51</v>
      </c>
      <c r="T4204" t="s">
        <v>152</v>
      </c>
      <c r="U4204" t="s">
        <v>12924</v>
      </c>
      <c r="W4204">
        <v>0</v>
      </c>
      <c r="X4204">
        <v>0</v>
      </c>
      <c r="AE4204">
        <v>0</v>
      </c>
      <c r="AM4204" t="s">
        <v>52</v>
      </c>
      <c r="AN4204" t="s">
        <v>53</v>
      </c>
    </row>
    <row r="4205" spans="1:40">
      <c r="A4205" t="s">
        <v>8081</v>
      </c>
      <c r="B4205" t="s">
        <v>12921</v>
      </c>
      <c r="C4205" t="s">
        <v>12907</v>
      </c>
      <c r="D4205" t="s">
        <v>52</v>
      </c>
      <c r="E4205" t="s">
        <v>12925</v>
      </c>
      <c r="F4205" t="s">
        <v>95</v>
      </c>
      <c r="G4205" t="str">
        <f>HYPERLINK("https://twitter.com/1140083326797193216/status/1142657849773965313")</f>
        <v>https://twitter.com/1140083326797193216/status/1142657849773965313</v>
      </c>
      <c r="H4205" t="s">
        <v>46</v>
      </c>
      <c r="I4205" t="s">
        <v>12926</v>
      </c>
      <c r="J4205" t="str">
        <f>HYPERLINK("http://twitter.com/IJackwashere")</f>
        <v>http://twitter.com/IJackwashere</v>
      </c>
      <c r="K4205">
        <v>2</v>
      </c>
      <c r="N4205" t="s">
        <v>65</v>
      </c>
      <c r="R4205" t="s">
        <v>60</v>
      </c>
      <c r="S4205" t="s">
        <v>51</v>
      </c>
      <c r="T4205" t="s">
        <v>2420</v>
      </c>
      <c r="U4205" t="s">
        <v>2421</v>
      </c>
      <c r="W4205">
        <v>0</v>
      </c>
      <c r="X4205">
        <v>0</v>
      </c>
      <c r="AE4205">
        <v>0</v>
      </c>
      <c r="AF4205">
        <v>0</v>
      </c>
      <c r="AM4205" t="s">
        <v>52</v>
      </c>
      <c r="AN4205" t="s">
        <v>53</v>
      </c>
    </row>
    <row r="4206" spans="1:40">
      <c r="A4206" t="s">
        <v>8081</v>
      </c>
      <c r="B4206" t="s">
        <v>12927</v>
      </c>
      <c r="C4206" t="s">
        <v>12928</v>
      </c>
      <c r="D4206" t="s">
        <v>52</v>
      </c>
      <c r="E4206" t="s">
        <v>12929</v>
      </c>
      <c r="F4206" t="s">
        <v>45</v>
      </c>
      <c r="G4206" t="str">
        <f>HYPERLINK("https://twitter.com/4898993944/status/1142657743142215680")</f>
        <v>https://twitter.com/4898993944/status/1142657743142215680</v>
      </c>
      <c r="H4206" t="s">
        <v>46</v>
      </c>
      <c r="I4206" t="s">
        <v>12930</v>
      </c>
      <c r="J4206" t="str">
        <f>HYPERLINK("http://twitter.com/GiuliaSambuca")</f>
        <v>http://twitter.com/GiuliaSambuca</v>
      </c>
      <c r="K4206">
        <v>120</v>
      </c>
      <c r="L4206" t="s">
        <v>58</v>
      </c>
      <c r="N4206" t="s">
        <v>65</v>
      </c>
      <c r="R4206" t="s">
        <v>60</v>
      </c>
      <c r="W4206">
        <v>0</v>
      </c>
      <c r="X4206">
        <v>0</v>
      </c>
      <c r="AE4206">
        <v>0</v>
      </c>
      <c r="AF4206">
        <v>0</v>
      </c>
      <c r="AM4206" t="s">
        <v>52</v>
      </c>
      <c r="AN4206" t="s">
        <v>53</v>
      </c>
    </row>
    <row r="4207" spans="1:40">
      <c r="A4207" t="s">
        <v>8081</v>
      </c>
      <c r="B4207" t="s">
        <v>12927</v>
      </c>
      <c r="C4207" t="s">
        <v>12619</v>
      </c>
      <c r="D4207" t="s">
        <v>12931</v>
      </c>
      <c r="E4207" t="s">
        <v>12932</v>
      </c>
      <c r="F4207" t="s">
        <v>95</v>
      </c>
      <c r="G4207" t="str">
        <f>HYPERLINK("https://www.youtube.com/watch?v=2RoZJaVEeCA&amp;lc=UgxuO3jdPPfCrVzqoLF4AaABAg")</f>
        <v>https://www.youtube.com/watch?v=2RoZJaVEeCA&amp;lc=UgxuO3jdPPfCrVzqoLF4AaABAg</v>
      </c>
      <c r="H4207" t="s">
        <v>46</v>
      </c>
      <c r="I4207" t="s">
        <v>12933</v>
      </c>
      <c r="J4207" t="str">
        <f>HYPERLINK("https://www.youtube.com/channel/UC2tw4QHdk8AOw3DvgEr_gKg")</f>
        <v>https://www.youtube.com/channel/UC2tw4QHdk8AOw3DvgEr_gKg</v>
      </c>
      <c r="K4207">
        <v>458</v>
      </c>
      <c r="N4207" t="s">
        <v>116</v>
      </c>
      <c r="O4207" t="s">
        <v>12934</v>
      </c>
      <c r="P4207" t="str">
        <f>HYPERLINK("https://www.youtube.com/channel/UC_Or-6_E9aesSJmoJ1QSc6Q")</f>
        <v>https://www.youtube.com/channel/UC_Or-6_E9aesSJmoJ1QSc6Q</v>
      </c>
      <c r="Q4207">
        <v>160448</v>
      </c>
      <c r="R4207" t="s">
        <v>60</v>
      </c>
      <c r="S4207" t="s">
        <v>437</v>
      </c>
      <c r="W4207">
        <v>0</v>
      </c>
      <c r="X4207">
        <v>0</v>
      </c>
      <c r="AE4207">
        <v>0</v>
      </c>
      <c r="AM4207" t="s">
        <v>52</v>
      </c>
      <c r="AN4207" t="s">
        <v>53</v>
      </c>
    </row>
    <row r="4208" spans="1:40">
      <c r="A4208" t="s">
        <v>8081</v>
      </c>
      <c r="B4208" t="s">
        <v>12927</v>
      </c>
      <c r="C4208" t="s">
        <v>12935</v>
      </c>
      <c r="D4208" t="s">
        <v>52</v>
      </c>
      <c r="E4208" t="s">
        <v>12936</v>
      </c>
      <c r="F4208" t="s">
        <v>45</v>
      </c>
      <c r="G4208" t="str">
        <f>HYPERLINK("https://www.instagram.com/p/BzCh4I-B7GG")</f>
        <v>https://www.instagram.com/p/BzCh4I-B7GG</v>
      </c>
      <c r="H4208" t="s">
        <v>46</v>
      </c>
      <c r="I4208" t="s">
        <v>12937</v>
      </c>
      <c r="J4208" t="str">
        <f>HYPERLINK("http://instagram.com/duke.the.golden.boy")</f>
        <v>http://instagram.com/duke.the.golden.boy</v>
      </c>
      <c r="K4208">
        <v>1</v>
      </c>
      <c r="L4208" t="s">
        <v>48</v>
      </c>
      <c r="N4208" t="s">
        <v>59</v>
      </c>
      <c r="O4208" t="s">
        <v>12937</v>
      </c>
      <c r="P4208" t="str">
        <f>HYPERLINK("http://instagram.com/duke.the.golden.boy")</f>
        <v>http://instagram.com/duke.the.golden.boy</v>
      </c>
      <c r="Q4208">
        <v>1</v>
      </c>
      <c r="R4208" t="s">
        <v>60</v>
      </c>
      <c r="W4208">
        <v>6</v>
      </c>
      <c r="X4208">
        <v>6</v>
      </c>
      <c r="AE4208">
        <v>1</v>
      </c>
      <c r="AG4208">
        <v>14</v>
      </c>
      <c r="AI4208" t="s">
        <v>52</v>
      </c>
      <c r="AJ4208" t="s">
        <v>985</v>
      </c>
      <c r="AK4208" t="s">
        <v>52</v>
      </c>
      <c r="AL4208" t="str">
        <f>HYPERLINK("https://www.instagram.com/p/BzCh4I-B7GG/media/?size=l")</f>
        <v>https://www.instagram.com/p/BzCh4I-B7GG/media/?size=l</v>
      </c>
      <c r="AM4208" t="s">
        <v>52</v>
      </c>
      <c r="AN4208" t="s">
        <v>53</v>
      </c>
    </row>
    <row r="4209" spans="1:40">
      <c r="A4209" t="s">
        <v>8081</v>
      </c>
      <c r="B4209" t="s">
        <v>12927</v>
      </c>
      <c r="C4209" t="s">
        <v>12863</v>
      </c>
      <c r="D4209" t="s">
        <v>12938</v>
      </c>
      <c r="E4209" t="s">
        <v>12938</v>
      </c>
      <c r="F4209" t="s">
        <v>45</v>
      </c>
      <c r="G4209" t="str">
        <f>HYPERLINK("https://www.youtube.com/watch?v=mjHtQxyZ7pM")</f>
        <v>https://www.youtube.com/watch?v=mjHtQxyZ7pM</v>
      </c>
      <c r="H4209" t="s">
        <v>46</v>
      </c>
      <c r="I4209" t="s">
        <v>12865</v>
      </c>
      <c r="J4209" t="str">
        <f>HYPERLINK("https://www.youtube.com/channel/UCn2cEDRp8Axxjk91gJhSdsg")</f>
        <v>https://www.youtube.com/channel/UCn2cEDRp8Axxjk91gJhSdsg</v>
      </c>
      <c r="K4209">
        <v>11</v>
      </c>
      <c r="N4209" t="s">
        <v>116</v>
      </c>
      <c r="O4209" t="s">
        <v>12865</v>
      </c>
      <c r="P4209" t="str">
        <f>HYPERLINK("https://www.youtube.com/channel/UCn2cEDRp8Axxjk91gJhSdsg")</f>
        <v>https://www.youtube.com/channel/UCn2cEDRp8Axxjk91gJhSdsg</v>
      </c>
      <c r="Q4209">
        <v>11</v>
      </c>
      <c r="R4209" t="s">
        <v>60</v>
      </c>
      <c r="W4209">
        <v>0</v>
      </c>
      <c r="X4209">
        <v>0</v>
      </c>
      <c r="AD4209">
        <v>0</v>
      </c>
      <c r="AE4209">
        <v>0</v>
      </c>
      <c r="AG4209">
        <v>0</v>
      </c>
      <c r="AI4209" t="s">
        <v>52</v>
      </c>
      <c r="AJ4209" t="s">
        <v>52</v>
      </c>
      <c r="AK4209" t="s">
        <v>52</v>
      </c>
      <c r="AL4209" t="str">
        <f>HYPERLINK("https://i.ytimg.com/vi/mjHtQxyZ7pM/maxresdefault.jpg")</f>
        <v>https://i.ytimg.com/vi/mjHtQxyZ7pM/maxresdefault.jpg</v>
      </c>
      <c r="AM4209" t="s">
        <v>52</v>
      </c>
      <c r="AN4209" t="s">
        <v>53</v>
      </c>
    </row>
    <row r="4210" spans="1:40">
      <c r="A4210" t="s">
        <v>8081</v>
      </c>
      <c r="B4210" t="s">
        <v>2158</v>
      </c>
      <c r="C4210" t="s">
        <v>12939</v>
      </c>
      <c r="D4210" t="s">
        <v>52</v>
      </c>
      <c r="E4210" t="s">
        <v>12940</v>
      </c>
      <c r="F4210" t="s">
        <v>95</v>
      </c>
      <c r="G4210" t="str">
        <f>HYPERLINK("https://twitter.com/1054870442534727681/status/1142657244632428544")</f>
        <v>https://twitter.com/1054870442534727681/status/1142657244632428544</v>
      </c>
      <c r="H4210" t="s">
        <v>46</v>
      </c>
      <c r="I4210" t="s">
        <v>12941</v>
      </c>
      <c r="J4210" t="str">
        <f>HYPERLINK("http://twitter.com/ItsHotfly")</f>
        <v>http://twitter.com/ItsHotfly</v>
      </c>
      <c r="K4210">
        <v>15</v>
      </c>
      <c r="N4210" t="s">
        <v>65</v>
      </c>
      <c r="R4210" t="s">
        <v>60</v>
      </c>
      <c r="S4210" t="s">
        <v>51</v>
      </c>
      <c r="T4210" t="s">
        <v>73</v>
      </c>
      <c r="W4210">
        <v>0</v>
      </c>
      <c r="X4210">
        <v>0</v>
      </c>
      <c r="AE4210">
        <v>0</v>
      </c>
      <c r="AF4210">
        <v>0</v>
      </c>
      <c r="AM4210" t="s">
        <v>52</v>
      </c>
      <c r="AN4210" t="s">
        <v>53</v>
      </c>
    </row>
    <row r="4211" spans="1:40">
      <c r="A4211" t="s">
        <v>8081</v>
      </c>
      <c r="B4211" t="s">
        <v>2177</v>
      </c>
      <c r="C4211" t="s">
        <v>12313</v>
      </c>
      <c r="D4211" t="s">
        <v>52</v>
      </c>
      <c r="E4211" t="s">
        <v>12942</v>
      </c>
      <c r="F4211" t="s">
        <v>45</v>
      </c>
      <c r="G4211" t="str">
        <f>HYPERLINK("https://www.facebook.com/1039007402819998/posts/2208723099181750")</f>
        <v>https://www.facebook.com/1039007402819998/posts/2208723099181750</v>
      </c>
      <c r="H4211" t="s">
        <v>46</v>
      </c>
      <c r="N4211" t="s">
        <v>1792</v>
      </c>
      <c r="O4211" t="s">
        <v>12887</v>
      </c>
      <c r="P4211" t="str">
        <f>HYPERLINK("https://www.facebook.com/1039007402819998")</f>
        <v>https://www.facebook.com/1039007402819998</v>
      </c>
      <c r="Q4211">
        <v>8602</v>
      </c>
      <c r="R4211" t="s">
        <v>60</v>
      </c>
      <c r="W4211">
        <v>4</v>
      </c>
      <c r="X4211">
        <v>1</v>
      </c>
      <c r="Y4211">
        <v>1</v>
      </c>
      <c r="Z4211">
        <v>2</v>
      </c>
      <c r="AA4211">
        <v>0</v>
      </c>
      <c r="AB4211">
        <v>0</v>
      </c>
      <c r="AC4211">
        <v>0</v>
      </c>
      <c r="AE4211">
        <v>7</v>
      </c>
      <c r="AF4211">
        <v>2</v>
      </c>
      <c r="AI4211" t="s">
        <v>52</v>
      </c>
      <c r="AJ4211" t="s">
        <v>12888</v>
      </c>
      <c r="AK4211" t="s">
        <v>52</v>
      </c>
      <c r="AL4211" t="str">
        <f>HYPERLINK("https://scontent.xx.fbcdn.net/v/t1.0-0/p180x540/64673311_847326708985046_717240520316813312_o.jpg?_nc_cat=111&amp;_nc_oc=AQm5W43UxfOKTgCIpq4yH0gjpSETAl5hYjpnVAI6ELjiKvfig-ob8D6sLZ3YwH2bxJI&amp;_nc_ht=scontent.xx&amp;oh=43521575568f53d0dc3e200feb90b307&amp;oe=5D8C1BD9")</f>
        <v>https://scontent.xx.fbcdn.net/v/t1.0-0/p180x540/64673311_847326708985046_717240520316813312_o.jpg?_nc_cat=111&amp;_nc_oc=AQm5W43UxfOKTgCIpq4yH0gjpSETAl5hYjpnVAI6ELjiKvfig-ob8D6sLZ3YwH2bxJI&amp;_nc_ht=scontent.xx&amp;oh=43521575568f53d0dc3e200feb90b307&amp;oe=5D8C1BD9</v>
      </c>
      <c r="AM4211" t="s">
        <v>52</v>
      </c>
      <c r="AN4211" t="s">
        <v>53</v>
      </c>
    </row>
    <row r="4212" spans="1:40">
      <c r="A4212" t="s">
        <v>8081</v>
      </c>
      <c r="B4212" t="s">
        <v>2177</v>
      </c>
      <c r="C4212" t="s">
        <v>12943</v>
      </c>
      <c r="D4212" t="s">
        <v>52</v>
      </c>
      <c r="E4212" t="s">
        <v>12944</v>
      </c>
      <c r="F4212" t="s">
        <v>45</v>
      </c>
      <c r="G4212" t="str">
        <f>HYPERLINK("https://twitter.com/748397180252229633/status/1142656391435313154")</f>
        <v>https://twitter.com/748397180252229633/status/1142656391435313154</v>
      </c>
      <c r="H4212" t="s">
        <v>46</v>
      </c>
      <c r="I4212" t="s">
        <v>12945</v>
      </c>
      <c r="J4212" t="str">
        <f>HYPERLINK("http://twitter.com/KaiserRex02")</f>
        <v>http://twitter.com/KaiserRex02</v>
      </c>
      <c r="K4212">
        <v>71</v>
      </c>
      <c r="N4212" t="s">
        <v>65</v>
      </c>
      <c r="R4212" t="s">
        <v>60</v>
      </c>
      <c r="S4212" t="s">
        <v>444</v>
      </c>
      <c r="T4212" t="s">
        <v>3539</v>
      </c>
      <c r="U4212" t="s">
        <v>12946</v>
      </c>
      <c r="W4212">
        <v>0</v>
      </c>
      <c r="X4212">
        <v>0</v>
      </c>
      <c r="AE4212">
        <v>0</v>
      </c>
      <c r="AF4212">
        <v>0</v>
      </c>
      <c r="AI4212" t="s">
        <v>52</v>
      </c>
      <c r="AJ4212" t="s">
        <v>52</v>
      </c>
      <c r="AK4212" t="s">
        <v>581</v>
      </c>
      <c r="AL4212" t="str">
        <f>HYPERLINK("https://pbs.twimg.com/tweet_video_thumb/D9uH7KJU4AI4dNX.jpg")</f>
        <v>https://pbs.twimg.com/tweet_video_thumb/D9uH7KJU4AI4dNX.jpg</v>
      </c>
      <c r="AM4212" t="s">
        <v>52</v>
      </c>
      <c r="AN4212" t="s">
        <v>53</v>
      </c>
    </row>
    <row r="4213" spans="1:40">
      <c r="A4213" t="s">
        <v>8081</v>
      </c>
      <c r="B4213" t="s">
        <v>2189</v>
      </c>
      <c r="C4213" t="s">
        <v>12947</v>
      </c>
      <c r="D4213" t="s">
        <v>52</v>
      </c>
      <c r="E4213" t="s">
        <v>12948</v>
      </c>
      <c r="F4213" t="s">
        <v>45</v>
      </c>
      <c r="G4213" t="str">
        <f>HYPERLINK("https://twitter.com/984244620316954624/status/1142655670468173826")</f>
        <v>https://twitter.com/984244620316954624/status/1142655670468173826</v>
      </c>
      <c r="H4213" t="s">
        <v>46</v>
      </c>
      <c r="I4213" t="s">
        <v>9778</v>
      </c>
      <c r="J4213" t="str">
        <f>HYPERLINK("http://twitter.com/BeyondTheBun")</f>
        <v>http://twitter.com/BeyondTheBun</v>
      </c>
      <c r="K4213">
        <v>12</v>
      </c>
      <c r="L4213" t="s">
        <v>48</v>
      </c>
      <c r="N4213" t="s">
        <v>65</v>
      </c>
      <c r="R4213" t="s">
        <v>60</v>
      </c>
      <c r="S4213" t="s">
        <v>51</v>
      </c>
      <c r="W4213">
        <v>0</v>
      </c>
      <c r="X4213">
        <v>0</v>
      </c>
      <c r="AE4213">
        <v>0</v>
      </c>
      <c r="AF4213">
        <v>0</v>
      </c>
      <c r="AM4213" t="s">
        <v>52</v>
      </c>
      <c r="AN4213" t="s">
        <v>53</v>
      </c>
    </row>
    <row r="4214" spans="1:40">
      <c r="A4214" t="s">
        <v>8081</v>
      </c>
      <c r="B4214" t="s">
        <v>2189</v>
      </c>
      <c r="C4214" t="s">
        <v>12907</v>
      </c>
      <c r="D4214" t="s">
        <v>52</v>
      </c>
      <c r="E4214" t="s">
        <v>12949</v>
      </c>
      <c r="F4214" t="s">
        <v>131</v>
      </c>
      <c r="G4214" t="str">
        <f>HYPERLINK("https://twitter.com/975452824363466752/status/1142655594433785856")</f>
        <v>https://twitter.com/975452824363466752/status/1142655594433785856</v>
      </c>
      <c r="H4214" t="s">
        <v>46</v>
      </c>
      <c r="I4214" t="s">
        <v>12950</v>
      </c>
      <c r="J4214" t="str">
        <f>HYPERLINK("http://twitter.com/trashpuff")</f>
        <v>http://twitter.com/trashpuff</v>
      </c>
      <c r="K4214">
        <v>37</v>
      </c>
      <c r="N4214" t="s">
        <v>65</v>
      </c>
      <c r="R4214" t="s">
        <v>60</v>
      </c>
      <c r="W4214">
        <v>0</v>
      </c>
      <c r="X4214">
        <v>0</v>
      </c>
      <c r="AE4214">
        <v>0</v>
      </c>
      <c r="AM4214" t="s">
        <v>52</v>
      </c>
      <c r="AN4214" t="s">
        <v>53</v>
      </c>
    </row>
    <row r="4215" spans="1:40">
      <c r="A4215" t="s">
        <v>8081</v>
      </c>
      <c r="B4215" t="s">
        <v>7911</v>
      </c>
      <c r="C4215" t="s">
        <v>12951</v>
      </c>
      <c r="D4215" t="s">
        <v>52</v>
      </c>
      <c r="E4215" t="s">
        <v>12952</v>
      </c>
      <c r="F4215" t="s">
        <v>71</v>
      </c>
      <c r="G4215" t="str">
        <f>HYPERLINK("https://twitter.com/1119409441114398721/status/1142655483939098625")</f>
        <v>https://twitter.com/1119409441114398721/status/1142655483939098625</v>
      </c>
      <c r="H4215" t="s">
        <v>46</v>
      </c>
      <c r="I4215" t="s">
        <v>12953</v>
      </c>
      <c r="J4215" t="str">
        <f>HYPERLINK("http://twitter.com/jksinss")</f>
        <v>http://twitter.com/jksinss</v>
      </c>
      <c r="K4215">
        <v>38</v>
      </c>
      <c r="N4215" t="s">
        <v>65</v>
      </c>
      <c r="R4215" t="s">
        <v>60</v>
      </c>
      <c r="W4215">
        <v>1</v>
      </c>
      <c r="X4215">
        <v>1</v>
      </c>
      <c r="AE4215">
        <v>0</v>
      </c>
      <c r="AF4215">
        <v>0</v>
      </c>
      <c r="AM4215" t="s">
        <v>52</v>
      </c>
      <c r="AN4215" t="s">
        <v>53</v>
      </c>
    </row>
    <row r="4216" spans="1:40">
      <c r="A4216" t="s">
        <v>8081</v>
      </c>
      <c r="B4216" t="s">
        <v>7935</v>
      </c>
      <c r="C4216" t="s">
        <v>12954</v>
      </c>
      <c r="D4216" t="s">
        <v>52</v>
      </c>
      <c r="E4216" t="s">
        <v>12955</v>
      </c>
      <c r="F4216" t="s">
        <v>95</v>
      </c>
      <c r="G4216" t="str">
        <f>HYPERLINK("https://twitter.com/4675061922/status/1142653759052341248")</f>
        <v>https://twitter.com/4675061922/status/1142653759052341248</v>
      </c>
      <c r="H4216" t="s">
        <v>215</v>
      </c>
      <c r="I4216" t="s">
        <v>12956</v>
      </c>
      <c r="J4216" t="str">
        <f>HYPERLINK("http://twitter.com/inminivanhell")</f>
        <v>http://twitter.com/inminivanhell</v>
      </c>
      <c r="K4216">
        <v>1664</v>
      </c>
      <c r="N4216" t="s">
        <v>65</v>
      </c>
      <c r="R4216" t="s">
        <v>60</v>
      </c>
      <c r="S4216" t="s">
        <v>51</v>
      </c>
      <c r="W4216">
        <v>5</v>
      </c>
      <c r="X4216">
        <v>5</v>
      </c>
      <c r="AE4216">
        <v>0</v>
      </c>
      <c r="AF4216">
        <v>0</v>
      </c>
      <c r="AM4216" t="s">
        <v>52</v>
      </c>
      <c r="AN4216" t="s">
        <v>53</v>
      </c>
    </row>
    <row r="4217" spans="1:40">
      <c r="A4217" t="s">
        <v>8081</v>
      </c>
      <c r="B4217" t="s">
        <v>12957</v>
      </c>
      <c r="C4217" t="s">
        <v>12958</v>
      </c>
      <c r="D4217" t="s">
        <v>52</v>
      </c>
      <c r="E4217" t="s">
        <v>12959</v>
      </c>
      <c r="F4217" t="s">
        <v>95</v>
      </c>
      <c r="G4217" t="str">
        <f>HYPERLINK("https://twitter.com/938568750797688833/status/1142653020775178240")</f>
        <v>https://twitter.com/938568750797688833/status/1142653020775178240</v>
      </c>
      <c r="H4217" t="s">
        <v>46</v>
      </c>
      <c r="I4217" t="s">
        <v>12960</v>
      </c>
      <c r="J4217" t="str">
        <f>HYPERLINK("http://twitter.com/TaviG_50")</f>
        <v>http://twitter.com/TaviG_50</v>
      </c>
      <c r="K4217">
        <v>5</v>
      </c>
      <c r="L4217" t="s">
        <v>48</v>
      </c>
      <c r="N4217" t="s">
        <v>65</v>
      </c>
      <c r="R4217" t="s">
        <v>60</v>
      </c>
      <c r="W4217">
        <v>0</v>
      </c>
      <c r="X4217">
        <v>0</v>
      </c>
      <c r="AE4217">
        <v>0</v>
      </c>
      <c r="AF4217">
        <v>0</v>
      </c>
      <c r="AM4217" t="s">
        <v>52</v>
      </c>
      <c r="AN4217" t="s">
        <v>53</v>
      </c>
    </row>
    <row r="4218" spans="1:40">
      <c r="A4218" t="s">
        <v>8081</v>
      </c>
      <c r="B4218" t="s">
        <v>2218</v>
      </c>
      <c r="C4218" t="s">
        <v>12961</v>
      </c>
      <c r="D4218" t="s">
        <v>52</v>
      </c>
      <c r="E4218" t="s">
        <v>12962</v>
      </c>
      <c r="F4218" t="s">
        <v>45</v>
      </c>
      <c r="G4218" t="str">
        <f>HYPERLINK("https://www.instagram.com/p/BzCgQphHG_I")</f>
        <v>https://www.instagram.com/p/BzCgQphHG_I</v>
      </c>
      <c r="H4218" t="s">
        <v>46</v>
      </c>
      <c r="I4218" t="s">
        <v>12963</v>
      </c>
      <c r="J4218" t="str">
        <f>HYPERLINK("http://instagram.com/ct_exotics203")</f>
        <v>http://instagram.com/ct_exotics203</v>
      </c>
      <c r="K4218">
        <v>2</v>
      </c>
      <c r="N4218" t="s">
        <v>59</v>
      </c>
      <c r="O4218" t="s">
        <v>12963</v>
      </c>
      <c r="P4218" t="str">
        <f>HYPERLINK("http://instagram.com/ct_exotics203")</f>
        <v>http://instagram.com/ct_exotics203</v>
      </c>
      <c r="Q4218">
        <v>2</v>
      </c>
      <c r="R4218" t="s">
        <v>60</v>
      </c>
      <c r="W4218">
        <v>5</v>
      </c>
      <c r="X4218">
        <v>5</v>
      </c>
      <c r="AE4218">
        <v>0</v>
      </c>
      <c r="AI4218" t="s">
        <v>108</v>
      </c>
      <c r="AJ4218" t="s">
        <v>12964</v>
      </c>
      <c r="AK4218" t="s">
        <v>52</v>
      </c>
      <c r="AL4218" t="str">
        <f>HYPERLINK("https://www.instagram.com/p/BzCgQphHG_I/media/?size=l")</f>
        <v>https://www.instagram.com/p/BzCgQphHG_I/media/?size=l</v>
      </c>
      <c r="AM4218" t="s">
        <v>52</v>
      </c>
      <c r="AN4218" t="s">
        <v>53</v>
      </c>
    </row>
    <row r="4219" spans="1:40">
      <c r="A4219" t="s">
        <v>8081</v>
      </c>
      <c r="B4219" t="s">
        <v>2232</v>
      </c>
      <c r="C4219" t="s">
        <v>12965</v>
      </c>
      <c r="D4219" t="s">
        <v>52</v>
      </c>
      <c r="E4219" t="s">
        <v>12966</v>
      </c>
      <c r="F4219" t="s">
        <v>45</v>
      </c>
      <c r="G4219" t="str">
        <f>HYPERLINK("https://www.instagram.com/p/BzCgBtkBNq6")</f>
        <v>https://www.instagram.com/p/BzCgBtkBNq6</v>
      </c>
      <c r="H4219" t="s">
        <v>46</v>
      </c>
      <c r="I4219" t="s">
        <v>12967</v>
      </c>
      <c r="J4219" t="str">
        <f>HYPERLINK("http://instagram.com/modzcity")</f>
        <v>http://instagram.com/modzcity</v>
      </c>
      <c r="K4219">
        <v>649</v>
      </c>
      <c r="L4219" t="s">
        <v>48</v>
      </c>
      <c r="N4219" t="s">
        <v>59</v>
      </c>
      <c r="O4219" t="s">
        <v>12967</v>
      </c>
      <c r="P4219" t="str">
        <f>HYPERLINK("http://instagram.com/modzcity")</f>
        <v>http://instagram.com/modzcity</v>
      </c>
      <c r="Q4219">
        <v>649</v>
      </c>
      <c r="R4219" t="s">
        <v>60</v>
      </c>
      <c r="W4219">
        <v>62</v>
      </c>
      <c r="X4219">
        <v>62</v>
      </c>
      <c r="AE4219">
        <v>5</v>
      </c>
      <c r="AI4219" t="s">
        <v>52</v>
      </c>
      <c r="AJ4219" t="s">
        <v>121</v>
      </c>
      <c r="AK4219" t="s">
        <v>52</v>
      </c>
      <c r="AL4219" t="str">
        <f>HYPERLINK("https://www.instagram.com/p/BzCgBtkBNq6/media/?size=l")</f>
        <v>https://www.instagram.com/p/BzCgBtkBNq6/media/?size=l</v>
      </c>
      <c r="AM4219" t="s">
        <v>52</v>
      </c>
      <c r="AN4219" t="s">
        <v>53</v>
      </c>
    </row>
    <row r="4220" spans="1:40">
      <c r="A4220" t="s">
        <v>8081</v>
      </c>
      <c r="B4220" t="s">
        <v>12968</v>
      </c>
      <c r="C4220" t="s">
        <v>12958</v>
      </c>
      <c r="D4220" t="s">
        <v>52</v>
      </c>
      <c r="E4220" t="s">
        <v>12275</v>
      </c>
      <c r="F4220" t="s">
        <v>45</v>
      </c>
      <c r="G4220" t="str">
        <f>HYPERLINK("https://twitter.com/42156411/status/1142652118706376705")</f>
        <v>https://twitter.com/42156411/status/1142652118706376705</v>
      </c>
      <c r="H4220" t="s">
        <v>46</v>
      </c>
      <c r="I4220" t="s">
        <v>12969</v>
      </c>
      <c r="J4220" t="str">
        <f>HYPERLINK("http://twitter.com/ELDOPENESS")</f>
        <v>http://twitter.com/ELDOPENESS</v>
      </c>
      <c r="K4220">
        <v>158</v>
      </c>
      <c r="N4220" t="s">
        <v>65</v>
      </c>
      <c r="R4220" t="s">
        <v>60</v>
      </c>
      <c r="S4220" t="s">
        <v>444</v>
      </c>
      <c r="T4220" t="s">
        <v>3539</v>
      </c>
      <c r="U4220" t="s">
        <v>12970</v>
      </c>
      <c r="W4220">
        <v>0</v>
      </c>
      <c r="X4220">
        <v>0</v>
      </c>
      <c r="AE4220">
        <v>0</v>
      </c>
      <c r="AF4220">
        <v>0</v>
      </c>
      <c r="AM4220" t="s">
        <v>52</v>
      </c>
      <c r="AN4220" t="s">
        <v>53</v>
      </c>
    </row>
    <row r="4221" spans="1:40">
      <c r="A4221" t="s">
        <v>8081</v>
      </c>
      <c r="B4221" t="s">
        <v>2236</v>
      </c>
      <c r="C4221" t="s">
        <v>12971</v>
      </c>
      <c r="D4221" t="s">
        <v>52</v>
      </c>
      <c r="E4221" t="s">
        <v>12972</v>
      </c>
      <c r="F4221" t="s">
        <v>45</v>
      </c>
      <c r="G4221" t="str">
        <f>HYPERLINK("https://www.instagram.com/p/BzCf0dPJ8i3")</f>
        <v>https://www.instagram.com/p/BzCf0dPJ8i3</v>
      </c>
      <c r="H4221" t="s">
        <v>46</v>
      </c>
      <c r="I4221" t="s">
        <v>12973</v>
      </c>
      <c r="J4221" t="str">
        <f>HYPERLINK("http://instagram.com/needmeasugadaddy")</f>
        <v>http://instagram.com/needmeasugadaddy</v>
      </c>
      <c r="K4221">
        <v>181</v>
      </c>
      <c r="N4221" t="s">
        <v>59</v>
      </c>
      <c r="O4221" t="s">
        <v>12973</v>
      </c>
      <c r="P4221" t="str">
        <f>HYPERLINK("http://instagram.com/needmeasugadaddy")</f>
        <v>http://instagram.com/needmeasugadaddy</v>
      </c>
      <c r="Q4221">
        <v>181</v>
      </c>
      <c r="R4221" t="s">
        <v>60</v>
      </c>
      <c r="W4221">
        <v>6</v>
      </c>
      <c r="X4221">
        <v>6</v>
      </c>
      <c r="AE4221">
        <v>1</v>
      </c>
      <c r="AI4221" t="s">
        <v>52</v>
      </c>
      <c r="AJ4221" t="s">
        <v>52</v>
      </c>
      <c r="AK4221" t="s">
        <v>341</v>
      </c>
      <c r="AL4221" t="str">
        <f>HYPERLINK("https://www.instagram.com/p/BzCf0dPJ8i3/media/?size=l")</f>
        <v>https://www.instagram.com/p/BzCf0dPJ8i3/media/?size=l</v>
      </c>
      <c r="AM4221" t="s">
        <v>52</v>
      </c>
      <c r="AN4221" t="s">
        <v>53</v>
      </c>
    </row>
    <row r="4222" spans="1:40">
      <c r="A4222" t="s">
        <v>8081</v>
      </c>
      <c r="B4222" t="s">
        <v>2239</v>
      </c>
      <c r="C4222" t="s">
        <v>12974</v>
      </c>
      <c r="D4222" t="s">
        <v>52</v>
      </c>
      <c r="E4222" t="s">
        <v>12975</v>
      </c>
      <c r="F4222" t="s">
        <v>131</v>
      </c>
      <c r="G4222" t="str">
        <f>HYPERLINK("https://twitter.com/1579051339/status/1142651168134500353")</f>
        <v>https://twitter.com/1579051339/status/1142651168134500353</v>
      </c>
      <c r="H4222" t="s">
        <v>215</v>
      </c>
      <c r="I4222" t="s">
        <v>12976</v>
      </c>
      <c r="J4222" t="str">
        <f>HYPERLINK("http://twitter.com/Montyfang")</f>
        <v>http://twitter.com/Montyfang</v>
      </c>
      <c r="K4222">
        <v>339</v>
      </c>
      <c r="N4222" t="s">
        <v>65</v>
      </c>
      <c r="R4222" t="s">
        <v>60</v>
      </c>
      <c r="S4222" t="s">
        <v>51</v>
      </c>
      <c r="T4222" t="s">
        <v>84</v>
      </c>
      <c r="U4222" t="s">
        <v>85</v>
      </c>
      <c r="W4222">
        <v>0</v>
      </c>
      <c r="X4222">
        <v>0</v>
      </c>
      <c r="AE4222">
        <v>0</v>
      </c>
      <c r="AM4222" t="s">
        <v>52</v>
      </c>
      <c r="AN4222" t="s">
        <v>53</v>
      </c>
    </row>
    <row r="4223" spans="1:40">
      <c r="A4223" t="s">
        <v>8081</v>
      </c>
      <c r="B4223" t="s">
        <v>2239</v>
      </c>
      <c r="C4223" t="s">
        <v>12965</v>
      </c>
      <c r="D4223" t="s">
        <v>52</v>
      </c>
      <c r="E4223" t="s">
        <v>12977</v>
      </c>
      <c r="F4223" t="s">
        <v>45</v>
      </c>
      <c r="G4223" t="str">
        <f>HYPERLINK("https://www.instagram.com/p/BzCfdP0jf47")</f>
        <v>https://www.instagram.com/p/BzCfdP0jf47</v>
      </c>
      <c r="H4223" t="s">
        <v>46</v>
      </c>
      <c r="I4223" t="s">
        <v>12978</v>
      </c>
      <c r="J4223" t="str">
        <f>HYPERLINK("http://instagram.com/pandora_danger")</f>
        <v>http://instagram.com/pandora_danger</v>
      </c>
      <c r="K4223">
        <v>458</v>
      </c>
      <c r="N4223" t="s">
        <v>59</v>
      </c>
      <c r="O4223" t="s">
        <v>12978</v>
      </c>
      <c r="P4223" t="str">
        <f>HYPERLINK("http://instagram.com/pandora_danger")</f>
        <v>http://instagram.com/pandora_danger</v>
      </c>
      <c r="Q4223">
        <v>458</v>
      </c>
      <c r="R4223" t="s">
        <v>60</v>
      </c>
      <c r="W4223">
        <v>29</v>
      </c>
      <c r="X4223">
        <v>29</v>
      </c>
      <c r="AE4223">
        <v>1</v>
      </c>
      <c r="AI4223" t="s">
        <v>52</v>
      </c>
      <c r="AJ4223" t="s">
        <v>4054</v>
      </c>
      <c r="AK4223" t="s">
        <v>52</v>
      </c>
      <c r="AL4223" t="str">
        <f>HYPERLINK("https://www.instagram.com/p/BzCfdP0jf47/media/?size=l")</f>
        <v>https://www.instagram.com/p/BzCfdP0jf47/media/?size=l</v>
      </c>
      <c r="AM4223" t="s">
        <v>52</v>
      </c>
      <c r="AN4223" t="s">
        <v>53</v>
      </c>
    </row>
    <row r="4224" spans="1:40">
      <c r="A4224" t="s">
        <v>8081</v>
      </c>
      <c r="B4224" t="s">
        <v>2239</v>
      </c>
      <c r="C4224" t="s">
        <v>12979</v>
      </c>
      <c r="D4224" t="s">
        <v>52</v>
      </c>
      <c r="E4224" t="s">
        <v>4514</v>
      </c>
      <c r="F4224" t="s">
        <v>71</v>
      </c>
      <c r="G4224" t="str">
        <f>HYPERLINK("https://twitter.com/4748038867/status/1142651118054330369")</f>
        <v>https://twitter.com/4748038867/status/1142651118054330369</v>
      </c>
      <c r="H4224" t="s">
        <v>46</v>
      </c>
      <c r="I4224" t="s">
        <v>12980</v>
      </c>
      <c r="J4224" t="str">
        <f>HYPERLINK("http://twitter.com/shamishami9648")</f>
        <v>http://twitter.com/shamishami9648</v>
      </c>
      <c r="K4224">
        <v>49</v>
      </c>
      <c r="N4224" t="s">
        <v>65</v>
      </c>
      <c r="R4224" t="s">
        <v>60</v>
      </c>
      <c r="W4224">
        <v>0</v>
      </c>
      <c r="X4224">
        <v>0</v>
      </c>
      <c r="AE4224">
        <v>0</v>
      </c>
      <c r="AF4224">
        <v>0</v>
      </c>
      <c r="AI4224" t="s">
        <v>108</v>
      </c>
      <c r="AJ4224" t="s">
        <v>52</v>
      </c>
      <c r="AK4224" t="s">
        <v>52</v>
      </c>
      <c r="AL4224" t="str">
        <f>HYPERLINK("https://pbs.twimg.com/tweet_video_thumb/D9hvNNzXUAATAS3.jpg")</f>
        <v>https://pbs.twimg.com/tweet_video_thumb/D9hvNNzXUAATAS3.jpg</v>
      </c>
      <c r="AM4224" t="s">
        <v>52</v>
      </c>
      <c r="AN4224" t="s">
        <v>53</v>
      </c>
    </row>
    <row r="4225" spans="1:40">
      <c r="A4225" t="s">
        <v>8081</v>
      </c>
      <c r="B4225" t="s">
        <v>2247</v>
      </c>
      <c r="C4225" t="s">
        <v>12981</v>
      </c>
      <c r="D4225" t="s">
        <v>52</v>
      </c>
      <c r="E4225" t="s">
        <v>10643</v>
      </c>
      <c r="F4225" t="s">
        <v>45</v>
      </c>
      <c r="G4225" t="str">
        <f>HYPERLINK("https://twitter.com/1142157230835458054/status/1142650807361265664")</f>
        <v>https://twitter.com/1142157230835458054/status/1142650807361265664</v>
      </c>
      <c r="H4225" t="s">
        <v>46</v>
      </c>
      <c r="I4225" t="s">
        <v>12982</v>
      </c>
      <c r="J4225" t="str">
        <f>HYPERLINK("http://twitter.com/airportbirb")</f>
        <v>http://twitter.com/airportbirb</v>
      </c>
      <c r="K4225">
        <v>1</v>
      </c>
      <c r="N4225" t="s">
        <v>65</v>
      </c>
      <c r="R4225" t="s">
        <v>60</v>
      </c>
      <c r="W4225">
        <v>0</v>
      </c>
      <c r="X4225">
        <v>0</v>
      </c>
      <c r="AE4225">
        <v>0</v>
      </c>
      <c r="AF4225">
        <v>1</v>
      </c>
      <c r="AM4225" t="s">
        <v>52</v>
      </c>
      <c r="AN4225" t="s">
        <v>53</v>
      </c>
    </row>
    <row r="4226" spans="1:40">
      <c r="A4226" t="s">
        <v>8081</v>
      </c>
      <c r="B4226" t="s">
        <v>2253</v>
      </c>
      <c r="C4226" t="s">
        <v>12983</v>
      </c>
      <c r="D4226" t="s">
        <v>52</v>
      </c>
      <c r="E4226" t="s">
        <v>12878</v>
      </c>
      <c r="F4226" t="s">
        <v>131</v>
      </c>
      <c r="G4226" t="str">
        <f>HYPERLINK("https://twitter.com/549679303/status/1142650705712427008")</f>
        <v>https://twitter.com/549679303/status/1142650705712427008</v>
      </c>
      <c r="H4226" t="s">
        <v>46</v>
      </c>
      <c r="I4226" t="s">
        <v>12984</v>
      </c>
      <c r="J4226" t="str">
        <f>HYPERLINK("http://twitter.com/BinyominS")</f>
        <v>http://twitter.com/BinyominS</v>
      </c>
      <c r="K4226">
        <v>11844</v>
      </c>
      <c r="N4226" t="s">
        <v>65</v>
      </c>
      <c r="R4226" t="s">
        <v>60</v>
      </c>
      <c r="S4226" t="s">
        <v>51</v>
      </c>
      <c r="T4226" t="s">
        <v>84</v>
      </c>
      <c r="U4226" t="s">
        <v>12985</v>
      </c>
      <c r="W4226">
        <v>0</v>
      </c>
      <c r="X4226">
        <v>0</v>
      </c>
      <c r="AE4226">
        <v>0</v>
      </c>
      <c r="AM4226" t="s">
        <v>52</v>
      </c>
      <c r="AN4226" t="s">
        <v>53</v>
      </c>
    </row>
    <row r="4227" spans="1:40">
      <c r="A4227" t="s">
        <v>8081</v>
      </c>
      <c r="B4227" t="s">
        <v>2253</v>
      </c>
      <c r="C4227" t="s">
        <v>12983</v>
      </c>
      <c r="D4227" t="s">
        <v>52</v>
      </c>
      <c r="E4227" t="s">
        <v>12986</v>
      </c>
      <c r="F4227" t="s">
        <v>95</v>
      </c>
      <c r="G4227" t="str">
        <f>HYPERLINK("https://twitter.com/348183714/status/1142650687106560000")</f>
        <v>https://twitter.com/348183714/status/1142650687106560000</v>
      </c>
      <c r="H4227" t="s">
        <v>215</v>
      </c>
      <c r="I4227" t="s">
        <v>12987</v>
      </c>
      <c r="J4227" t="str">
        <f>HYPERLINK("http://twitter.com/ZachDehler3")</f>
        <v>http://twitter.com/ZachDehler3</v>
      </c>
      <c r="K4227">
        <v>485</v>
      </c>
      <c r="L4227" t="s">
        <v>48</v>
      </c>
      <c r="N4227" t="s">
        <v>65</v>
      </c>
      <c r="R4227" t="s">
        <v>60</v>
      </c>
      <c r="S4227" t="s">
        <v>872</v>
      </c>
      <c r="T4227" t="s">
        <v>12988</v>
      </c>
      <c r="U4227" t="s">
        <v>12989</v>
      </c>
      <c r="W4227">
        <v>8</v>
      </c>
      <c r="X4227">
        <v>8</v>
      </c>
      <c r="AE4227">
        <v>0</v>
      </c>
      <c r="AF4227">
        <v>0</v>
      </c>
      <c r="AM4227" t="s">
        <v>52</v>
      </c>
      <c r="AN4227" t="s">
        <v>53</v>
      </c>
    </row>
    <row r="4228" spans="1:40">
      <c r="A4228" t="s">
        <v>8081</v>
      </c>
      <c r="B4228" t="s">
        <v>2253</v>
      </c>
      <c r="C4228" t="s">
        <v>12990</v>
      </c>
      <c r="D4228" t="s">
        <v>52</v>
      </c>
      <c r="E4228" t="s">
        <v>12991</v>
      </c>
      <c r="F4228" t="s">
        <v>131</v>
      </c>
      <c r="G4228" t="str">
        <f>HYPERLINK("https://twitter.com/35529179/status/1142650682958368768")</f>
        <v>https://twitter.com/35529179/status/1142650682958368768</v>
      </c>
      <c r="H4228" t="s">
        <v>46</v>
      </c>
      <c r="I4228" t="s">
        <v>12992</v>
      </c>
      <c r="J4228" t="str">
        <f>HYPERLINK("http://twitter.com/RoscoePKtrain")</f>
        <v>http://twitter.com/RoscoePKtrain</v>
      </c>
      <c r="K4228">
        <v>260</v>
      </c>
      <c r="N4228" t="s">
        <v>65</v>
      </c>
      <c r="R4228" t="s">
        <v>60</v>
      </c>
      <c r="S4228" t="s">
        <v>444</v>
      </c>
      <c r="T4228" t="s">
        <v>1062</v>
      </c>
      <c r="U4228" t="s">
        <v>2436</v>
      </c>
      <c r="W4228">
        <v>0</v>
      </c>
      <c r="X4228">
        <v>0</v>
      </c>
      <c r="AE4228">
        <v>0</v>
      </c>
      <c r="AM4228" t="s">
        <v>52</v>
      </c>
      <c r="AN4228" t="s">
        <v>53</v>
      </c>
    </row>
    <row r="4229" spans="1:40">
      <c r="A4229" t="s">
        <v>8081</v>
      </c>
      <c r="B4229" t="s">
        <v>2253</v>
      </c>
      <c r="C4229" t="s">
        <v>12983</v>
      </c>
      <c r="D4229" t="s">
        <v>52</v>
      </c>
      <c r="E4229" t="s">
        <v>12993</v>
      </c>
      <c r="F4229" t="s">
        <v>95</v>
      </c>
      <c r="G4229" t="str">
        <f>HYPERLINK("https://twitter.com/1008416810805309440/status/1142650665858207744")</f>
        <v>https://twitter.com/1008416810805309440/status/1142650665858207744</v>
      </c>
      <c r="H4229" t="s">
        <v>46</v>
      </c>
      <c r="I4229" t="s">
        <v>12994</v>
      </c>
      <c r="J4229" t="str">
        <f>HYPERLINK("http://twitter.com/aamb613")</f>
        <v>http://twitter.com/aamb613</v>
      </c>
      <c r="K4229">
        <v>90</v>
      </c>
      <c r="N4229" t="s">
        <v>65</v>
      </c>
      <c r="R4229" t="s">
        <v>60</v>
      </c>
      <c r="S4229" t="s">
        <v>51</v>
      </c>
      <c r="T4229" t="s">
        <v>173</v>
      </c>
      <c r="U4229" t="s">
        <v>3886</v>
      </c>
      <c r="W4229">
        <v>5</v>
      </c>
      <c r="X4229">
        <v>5</v>
      </c>
      <c r="AE4229">
        <v>0</v>
      </c>
      <c r="AF4229">
        <v>0</v>
      </c>
      <c r="AM4229" t="s">
        <v>52</v>
      </c>
      <c r="AN4229" t="s">
        <v>53</v>
      </c>
    </row>
    <row r="4230" spans="1:40">
      <c r="A4230" t="s">
        <v>8081</v>
      </c>
      <c r="B4230" t="s">
        <v>2253</v>
      </c>
      <c r="C4230" t="s">
        <v>12995</v>
      </c>
      <c r="D4230" t="s">
        <v>52</v>
      </c>
      <c r="E4230" t="s">
        <v>12878</v>
      </c>
      <c r="F4230" t="s">
        <v>131</v>
      </c>
      <c r="G4230" t="str">
        <f>HYPERLINK("https://twitter.com/1085676483698290688/status/1142650586346561536")</f>
        <v>https://twitter.com/1085676483698290688/status/1142650586346561536</v>
      </c>
      <c r="H4230" t="s">
        <v>46</v>
      </c>
      <c r="I4230" t="s">
        <v>12996</v>
      </c>
      <c r="J4230" t="str">
        <f>HYPERLINK("http://twitter.com/BoiSmurfie")</f>
        <v>http://twitter.com/BoiSmurfie</v>
      </c>
      <c r="K4230">
        <v>2205</v>
      </c>
      <c r="L4230" t="s">
        <v>48</v>
      </c>
      <c r="N4230" t="s">
        <v>65</v>
      </c>
      <c r="R4230" t="s">
        <v>60</v>
      </c>
      <c r="W4230">
        <v>0</v>
      </c>
      <c r="X4230">
        <v>0</v>
      </c>
      <c r="AE4230">
        <v>0</v>
      </c>
      <c r="AM4230" t="s">
        <v>52</v>
      </c>
      <c r="AN4230" t="s">
        <v>53</v>
      </c>
    </row>
    <row r="4231" spans="1:40">
      <c r="A4231" t="s">
        <v>8081</v>
      </c>
      <c r="B4231" t="s">
        <v>7977</v>
      </c>
      <c r="C4231" t="s">
        <v>12997</v>
      </c>
      <c r="D4231" t="s">
        <v>52</v>
      </c>
      <c r="E4231" t="s">
        <v>12998</v>
      </c>
      <c r="F4231" t="s">
        <v>45</v>
      </c>
      <c r="G4231" t="str">
        <f>HYPERLINK("https://www.instagram.com/p/BzCfHAoDqf0")</f>
        <v>https://www.instagram.com/p/BzCfHAoDqf0</v>
      </c>
      <c r="H4231" t="s">
        <v>46</v>
      </c>
      <c r="I4231" t="s">
        <v>12999</v>
      </c>
      <c r="J4231" t="str">
        <f>HYPERLINK("http://instagram.com/itsme_hanah")</f>
        <v>http://instagram.com/itsme_hanah</v>
      </c>
      <c r="K4231">
        <v>6375</v>
      </c>
      <c r="N4231" t="s">
        <v>59</v>
      </c>
      <c r="O4231" t="s">
        <v>12999</v>
      </c>
      <c r="P4231" t="str">
        <f>HYPERLINK("http://instagram.com/itsme_hanah")</f>
        <v>http://instagram.com/itsme_hanah</v>
      </c>
      <c r="Q4231">
        <v>6375</v>
      </c>
      <c r="R4231" t="s">
        <v>60</v>
      </c>
      <c r="W4231">
        <v>195</v>
      </c>
      <c r="X4231">
        <v>195</v>
      </c>
      <c r="AE4231">
        <v>56</v>
      </c>
      <c r="AI4231" t="s">
        <v>5469</v>
      </c>
      <c r="AJ4231" t="s">
        <v>1106</v>
      </c>
      <c r="AK4231" t="s">
        <v>52</v>
      </c>
      <c r="AL4231" t="str">
        <f>HYPERLINK("https://www.instagram.com/p/BzCfHAoDqf0/media/?size=l")</f>
        <v>https://www.instagram.com/p/BzCfHAoDqf0/media/?size=l</v>
      </c>
      <c r="AM4231" t="s">
        <v>52</v>
      </c>
      <c r="AN4231" t="s">
        <v>53</v>
      </c>
    </row>
    <row r="4232" spans="1:40">
      <c r="A4232" t="s">
        <v>8081</v>
      </c>
      <c r="B4232" t="s">
        <v>7984</v>
      </c>
      <c r="C4232" t="s">
        <v>12995</v>
      </c>
      <c r="D4232" t="s">
        <v>52</v>
      </c>
      <c r="E4232" t="s">
        <v>13000</v>
      </c>
      <c r="F4232" t="s">
        <v>45</v>
      </c>
      <c r="G4232" t="str">
        <f>HYPERLINK("https://www.instagram.com/p/BzCe_ANH5YQ")</f>
        <v>https://www.instagram.com/p/BzCe_ANH5YQ</v>
      </c>
      <c r="H4232" t="s">
        <v>46</v>
      </c>
      <c r="I4232" t="s">
        <v>12963</v>
      </c>
      <c r="J4232" t="str">
        <f>HYPERLINK("http://instagram.com/ct_exotics203")</f>
        <v>http://instagram.com/ct_exotics203</v>
      </c>
      <c r="K4232">
        <v>2</v>
      </c>
      <c r="N4232" t="s">
        <v>59</v>
      </c>
      <c r="O4232" t="s">
        <v>12963</v>
      </c>
      <c r="P4232" t="str">
        <f>HYPERLINK("http://instagram.com/ct_exotics203")</f>
        <v>http://instagram.com/ct_exotics203</v>
      </c>
      <c r="Q4232">
        <v>2</v>
      </c>
      <c r="R4232" t="s">
        <v>60</v>
      </c>
      <c r="W4232">
        <v>8</v>
      </c>
      <c r="X4232">
        <v>8</v>
      </c>
      <c r="AE4232">
        <v>0</v>
      </c>
      <c r="AI4232" t="s">
        <v>108</v>
      </c>
      <c r="AJ4232" t="s">
        <v>942</v>
      </c>
      <c r="AK4232" t="s">
        <v>52</v>
      </c>
      <c r="AL4232" t="str">
        <f>HYPERLINK("https://www.instagram.com/p/BzCe_ANH5YQ/media/?size=l")</f>
        <v>https://www.instagram.com/p/BzCe_ANH5YQ/media/?size=l</v>
      </c>
      <c r="AM4232" t="s">
        <v>52</v>
      </c>
      <c r="AN4232" t="s">
        <v>53</v>
      </c>
    </row>
    <row r="4233" spans="1:40">
      <c r="A4233" t="s">
        <v>8081</v>
      </c>
      <c r="B4233" t="s">
        <v>2260</v>
      </c>
      <c r="C4233" t="s">
        <v>12990</v>
      </c>
      <c r="D4233" t="s">
        <v>52</v>
      </c>
      <c r="E4233" t="s">
        <v>13001</v>
      </c>
      <c r="F4233" t="s">
        <v>95</v>
      </c>
      <c r="G4233" t="str">
        <f>HYPERLINK("https://twitter.com/1083554105832935424/status/1142649844844154881")</f>
        <v>https://twitter.com/1083554105832935424/status/1142649844844154881</v>
      </c>
      <c r="H4233" t="s">
        <v>46</v>
      </c>
      <c r="I4233" t="s">
        <v>13002</v>
      </c>
      <c r="J4233" t="str">
        <f>HYPERLINK("http://twitter.com/YouTubeMelk")</f>
        <v>http://twitter.com/YouTubeMelk</v>
      </c>
      <c r="K4233">
        <v>39</v>
      </c>
      <c r="N4233" t="s">
        <v>65</v>
      </c>
      <c r="R4233" t="s">
        <v>60</v>
      </c>
      <c r="S4233" t="s">
        <v>1857</v>
      </c>
      <c r="T4233" t="s">
        <v>2431</v>
      </c>
      <c r="U4233" t="s">
        <v>13003</v>
      </c>
      <c r="W4233">
        <v>1</v>
      </c>
      <c r="X4233">
        <v>1</v>
      </c>
      <c r="AE4233">
        <v>1</v>
      </c>
      <c r="AF4233">
        <v>0</v>
      </c>
      <c r="AM4233" t="s">
        <v>52</v>
      </c>
      <c r="AN4233" t="s">
        <v>53</v>
      </c>
    </row>
    <row r="4234" spans="1:40">
      <c r="A4234" t="s">
        <v>8081</v>
      </c>
      <c r="B4234" t="s">
        <v>2264</v>
      </c>
      <c r="C4234" t="s">
        <v>13004</v>
      </c>
      <c r="D4234" t="s">
        <v>52</v>
      </c>
      <c r="E4234" t="s">
        <v>13005</v>
      </c>
      <c r="F4234" t="s">
        <v>95</v>
      </c>
      <c r="G4234" t="str">
        <f>HYPERLINK("https://twitter.com/178231524/status/1142649633698668544")</f>
        <v>https://twitter.com/178231524/status/1142649633698668544</v>
      </c>
      <c r="H4234" t="s">
        <v>46</v>
      </c>
      <c r="I4234" t="s">
        <v>13006</v>
      </c>
      <c r="J4234" t="str">
        <f>HYPERLINK("http://twitter.com/LeeRaldar")</f>
        <v>http://twitter.com/LeeRaldar</v>
      </c>
      <c r="K4234">
        <v>49</v>
      </c>
      <c r="N4234" t="s">
        <v>65</v>
      </c>
      <c r="R4234" t="s">
        <v>60</v>
      </c>
      <c r="S4234" t="s">
        <v>97</v>
      </c>
      <c r="T4234" t="s">
        <v>177</v>
      </c>
      <c r="U4234" t="s">
        <v>3947</v>
      </c>
      <c r="W4234">
        <v>1</v>
      </c>
      <c r="X4234">
        <v>1</v>
      </c>
      <c r="AE4234">
        <v>0</v>
      </c>
      <c r="AF4234">
        <v>0</v>
      </c>
      <c r="AM4234" t="s">
        <v>52</v>
      </c>
      <c r="AN4234" t="s">
        <v>53</v>
      </c>
    </row>
    <row r="4235" spans="1:40">
      <c r="A4235" t="s">
        <v>8081</v>
      </c>
      <c r="B4235" t="s">
        <v>13007</v>
      </c>
      <c r="C4235" t="s">
        <v>13008</v>
      </c>
      <c r="D4235" t="s">
        <v>52</v>
      </c>
      <c r="E4235" t="s">
        <v>13009</v>
      </c>
      <c r="F4235" t="s">
        <v>95</v>
      </c>
      <c r="G4235" t="str">
        <f>HYPERLINK("https://twitter.com/1068101024257331202/status/1142649173994627072")</f>
        <v>https://twitter.com/1068101024257331202/status/1142649173994627072</v>
      </c>
      <c r="H4235" t="s">
        <v>46</v>
      </c>
      <c r="I4235" t="s">
        <v>13010</v>
      </c>
      <c r="J4235" t="str">
        <f>HYPERLINK("http://twitter.com/Greg42735467")</f>
        <v>http://twitter.com/Greg42735467</v>
      </c>
      <c r="K4235">
        <v>4</v>
      </c>
      <c r="N4235" t="s">
        <v>65</v>
      </c>
      <c r="R4235" t="s">
        <v>60</v>
      </c>
      <c r="W4235">
        <v>0</v>
      </c>
      <c r="X4235">
        <v>0</v>
      </c>
      <c r="AE4235">
        <v>0</v>
      </c>
      <c r="AF4235">
        <v>0</v>
      </c>
      <c r="AM4235" t="s">
        <v>52</v>
      </c>
      <c r="AN4235" t="s">
        <v>53</v>
      </c>
    </row>
    <row r="4236" spans="1:40">
      <c r="A4236" t="s">
        <v>8081</v>
      </c>
      <c r="B4236" t="s">
        <v>2272</v>
      </c>
      <c r="C4236" t="s">
        <v>13011</v>
      </c>
      <c r="D4236" t="s">
        <v>13012</v>
      </c>
      <c r="E4236" t="s">
        <v>13013</v>
      </c>
      <c r="F4236" t="s">
        <v>95</v>
      </c>
      <c r="G4236" t="str">
        <f>HYPERLINK("https://www.youtube.com/watch?v=JzqFoJ2gYw0&amp;lc=Ugy4TvsAbwNBxhIdAm94AaABAg")</f>
        <v>https://www.youtube.com/watch?v=JzqFoJ2gYw0&amp;lc=Ugy4TvsAbwNBxhIdAm94AaABAg</v>
      </c>
      <c r="H4236" t="s">
        <v>46</v>
      </c>
      <c r="I4236" t="s">
        <v>13014</v>
      </c>
      <c r="J4236" t="str">
        <f>HYPERLINK("https://www.youtube.com/channel/UCTcbI7hg8sLqJ6RqeLJAn-g")</f>
        <v>https://www.youtube.com/channel/UCTcbI7hg8sLqJ6RqeLJAn-g</v>
      </c>
      <c r="K4236">
        <v>13</v>
      </c>
      <c r="N4236" t="s">
        <v>116</v>
      </c>
      <c r="O4236" t="s">
        <v>13015</v>
      </c>
      <c r="P4236" t="str">
        <f>HYPERLINK("https://www.youtube.com/channel/UCaqlc6K_yDOcBLyMz-uBGpg")</f>
        <v>https://www.youtube.com/channel/UCaqlc6K_yDOcBLyMz-uBGpg</v>
      </c>
      <c r="Q4236">
        <v>35070</v>
      </c>
      <c r="R4236" t="s">
        <v>60</v>
      </c>
      <c r="W4236">
        <v>0</v>
      </c>
      <c r="X4236">
        <v>0</v>
      </c>
      <c r="AE4236">
        <v>0</v>
      </c>
      <c r="AM4236" t="s">
        <v>52</v>
      </c>
      <c r="AN4236" t="s">
        <v>53</v>
      </c>
    </row>
    <row r="4237" spans="1:40">
      <c r="A4237" t="s">
        <v>8081</v>
      </c>
      <c r="B4237" t="s">
        <v>2283</v>
      </c>
      <c r="C4237" t="s">
        <v>13016</v>
      </c>
      <c r="D4237" t="s">
        <v>52</v>
      </c>
      <c r="E4237" t="s">
        <v>13017</v>
      </c>
      <c r="F4237" t="s">
        <v>45</v>
      </c>
      <c r="G4237" t="str">
        <f>HYPERLINK("https://www.instagram.com/p/BzCeKdtgiXS")</f>
        <v>https://www.instagram.com/p/BzCeKdtgiXS</v>
      </c>
      <c r="H4237" t="s">
        <v>46</v>
      </c>
      <c r="I4237" t="s">
        <v>2387</v>
      </c>
      <c r="J4237" t="str">
        <f>HYPERLINK("http://instagram.com/meeko.dorito")</f>
        <v>http://instagram.com/meeko.dorito</v>
      </c>
      <c r="K4237">
        <v>171</v>
      </c>
      <c r="N4237" t="s">
        <v>59</v>
      </c>
      <c r="O4237" t="s">
        <v>2387</v>
      </c>
      <c r="P4237" t="str">
        <f>HYPERLINK("http://instagram.com/meeko.dorito")</f>
        <v>http://instagram.com/meeko.dorito</v>
      </c>
      <c r="Q4237">
        <v>171</v>
      </c>
      <c r="R4237" t="s">
        <v>60</v>
      </c>
      <c r="W4237">
        <v>0</v>
      </c>
      <c r="X4237">
        <v>0</v>
      </c>
      <c r="AE4237">
        <v>0</v>
      </c>
      <c r="AI4237" t="s">
        <v>52</v>
      </c>
      <c r="AJ4237" t="s">
        <v>52</v>
      </c>
      <c r="AK4237" t="s">
        <v>52</v>
      </c>
      <c r="AL4237" t="str">
        <f>HYPERLINK("https://www.instagram.com/p/BzCeKdtgiXS/media/?size=l")</f>
        <v>https://www.instagram.com/p/BzCeKdtgiXS/media/?size=l</v>
      </c>
      <c r="AM4237" t="s">
        <v>52</v>
      </c>
      <c r="AN4237" t="s">
        <v>53</v>
      </c>
    </row>
    <row r="4238" spans="1:40">
      <c r="A4238" t="s">
        <v>8081</v>
      </c>
      <c r="B4238" t="s">
        <v>2315</v>
      </c>
      <c r="C4238" t="s">
        <v>12619</v>
      </c>
      <c r="D4238" t="s">
        <v>12931</v>
      </c>
      <c r="E4238" t="s">
        <v>13018</v>
      </c>
      <c r="F4238" t="s">
        <v>95</v>
      </c>
      <c r="G4238" t="str">
        <f>HYPERLINK("https://www.youtube.com/watch?v=2RoZJaVEeCA&amp;lc=UgyQ_G2T65A_-VBM_7d4AaABAg")</f>
        <v>https://www.youtube.com/watch?v=2RoZJaVEeCA&amp;lc=UgyQ_G2T65A_-VBM_7d4AaABAg</v>
      </c>
      <c r="H4238" t="s">
        <v>46</v>
      </c>
      <c r="I4238" t="s">
        <v>13019</v>
      </c>
      <c r="J4238" t="str">
        <f>HYPERLINK("https://www.youtube.com/channel/UCVTHbJ84mJEbFjAFVUYNvxQ")</f>
        <v>https://www.youtube.com/channel/UCVTHbJ84mJEbFjAFVUYNvxQ</v>
      </c>
      <c r="K4238">
        <v>15</v>
      </c>
      <c r="N4238" t="s">
        <v>116</v>
      </c>
      <c r="O4238" t="s">
        <v>12934</v>
      </c>
      <c r="P4238" t="str">
        <f>HYPERLINK("https://www.youtube.com/channel/UC_Or-6_E9aesSJmoJ1QSc6Q")</f>
        <v>https://www.youtube.com/channel/UC_Or-6_E9aesSJmoJ1QSc6Q</v>
      </c>
      <c r="Q4238">
        <v>160448</v>
      </c>
      <c r="R4238" t="s">
        <v>60</v>
      </c>
      <c r="S4238" t="s">
        <v>437</v>
      </c>
      <c r="W4238">
        <v>1</v>
      </c>
      <c r="X4238">
        <v>1</v>
      </c>
      <c r="AE4238">
        <v>0</v>
      </c>
      <c r="AM4238" t="s">
        <v>52</v>
      </c>
      <c r="AN4238" t="s">
        <v>53</v>
      </c>
    </row>
    <row r="4239" spans="1:40">
      <c r="A4239" t="s">
        <v>8081</v>
      </c>
      <c r="B4239" t="s">
        <v>8036</v>
      </c>
      <c r="C4239" t="s">
        <v>13020</v>
      </c>
      <c r="D4239" t="s">
        <v>52</v>
      </c>
      <c r="E4239" t="s">
        <v>13021</v>
      </c>
      <c r="F4239" t="s">
        <v>45</v>
      </c>
      <c r="G4239" t="str">
        <f>HYPERLINK("https://www.instagram.com/p/BzCdTCZA5lQ")</f>
        <v>https://www.instagram.com/p/BzCdTCZA5lQ</v>
      </c>
      <c r="H4239" t="s">
        <v>46</v>
      </c>
      <c r="I4239" t="s">
        <v>7654</v>
      </c>
      <c r="J4239" t="str">
        <f>HYPERLINK("http://instagram.com/crackermilk")</f>
        <v>http://instagram.com/crackermilk</v>
      </c>
      <c r="K4239">
        <v>1148</v>
      </c>
      <c r="N4239" t="s">
        <v>59</v>
      </c>
      <c r="O4239" t="s">
        <v>7654</v>
      </c>
      <c r="P4239" t="str">
        <f>HYPERLINK("http://instagram.com/crackermilk")</f>
        <v>http://instagram.com/crackermilk</v>
      </c>
      <c r="Q4239">
        <v>1148</v>
      </c>
      <c r="R4239" t="s">
        <v>60</v>
      </c>
      <c r="W4239">
        <v>94</v>
      </c>
      <c r="X4239">
        <v>94</v>
      </c>
      <c r="AE4239">
        <v>3</v>
      </c>
      <c r="AI4239" t="s">
        <v>52</v>
      </c>
      <c r="AJ4239" t="s">
        <v>321</v>
      </c>
      <c r="AK4239" t="s">
        <v>52</v>
      </c>
      <c r="AL4239" t="str">
        <f>HYPERLINK("https://www.instagram.com/p/BzCdTCZA5lQ/media/?size=l")</f>
        <v>https://www.instagram.com/p/BzCdTCZA5lQ/media/?size=l</v>
      </c>
      <c r="AM4239" t="s">
        <v>52</v>
      </c>
      <c r="AN4239" t="s">
        <v>53</v>
      </c>
    </row>
    <row r="4240" spans="1:40">
      <c r="A4240" t="s">
        <v>8081</v>
      </c>
      <c r="B4240" t="s">
        <v>8036</v>
      </c>
      <c r="C4240" t="s">
        <v>13022</v>
      </c>
      <c r="D4240" t="s">
        <v>52</v>
      </c>
      <c r="E4240" t="s">
        <v>9854</v>
      </c>
      <c r="F4240" t="s">
        <v>71</v>
      </c>
      <c r="G4240" t="str">
        <f>HYPERLINK("https://twitter.com/4889501958/status/1142646308211085312")</f>
        <v>https://twitter.com/4889501958/status/1142646308211085312</v>
      </c>
      <c r="H4240" t="s">
        <v>215</v>
      </c>
      <c r="I4240" t="s">
        <v>13023</v>
      </c>
      <c r="J4240" t="str">
        <f>HYPERLINK("http://twitter.com/ponygal1986")</f>
        <v>http://twitter.com/ponygal1986</v>
      </c>
      <c r="K4240">
        <v>4709</v>
      </c>
      <c r="N4240" t="s">
        <v>65</v>
      </c>
      <c r="R4240" t="s">
        <v>60</v>
      </c>
      <c r="S4240" t="s">
        <v>51</v>
      </c>
      <c r="T4240" t="s">
        <v>173</v>
      </c>
      <c r="U4240" t="s">
        <v>10385</v>
      </c>
      <c r="W4240">
        <v>0</v>
      </c>
      <c r="X4240">
        <v>0</v>
      </c>
      <c r="AE4240">
        <v>0</v>
      </c>
      <c r="AF4240">
        <v>0</v>
      </c>
      <c r="AI4240" t="s">
        <v>52</v>
      </c>
      <c r="AJ4240" t="s">
        <v>52</v>
      </c>
      <c r="AK4240" t="s">
        <v>110</v>
      </c>
      <c r="AL4240" t="str">
        <f>HYPERLINK("https://pbs.twimg.com/ext_tw_video_thumb/1142646022713118720/pu/img/mITRfwP1eYqQ_wvd.jpg")</f>
        <v>https://pbs.twimg.com/ext_tw_video_thumb/1142646022713118720/pu/img/mITRfwP1eYqQ_wvd.jpg</v>
      </c>
      <c r="AM4240" t="s">
        <v>52</v>
      </c>
      <c r="AN4240" t="s">
        <v>53</v>
      </c>
    </row>
    <row r="4241" spans="1:40">
      <c r="A4241" t="s">
        <v>8081</v>
      </c>
      <c r="B4241" t="s">
        <v>8036</v>
      </c>
      <c r="C4241" t="s">
        <v>13024</v>
      </c>
      <c r="D4241" t="s">
        <v>52</v>
      </c>
      <c r="E4241" t="s">
        <v>1052</v>
      </c>
      <c r="F4241" t="s">
        <v>131</v>
      </c>
      <c r="G4241" t="str">
        <f>HYPERLINK("https://twitter.com/815454475/status/1142646268868669440")</f>
        <v>https://twitter.com/815454475/status/1142646268868669440</v>
      </c>
      <c r="H4241" t="s">
        <v>46</v>
      </c>
      <c r="I4241" t="s">
        <v>13025</v>
      </c>
      <c r="J4241" t="str">
        <f>HYPERLINK("http://twitter.com/asamarasalles")</f>
        <v>http://twitter.com/asamarasalles</v>
      </c>
      <c r="K4241">
        <v>121</v>
      </c>
      <c r="N4241" t="s">
        <v>65</v>
      </c>
      <c r="R4241" t="s">
        <v>60</v>
      </c>
      <c r="S4241" t="s">
        <v>432</v>
      </c>
      <c r="T4241" t="s">
        <v>433</v>
      </c>
      <c r="U4241" t="s">
        <v>13026</v>
      </c>
      <c r="W4241">
        <v>0</v>
      </c>
      <c r="X4241">
        <v>0</v>
      </c>
      <c r="AE4241">
        <v>0</v>
      </c>
      <c r="AI4241" t="s">
        <v>108</v>
      </c>
      <c r="AJ4241" t="s">
        <v>52</v>
      </c>
      <c r="AK4241" t="s">
        <v>52</v>
      </c>
      <c r="AL4241" t="str">
        <f>HYPERLINK("https://pbs.twimg.com/media/D9jWpkfWkAEv8hR.jpg")</f>
        <v>https://pbs.twimg.com/media/D9jWpkfWkAEv8hR.jpg</v>
      </c>
      <c r="AM4241" t="s">
        <v>52</v>
      </c>
      <c r="AN4241" t="s">
        <v>53</v>
      </c>
    </row>
    <row r="4242" spans="1:40">
      <c r="A4242" t="s">
        <v>8081</v>
      </c>
      <c r="B4242" t="s">
        <v>8036</v>
      </c>
      <c r="C4242" t="s">
        <v>13027</v>
      </c>
      <c r="D4242" t="s">
        <v>52</v>
      </c>
      <c r="E4242" t="s">
        <v>9854</v>
      </c>
      <c r="F4242" t="s">
        <v>71</v>
      </c>
      <c r="G4242" t="str">
        <f>HYPERLINK("https://twitter.com/73642523/status/1142646219338072064")</f>
        <v>https://twitter.com/73642523/status/1142646219338072064</v>
      </c>
      <c r="H4242" t="s">
        <v>215</v>
      </c>
      <c r="I4242" t="s">
        <v>13028</v>
      </c>
      <c r="J4242" t="str">
        <f>HYPERLINK("http://twitter.com/DarthContinent")</f>
        <v>http://twitter.com/DarthContinent</v>
      </c>
      <c r="K4242">
        <v>4893</v>
      </c>
      <c r="N4242" t="s">
        <v>65</v>
      </c>
      <c r="R4242" t="s">
        <v>60</v>
      </c>
      <c r="S4242" t="s">
        <v>51</v>
      </c>
      <c r="T4242" t="s">
        <v>73</v>
      </c>
      <c r="W4242">
        <v>13</v>
      </c>
      <c r="X4242">
        <v>13</v>
      </c>
      <c r="AE4242">
        <v>1</v>
      </c>
      <c r="AF4242">
        <v>5</v>
      </c>
      <c r="AI4242" t="s">
        <v>52</v>
      </c>
      <c r="AJ4242" t="s">
        <v>52</v>
      </c>
      <c r="AK4242" t="s">
        <v>110</v>
      </c>
      <c r="AL4242" t="str">
        <f>HYPERLINK("https://pbs.twimg.com/ext_tw_video_thumb/1142646022713118720/pu/img/mITRfwP1eYqQ_wvd.jpg")</f>
        <v>https://pbs.twimg.com/ext_tw_video_thumb/1142646022713118720/pu/img/mITRfwP1eYqQ_wvd.jpg</v>
      </c>
      <c r="AM4242" t="s">
        <v>52</v>
      </c>
      <c r="AN4242" t="s">
        <v>53</v>
      </c>
    </row>
    <row r="4243" spans="1:40">
      <c r="A4243" t="s">
        <v>8081</v>
      </c>
      <c r="B4243" t="s">
        <v>2334</v>
      </c>
      <c r="C4243" t="s">
        <v>6985</v>
      </c>
      <c r="D4243" t="s">
        <v>13029</v>
      </c>
      <c r="E4243" t="s">
        <v>13030</v>
      </c>
      <c r="F4243" t="s">
        <v>45</v>
      </c>
      <c r="G4243" t="str">
        <f>HYPERLINK("https://www.bournemouthecho.co.uk/news/17724304.cook-these-three-burmese-dishes-by-mimi-aye")</f>
        <v>https://www.bournemouthecho.co.uk/news/17724304.cook-these-three-burmese-dishes-by-mimi-aye</v>
      </c>
      <c r="H4243" t="s">
        <v>46</v>
      </c>
      <c r="N4243" t="s">
        <v>13031</v>
      </c>
      <c r="R4243" t="s">
        <v>50</v>
      </c>
      <c r="S4243" t="s">
        <v>97</v>
      </c>
      <c r="AM4243" t="s">
        <v>52</v>
      </c>
      <c r="AN4243" t="s">
        <v>53</v>
      </c>
    </row>
    <row r="4244" spans="1:40">
      <c r="A4244" t="s">
        <v>8081</v>
      </c>
      <c r="B4244" t="s">
        <v>8055</v>
      </c>
      <c r="C4244" t="s">
        <v>13032</v>
      </c>
      <c r="D4244" t="s">
        <v>52</v>
      </c>
      <c r="E4244" t="s">
        <v>13033</v>
      </c>
      <c r="F4244" t="s">
        <v>45</v>
      </c>
      <c r="G4244" t="str">
        <f>HYPERLINK("https://www.instagram.com/p/BzCc5xqHoUy")</f>
        <v>https://www.instagram.com/p/BzCc5xqHoUy</v>
      </c>
      <c r="H4244" t="s">
        <v>46</v>
      </c>
      <c r="I4244" t="s">
        <v>5823</v>
      </c>
      <c r="J4244" t="str">
        <f>HYPERLINK("http://instagram.com/trl_therotarylife")</f>
        <v>http://instagram.com/trl_therotarylife</v>
      </c>
      <c r="K4244">
        <v>2033</v>
      </c>
      <c r="N4244" t="s">
        <v>59</v>
      </c>
      <c r="O4244" t="s">
        <v>5823</v>
      </c>
      <c r="P4244" t="str">
        <f>HYPERLINK("http://instagram.com/trl_therotarylife")</f>
        <v>http://instagram.com/trl_therotarylife</v>
      </c>
      <c r="Q4244">
        <v>2033</v>
      </c>
      <c r="R4244" t="s">
        <v>60</v>
      </c>
      <c r="W4244">
        <v>32</v>
      </c>
      <c r="X4244">
        <v>32</v>
      </c>
      <c r="AE4244">
        <v>0</v>
      </c>
      <c r="AI4244" t="s">
        <v>52</v>
      </c>
      <c r="AJ4244" t="s">
        <v>121</v>
      </c>
      <c r="AK4244" t="s">
        <v>52</v>
      </c>
      <c r="AL4244" t="str">
        <f>HYPERLINK("https://www.instagram.com/p/BzCc5xqHoUy/media/?size=l")</f>
        <v>https://www.instagram.com/p/BzCc5xqHoUy/media/?size=l</v>
      </c>
      <c r="AM4244" t="s">
        <v>52</v>
      </c>
      <c r="AN4244" t="s">
        <v>53</v>
      </c>
    </row>
    <row r="4245" spans="1:40">
      <c r="A4245" t="s">
        <v>8081</v>
      </c>
      <c r="B4245" t="s">
        <v>2338</v>
      </c>
      <c r="C4245" t="s">
        <v>13034</v>
      </c>
      <c r="D4245" t="s">
        <v>13035</v>
      </c>
      <c r="E4245" t="s">
        <v>13036</v>
      </c>
      <c r="F4245" t="s">
        <v>45</v>
      </c>
      <c r="G4245" t="str">
        <f>HYPERLINK("https://community.myfitnesspal.com/en/discussion/10750841/low-cal-alternative-tortilla-chip#43866883")</f>
        <v>https://community.myfitnesspal.com/en/discussion/10750841/low-cal-alternative-tortilla-chip#43866883</v>
      </c>
      <c r="H4245" t="s">
        <v>46</v>
      </c>
      <c r="I4245" t="s">
        <v>13037</v>
      </c>
      <c r="J4245" t="str">
        <f>HYPERLINK("https://community.myfitnesspal.com/en/discussion/10750841/low-cal-alternative-tortilla-chip#43866883")</f>
        <v>https://community.myfitnesspal.com/en/discussion/10750841/low-cal-alternative-tortilla-chip#43866883</v>
      </c>
      <c r="N4245" t="s">
        <v>13038</v>
      </c>
      <c r="O4245" t="s">
        <v>13039</v>
      </c>
      <c r="P4245" t="str">
        <f>HYPERLINK("https://community.myfitnesspal.com/en/categories/food-and-nutrition")</f>
        <v>https://community.myfitnesspal.com/en/categories/food-and-nutrition</v>
      </c>
      <c r="R4245" t="s">
        <v>516</v>
      </c>
      <c r="S4245" t="s">
        <v>51</v>
      </c>
      <c r="AM4245" t="s">
        <v>52</v>
      </c>
      <c r="AN4245" t="s">
        <v>53</v>
      </c>
    </row>
    <row r="4246" spans="1:40">
      <c r="A4246" t="s">
        <v>8081</v>
      </c>
      <c r="B4246" t="s">
        <v>13040</v>
      </c>
      <c r="C4246" t="s">
        <v>13041</v>
      </c>
      <c r="D4246" t="s">
        <v>52</v>
      </c>
      <c r="E4246" t="s">
        <v>6744</v>
      </c>
      <c r="F4246" t="s">
        <v>131</v>
      </c>
      <c r="G4246" t="str">
        <f>HYPERLINK("https://twitter.com/714971953/status/1142644945641189376")</f>
        <v>https://twitter.com/714971953/status/1142644945641189376</v>
      </c>
      <c r="H4246" t="s">
        <v>46</v>
      </c>
      <c r="I4246" t="s">
        <v>13042</v>
      </c>
      <c r="J4246" t="str">
        <f>HYPERLINK("http://twitter.com/MG62967")</f>
        <v>http://twitter.com/MG62967</v>
      </c>
      <c r="K4246">
        <v>24709</v>
      </c>
      <c r="N4246" t="s">
        <v>65</v>
      </c>
      <c r="R4246" t="s">
        <v>60</v>
      </c>
      <c r="S4246" t="s">
        <v>51</v>
      </c>
      <c r="W4246">
        <v>0</v>
      </c>
      <c r="X4246">
        <v>0</v>
      </c>
      <c r="AE4246">
        <v>0</v>
      </c>
      <c r="AI4246" t="s">
        <v>52</v>
      </c>
      <c r="AJ4246" t="s">
        <v>52</v>
      </c>
      <c r="AK4246" t="s">
        <v>2782</v>
      </c>
      <c r="AL4246" t="str">
        <f>HYPERLINK("https://pbs.twimg.com/media/D9ry2iBXkAA00_i.jpg")</f>
        <v>https://pbs.twimg.com/media/D9ry2iBXkAA00_i.jpg</v>
      </c>
      <c r="AM4246" t="s">
        <v>52</v>
      </c>
      <c r="AN4246" t="s">
        <v>53</v>
      </c>
    </row>
    <row r="4247" spans="1:40">
      <c r="A4247" t="s">
        <v>8081</v>
      </c>
      <c r="B4247" t="s">
        <v>13040</v>
      </c>
      <c r="C4247" t="s">
        <v>13043</v>
      </c>
      <c r="D4247" t="s">
        <v>52</v>
      </c>
      <c r="E4247" t="s">
        <v>13044</v>
      </c>
      <c r="F4247" t="s">
        <v>71</v>
      </c>
      <c r="G4247" t="str">
        <f>HYPERLINK("https://twitter.com/45878688/status/1142644727784734720")</f>
        <v>https://twitter.com/45878688/status/1142644727784734720</v>
      </c>
      <c r="H4247" t="s">
        <v>46</v>
      </c>
      <c r="I4247" t="s">
        <v>13045</v>
      </c>
      <c r="J4247" t="str">
        <f>HYPERLINK("http://twitter.com/ParadiseHustlin")</f>
        <v>http://twitter.com/ParadiseHustlin</v>
      </c>
      <c r="K4247">
        <v>1739</v>
      </c>
      <c r="N4247" t="s">
        <v>65</v>
      </c>
      <c r="R4247" t="s">
        <v>60</v>
      </c>
      <c r="S4247" t="s">
        <v>51</v>
      </c>
      <c r="T4247" t="s">
        <v>4265</v>
      </c>
      <c r="W4247">
        <v>1</v>
      </c>
      <c r="X4247">
        <v>1</v>
      </c>
      <c r="AE4247">
        <v>0</v>
      </c>
      <c r="AF4247">
        <v>0</v>
      </c>
      <c r="AM4247" t="s">
        <v>52</v>
      </c>
      <c r="AN4247" t="s">
        <v>53</v>
      </c>
    </row>
    <row r="4248" spans="1:40">
      <c r="A4248" t="s">
        <v>8081</v>
      </c>
      <c r="B4248" t="s">
        <v>2352</v>
      </c>
      <c r="C4248" t="s">
        <v>13032</v>
      </c>
      <c r="D4248" t="s">
        <v>52</v>
      </c>
      <c r="E4248" t="s">
        <v>13046</v>
      </c>
      <c r="F4248" t="s">
        <v>45</v>
      </c>
      <c r="G4248" t="str">
        <f>HYPERLINK("https://twitter.com/3311170615/status/1142644667869270016")</f>
        <v>https://twitter.com/3311170615/status/1142644667869270016</v>
      </c>
      <c r="H4248" t="s">
        <v>46</v>
      </c>
      <c r="I4248" t="s">
        <v>13047</v>
      </c>
      <c r="J4248" t="str">
        <f>HYPERLINK("http://twitter.com/kekesmart14")</f>
        <v>http://twitter.com/kekesmart14</v>
      </c>
      <c r="K4248">
        <v>528</v>
      </c>
      <c r="N4248" t="s">
        <v>65</v>
      </c>
      <c r="R4248" t="s">
        <v>60</v>
      </c>
      <c r="S4248" t="s">
        <v>51</v>
      </c>
      <c r="T4248" t="s">
        <v>1785</v>
      </c>
      <c r="U4248" t="s">
        <v>13048</v>
      </c>
      <c r="W4248">
        <v>0</v>
      </c>
      <c r="X4248">
        <v>0</v>
      </c>
      <c r="AE4248">
        <v>0</v>
      </c>
      <c r="AF4248">
        <v>0</v>
      </c>
      <c r="AM4248" t="s">
        <v>52</v>
      </c>
      <c r="AN4248" t="s">
        <v>53</v>
      </c>
    </row>
    <row r="4249" spans="1:40">
      <c r="A4249" t="s">
        <v>8081</v>
      </c>
      <c r="B4249" t="s">
        <v>2361</v>
      </c>
      <c r="C4249" t="s">
        <v>13049</v>
      </c>
      <c r="D4249" t="s">
        <v>52</v>
      </c>
      <c r="E4249" t="s">
        <v>13050</v>
      </c>
      <c r="F4249" t="s">
        <v>45</v>
      </c>
      <c r="G4249" t="str">
        <f>HYPERLINK("https://www.instagram.com/p/BzCcXzehD2v")</f>
        <v>https://www.instagram.com/p/BzCcXzehD2v</v>
      </c>
      <c r="H4249" t="s">
        <v>46</v>
      </c>
      <c r="I4249" t="s">
        <v>13051</v>
      </c>
      <c r="J4249" t="str">
        <f>HYPERLINK("http://instagram.com/bernadettesarina")</f>
        <v>http://instagram.com/bernadettesarina</v>
      </c>
      <c r="K4249">
        <v>421</v>
      </c>
      <c r="L4249" t="s">
        <v>58</v>
      </c>
      <c r="N4249" t="s">
        <v>59</v>
      </c>
      <c r="O4249" t="s">
        <v>13051</v>
      </c>
      <c r="P4249" t="str">
        <f>HYPERLINK("http://instagram.com/bernadettesarina")</f>
        <v>http://instagram.com/bernadettesarina</v>
      </c>
      <c r="Q4249">
        <v>421</v>
      </c>
      <c r="R4249" t="s">
        <v>60</v>
      </c>
      <c r="W4249">
        <v>9</v>
      </c>
      <c r="X4249">
        <v>9</v>
      </c>
      <c r="AE4249">
        <v>2</v>
      </c>
      <c r="AI4249" t="s">
        <v>108</v>
      </c>
      <c r="AJ4249" t="s">
        <v>2083</v>
      </c>
      <c r="AK4249" t="s">
        <v>52</v>
      </c>
      <c r="AL4249" t="str">
        <f>HYPERLINK("https://www.instagram.com/p/BzCcXzehD2v/media/?size=l")</f>
        <v>https://www.instagram.com/p/BzCcXzehD2v/media/?size=l</v>
      </c>
      <c r="AM4249" t="s">
        <v>52</v>
      </c>
      <c r="AN4249" t="s">
        <v>53</v>
      </c>
    </row>
    <row r="4250" spans="1:40">
      <c r="A4250" t="s">
        <v>8081</v>
      </c>
      <c r="B4250" t="s">
        <v>13052</v>
      </c>
      <c r="C4250" t="s">
        <v>13053</v>
      </c>
      <c r="D4250" t="s">
        <v>52</v>
      </c>
      <c r="E4250" t="s">
        <v>13054</v>
      </c>
      <c r="F4250" t="s">
        <v>45</v>
      </c>
      <c r="G4250" t="str">
        <f>HYPERLINK("https://www.instagram.com/p/BzCcEZcBCG_")</f>
        <v>https://www.instagram.com/p/BzCcEZcBCG_</v>
      </c>
      <c r="H4250" t="s">
        <v>46</v>
      </c>
      <c r="I4250" t="s">
        <v>13055</v>
      </c>
      <c r="J4250" t="str">
        <f>HYPERLINK("http://instagram.com/confessionldiet")</f>
        <v>http://instagram.com/confessionldiet</v>
      </c>
      <c r="K4250">
        <v>294</v>
      </c>
      <c r="L4250" t="s">
        <v>58</v>
      </c>
      <c r="N4250" t="s">
        <v>59</v>
      </c>
      <c r="O4250" t="s">
        <v>13055</v>
      </c>
      <c r="P4250" t="str">
        <f>HYPERLINK("http://instagram.com/confessionldiet")</f>
        <v>http://instagram.com/confessionldiet</v>
      </c>
      <c r="Q4250">
        <v>294</v>
      </c>
      <c r="R4250" t="s">
        <v>60</v>
      </c>
      <c r="W4250">
        <v>22</v>
      </c>
      <c r="X4250">
        <v>22</v>
      </c>
      <c r="AE4250">
        <v>0</v>
      </c>
      <c r="AI4250" t="s">
        <v>52</v>
      </c>
      <c r="AJ4250" t="s">
        <v>52</v>
      </c>
      <c r="AK4250" t="s">
        <v>13056</v>
      </c>
      <c r="AL4250" t="str">
        <f>HYPERLINK("https://www.instagram.com/p/BzCcEZcBCG_/media/?size=l")</f>
        <v>https://www.instagram.com/p/BzCcEZcBCG_/media/?size=l</v>
      </c>
      <c r="AM4250" t="s">
        <v>52</v>
      </c>
      <c r="AN4250" t="s">
        <v>53</v>
      </c>
    </row>
    <row r="4251" spans="1:40">
      <c r="A4251" t="s">
        <v>13057</v>
      </c>
      <c r="B4251" t="s">
        <v>8082</v>
      </c>
      <c r="C4251" t="s">
        <v>13058</v>
      </c>
      <c r="D4251" t="s">
        <v>52</v>
      </c>
      <c r="E4251" t="s">
        <v>13059</v>
      </c>
      <c r="F4251" t="s">
        <v>45</v>
      </c>
      <c r="G4251" t="str">
        <f>HYPERLINK("https://www.instagram.com/p/BzCb5pUgAGI")</f>
        <v>https://www.instagram.com/p/BzCb5pUgAGI</v>
      </c>
      <c r="H4251" t="s">
        <v>46</v>
      </c>
      <c r="I4251" t="s">
        <v>9018</v>
      </c>
      <c r="J4251" t="str">
        <f>HYPERLINK("http://instagram.com/e_kitchen92")</f>
        <v>http://instagram.com/e_kitchen92</v>
      </c>
      <c r="K4251">
        <v>1409</v>
      </c>
      <c r="N4251" t="s">
        <v>59</v>
      </c>
      <c r="O4251" t="s">
        <v>9018</v>
      </c>
      <c r="P4251" t="str">
        <f>HYPERLINK("http://instagram.com/e_kitchen92")</f>
        <v>http://instagram.com/e_kitchen92</v>
      </c>
      <c r="Q4251">
        <v>1409</v>
      </c>
      <c r="R4251" t="s">
        <v>60</v>
      </c>
      <c r="W4251">
        <v>0</v>
      </c>
      <c r="X4251">
        <v>0</v>
      </c>
      <c r="AE4251">
        <v>0</v>
      </c>
      <c r="AG4251">
        <v>0</v>
      </c>
      <c r="AI4251" t="s">
        <v>52</v>
      </c>
      <c r="AJ4251" t="s">
        <v>13060</v>
      </c>
      <c r="AK4251" t="s">
        <v>52</v>
      </c>
      <c r="AL4251" t="str">
        <f>HYPERLINK("https://www.instagram.com/p/BzCb5pUgAGI/media/?size=l")</f>
        <v>https://www.instagram.com/p/BzCb5pUgAGI/media/?size=l</v>
      </c>
      <c r="AM4251" t="s">
        <v>52</v>
      </c>
      <c r="AN4251" t="s">
        <v>53</v>
      </c>
    </row>
    <row r="4252" spans="1:40">
      <c r="A4252" t="s">
        <v>13057</v>
      </c>
      <c r="B4252" t="s">
        <v>8082</v>
      </c>
      <c r="C4252" t="s">
        <v>13061</v>
      </c>
      <c r="D4252" t="s">
        <v>52</v>
      </c>
      <c r="E4252" t="s">
        <v>13062</v>
      </c>
      <c r="F4252" t="s">
        <v>45</v>
      </c>
      <c r="G4252" t="str">
        <f>HYPERLINK("https://www.instagram.com/p/BzCb48-F_FE")</f>
        <v>https://www.instagram.com/p/BzCb48-F_FE</v>
      </c>
      <c r="H4252" t="s">
        <v>46</v>
      </c>
      <c r="I4252" t="s">
        <v>13063</v>
      </c>
      <c r="J4252" t="str">
        <f>HYPERLINK("http://instagram.com/ana_bel2404")</f>
        <v>http://instagram.com/ana_bel2404</v>
      </c>
      <c r="K4252">
        <v>348</v>
      </c>
      <c r="N4252" t="s">
        <v>59</v>
      </c>
      <c r="O4252" t="s">
        <v>13063</v>
      </c>
      <c r="P4252" t="str">
        <f>HYPERLINK("http://instagram.com/ana_bel2404")</f>
        <v>http://instagram.com/ana_bel2404</v>
      </c>
      <c r="Q4252">
        <v>348</v>
      </c>
      <c r="R4252" t="s">
        <v>60</v>
      </c>
      <c r="S4252" t="s">
        <v>437</v>
      </c>
      <c r="T4252" t="s">
        <v>7886</v>
      </c>
      <c r="U4252" t="s">
        <v>13064</v>
      </c>
      <c r="W4252">
        <v>74</v>
      </c>
      <c r="X4252">
        <v>74</v>
      </c>
      <c r="AE4252">
        <v>3</v>
      </c>
      <c r="AI4252" t="s">
        <v>108</v>
      </c>
      <c r="AJ4252" t="s">
        <v>659</v>
      </c>
      <c r="AK4252" t="s">
        <v>52</v>
      </c>
      <c r="AL4252" t="str">
        <f>HYPERLINK("https://www.instagram.com/p/BzCb48-F_FE/media/?size=l")</f>
        <v>https://www.instagram.com/p/BzCb48-F_FE/media/?size=l</v>
      </c>
      <c r="AM4252" t="s">
        <v>52</v>
      </c>
      <c r="AN4252" t="s">
        <v>53</v>
      </c>
    </row>
    <row r="4253" spans="1:40">
      <c r="A4253" t="s">
        <v>13057</v>
      </c>
      <c r="B4253" t="s">
        <v>8082</v>
      </c>
      <c r="C4253" t="s">
        <v>13043</v>
      </c>
      <c r="D4253" t="s">
        <v>52</v>
      </c>
      <c r="E4253" t="s">
        <v>13065</v>
      </c>
      <c r="F4253" t="s">
        <v>131</v>
      </c>
      <c r="G4253" t="str">
        <f>HYPERLINK("https://twitter.com/1037922253017698304/status/1142643272957026304")</f>
        <v>https://twitter.com/1037922253017698304/status/1142643272957026304</v>
      </c>
      <c r="H4253" t="s">
        <v>46</v>
      </c>
      <c r="I4253" t="s">
        <v>13066</v>
      </c>
      <c r="J4253" t="str">
        <f>HYPERLINK("http://twitter.com/KingZiggyFaze")</f>
        <v>http://twitter.com/KingZiggyFaze</v>
      </c>
      <c r="K4253">
        <v>8409</v>
      </c>
      <c r="N4253" t="s">
        <v>65</v>
      </c>
      <c r="R4253" t="s">
        <v>60</v>
      </c>
      <c r="W4253">
        <v>0</v>
      </c>
      <c r="X4253">
        <v>0</v>
      </c>
      <c r="AE4253">
        <v>0</v>
      </c>
      <c r="AM4253" t="s">
        <v>52</v>
      </c>
      <c r="AN4253" t="s">
        <v>53</v>
      </c>
    </row>
    <row r="4254" spans="1:40">
      <c r="A4254" t="s">
        <v>13057</v>
      </c>
      <c r="B4254" t="s">
        <v>13067</v>
      </c>
      <c r="C4254" t="s">
        <v>13068</v>
      </c>
      <c r="D4254" t="s">
        <v>52</v>
      </c>
      <c r="E4254" t="s">
        <v>4936</v>
      </c>
      <c r="F4254" t="s">
        <v>131</v>
      </c>
      <c r="G4254" t="str">
        <f>HYPERLINK("https://twitter.com/768957400829296642/status/1142643095705653249")</f>
        <v>https://twitter.com/768957400829296642/status/1142643095705653249</v>
      </c>
      <c r="H4254" t="s">
        <v>46</v>
      </c>
      <c r="I4254" t="s">
        <v>13069</v>
      </c>
      <c r="J4254" t="str">
        <f>HYPERLINK("http://twitter.com/Alvaro_mejiaDBJ")</f>
        <v>http://twitter.com/Alvaro_mejiaDBJ</v>
      </c>
      <c r="K4254">
        <v>685</v>
      </c>
      <c r="L4254" t="s">
        <v>48</v>
      </c>
      <c r="N4254" t="s">
        <v>65</v>
      </c>
      <c r="R4254" t="s">
        <v>60</v>
      </c>
      <c r="W4254">
        <v>0</v>
      </c>
      <c r="X4254">
        <v>0</v>
      </c>
      <c r="AE4254">
        <v>0</v>
      </c>
      <c r="AI4254" t="s">
        <v>52</v>
      </c>
      <c r="AJ4254" t="s">
        <v>4938</v>
      </c>
      <c r="AK4254" t="s">
        <v>1037</v>
      </c>
      <c r="AL4254" t="str">
        <f>HYPERLINK("https://pbs.twimg.com/media/D9Ij6xWWwAINXT5.jpg")</f>
        <v>https://pbs.twimg.com/media/D9Ij6xWWwAINXT5.jpg</v>
      </c>
      <c r="AM4254" t="s">
        <v>52</v>
      </c>
      <c r="AN4254" t="s">
        <v>53</v>
      </c>
    </row>
    <row r="4255" spans="1:40">
      <c r="A4255" t="s">
        <v>13057</v>
      </c>
      <c r="B4255" t="s">
        <v>13067</v>
      </c>
      <c r="C4255" t="s">
        <v>13070</v>
      </c>
      <c r="D4255" t="s">
        <v>52</v>
      </c>
      <c r="E4255" t="s">
        <v>13071</v>
      </c>
      <c r="F4255" t="s">
        <v>45</v>
      </c>
      <c r="G4255" t="str">
        <f>HYPERLINK("https://twitter.com/2806031136/status/1142642976289624064")</f>
        <v>https://twitter.com/2806031136/status/1142642976289624064</v>
      </c>
      <c r="H4255" t="s">
        <v>46</v>
      </c>
      <c r="I4255" t="s">
        <v>13072</v>
      </c>
      <c r="J4255" t="str">
        <f>HYPERLINK("http://twitter.com/JuanFalbo12")</f>
        <v>http://twitter.com/JuanFalbo12</v>
      </c>
      <c r="K4255">
        <v>796</v>
      </c>
      <c r="L4255" t="s">
        <v>48</v>
      </c>
      <c r="N4255" t="s">
        <v>65</v>
      </c>
      <c r="R4255" t="s">
        <v>60</v>
      </c>
      <c r="S4255" t="s">
        <v>1592</v>
      </c>
      <c r="T4255" t="s">
        <v>13073</v>
      </c>
      <c r="U4255" t="s">
        <v>13074</v>
      </c>
      <c r="W4255">
        <v>0</v>
      </c>
      <c r="X4255">
        <v>0</v>
      </c>
      <c r="AE4255">
        <v>0</v>
      </c>
      <c r="AF4255">
        <v>1</v>
      </c>
      <c r="AM4255" t="s">
        <v>52</v>
      </c>
      <c r="AN4255" t="s">
        <v>53</v>
      </c>
    </row>
    <row r="4256" spans="1:40">
      <c r="A4256" t="s">
        <v>13057</v>
      </c>
      <c r="B4256" t="s">
        <v>2384</v>
      </c>
      <c r="C4256" t="s">
        <v>13075</v>
      </c>
      <c r="D4256" t="s">
        <v>52</v>
      </c>
      <c r="E4256" t="s">
        <v>6744</v>
      </c>
      <c r="F4256" t="s">
        <v>131</v>
      </c>
      <c r="G4256" t="str">
        <f>HYPERLINK("https://twitter.com/981402368586764289/status/1142642559963062272")</f>
        <v>https://twitter.com/981402368586764289/status/1142642559963062272</v>
      </c>
      <c r="H4256" t="s">
        <v>46</v>
      </c>
      <c r="I4256" t="s">
        <v>13076</v>
      </c>
      <c r="J4256" t="str">
        <f>HYPERLINK("http://twitter.com/DonnyWilhite")</f>
        <v>http://twitter.com/DonnyWilhite</v>
      </c>
      <c r="K4256">
        <v>310</v>
      </c>
      <c r="N4256" t="s">
        <v>65</v>
      </c>
      <c r="R4256" t="s">
        <v>60</v>
      </c>
      <c r="S4256" t="s">
        <v>51</v>
      </c>
      <c r="T4256" t="s">
        <v>1785</v>
      </c>
      <c r="W4256">
        <v>0</v>
      </c>
      <c r="X4256">
        <v>0</v>
      </c>
      <c r="AE4256">
        <v>0</v>
      </c>
      <c r="AI4256" t="s">
        <v>52</v>
      </c>
      <c r="AJ4256" t="s">
        <v>52</v>
      </c>
      <c r="AK4256" t="s">
        <v>2782</v>
      </c>
      <c r="AL4256" t="str">
        <f>HYPERLINK("https://pbs.twimg.com/media/D9ry2iBXkAA00_i.jpg")</f>
        <v>https://pbs.twimg.com/media/D9ry2iBXkAA00_i.jpg</v>
      </c>
      <c r="AM4256" t="s">
        <v>52</v>
      </c>
      <c r="AN4256" t="s">
        <v>53</v>
      </c>
    </row>
    <row r="4257" spans="1:40">
      <c r="A4257" t="s">
        <v>13057</v>
      </c>
      <c r="B4257" t="s">
        <v>2389</v>
      </c>
      <c r="C4257" t="s">
        <v>13077</v>
      </c>
      <c r="D4257" t="s">
        <v>52</v>
      </c>
      <c r="E4257" t="s">
        <v>13078</v>
      </c>
      <c r="F4257" t="s">
        <v>45</v>
      </c>
      <c r="G4257" t="str">
        <f>HYPERLINK("https://www.instagram.com/p/BzCbd7IJl_I")</f>
        <v>https://www.instagram.com/p/BzCbd7IJl_I</v>
      </c>
      <c r="H4257" t="s">
        <v>46</v>
      </c>
      <c r="I4257" t="s">
        <v>13079</v>
      </c>
      <c r="J4257" t="str">
        <f>HYPERLINK("http://instagram.com/kevinmichaelscott")</f>
        <v>http://instagram.com/kevinmichaelscott</v>
      </c>
      <c r="K4257">
        <v>525</v>
      </c>
      <c r="L4257" t="s">
        <v>48</v>
      </c>
      <c r="N4257" t="s">
        <v>59</v>
      </c>
      <c r="O4257" t="s">
        <v>13079</v>
      </c>
      <c r="P4257" t="str">
        <f>HYPERLINK("http://instagram.com/kevinmichaelscott")</f>
        <v>http://instagram.com/kevinmichaelscott</v>
      </c>
      <c r="Q4257">
        <v>525</v>
      </c>
      <c r="R4257" t="s">
        <v>60</v>
      </c>
      <c r="W4257">
        <v>24</v>
      </c>
      <c r="X4257">
        <v>24</v>
      </c>
      <c r="AE4257">
        <v>0</v>
      </c>
      <c r="AI4257" t="s">
        <v>108</v>
      </c>
      <c r="AJ4257" t="s">
        <v>13080</v>
      </c>
      <c r="AK4257" t="s">
        <v>13081</v>
      </c>
      <c r="AL4257" t="str">
        <f>HYPERLINK("https://www.instagram.com/p/BzCbd7IJl_I/media/?size=l")</f>
        <v>https://www.instagram.com/p/BzCbd7IJl_I/media/?size=l</v>
      </c>
      <c r="AM4257" t="s">
        <v>52</v>
      </c>
      <c r="AN4257" t="s">
        <v>53</v>
      </c>
    </row>
    <row r="4258" spans="1:40">
      <c r="A4258" t="s">
        <v>13057</v>
      </c>
      <c r="B4258" t="s">
        <v>2389</v>
      </c>
      <c r="C4258" t="s">
        <v>13082</v>
      </c>
      <c r="D4258" t="s">
        <v>52</v>
      </c>
      <c r="E4258" t="s">
        <v>13083</v>
      </c>
      <c r="F4258" t="s">
        <v>45</v>
      </c>
      <c r="G4258" t="str">
        <f>HYPERLINK("https://www.instagram.com/p/BzCbcLIhVEH")</f>
        <v>https://www.instagram.com/p/BzCbcLIhVEH</v>
      </c>
      <c r="H4258" t="s">
        <v>46</v>
      </c>
      <c r="I4258" t="s">
        <v>13084</v>
      </c>
      <c r="J4258" t="str">
        <f>HYPERLINK("http://instagram.com/_afrocentury")</f>
        <v>http://instagram.com/_afrocentury</v>
      </c>
      <c r="K4258">
        <v>1123</v>
      </c>
      <c r="N4258" t="s">
        <v>59</v>
      </c>
      <c r="O4258" t="s">
        <v>13084</v>
      </c>
      <c r="P4258" t="str">
        <f>HYPERLINK("http://instagram.com/_afrocentury")</f>
        <v>http://instagram.com/_afrocentury</v>
      </c>
      <c r="Q4258">
        <v>1123</v>
      </c>
      <c r="R4258" t="s">
        <v>60</v>
      </c>
      <c r="W4258">
        <v>65</v>
      </c>
      <c r="X4258">
        <v>65</v>
      </c>
      <c r="AE4258">
        <v>6</v>
      </c>
      <c r="AI4258" t="s">
        <v>52</v>
      </c>
      <c r="AJ4258" t="s">
        <v>3639</v>
      </c>
      <c r="AK4258" t="s">
        <v>13085</v>
      </c>
      <c r="AL4258" t="str">
        <f>HYPERLINK("https://www.instagram.com/p/BzCbcLIhVEH/media/?size=l")</f>
        <v>https://www.instagram.com/p/BzCbcLIhVEH/media/?size=l</v>
      </c>
      <c r="AM4258" t="s">
        <v>52</v>
      </c>
      <c r="AN4258" t="s">
        <v>53</v>
      </c>
    </row>
    <row r="4259" spans="1:40">
      <c r="A4259" t="s">
        <v>13057</v>
      </c>
      <c r="B4259" t="s">
        <v>2389</v>
      </c>
      <c r="C4259" t="s">
        <v>13058</v>
      </c>
      <c r="D4259" t="s">
        <v>52</v>
      </c>
      <c r="E4259" t="s">
        <v>13086</v>
      </c>
      <c r="F4259" t="s">
        <v>71</v>
      </c>
      <c r="G4259" t="str">
        <f>HYPERLINK("https://twitter.com/783874761608671238/status/1142642330991656961")</f>
        <v>https://twitter.com/783874761608671238/status/1142642330991656961</v>
      </c>
      <c r="H4259" t="s">
        <v>46</v>
      </c>
      <c r="I4259" t="s">
        <v>13087</v>
      </c>
      <c r="J4259" t="str">
        <f>HYPERLINK("http://twitter.com/markiplierjrgam")</f>
        <v>http://twitter.com/markiplierjrgam</v>
      </c>
      <c r="K4259">
        <v>6</v>
      </c>
      <c r="N4259" t="s">
        <v>65</v>
      </c>
      <c r="R4259" t="s">
        <v>60</v>
      </c>
      <c r="W4259">
        <v>0</v>
      </c>
      <c r="X4259">
        <v>0</v>
      </c>
      <c r="AE4259">
        <v>0</v>
      </c>
      <c r="AF4259">
        <v>0</v>
      </c>
      <c r="AM4259" t="s">
        <v>52</v>
      </c>
      <c r="AN4259" t="s">
        <v>53</v>
      </c>
    </row>
    <row r="4260" spans="1:40">
      <c r="A4260" t="s">
        <v>13057</v>
      </c>
      <c r="B4260" t="s">
        <v>2389</v>
      </c>
      <c r="C4260" t="s">
        <v>13082</v>
      </c>
      <c r="D4260" t="s">
        <v>52</v>
      </c>
      <c r="E4260" t="s">
        <v>4514</v>
      </c>
      <c r="F4260" t="s">
        <v>71</v>
      </c>
      <c r="G4260" t="str">
        <f>HYPERLINK("https://twitter.com/783874761608671238/status/1142642282606157825")</f>
        <v>https://twitter.com/783874761608671238/status/1142642282606157825</v>
      </c>
      <c r="H4260" t="s">
        <v>46</v>
      </c>
      <c r="I4260" t="s">
        <v>13087</v>
      </c>
      <c r="J4260" t="str">
        <f>HYPERLINK("http://twitter.com/markiplierjrgam")</f>
        <v>http://twitter.com/markiplierjrgam</v>
      </c>
      <c r="K4260">
        <v>6</v>
      </c>
      <c r="N4260" t="s">
        <v>65</v>
      </c>
      <c r="R4260" t="s">
        <v>60</v>
      </c>
      <c r="W4260">
        <v>0</v>
      </c>
      <c r="X4260">
        <v>0</v>
      </c>
      <c r="AE4260">
        <v>0</v>
      </c>
      <c r="AF4260">
        <v>0</v>
      </c>
      <c r="AI4260" t="s">
        <v>108</v>
      </c>
      <c r="AJ4260" t="s">
        <v>52</v>
      </c>
      <c r="AK4260" t="s">
        <v>52</v>
      </c>
      <c r="AL4260" t="str">
        <f>HYPERLINK("https://pbs.twimg.com/tweet_video_thumb/D9hvNNzXUAATAS3.jpg")</f>
        <v>https://pbs.twimg.com/tweet_video_thumb/D9hvNNzXUAATAS3.jpg</v>
      </c>
      <c r="AM4260" t="s">
        <v>52</v>
      </c>
      <c r="AN4260" t="s">
        <v>53</v>
      </c>
    </row>
    <row r="4261" spans="1:40">
      <c r="A4261" t="s">
        <v>13057</v>
      </c>
      <c r="B4261" t="s">
        <v>2395</v>
      </c>
      <c r="C4261" t="s">
        <v>12619</v>
      </c>
      <c r="D4261" t="s">
        <v>12931</v>
      </c>
      <c r="E4261" t="s">
        <v>13088</v>
      </c>
      <c r="F4261" t="s">
        <v>95</v>
      </c>
      <c r="G4261" t="str">
        <f>HYPERLINK("https://www.youtube.com/watch?v=2RoZJaVEeCA&amp;lc=UgwqgdNf-QMez6Gj1394AaABAg")</f>
        <v>https://www.youtube.com/watch?v=2RoZJaVEeCA&amp;lc=UgwqgdNf-QMez6Gj1394AaABAg</v>
      </c>
      <c r="H4261" t="s">
        <v>46</v>
      </c>
      <c r="I4261" t="s">
        <v>13089</v>
      </c>
      <c r="J4261" t="str">
        <f>HYPERLINK("https://www.youtube.com/channel/UCh6s9GcKRfFfR3A6meSWHkw")</f>
        <v>https://www.youtube.com/channel/UCh6s9GcKRfFfR3A6meSWHkw</v>
      </c>
      <c r="K4261">
        <v>0</v>
      </c>
      <c r="N4261" t="s">
        <v>116</v>
      </c>
      <c r="O4261" t="s">
        <v>12934</v>
      </c>
      <c r="P4261" t="str">
        <f>HYPERLINK("https://www.youtube.com/channel/UC_Or-6_E9aesSJmoJ1QSc6Q")</f>
        <v>https://www.youtube.com/channel/UC_Or-6_E9aesSJmoJ1QSc6Q</v>
      </c>
      <c r="Q4261">
        <v>160448</v>
      </c>
      <c r="R4261" t="s">
        <v>60</v>
      </c>
      <c r="S4261" t="s">
        <v>437</v>
      </c>
      <c r="W4261">
        <v>0</v>
      </c>
      <c r="X4261">
        <v>0</v>
      </c>
      <c r="AE4261">
        <v>0</v>
      </c>
      <c r="AM4261" t="s">
        <v>52</v>
      </c>
      <c r="AN4261" t="s">
        <v>53</v>
      </c>
    </row>
    <row r="4262" spans="1:40">
      <c r="A4262" t="s">
        <v>13057</v>
      </c>
      <c r="B4262" t="s">
        <v>2433</v>
      </c>
      <c r="C4262" t="s">
        <v>13082</v>
      </c>
      <c r="D4262" t="s">
        <v>52</v>
      </c>
      <c r="E4262" t="s">
        <v>4514</v>
      </c>
      <c r="F4262" t="s">
        <v>71</v>
      </c>
      <c r="G4262" t="str">
        <f>HYPERLINK("https://twitter.com/1079430417500028930/status/1142641673639473152")</f>
        <v>https://twitter.com/1079430417500028930/status/1142641673639473152</v>
      </c>
      <c r="H4262" t="s">
        <v>46</v>
      </c>
      <c r="I4262" t="s">
        <v>13090</v>
      </c>
      <c r="J4262" t="str">
        <f>HYPERLINK("http://twitter.com/marak007")</f>
        <v>http://twitter.com/marak007</v>
      </c>
      <c r="K4262">
        <v>3</v>
      </c>
      <c r="N4262" t="s">
        <v>65</v>
      </c>
      <c r="R4262" t="s">
        <v>60</v>
      </c>
      <c r="W4262">
        <v>0</v>
      </c>
      <c r="X4262">
        <v>0</v>
      </c>
      <c r="AE4262">
        <v>0</v>
      </c>
      <c r="AF4262">
        <v>0</v>
      </c>
      <c r="AI4262" t="s">
        <v>108</v>
      </c>
      <c r="AJ4262" t="s">
        <v>52</v>
      </c>
      <c r="AK4262" t="s">
        <v>52</v>
      </c>
      <c r="AL4262" t="str">
        <f>HYPERLINK("https://pbs.twimg.com/tweet_video_thumb/D9hvNNzXUAATAS3.jpg")</f>
        <v>https://pbs.twimg.com/tweet_video_thumb/D9hvNNzXUAATAS3.jpg</v>
      </c>
      <c r="AM4262" t="s">
        <v>52</v>
      </c>
      <c r="AN4262" t="s">
        <v>53</v>
      </c>
    </row>
    <row r="4263" spans="1:40">
      <c r="A4263" t="s">
        <v>13057</v>
      </c>
      <c r="B4263" t="s">
        <v>2433</v>
      </c>
      <c r="C4263" t="s">
        <v>13091</v>
      </c>
      <c r="D4263" t="s">
        <v>52</v>
      </c>
      <c r="E4263" t="s">
        <v>13092</v>
      </c>
      <c r="F4263" t="s">
        <v>45</v>
      </c>
      <c r="G4263" t="str">
        <f>HYPERLINK("https://www.instagram.com/p/BzCbD_9Fk6Q")</f>
        <v>https://www.instagram.com/p/BzCbD_9Fk6Q</v>
      </c>
      <c r="H4263" t="s">
        <v>46</v>
      </c>
      <c r="I4263" t="s">
        <v>13093</v>
      </c>
      <c r="J4263" t="str">
        <f>HYPERLINK("http://instagram.com/thisemberfirst")</f>
        <v>http://instagram.com/thisemberfirst</v>
      </c>
      <c r="K4263">
        <v>815</v>
      </c>
      <c r="N4263" t="s">
        <v>59</v>
      </c>
      <c r="O4263" t="s">
        <v>13093</v>
      </c>
      <c r="P4263" t="str">
        <f>HYPERLINK("http://instagram.com/thisemberfirst")</f>
        <v>http://instagram.com/thisemberfirst</v>
      </c>
      <c r="Q4263">
        <v>815</v>
      </c>
      <c r="R4263" t="s">
        <v>60</v>
      </c>
      <c r="W4263">
        <v>6</v>
      </c>
      <c r="X4263">
        <v>6</v>
      </c>
      <c r="AE4263">
        <v>0</v>
      </c>
      <c r="AI4263" t="s">
        <v>108</v>
      </c>
      <c r="AJ4263" t="s">
        <v>716</v>
      </c>
      <c r="AK4263" t="s">
        <v>52</v>
      </c>
      <c r="AL4263" t="str">
        <f>HYPERLINK("https://www.instagram.com/p/BzCbD_9Fk6Q/media/?size=l")</f>
        <v>https://www.instagram.com/p/BzCbD_9Fk6Q/media/?size=l</v>
      </c>
      <c r="AM4263" t="s">
        <v>52</v>
      </c>
      <c r="AN4263" t="s">
        <v>53</v>
      </c>
    </row>
    <row r="4264" spans="1:40">
      <c r="A4264" t="s">
        <v>13057</v>
      </c>
      <c r="B4264" t="s">
        <v>2433</v>
      </c>
      <c r="C4264" t="s">
        <v>13082</v>
      </c>
      <c r="D4264" t="s">
        <v>52</v>
      </c>
      <c r="E4264" t="s">
        <v>13094</v>
      </c>
      <c r="F4264" t="s">
        <v>45</v>
      </c>
      <c r="G4264" t="str">
        <f>HYPERLINK("https://twitter.com/906473791672295424/status/1142641471016722433")</f>
        <v>https://twitter.com/906473791672295424/status/1142641471016722433</v>
      </c>
      <c r="H4264" t="s">
        <v>46</v>
      </c>
      <c r="I4264" t="s">
        <v>13095</v>
      </c>
      <c r="J4264" t="str">
        <f>HYPERLINK("http://twitter.com/thirdymantilla")</f>
        <v>http://twitter.com/thirdymantilla</v>
      </c>
      <c r="K4264">
        <v>199</v>
      </c>
      <c r="N4264" t="s">
        <v>65</v>
      </c>
      <c r="R4264" t="s">
        <v>60</v>
      </c>
      <c r="W4264">
        <v>7</v>
      </c>
      <c r="X4264">
        <v>7</v>
      </c>
      <c r="AE4264">
        <v>1</v>
      </c>
      <c r="AF4264">
        <v>0</v>
      </c>
      <c r="AM4264" t="s">
        <v>52</v>
      </c>
      <c r="AN4264" t="s">
        <v>53</v>
      </c>
    </row>
    <row r="4265" spans="1:40">
      <c r="A4265" t="s">
        <v>13057</v>
      </c>
      <c r="B4265" t="s">
        <v>2437</v>
      </c>
      <c r="C4265" t="s">
        <v>13096</v>
      </c>
      <c r="D4265" t="s">
        <v>52</v>
      </c>
      <c r="E4265" t="s">
        <v>13097</v>
      </c>
      <c r="F4265" t="s">
        <v>71</v>
      </c>
      <c r="G4265" t="str">
        <f>HYPERLINK("https://twitter.com/2347194559/status/1142641371695722496")</f>
        <v>https://twitter.com/2347194559/status/1142641371695722496</v>
      </c>
      <c r="H4265" t="s">
        <v>46</v>
      </c>
      <c r="I4265" t="s">
        <v>13098</v>
      </c>
      <c r="J4265" t="str">
        <f>HYPERLINK("http://twitter.com/mabrowe")</f>
        <v>http://twitter.com/mabrowe</v>
      </c>
      <c r="K4265">
        <v>94</v>
      </c>
      <c r="L4265" t="s">
        <v>48</v>
      </c>
      <c r="N4265" t="s">
        <v>65</v>
      </c>
      <c r="R4265" t="s">
        <v>60</v>
      </c>
      <c r="S4265" t="s">
        <v>51</v>
      </c>
      <c r="T4265" t="s">
        <v>84</v>
      </c>
      <c r="U4265" t="s">
        <v>13099</v>
      </c>
      <c r="W4265">
        <v>2</v>
      </c>
      <c r="X4265">
        <v>2</v>
      </c>
      <c r="AE4265">
        <v>0</v>
      </c>
      <c r="AF4265">
        <v>0</v>
      </c>
      <c r="AI4265" t="s">
        <v>52</v>
      </c>
      <c r="AJ4265" t="s">
        <v>593</v>
      </c>
      <c r="AK4265" t="s">
        <v>52</v>
      </c>
      <c r="AL4265" t="str">
        <f>HYPERLINK("https://pbs.twimg.com/ext_tw_video_thumb/1142157725943652353/pu/img/uOhpk1p3CVqxtEJw.jpg")</f>
        <v>https://pbs.twimg.com/ext_tw_video_thumb/1142157725943652353/pu/img/uOhpk1p3CVqxtEJw.jpg</v>
      </c>
      <c r="AM4265" t="s">
        <v>52</v>
      </c>
      <c r="AN4265" t="s">
        <v>53</v>
      </c>
    </row>
    <row r="4266" spans="1:40">
      <c r="A4266" t="s">
        <v>13057</v>
      </c>
      <c r="B4266" t="s">
        <v>2437</v>
      </c>
      <c r="C4266" t="s">
        <v>13096</v>
      </c>
      <c r="D4266" t="s">
        <v>52</v>
      </c>
      <c r="E4266" t="s">
        <v>13100</v>
      </c>
      <c r="F4266" t="s">
        <v>45</v>
      </c>
      <c r="G4266" t="str">
        <f>HYPERLINK("https://twitter.com/1110968411360845824/status/1142641354608119808")</f>
        <v>https://twitter.com/1110968411360845824/status/1142641354608119808</v>
      </c>
      <c r="H4266" t="s">
        <v>46</v>
      </c>
      <c r="I4266" t="s">
        <v>52</v>
      </c>
      <c r="J4266" t="str">
        <f>HYPERLINK("http://twitter.com/Paul1nita")</f>
        <v>http://twitter.com/Paul1nita</v>
      </c>
      <c r="K4266">
        <v>75</v>
      </c>
      <c r="N4266" t="s">
        <v>65</v>
      </c>
      <c r="R4266" t="s">
        <v>60</v>
      </c>
      <c r="W4266">
        <v>6</v>
      </c>
      <c r="X4266">
        <v>6</v>
      </c>
      <c r="AE4266">
        <v>0</v>
      </c>
      <c r="AF4266">
        <v>12</v>
      </c>
      <c r="AM4266" t="s">
        <v>52</v>
      </c>
      <c r="AN4266" t="s">
        <v>53</v>
      </c>
    </row>
    <row r="4267" spans="1:40">
      <c r="A4267" t="s">
        <v>13057</v>
      </c>
      <c r="B4267" t="s">
        <v>2437</v>
      </c>
      <c r="C4267" t="s">
        <v>13101</v>
      </c>
      <c r="D4267" t="s">
        <v>52</v>
      </c>
      <c r="E4267" t="s">
        <v>1411</v>
      </c>
      <c r="F4267" t="s">
        <v>131</v>
      </c>
      <c r="G4267" t="str">
        <f>HYPERLINK("https://twitter.com/1112856604985024512/status/1142641322739654657")</f>
        <v>https://twitter.com/1112856604985024512/status/1142641322739654657</v>
      </c>
      <c r="H4267" t="s">
        <v>46</v>
      </c>
      <c r="I4267" t="s">
        <v>13102</v>
      </c>
      <c r="J4267" t="str">
        <f>HYPERLINK("http://twitter.com/otterdino")</f>
        <v>http://twitter.com/otterdino</v>
      </c>
      <c r="K4267">
        <v>345</v>
      </c>
      <c r="N4267" t="s">
        <v>65</v>
      </c>
      <c r="R4267" t="s">
        <v>60</v>
      </c>
      <c r="S4267" t="s">
        <v>387</v>
      </c>
      <c r="T4267" t="s">
        <v>2839</v>
      </c>
      <c r="U4267" t="s">
        <v>12480</v>
      </c>
      <c r="W4267">
        <v>0</v>
      </c>
      <c r="X4267">
        <v>0</v>
      </c>
      <c r="AE4267">
        <v>0</v>
      </c>
      <c r="AI4267" t="s">
        <v>52</v>
      </c>
      <c r="AJ4267" t="s">
        <v>52</v>
      </c>
      <c r="AK4267" t="s">
        <v>52</v>
      </c>
      <c r="AL4267" t="str">
        <f>HYPERLINK("https://pbs.twimg.com/media/D9ty30aU0AMJKHB.jpg")</f>
        <v>https://pbs.twimg.com/media/D9ty30aU0AMJKHB.jpg</v>
      </c>
      <c r="AM4267" t="s">
        <v>52</v>
      </c>
      <c r="AN4267" t="s">
        <v>53</v>
      </c>
    </row>
    <row r="4268" spans="1:40">
      <c r="A4268" t="s">
        <v>13057</v>
      </c>
      <c r="B4268" t="s">
        <v>2437</v>
      </c>
      <c r="C4268" t="s">
        <v>13103</v>
      </c>
      <c r="D4268" t="s">
        <v>52</v>
      </c>
      <c r="E4268" t="s">
        <v>526</v>
      </c>
      <c r="F4268" t="s">
        <v>131</v>
      </c>
      <c r="G4268" t="str">
        <f>HYPERLINK("https://twitter.com/877297895828996096/status/1142641261293256705")</f>
        <v>https://twitter.com/877297895828996096/status/1142641261293256705</v>
      </c>
      <c r="H4268" t="s">
        <v>46</v>
      </c>
      <c r="I4268" t="s">
        <v>13104</v>
      </c>
      <c r="J4268" t="str">
        <f>HYPERLINK("http://twitter.com/Realgustavo199")</f>
        <v>http://twitter.com/Realgustavo199</v>
      </c>
      <c r="K4268">
        <v>31</v>
      </c>
      <c r="L4268" t="s">
        <v>48</v>
      </c>
      <c r="N4268" t="s">
        <v>65</v>
      </c>
      <c r="R4268" t="s">
        <v>60</v>
      </c>
      <c r="W4268">
        <v>0</v>
      </c>
      <c r="X4268">
        <v>0</v>
      </c>
      <c r="AE4268">
        <v>0</v>
      </c>
      <c r="AI4268" t="s">
        <v>108</v>
      </c>
      <c r="AJ4268" t="s">
        <v>52</v>
      </c>
      <c r="AK4268" t="s">
        <v>52</v>
      </c>
      <c r="AL4268" t="str">
        <f>HYPERLINK("https://pbs.twimg.com/ext_tw_video_thumb/1141360066962100224/pu/img/5_tGc4hLFQwcD07b.jpg")</f>
        <v>https://pbs.twimg.com/ext_tw_video_thumb/1141360066962100224/pu/img/5_tGc4hLFQwcD07b.jpg</v>
      </c>
      <c r="AM4268" t="s">
        <v>52</v>
      </c>
      <c r="AN4268" t="s">
        <v>53</v>
      </c>
    </row>
    <row r="4269" spans="1:40">
      <c r="A4269" t="s">
        <v>13057</v>
      </c>
      <c r="B4269" t="s">
        <v>2437</v>
      </c>
      <c r="C4269" t="s">
        <v>13105</v>
      </c>
      <c r="D4269" t="s">
        <v>52</v>
      </c>
      <c r="E4269" t="s">
        <v>13106</v>
      </c>
      <c r="F4269" t="s">
        <v>95</v>
      </c>
      <c r="G4269" t="str">
        <f>HYPERLINK("https://twitter.com/92183499/status/1142641185875304449")</f>
        <v>https://twitter.com/92183499/status/1142641185875304449</v>
      </c>
      <c r="H4269" t="s">
        <v>215</v>
      </c>
      <c r="I4269" t="s">
        <v>13107</v>
      </c>
      <c r="J4269" t="str">
        <f>HYPERLINK("http://twitter.com/SxyBrt")</f>
        <v>http://twitter.com/SxyBrt</v>
      </c>
      <c r="K4269">
        <v>2393</v>
      </c>
      <c r="L4269" t="s">
        <v>58</v>
      </c>
      <c r="N4269" t="s">
        <v>65</v>
      </c>
      <c r="R4269" t="s">
        <v>60</v>
      </c>
      <c r="S4269" t="s">
        <v>51</v>
      </c>
      <c r="T4269" t="s">
        <v>173</v>
      </c>
      <c r="U4269" t="s">
        <v>12731</v>
      </c>
      <c r="W4269">
        <v>0</v>
      </c>
      <c r="X4269">
        <v>0</v>
      </c>
      <c r="AE4269">
        <v>0</v>
      </c>
      <c r="AF4269">
        <v>0</v>
      </c>
      <c r="AM4269" t="s">
        <v>52</v>
      </c>
      <c r="AN4269" t="s">
        <v>53</v>
      </c>
    </row>
    <row r="4270" spans="1:40">
      <c r="A4270" t="s">
        <v>13057</v>
      </c>
      <c r="B4270" t="s">
        <v>13108</v>
      </c>
      <c r="C4270" t="s">
        <v>11886</v>
      </c>
      <c r="D4270" t="s">
        <v>52</v>
      </c>
      <c r="E4270" t="s">
        <v>13109</v>
      </c>
      <c r="F4270" t="s">
        <v>45</v>
      </c>
      <c r="G4270" t="str">
        <f>HYPERLINK("https://www.instagram.com/p/BzCa0DNB3ik")</f>
        <v>https://www.instagram.com/p/BzCa0DNB3ik</v>
      </c>
      <c r="H4270" t="s">
        <v>46</v>
      </c>
      <c r="I4270" t="s">
        <v>13110</v>
      </c>
      <c r="J4270" t="str">
        <f>HYPERLINK("http://instagram.com/thelegendmia_")</f>
        <v>http://instagram.com/thelegendmia_</v>
      </c>
      <c r="K4270">
        <v>6646</v>
      </c>
      <c r="N4270" t="s">
        <v>59</v>
      </c>
      <c r="O4270" t="s">
        <v>13110</v>
      </c>
      <c r="P4270" t="str">
        <f>HYPERLINK("http://instagram.com/thelegendmia_")</f>
        <v>http://instagram.com/thelegendmia_</v>
      </c>
      <c r="Q4270">
        <v>6646</v>
      </c>
      <c r="R4270" t="s">
        <v>60</v>
      </c>
      <c r="W4270">
        <v>88</v>
      </c>
      <c r="X4270">
        <v>88</v>
      </c>
      <c r="AE4270">
        <v>7</v>
      </c>
      <c r="AI4270" t="s">
        <v>108</v>
      </c>
      <c r="AJ4270" t="s">
        <v>13111</v>
      </c>
      <c r="AK4270" t="s">
        <v>52</v>
      </c>
      <c r="AL4270" t="str">
        <f>HYPERLINK("https://www.instagram.com/p/BzCa0DNB3ik/media/?size=l")</f>
        <v>https://www.instagram.com/p/BzCa0DNB3ik/media/?size=l</v>
      </c>
      <c r="AM4270" t="s">
        <v>52</v>
      </c>
      <c r="AN4270" t="s">
        <v>53</v>
      </c>
    </row>
    <row r="4271" spans="1:40">
      <c r="A4271" t="s">
        <v>13057</v>
      </c>
      <c r="B4271" t="s">
        <v>2453</v>
      </c>
      <c r="C4271" t="s">
        <v>13101</v>
      </c>
      <c r="D4271" t="s">
        <v>52</v>
      </c>
      <c r="E4271" t="s">
        <v>13112</v>
      </c>
      <c r="F4271" t="s">
        <v>71</v>
      </c>
      <c r="G4271" t="str">
        <f>HYPERLINK("https://twitter.com/893891156/status/1142640585347600384")</f>
        <v>https://twitter.com/893891156/status/1142640585347600384</v>
      </c>
      <c r="H4271" t="s">
        <v>46</v>
      </c>
      <c r="I4271" t="s">
        <v>13113</v>
      </c>
      <c r="J4271" t="str">
        <f>HYPERLINK("http://twitter.com/epicalanah")</f>
        <v>http://twitter.com/epicalanah</v>
      </c>
      <c r="K4271">
        <v>669</v>
      </c>
      <c r="N4271" t="s">
        <v>65</v>
      </c>
      <c r="R4271" t="s">
        <v>60</v>
      </c>
      <c r="S4271" t="s">
        <v>1403</v>
      </c>
      <c r="T4271" t="s">
        <v>6688</v>
      </c>
      <c r="U4271" t="s">
        <v>13114</v>
      </c>
      <c r="W4271">
        <v>4</v>
      </c>
      <c r="X4271">
        <v>4</v>
      </c>
      <c r="AE4271">
        <v>0</v>
      </c>
      <c r="AF4271">
        <v>0</v>
      </c>
      <c r="AM4271" t="s">
        <v>52</v>
      </c>
      <c r="AN4271" t="s">
        <v>53</v>
      </c>
    </row>
    <row r="4272" spans="1:40">
      <c r="A4272" t="s">
        <v>13057</v>
      </c>
      <c r="B4272" t="s">
        <v>2453</v>
      </c>
      <c r="C4272" t="s">
        <v>7012</v>
      </c>
      <c r="D4272" t="s">
        <v>13115</v>
      </c>
      <c r="E4272" t="s">
        <v>13116</v>
      </c>
      <c r="F4272" t="s">
        <v>45</v>
      </c>
      <c r="G4272" t="str">
        <f>HYPERLINK("https://www.reddit.com/r/RoastMe/comments/c3tt11/finishing_in_last_place_in_my_fantasy_league/?sort=new#thing_t1_ertix1n")</f>
        <v>https://www.reddit.com/r/RoastMe/comments/c3tt11/finishing_in_last_place_in_my_fantasy_league/?sort=new#thing_t1_ertix1n</v>
      </c>
      <c r="H4272" t="s">
        <v>46</v>
      </c>
      <c r="I4272" t="s">
        <v>13117</v>
      </c>
      <c r="J4272" t="str">
        <f>HYPERLINK("https://www.reddit.com/r/RoastMe/comments/c3tt11/finishing_in_last_place_in_my_fantasy_league/?sort=new#thing_t1_ertix1n")</f>
        <v>https://www.reddit.com/r/RoastMe/comments/c3tt11/finishing_in_last_place_in_my_fantasy_league/?sort=new#thing_t1_ertix1n</v>
      </c>
      <c r="N4272" t="s">
        <v>545</v>
      </c>
      <c r="O4272" t="s">
        <v>13118</v>
      </c>
      <c r="P4272" t="str">
        <f>HYPERLINK("https://www.reddit.com/r/RoastMe/")</f>
        <v>https://www.reddit.com/r/RoastMe/</v>
      </c>
      <c r="R4272" t="s">
        <v>516</v>
      </c>
      <c r="S4272" t="s">
        <v>51</v>
      </c>
      <c r="AM4272" t="s">
        <v>52</v>
      </c>
      <c r="AN4272" t="s">
        <v>53</v>
      </c>
    </row>
    <row r="4273" spans="1:40">
      <c r="A4273" t="s">
        <v>13057</v>
      </c>
      <c r="B4273" t="s">
        <v>2464</v>
      </c>
      <c r="C4273" t="s">
        <v>13103</v>
      </c>
      <c r="D4273" t="s">
        <v>52</v>
      </c>
      <c r="E4273" t="s">
        <v>13119</v>
      </c>
      <c r="F4273" t="s">
        <v>45</v>
      </c>
      <c r="G4273" t="str">
        <f>HYPERLINK("https://www.instagram.com/p/BzCadb0DvGf")</f>
        <v>https://www.instagram.com/p/BzCadb0DvGf</v>
      </c>
      <c r="H4273" t="s">
        <v>46</v>
      </c>
      <c r="I4273" t="s">
        <v>13120</v>
      </c>
      <c r="J4273" t="str">
        <f>HYPERLINK("http://instagram.com/looney_annie")</f>
        <v>http://instagram.com/looney_annie</v>
      </c>
      <c r="K4273">
        <v>183</v>
      </c>
      <c r="N4273" t="s">
        <v>59</v>
      </c>
      <c r="O4273" t="s">
        <v>13120</v>
      </c>
      <c r="P4273" t="str">
        <f>HYPERLINK("http://instagram.com/looney_annie")</f>
        <v>http://instagram.com/looney_annie</v>
      </c>
      <c r="Q4273">
        <v>183</v>
      </c>
      <c r="R4273" t="s">
        <v>60</v>
      </c>
      <c r="W4273">
        <v>14</v>
      </c>
      <c r="X4273">
        <v>14</v>
      </c>
      <c r="AE4273">
        <v>1</v>
      </c>
      <c r="AI4273" t="s">
        <v>108</v>
      </c>
      <c r="AJ4273" t="s">
        <v>1763</v>
      </c>
      <c r="AK4273" t="s">
        <v>52</v>
      </c>
      <c r="AL4273" t="str">
        <f>HYPERLINK("https://www.instagram.com/p/BzCadb0DvGf/media/?size=l")</f>
        <v>https://www.instagram.com/p/BzCadb0DvGf/media/?size=l</v>
      </c>
      <c r="AM4273" t="s">
        <v>52</v>
      </c>
      <c r="AN4273" t="s">
        <v>53</v>
      </c>
    </row>
    <row r="4274" spans="1:40">
      <c r="A4274" t="s">
        <v>13057</v>
      </c>
      <c r="B4274" t="s">
        <v>2469</v>
      </c>
      <c r="C4274" t="s">
        <v>13077</v>
      </c>
      <c r="D4274" t="s">
        <v>13121</v>
      </c>
      <c r="E4274" t="s">
        <v>13122</v>
      </c>
      <c r="F4274" t="s">
        <v>95</v>
      </c>
      <c r="G4274" t="str">
        <f>HYPERLINK("http://www.worldstarhiphop.com/videos/video.php?v=wshh2D3jwiynN948arnJ#comment-4512624955")</f>
        <v>http://www.worldstarhiphop.com/videos/video.php?v=wshh2D3jwiynN948arnJ#comment-4512624955</v>
      </c>
      <c r="H4274" t="s">
        <v>46</v>
      </c>
      <c r="I4274" t="s">
        <v>13123</v>
      </c>
      <c r="J4274" t="str">
        <f>HYPERLINK("https://disqus.com/by/bestrecognizethefutureisfemale/")</f>
        <v>https://disqus.com/by/bestrecognizethefutureisfemale/</v>
      </c>
      <c r="K4274">
        <v>0</v>
      </c>
      <c r="N4274" t="s">
        <v>3966</v>
      </c>
      <c r="O4274" t="s">
        <v>3967</v>
      </c>
      <c r="P4274" t="str">
        <f>HYPERLINK("https://disqus.com/home/forum/worldstar/")</f>
        <v>https://disqus.com/home/forum/worldstar/</v>
      </c>
      <c r="R4274" t="s">
        <v>50</v>
      </c>
      <c r="W4274">
        <v>0</v>
      </c>
      <c r="X4274">
        <v>0</v>
      </c>
      <c r="AM4274" t="s">
        <v>52</v>
      </c>
      <c r="AN4274" t="s">
        <v>53</v>
      </c>
    </row>
    <row r="4275" spans="1:40">
      <c r="A4275" t="s">
        <v>13057</v>
      </c>
      <c r="B4275" t="s">
        <v>2469</v>
      </c>
      <c r="C4275" t="s">
        <v>13124</v>
      </c>
      <c r="D4275" t="s">
        <v>52</v>
      </c>
      <c r="E4275" t="s">
        <v>13125</v>
      </c>
      <c r="F4275" t="s">
        <v>45</v>
      </c>
      <c r="G4275" t="str">
        <f>HYPERLINK("https://twitter.com/1364829979/status/1142640030252507138")</f>
        <v>https://twitter.com/1364829979/status/1142640030252507138</v>
      </c>
      <c r="H4275" t="s">
        <v>215</v>
      </c>
      <c r="I4275" t="s">
        <v>13126</v>
      </c>
      <c r="J4275" t="str">
        <f>HYPERLINK("http://twitter.com/kjade071")</f>
        <v>http://twitter.com/kjade071</v>
      </c>
      <c r="K4275">
        <v>1848</v>
      </c>
      <c r="N4275" t="s">
        <v>65</v>
      </c>
      <c r="R4275" t="s">
        <v>60</v>
      </c>
      <c r="S4275" t="s">
        <v>51</v>
      </c>
      <c r="T4275" t="s">
        <v>2200</v>
      </c>
      <c r="U4275" t="s">
        <v>13127</v>
      </c>
      <c r="W4275">
        <v>0</v>
      </c>
      <c r="X4275">
        <v>0</v>
      </c>
      <c r="AE4275">
        <v>0</v>
      </c>
      <c r="AF4275">
        <v>0</v>
      </c>
      <c r="AM4275" t="s">
        <v>52</v>
      </c>
      <c r="AN4275" t="s">
        <v>53</v>
      </c>
    </row>
    <row r="4276" spans="1:40">
      <c r="A4276" t="s">
        <v>13057</v>
      </c>
      <c r="B4276" t="s">
        <v>2469</v>
      </c>
      <c r="C4276" t="s">
        <v>13128</v>
      </c>
      <c r="D4276" t="s">
        <v>52</v>
      </c>
      <c r="E4276" t="s">
        <v>4514</v>
      </c>
      <c r="F4276" t="s">
        <v>71</v>
      </c>
      <c r="G4276" t="str">
        <f>HYPERLINK("https://twitter.com/51688593/status/1142639995619962881")</f>
        <v>https://twitter.com/51688593/status/1142639995619962881</v>
      </c>
      <c r="H4276" t="s">
        <v>46</v>
      </c>
      <c r="I4276" t="s">
        <v>13129</v>
      </c>
      <c r="J4276" t="str">
        <f>HYPERLINK("http://twitter.com/hamizan")</f>
        <v>http://twitter.com/hamizan</v>
      </c>
      <c r="K4276">
        <v>621</v>
      </c>
      <c r="N4276" t="s">
        <v>65</v>
      </c>
      <c r="R4276" t="s">
        <v>60</v>
      </c>
      <c r="W4276">
        <v>0</v>
      </c>
      <c r="X4276">
        <v>0</v>
      </c>
      <c r="AE4276">
        <v>0</v>
      </c>
      <c r="AF4276">
        <v>0</v>
      </c>
      <c r="AI4276" t="s">
        <v>108</v>
      </c>
      <c r="AJ4276" t="s">
        <v>52</v>
      </c>
      <c r="AK4276" t="s">
        <v>52</v>
      </c>
      <c r="AL4276" t="str">
        <f>HYPERLINK("https://pbs.twimg.com/tweet_video_thumb/D9hvNNzXUAATAS3.jpg")</f>
        <v>https://pbs.twimg.com/tweet_video_thumb/D9hvNNzXUAATAS3.jpg</v>
      </c>
      <c r="AM4276" t="s">
        <v>52</v>
      </c>
      <c r="AN4276" t="s">
        <v>53</v>
      </c>
    </row>
    <row r="4277" spans="1:40">
      <c r="A4277" t="s">
        <v>13057</v>
      </c>
      <c r="B4277" t="s">
        <v>2476</v>
      </c>
      <c r="C4277" t="s">
        <v>13103</v>
      </c>
      <c r="D4277" t="s">
        <v>52</v>
      </c>
      <c r="E4277" t="s">
        <v>13130</v>
      </c>
      <c r="F4277" t="s">
        <v>45</v>
      </c>
      <c r="G4277" t="str">
        <f>HYPERLINK("https://www.instagram.com/p/BzCaNuCA0fM")</f>
        <v>https://www.instagram.com/p/BzCaNuCA0fM</v>
      </c>
      <c r="H4277" t="s">
        <v>46</v>
      </c>
      <c r="I4277" t="s">
        <v>13131</v>
      </c>
      <c r="J4277" t="str">
        <f>HYPERLINK("http://instagram.com/bluecollarfresh")</f>
        <v>http://instagram.com/bluecollarfresh</v>
      </c>
      <c r="K4277">
        <v>507</v>
      </c>
      <c r="N4277" t="s">
        <v>59</v>
      </c>
      <c r="O4277" t="s">
        <v>13131</v>
      </c>
      <c r="P4277" t="str">
        <f>HYPERLINK("http://instagram.com/bluecollarfresh")</f>
        <v>http://instagram.com/bluecollarfresh</v>
      </c>
      <c r="Q4277">
        <v>507</v>
      </c>
      <c r="R4277" t="s">
        <v>60</v>
      </c>
      <c r="W4277">
        <v>11</v>
      </c>
      <c r="X4277">
        <v>11</v>
      </c>
      <c r="AE4277">
        <v>2</v>
      </c>
      <c r="AI4277" t="s">
        <v>52</v>
      </c>
      <c r="AJ4277" t="s">
        <v>303</v>
      </c>
      <c r="AK4277" t="s">
        <v>52</v>
      </c>
      <c r="AL4277" t="str">
        <f>HYPERLINK("https://www.instagram.com/p/BzCaNuCA0fM/media/?size=l")</f>
        <v>https://www.instagram.com/p/BzCaNuCA0fM/media/?size=l</v>
      </c>
      <c r="AM4277" t="s">
        <v>52</v>
      </c>
      <c r="AN4277" t="s">
        <v>53</v>
      </c>
    </row>
    <row r="4278" spans="1:40">
      <c r="A4278" t="s">
        <v>13057</v>
      </c>
      <c r="B4278" t="s">
        <v>2476</v>
      </c>
      <c r="C4278" t="s">
        <v>11886</v>
      </c>
      <c r="D4278" t="s">
        <v>52</v>
      </c>
      <c r="E4278" t="s">
        <v>13132</v>
      </c>
      <c r="F4278" t="s">
        <v>45</v>
      </c>
      <c r="G4278" t="str">
        <f>HYPERLINK("https://www.instagram.com/p/BzCaMX8A9vH")</f>
        <v>https://www.instagram.com/p/BzCaMX8A9vH</v>
      </c>
      <c r="H4278" t="s">
        <v>215</v>
      </c>
      <c r="I4278" t="s">
        <v>13133</v>
      </c>
      <c r="J4278" t="str">
        <f>HYPERLINK("http://instagram.com/foodiephotography_")</f>
        <v>http://instagram.com/foodiephotography_</v>
      </c>
      <c r="K4278">
        <v>28</v>
      </c>
      <c r="N4278" t="s">
        <v>59</v>
      </c>
      <c r="O4278" t="s">
        <v>13133</v>
      </c>
      <c r="P4278" t="str">
        <f>HYPERLINK("http://instagram.com/foodiephotography_")</f>
        <v>http://instagram.com/foodiephotography_</v>
      </c>
      <c r="Q4278">
        <v>28</v>
      </c>
      <c r="R4278" t="s">
        <v>60</v>
      </c>
      <c r="W4278">
        <v>2</v>
      </c>
      <c r="X4278">
        <v>2</v>
      </c>
      <c r="AE4278">
        <v>0</v>
      </c>
      <c r="AI4278" t="s">
        <v>108</v>
      </c>
      <c r="AJ4278" t="s">
        <v>321</v>
      </c>
      <c r="AK4278" t="s">
        <v>52</v>
      </c>
      <c r="AL4278" t="str">
        <f>HYPERLINK("https://www.instagram.com/p/BzCaMX8A9vH/media/?size=l")</f>
        <v>https://www.instagram.com/p/BzCaMX8A9vH/media/?size=l</v>
      </c>
      <c r="AM4278" t="s">
        <v>52</v>
      </c>
      <c r="AN4278" t="s">
        <v>53</v>
      </c>
    </row>
    <row r="4279" spans="1:40">
      <c r="A4279" t="s">
        <v>13057</v>
      </c>
      <c r="B4279" t="s">
        <v>2476</v>
      </c>
      <c r="C4279" t="s">
        <v>13058</v>
      </c>
      <c r="D4279" t="s">
        <v>13134</v>
      </c>
      <c r="E4279" t="s">
        <v>13135</v>
      </c>
      <c r="F4279" t="s">
        <v>95</v>
      </c>
      <c r="G4279" t="str">
        <f>HYPERLINK("https://www.equestriadaily.com/2019/06/nightly-discussion-1838.html#comment-4512623653")</f>
        <v>https://www.equestriadaily.com/2019/06/nightly-discussion-1838.html#comment-4512623653</v>
      </c>
      <c r="H4279" t="s">
        <v>46</v>
      </c>
      <c r="I4279" t="s">
        <v>13136</v>
      </c>
      <c r="J4279" t="str">
        <f>HYPERLINK("https://disqus.com/by/dawninponyville/")</f>
        <v>https://disqus.com/by/dawninponyville/</v>
      </c>
      <c r="K4279">
        <v>22</v>
      </c>
      <c r="N4279" t="s">
        <v>13137</v>
      </c>
      <c r="O4279" t="s">
        <v>13138</v>
      </c>
      <c r="P4279" t="str">
        <f>HYPERLINK("https://disqus.com/home/forum/equestriadaily/")</f>
        <v>https://disqus.com/home/forum/equestriadaily/</v>
      </c>
      <c r="R4279" t="s">
        <v>50</v>
      </c>
      <c r="W4279">
        <v>0</v>
      </c>
      <c r="X4279">
        <v>0</v>
      </c>
      <c r="AM4279" t="s">
        <v>52</v>
      </c>
      <c r="AN4279" t="s">
        <v>53</v>
      </c>
    </row>
    <row r="4280" spans="1:40">
      <c r="A4280" t="s">
        <v>13057</v>
      </c>
      <c r="B4280" t="s">
        <v>2486</v>
      </c>
      <c r="C4280" t="s">
        <v>13139</v>
      </c>
      <c r="D4280" t="s">
        <v>13140</v>
      </c>
      <c r="E4280" t="s">
        <v>13141</v>
      </c>
      <c r="F4280" t="s">
        <v>45</v>
      </c>
      <c r="G4280" t="str">
        <f>HYPERLINK("http://www.scandinavianhomestaging.com/dews-and-doritos.html")</f>
        <v>http://www.scandinavianhomestaging.com/dews-and-doritos.html</v>
      </c>
      <c r="H4280" t="s">
        <v>46</v>
      </c>
      <c r="N4280" t="s">
        <v>7165</v>
      </c>
      <c r="R4280" t="s">
        <v>50</v>
      </c>
      <c r="S4280" t="s">
        <v>51</v>
      </c>
      <c r="AM4280" t="s">
        <v>52</v>
      </c>
      <c r="AN4280" t="s">
        <v>53</v>
      </c>
    </row>
    <row r="4281" spans="1:40">
      <c r="A4281" t="s">
        <v>13057</v>
      </c>
      <c r="B4281" t="s">
        <v>2489</v>
      </c>
      <c r="C4281" t="s">
        <v>11924</v>
      </c>
      <c r="D4281" t="s">
        <v>52</v>
      </c>
      <c r="E4281" t="s">
        <v>13142</v>
      </c>
      <c r="F4281" t="s">
        <v>45</v>
      </c>
      <c r="G4281" t="str">
        <f>HYPERLINK("https://www.instagram.com/p/BzCZ4c1JPKL")</f>
        <v>https://www.instagram.com/p/BzCZ4c1JPKL</v>
      </c>
      <c r="H4281" t="s">
        <v>46</v>
      </c>
      <c r="I4281" t="s">
        <v>13143</v>
      </c>
      <c r="J4281" t="str">
        <f>HYPERLINK("http://instagram.com/mendgarm6")</f>
        <v>http://instagram.com/mendgarm6</v>
      </c>
      <c r="K4281">
        <v>845</v>
      </c>
      <c r="N4281" t="s">
        <v>59</v>
      </c>
      <c r="O4281" t="s">
        <v>13143</v>
      </c>
      <c r="P4281" t="str">
        <f>HYPERLINK("http://instagram.com/mendgarm6")</f>
        <v>http://instagram.com/mendgarm6</v>
      </c>
      <c r="Q4281">
        <v>845</v>
      </c>
      <c r="R4281" t="s">
        <v>60</v>
      </c>
      <c r="W4281">
        <v>7</v>
      </c>
      <c r="X4281">
        <v>7</v>
      </c>
      <c r="AE4281">
        <v>0</v>
      </c>
      <c r="AI4281" t="s">
        <v>108</v>
      </c>
      <c r="AJ4281" t="s">
        <v>52</v>
      </c>
      <c r="AK4281" t="s">
        <v>52</v>
      </c>
      <c r="AL4281" t="str">
        <f>HYPERLINK("https://www.instagram.com/p/BzCZ4c1JPKL/media/?size=l")</f>
        <v>https://www.instagram.com/p/BzCZ4c1JPKL/media/?size=l</v>
      </c>
      <c r="AM4281" t="s">
        <v>52</v>
      </c>
      <c r="AN4281" t="s">
        <v>53</v>
      </c>
    </row>
    <row r="4282" spans="1:40">
      <c r="A4282" t="s">
        <v>13057</v>
      </c>
      <c r="B4282" t="s">
        <v>8157</v>
      </c>
      <c r="C4282" t="s">
        <v>13144</v>
      </c>
      <c r="D4282" t="s">
        <v>52</v>
      </c>
      <c r="E4282" t="s">
        <v>13145</v>
      </c>
      <c r="F4282" t="s">
        <v>71</v>
      </c>
      <c r="G4282" t="str">
        <f>HYPERLINK("https://twitter.com/46723550/status/1142638619548692480")</f>
        <v>https://twitter.com/46723550/status/1142638619548692480</v>
      </c>
      <c r="H4282" t="s">
        <v>46</v>
      </c>
      <c r="I4282" t="s">
        <v>13146</v>
      </c>
      <c r="J4282" t="str">
        <f>HYPERLINK("http://twitter.com/Patrick_Stankus")</f>
        <v>http://twitter.com/Patrick_Stankus</v>
      </c>
      <c r="K4282">
        <v>559</v>
      </c>
      <c r="L4282" t="s">
        <v>48</v>
      </c>
      <c r="N4282" t="s">
        <v>65</v>
      </c>
      <c r="R4282" t="s">
        <v>60</v>
      </c>
      <c r="W4282">
        <v>1</v>
      </c>
      <c r="X4282">
        <v>1</v>
      </c>
      <c r="AE4282">
        <v>0</v>
      </c>
      <c r="AF4282">
        <v>0</v>
      </c>
      <c r="AI4282" t="s">
        <v>52</v>
      </c>
      <c r="AJ4282" t="s">
        <v>4081</v>
      </c>
      <c r="AK4282" t="s">
        <v>12721</v>
      </c>
      <c r="AL4282" t="str">
        <f>HYPERLINK("https://pbs.twimg.com/media/D9rd-ZrXYAUuaO4.jpg")</f>
        <v>https://pbs.twimg.com/media/D9rd-ZrXYAUuaO4.jpg</v>
      </c>
      <c r="AM4282" t="s">
        <v>52</v>
      </c>
      <c r="AN4282" t="s">
        <v>53</v>
      </c>
    </row>
    <row r="4283" spans="1:40">
      <c r="A4283" t="s">
        <v>13057</v>
      </c>
      <c r="B4283" t="s">
        <v>8162</v>
      </c>
      <c r="C4283" t="s">
        <v>13103</v>
      </c>
      <c r="D4283" t="s">
        <v>52</v>
      </c>
      <c r="E4283" t="s">
        <v>13147</v>
      </c>
      <c r="F4283" t="s">
        <v>45</v>
      </c>
      <c r="G4283" t="str">
        <f>HYPERLINK("https://www.instagram.com/p/BzCZhEkFAo9")</f>
        <v>https://www.instagram.com/p/BzCZhEkFAo9</v>
      </c>
      <c r="H4283" t="s">
        <v>46</v>
      </c>
      <c r="I4283" t="s">
        <v>13148</v>
      </c>
      <c r="J4283" t="str">
        <f>HYPERLINK("http://instagram.com/dainfam0us0ne")</f>
        <v>http://instagram.com/dainfam0us0ne</v>
      </c>
      <c r="K4283">
        <v>377</v>
      </c>
      <c r="L4283" t="s">
        <v>48</v>
      </c>
      <c r="N4283" t="s">
        <v>59</v>
      </c>
      <c r="O4283" t="s">
        <v>13148</v>
      </c>
      <c r="P4283" t="str">
        <f>HYPERLINK("http://instagram.com/dainfam0us0ne")</f>
        <v>http://instagram.com/dainfam0us0ne</v>
      </c>
      <c r="Q4283">
        <v>377</v>
      </c>
      <c r="R4283" t="s">
        <v>60</v>
      </c>
      <c r="W4283">
        <v>14</v>
      </c>
      <c r="X4283">
        <v>14</v>
      </c>
      <c r="AE4283">
        <v>12</v>
      </c>
      <c r="AG4283">
        <v>83</v>
      </c>
      <c r="AI4283" t="s">
        <v>52</v>
      </c>
      <c r="AJ4283" t="s">
        <v>52</v>
      </c>
      <c r="AK4283" t="s">
        <v>52</v>
      </c>
      <c r="AL4283" t="str">
        <f>HYPERLINK("https://www.instagram.com/p/BzCZhEkFAo9/media/?size=l")</f>
        <v>https://www.instagram.com/p/BzCZhEkFAo9/media/?size=l</v>
      </c>
      <c r="AM4283" t="s">
        <v>52</v>
      </c>
      <c r="AN4283" t="s">
        <v>53</v>
      </c>
    </row>
    <row r="4284" spans="1:40">
      <c r="A4284" t="s">
        <v>13057</v>
      </c>
      <c r="B4284" t="s">
        <v>8173</v>
      </c>
      <c r="C4284" t="s">
        <v>13124</v>
      </c>
      <c r="D4284" t="s">
        <v>52</v>
      </c>
      <c r="E4284" t="s">
        <v>13149</v>
      </c>
      <c r="F4284" t="s">
        <v>45</v>
      </c>
      <c r="G4284" t="str">
        <f>HYPERLINK("https://twitter.com/384120832/status/1142637929098928128")</f>
        <v>https://twitter.com/384120832/status/1142637929098928128</v>
      </c>
      <c r="H4284" t="s">
        <v>46</v>
      </c>
      <c r="I4284" t="s">
        <v>13150</v>
      </c>
      <c r="J4284" t="str">
        <f>HYPERLINK("http://twitter.com/chrisstiinna")</f>
        <v>http://twitter.com/chrisstiinna</v>
      </c>
      <c r="K4284">
        <v>330</v>
      </c>
      <c r="N4284" t="s">
        <v>65</v>
      </c>
      <c r="R4284" t="s">
        <v>60</v>
      </c>
      <c r="W4284">
        <v>0</v>
      </c>
      <c r="X4284">
        <v>0</v>
      </c>
      <c r="AE4284">
        <v>0</v>
      </c>
      <c r="AF4284">
        <v>0</v>
      </c>
      <c r="AM4284" t="s">
        <v>52</v>
      </c>
      <c r="AN4284" t="s">
        <v>53</v>
      </c>
    </row>
    <row r="4285" spans="1:40">
      <c r="A4285" t="s">
        <v>13057</v>
      </c>
      <c r="B4285" t="s">
        <v>8173</v>
      </c>
      <c r="C4285" t="s">
        <v>13124</v>
      </c>
      <c r="D4285" t="s">
        <v>52</v>
      </c>
      <c r="E4285" t="s">
        <v>13151</v>
      </c>
      <c r="F4285" t="s">
        <v>71</v>
      </c>
      <c r="G4285" t="str">
        <f>HYPERLINK("https://twitter.com/1126113353368256514/status/1142637919305392128")</f>
        <v>https://twitter.com/1126113353368256514/status/1142637919305392128</v>
      </c>
      <c r="H4285" t="s">
        <v>215</v>
      </c>
      <c r="I4285" t="s">
        <v>13152</v>
      </c>
      <c r="J4285" t="str">
        <f>HYPERLINK("http://twitter.com/allgabriell1")</f>
        <v>http://twitter.com/allgabriell1</v>
      </c>
      <c r="K4285">
        <v>9</v>
      </c>
      <c r="N4285" t="s">
        <v>65</v>
      </c>
      <c r="R4285" t="s">
        <v>60</v>
      </c>
      <c r="W4285">
        <v>1</v>
      </c>
      <c r="X4285">
        <v>1</v>
      </c>
      <c r="AE4285">
        <v>0</v>
      </c>
      <c r="AF4285">
        <v>1</v>
      </c>
      <c r="AI4285" t="s">
        <v>108</v>
      </c>
      <c r="AJ4285" t="s">
        <v>1894</v>
      </c>
      <c r="AK4285" t="s">
        <v>52</v>
      </c>
      <c r="AL4285" t="str">
        <f>HYPERLINK("https://pbs.twimg.com/media/D9tRLQRXsAAnnm_.jpg")</f>
        <v>https://pbs.twimg.com/media/D9tRLQRXsAAnnm_.jpg</v>
      </c>
      <c r="AM4285" t="s">
        <v>52</v>
      </c>
      <c r="AN4285" t="s">
        <v>53</v>
      </c>
    </row>
    <row r="4286" spans="1:40">
      <c r="A4286" t="s">
        <v>13057</v>
      </c>
      <c r="B4286" t="s">
        <v>2498</v>
      </c>
      <c r="C4286" t="s">
        <v>13153</v>
      </c>
      <c r="D4286" t="s">
        <v>52</v>
      </c>
      <c r="E4286" t="s">
        <v>13154</v>
      </c>
      <c r="F4286" t="s">
        <v>45</v>
      </c>
      <c r="G4286" t="str">
        <f>HYPERLINK("https://twitter.com/1056085090025955328/status/1142637812203700227")</f>
        <v>https://twitter.com/1056085090025955328/status/1142637812203700227</v>
      </c>
      <c r="H4286" t="s">
        <v>46</v>
      </c>
      <c r="I4286" t="s">
        <v>13155</v>
      </c>
      <c r="J4286" t="str">
        <f>HYPERLINK("http://twitter.com/crstnagnzlz")</f>
        <v>http://twitter.com/crstnagnzlz</v>
      </c>
      <c r="K4286">
        <v>141</v>
      </c>
      <c r="N4286" t="s">
        <v>65</v>
      </c>
      <c r="R4286" t="s">
        <v>60</v>
      </c>
      <c r="W4286">
        <v>2</v>
      </c>
      <c r="X4286">
        <v>2</v>
      </c>
      <c r="AE4286">
        <v>2</v>
      </c>
      <c r="AF4286">
        <v>0</v>
      </c>
      <c r="AM4286" t="s">
        <v>52</v>
      </c>
      <c r="AN4286" t="s">
        <v>53</v>
      </c>
    </row>
    <row r="4287" spans="1:40">
      <c r="A4287" t="s">
        <v>13057</v>
      </c>
      <c r="B4287" t="s">
        <v>2498</v>
      </c>
      <c r="C4287" t="s">
        <v>13156</v>
      </c>
      <c r="D4287" t="s">
        <v>52</v>
      </c>
      <c r="E4287" t="s">
        <v>13157</v>
      </c>
      <c r="F4287" t="s">
        <v>95</v>
      </c>
      <c r="G4287" t="str">
        <f>HYPERLINK("https://twitter.com/2342493836/status/1142637783049285633")</f>
        <v>https://twitter.com/2342493836/status/1142637783049285633</v>
      </c>
      <c r="H4287" t="s">
        <v>46</v>
      </c>
      <c r="I4287" t="s">
        <v>13158</v>
      </c>
      <c r="J4287" t="str">
        <f>HYPERLINK("http://twitter.com/AlexDropkin")</f>
        <v>http://twitter.com/AlexDropkin</v>
      </c>
      <c r="K4287">
        <v>793</v>
      </c>
      <c r="N4287" t="s">
        <v>65</v>
      </c>
      <c r="R4287" t="s">
        <v>60</v>
      </c>
      <c r="S4287" t="s">
        <v>51</v>
      </c>
      <c r="T4287" t="s">
        <v>84</v>
      </c>
      <c r="U4287" t="s">
        <v>85</v>
      </c>
      <c r="W4287">
        <v>2</v>
      </c>
      <c r="X4287">
        <v>2</v>
      </c>
      <c r="AE4287">
        <v>0</v>
      </c>
      <c r="AF4287">
        <v>0</v>
      </c>
      <c r="AM4287" t="s">
        <v>52</v>
      </c>
      <c r="AN4287" t="s">
        <v>53</v>
      </c>
    </row>
    <row r="4288" spans="1:40">
      <c r="A4288" t="s">
        <v>13057</v>
      </c>
      <c r="B4288" t="s">
        <v>2498</v>
      </c>
      <c r="C4288" t="s">
        <v>13153</v>
      </c>
      <c r="D4288" t="s">
        <v>52</v>
      </c>
      <c r="E4288" t="s">
        <v>13159</v>
      </c>
      <c r="F4288" t="s">
        <v>95</v>
      </c>
      <c r="G4288" t="str">
        <f>HYPERLINK("https://twitter.com/2515824674/status/1142637780134236160")</f>
        <v>https://twitter.com/2515824674/status/1142637780134236160</v>
      </c>
      <c r="H4288" t="s">
        <v>215</v>
      </c>
      <c r="I4288" t="s">
        <v>13160</v>
      </c>
      <c r="J4288" t="str">
        <f>HYPERLINK("http://twitter.com/CSaoirsee")</f>
        <v>http://twitter.com/CSaoirsee</v>
      </c>
      <c r="K4288">
        <v>1</v>
      </c>
      <c r="N4288" t="s">
        <v>65</v>
      </c>
      <c r="R4288" t="s">
        <v>60</v>
      </c>
      <c r="W4288">
        <v>0</v>
      </c>
      <c r="X4288">
        <v>0</v>
      </c>
      <c r="AE4288">
        <v>0</v>
      </c>
      <c r="AF4288">
        <v>0</v>
      </c>
      <c r="AI4288" t="s">
        <v>52</v>
      </c>
      <c r="AJ4288" t="s">
        <v>52</v>
      </c>
      <c r="AK4288" t="s">
        <v>52</v>
      </c>
      <c r="AL4288" t="str">
        <f>HYPERLINK("https://pbs.twimg.com/tweet_video_thumb/D9t2_9MXYAAwN-I.jpg")</f>
        <v>https://pbs.twimg.com/tweet_video_thumb/D9t2_9MXYAAwN-I.jpg</v>
      </c>
      <c r="AM4288" t="s">
        <v>52</v>
      </c>
      <c r="AN4288" t="s">
        <v>53</v>
      </c>
    </row>
    <row r="4289" spans="1:40">
      <c r="A4289" t="s">
        <v>13057</v>
      </c>
      <c r="B4289" t="s">
        <v>2518</v>
      </c>
      <c r="C4289" t="s">
        <v>13161</v>
      </c>
      <c r="D4289" t="s">
        <v>52</v>
      </c>
      <c r="E4289" t="s">
        <v>13162</v>
      </c>
      <c r="F4289" t="s">
        <v>95</v>
      </c>
      <c r="G4289" t="str">
        <f>HYPERLINK("https://twitter.com/879883851581075460/status/1142636877293543430")</f>
        <v>https://twitter.com/879883851581075460/status/1142636877293543430</v>
      </c>
      <c r="H4289" t="s">
        <v>46</v>
      </c>
      <c r="I4289" t="s">
        <v>13163</v>
      </c>
      <c r="J4289" t="str">
        <f>HYPERLINK("http://twitter.com/heypixiie")</f>
        <v>http://twitter.com/heypixiie</v>
      </c>
      <c r="K4289">
        <v>151</v>
      </c>
      <c r="N4289" t="s">
        <v>65</v>
      </c>
      <c r="R4289" t="s">
        <v>60</v>
      </c>
      <c r="S4289" t="s">
        <v>51</v>
      </c>
      <c r="T4289" t="s">
        <v>380</v>
      </c>
      <c r="U4289" t="s">
        <v>380</v>
      </c>
      <c r="W4289">
        <v>0</v>
      </c>
      <c r="X4289">
        <v>0</v>
      </c>
      <c r="AE4289">
        <v>0</v>
      </c>
      <c r="AF4289">
        <v>0</v>
      </c>
      <c r="AM4289" t="s">
        <v>52</v>
      </c>
      <c r="AN4289" t="s">
        <v>53</v>
      </c>
    </row>
    <row r="4290" spans="1:40">
      <c r="A4290" t="s">
        <v>13057</v>
      </c>
      <c r="B4290" t="s">
        <v>8205</v>
      </c>
      <c r="C4290" t="s">
        <v>13164</v>
      </c>
      <c r="D4290" t="s">
        <v>52</v>
      </c>
      <c r="E4290" t="s">
        <v>13165</v>
      </c>
      <c r="F4290" t="s">
        <v>45</v>
      </c>
      <c r="G4290" t="str">
        <f>HYPERLINK("https://www.instagram.com/p/BzCYz5KHg_E")</f>
        <v>https://www.instagram.com/p/BzCYz5KHg_E</v>
      </c>
      <c r="H4290" t="s">
        <v>46</v>
      </c>
      <c r="I4290" t="s">
        <v>13166</v>
      </c>
      <c r="J4290" t="str">
        <f>HYPERLINK("http://instagram.com/boosteddorito")</f>
        <v>http://instagram.com/boosteddorito</v>
      </c>
      <c r="K4290">
        <v>384</v>
      </c>
      <c r="N4290" t="s">
        <v>59</v>
      </c>
      <c r="O4290" t="s">
        <v>13166</v>
      </c>
      <c r="P4290" t="str">
        <f>HYPERLINK("http://instagram.com/boosteddorito")</f>
        <v>http://instagram.com/boosteddorito</v>
      </c>
      <c r="Q4290">
        <v>384</v>
      </c>
      <c r="R4290" t="s">
        <v>60</v>
      </c>
      <c r="W4290">
        <v>70</v>
      </c>
      <c r="X4290">
        <v>70</v>
      </c>
      <c r="AE4290">
        <v>6</v>
      </c>
      <c r="AI4290" t="s">
        <v>52</v>
      </c>
      <c r="AJ4290" t="s">
        <v>121</v>
      </c>
      <c r="AK4290" t="s">
        <v>52</v>
      </c>
      <c r="AL4290" t="str">
        <f>HYPERLINK("https://www.instagram.com/p/BzCYz5KHg_E/media/?size=l")</f>
        <v>https://www.instagram.com/p/BzCYz5KHg_E/media/?size=l</v>
      </c>
      <c r="AM4290" t="s">
        <v>52</v>
      </c>
      <c r="AN4290" t="s">
        <v>53</v>
      </c>
    </row>
    <row r="4291" spans="1:40">
      <c r="A4291" t="s">
        <v>13057</v>
      </c>
      <c r="B4291" t="s">
        <v>8205</v>
      </c>
      <c r="C4291" t="s">
        <v>13164</v>
      </c>
      <c r="D4291" t="s">
        <v>52</v>
      </c>
      <c r="E4291" t="s">
        <v>11685</v>
      </c>
      <c r="F4291" t="s">
        <v>131</v>
      </c>
      <c r="G4291" t="str">
        <f>HYPERLINK("https://twitter.com/1070342623808905216/status/1142636543384985600")</f>
        <v>https://twitter.com/1070342623808905216/status/1142636543384985600</v>
      </c>
      <c r="H4291" t="s">
        <v>46</v>
      </c>
      <c r="I4291" t="s">
        <v>13167</v>
      </c>
      <c r="J4291" t="str">
        <f>HYPERLINK("http://twitter.com/jminxgguk")</f>
        <v>http://twitter.com/jminxgguk</v>
      </c>
      <c r="K4291">
        <v>13</v>
      </c>
      <c r="N4291" t="s">
        <v>65</v>
      </c>
      <c r="R4291" t="s">
        <v>60</v>
      </c>
      <c r="S4291" t="s">
        <v>1963</v>
      </c>
      <c r="T4291" t="s">
        <v>9235</v>
      </c>
      <c r="U4291" t="s">
        <v>9235</v>
      </c>
      <c r="W4291">
        <v>0</v>
      </c>
      <c r="X4291">
        <v>0</v>
      </c>
      <c r="AE4291">
        <v>0</v>
      </c>
      <c r="AM4291" t="s">
        <v>52</v>
      </c>
      <c r="AN4291" t="s">
        <v>53</v>
      </c>
    </row>
    <row r="4292" spans="1:40">
      <c r="A4292" t="s">
        <v>13057</v>
      </c>
      <c r="B4292" t="s">
        <v>8205</v>
      </c>
      <c r="C4292" t="s">
        <v>13168</v>
      </c>
      <c r="D4292" t="s">
        <v>52</v>
      </c>
      <c r="E4292" t="s">
        <v>4514</v>
      </c>
      <c r="F4292" t="s">
        <v>71</v>
      </c>
      <c r="G4292" t="str">
        <f>HYPERLINK("https://twitter.com/1056720860948484097/status/1142636509872267264")</f>
        <v>https://twitter.com/1056720860948484097/status/1142636509872267264</v>
      </c>
      <c r="H4292" t="s">
        <v>46</v>
      </c>
      <c r="I4292" t="s">
        <v>13169</v>
      </c>
      <c r="J4292" t="str">
        <f>HYPERLINK("http://twitter.com/_F_O_L_K_")</f>
        <v>http://twitter.com/_F_O_L_K_</v>
      </c>
      <c r="K4292">
        <v>20</v>
      </c>
      <c r="N4292" t="s">
        <v>65</v>
      </c>
      <c r="R4292" t="s">
        <v>60</v>
      </c>
      <c r="W4292">
        <v>0</v>
      </c>
      <c r="X4292">
        <v>0</v>
      </c>
      <c r="AE4292">
        <v>0</v>
      </c>
      <c r="AF4292">
        <v>0</v>
      </c>
      <c r="AI4292" t="s">
        <v>108</v>
      </c>
      <c r="AJ4292" t="s">
        <v>52</v>
      </c>
      <c r="AK4292" t="s">
        <v>52</v>
      </c>
      <c r="AL4292" t="str">
        <f>HYPERLINK("https://pbs.twimg.com/tweet_video_thumb/D9hvNNzXUAATAS3.jpg")</f>
        <v>https://pbs.twimg.com/tweet_video_thumb/D9hvNNzXUAATAS3.jpg</v>
      </c>
      <c r="AM4292" t="s">
        <v>52</v>
      </c>
      <c r="AN4292" t="s">
        <v>53</v>
      </c>
    </row>
    <row r="4293" spans="1:40">
      <c r="A4293" t="s">
        <v>13057</v>
      </c>
      <c r="B4293" t="s">
        <v>8212</v>
      </c>
      <c r="C4293" t="s">
        <v>13170</v>
      </c>
      <c r="D4293" t="s">
        <v>52</v>
      </c>
      <c r="E4293" t="s">
        <v>13171</v>
      </c>
      <c r="F4293" t="s">
        <v>45</v>
      </c>
      <c r="G4293" t="str">
        <f>HYPERLINK("https://twitter.com/1599043518/status/1142636117822328832")</f>
        <v>https://twitter.com/1599043518/status/1142636117822328832</v>
      </c>
      <c r="H4293" t="s">
        <v>46</v>
      </c>
      <c r="I4293" t="s">
        <v>13172</v>
      </c>
      <c r="J4293" t="str">
        <f>HYPERLINK("http://twitter.com/_sofigarzaa")</f>
        <v>http://twitter.com/_sofigarzaa</v>
      </c>
      <c r="K4293">
        <v>529</v>
      </c>
      <c r="N4293" t="s">
        <v>65</v>
      </c>
      <c r="R4293" t="s">
        <v>60</v>
      </c>
      <c r="S4293" t="s">
        <v>437</v>
      </c>
      <c r="T4293" t="s">
        <v>4994</v>
      </c>
      <c r="W4293">
        <v>3</v>
      </c>
      <c r="X4293">
        <v>3</v>
      </c>
      <c r="AE4293">
        <v>1</v>
      </c>
      <c r="AF4293">
        <v>0</v>
      </c>
      <c r="AM4293" t="s">
        <v>52</v>
      </c>
      <c r="AN4293" t="s">
        <v>53</v>
      </c>
    </row>
    <row r="4294" spans="1:40">
      <c r="A4294" t="s">
        <v>13057</v>
      </c>
      <c r="B4294" t="s">
        <v>8212</v>
      </c>
      <c r="C4294" t="s">
        <v>12619</v>
      </c>
      <c r="D4294" t="s">
        <v>12931</v>
      </c>
      <c r="E4294" t="s">
        <v>13173</v>
      </c>
      <c r="F4294" t="s">
        <v>95</v>
      </c>
      <c r="G4294" t="str">
        <f>HYPERLINK("https://www.youtube.com/watch?v=2RoZJaVEeCA&amp;lc=UgxYW5XYsFpuuTzI3XJ4AaABAg")</f>
        <v>https://www.youtube.com/watch?v=2RoZJaVEeCA&amp;lc=UgxYW5XYsFpuuTzI3XJ4AaABAg</v>
      </c>
      <c r="H4294" t="s">
        <v>46</v>
      </c>
      <c r="I4294" t="s">
        <v>13174</v>
      </c>
      <c r="J4294" t="str">
        <f>HYPERLINK("https://www.youtube.com/channel/UCx2o6U9ljWTHf4Y62kpHaJw")</f>
        <v>https://www.youtube.com/channel/UCx2o6U9ljWTHf4Y62kpHaJw</v>
      </c>
      <c r="K4294">
        <v>0</v>
      </c>
      <c r="L4294" t="s">
        <v>48</v>
      </c>
      <c r="N4294" t="s">
        <v>116</v>
      </c>
      <c r="O4294" t="s">
        <v>12934</v>
      </c>
      <c r="P4294" t="str">
        <f>HYPERLINK("https://www.youtube.com/channel/UC_Or-6_E9aesSJmoJ1QSc6Q")</f>
        <v>https://www.youtube.com/channel/UC_Or-6_E9aesSJmoJ1QSc6Q</v>
      </c>
      <c r="Q4294">
        <v>160448</v>
      </c>
      <c r="R4294" t="s">
        <v>60</v>
      </c>
      <c r="S4294" t="s">
        <v>437</v>
      </c>
      <c r="W4294">
        <v>0</v>
      </c>
      <c r="X4294">
        <v>0</v>
      </c>
      <c r="AE4294">
        <v>0</v>
      </c>
      <c r="AM4294" t="s">
        <v>52</v>
      </c>
      <c r="AN4294" t="s">
        <v>53</v>
      </c>
    </row>
    <row r="4295" spans="1:40">
      <c r="A4295" t="s">
        <v>13057</v>
      </c>
      <c r="B4295" t="s">
        <v>8217</v>
      </c>
      <c r="C4295" t="s">
        <v>12619</v>
      </c>
      <c r="D4295" t="s">
        <v>12931</v>
      </c>
      <c r="E4295" t="s">
        <v>13175</v>
      </c>
      <c r="F4295" t="s">
        <v>95</v>
      </c>
      <c r="G4295" t="str">
        <f>HYPERLINK("https://www.youtube.com/watch?v=2RoZJaVEeCA&amp;lc=Ugx_ZgTvq2bMWX1vRkV4AaABAg")</f>
        <v>https://www.youtube.com/watch?v=2RoZJaVEeCA&amp;lc=Ugx_ZgTvq2bMWX1vRkV4AaABAg</v>
      </c>
      <c r="H4295" t="s">
        <v>46</v>
      </c>
      <c r="I4295" t="s">
        <v>13174</v>
      </c>
      <c r="J4295" t="str">
        <f>HYPERLINK("https://www.youtube.com/channel/UCx2o6U9ljWTHf4Y62kpHaJw")</f>
        <v>https://www.youtube.com/channel/UCx2o6U9ljWTHf4Y62kpHaJw</v>
      </c>
      <c r="K4295">
        <v>0</v>
      </c>
      <c r="L4295" t="s">
        <v>48</v>
      </c>
      <c r="N4295" t="s">
        <v>116</v>
      </c>
      <c r="O4295" t="s">
        <v>12934</v>
      </c>
      <c r="P4295" t="str">
        <f>HYPERLINK("https://www.youtube.com/channel/UC_Or-6_E9aesSJmoJ1QSc6Q")</f>
        <v>https://www.youtube.com/channel/UC_Or-6_E9aesSJmoJ1QSc6Q</v>
      </c>
      <c r="Q4295">
        <v>160448</v>
      </c>
      <c r="R4295" t="s">
        <v>60</v>
      </c>
      <c r="S4295" t="s">
        <v>437</v>
      </c>
      <c r="W4295">
        <v>0</v>
      </c>
      <c r="X4295">
        <v>0</v>
      </c>
      <c r="AE4295">
        <v>0</v>
      </c>
      <c r="AM4295" t="s">
        <v>52</v>
      </c>
      <c r="AN4295" t="s">
        <v>53</v>
      </c>
    </row>
    <row r="4296" spans="1:40">
      <c r="A4296" t="s">
        <v>13057</v>
      </c>
      <c r="B4296" t="s">
        <v>8217</v>
      </c>
      <c r="C4296" t="s">
        <v>13176</v>
      </c>
      <c r="D4296" t="s">
        <v>52</v>
      </c>
      <c r="E4296" t="s">
        <v>13177</v>
      </c>
      <c r="F4296" t="s">
        <v>71</v>
      </c>
      <c r="G4296" t="str">
        <f>HYPERLINK("https://twitter.com/811767942660714496/status/1142635667844993029")</f>
        <v>https://twitter.com/811767942660714496/status/1142635667844993029</v>
      </c>
      <c r="H4296" t="s">
        <v>46</v>
      </c>
      <c r="I4296" t="s">
        <v>13178</v>
      </c>
      <c r="J4296" t="str">
        <f>HYPERLINK("http://twitter.com/Itz_Scrub")</f>
        <v>http://twitter.com/Itz_Scrub</v>
      </c>
      <c r="K4296">
        <v>27</v>
      </c>
      <c r="N4296" t="s">
        <v>65</v>
      </c>
      <c r="R4296" t="s">
        <v>60</v>
      </c>
      <c r="S4296" t="s">
        <v>444</v>
      </c>
      <c r="T4296" t="s">
        <v>1062</v>
      </c>
      <c r="U4296" t="s">
        <v>3442</v>
      </c>
      <c r="W4296">
        <v>0</v>
      </c>
      <c r="X4296">
        <v>0</v>
      </c>
      <c r="AE4296">
        <v>0</v>
      </c>
      <c r="AF4296">
        <v>0</v>
      </c>
      <c r="AI4296" t="s">
        <v>108</v>
      </c>
      <c r="AJ4296" t="s">
        <v>52</v>
      </c>
      <c r="AK4296" t="s">
        <v>52</v>
      </c>
      <c r="AL4296" t="str">
        <f>HYPERLINK("https://pbs.twimg.com/tweet_video_thumb/D9hvNNzXUAATAS3.jpg")</f>
        <v>https://pbs.twimg.com/tweet_video_thumb/D9hvNNzXUAATAS3.jpg</v>
      </c>
      <c r="AM4296" t="s">
        <v>52</v>
      </c>
      <c r="AN4296" t="s">
        <v>53</v>
      </c>
    </row>
    <row r="4297" spans="1:40">
      <c r="A4297" t="s">
        <v>13057</v>
      </c>
      <c r="B4297" t="s">
        <v>8223</v>
      </c>
      <c r="C4297" t="s">
        <v>11883</v>
      </c>
      <c r="D4297" t="s">
        <v>52</v>
      </c>
      <c r="E4297" t="s">
        <v>13179</v>
      </c>
      <c r="F4297" t="s">
        <v>45</v>
      </c>
      <c r="G4297" t="str">
        <f>HYPERLINK("https://www.instagram.com/p/BzCYYE0nJUP")</f>
        <v>https://www.instagram.com/p/BzCYYE0nJUP</v>
      </c>
      <c r="H4297" t="s">
        <v>46</v>
      </c>
      <c r="I4297" t="s">
        <v>13180</v>
      </c>
      <c r="J4297" t="str">
        <f>HYPERLINK("http://instagram.com/niche.thingies")</f>
        <v>http://instagram.com/niche.thingies</v>
      </c>
      <c r="K4297">
        <v>111</v>
      </c>
      <c r="N4297" t="s">
        <v>59</v>
      </c>
      <c r="O4297" t="s">
        <v>13180</v>
      </c>
      <c r="P4297" t="str">
        <f>HYPERLINK("http://instagram.com/niche.thingies")</f>
        <v>http://instagram.com/niche.thingies</v>
      </c>
      <c r="Q4297">
        <v>111</v>
      </c>
      <c r="R4297" t="s">
        <v>60</v>
      </c>
      <c r="W4297">
        <v>14</v>
      </c>
      <c r="X4297">
        <v>14</v>
      </c>
      <c r="AE4297">
        <v>6</v>
      </c>
      <c r="AI4297" t="s">
        <v>108</v>
      </c>
      <c r="AJ4297" t="s">
        <v>52</v>
      </c>
      <c r="AK4297" t="s">
        <v>52</v>
      </c>
      <c r="AL4297" t="str">
        <f>HYPERLINK("https://www.instagram.com/p/BzCYYE0nJUP/media/?size=l")</f>
        <v>https://www.instagram.com/p/BzCYYE0nJUP/media/?size=l</v>
      </c>
      <c r="AM4297" t="s">
        <v>52</v>
      </c>
      <c r="AN4297" t="s">
        <v>53</v>
      </c>
    </row>
    <row r="4298" spans="1:40">
      <c r="A4298" t="s">
        <v>13057</v>
      </c>
      <c r="B4298" t="s">
        <v>8223</v>
      </c>
      <c r="C4298" t="s">
        <v>13164</v>
      </c>
      <c r="D4298" t="s">
        <v>52</v>
      </c>
      <c r="E4298" t="s">
        <v>13181</v>
      </c>
      <c r="F4298" t="s">
        <v>45</v>
      </c>
      <c r="G4298" t="str">
        <f>HYPERLINK("https://twitter.com/1125181476788633603/status/1142635574060302336")</f>
        <v>https://twitter.com/1125181476788633603/status/1142635574060302336</v>
      </c>
      <c r="H4298" t="s">
        <v>46</v>
      </c>
      <c r="I4298" t="s">
        <v>13182</v>
      </c>
      <c r="J4298" t="str">
        <f>HYPERLINK("http://twitter.com/AccountDiane")</f>
        <v>http://twitter.com/AccountDiane</v>
      </c>
      <c r="K4298">
        <v>576</v>
      </c>
      <c r="N4298" t="s">
        <v>65</v>
      </c>
      <c r="R4298" t="s">
        <v>60</v>
      </c>
      <c r="S4298" t="s">
        <v>387</v>
      </c>
      <c r="T4298" t="s">
        <v>1393</v>
      </c>
      <c r="U4298" t="s">
        <v>13183</v>
      </c>
      <c r="W4298">
        <v>0</v>
      </c>
      <c r="X4298">
        <v>0</v>
      </c>
      <c r="AE4298">
        <v>0</v>
      </c>
      <c r="AF4298">
        <v>0</v>
      </c>
      <c r="AM4298" t="s">
        <v>52</v>
      </c>
      <c r="AN4298" t="s">
        <v>53</v>
      </c>
    </row>
    <row r="4299" spans="1:40">
      <c r="A4299" t="s">
        <v>13057</v>
      </c>
      <c r="B4299" t="s">
        <v>8223</v>
      </c>
      <c r="C4299" t="s">
        <v>13164</v>
      </c>
      <c r="D4299" t="s">
        <v>52</v>
      </c>
      <c r="E4299" t="s">
        <v>13184</v>
      </c>
      <c r="F4299" t="s">
        <v>45</v>
      </c>
      <c r="G4299" t="str">
        <f>HYPERLINK("https://twitter.com/431321878/status/1142635572072202240")</f>
        <v>https://twitter.com/431321878/status/1142635572072202240</v>
      </c>
      <c r="H4299" t="s">
        <v>46</v>
      </c>
      <c r="I4299" t="s">
        <v>13185</v>
      </c>
      <c r="J4299" t="str">
        <f>HYPERLINK("http://twitter.com/_mgbunny")</f>
        <v>http://twitter.com/_mgbunny</v>
      </c>
      <c r="K4299">
        <v>494</v>
      </c>
      <c r="N4299" t="s">
        <v>65</v>
      </c>
      <c r="R4299" t="s">
        <v>60</v>
      </c>
      <c r="W4299">
        <v>0</v>
      </c>
      <c r="X4299">
        <v>0</v>
      </c>
      <c r="AE4299">
        <v>0</v>
      </c>
      <c r="AF4299">
        <v>0</v>
      </c>
      <c r="AM4299" t="s">
        <v>52</v>
      </c>
      <c r="AN4299" t="s">
        <v>53</v>
      </c>
    </row>
    <row r="4300" spans="1:40">
      <c r="A4300" t="s">
        <v>13057</v>
      </c>
      <c r="B4300" t="s">
        <v>8223</v>
      </c>
      <c r="C4300" t="s">
        <v>13186</v>
      </c>
      <c r="D4300" t="s">
        <v>52</v>
      </c>
      <c r="E4300" t="s">
        <v>13187</v>
      </c>
      <c r="F4300" t="s">
        <v>71</v>
      </c>
      <c r="G4300" t="str">
        <f>HYPERLINK("https://twitter.com/1098850172082085888/status/1142635450974142464")</f>
        <v>https://twitter.com/1098850172082085888/status/1142635450974142464</v>
      </c>
      <c r="H4300" t="s">
        <v>46</v>
      </c>
      <c r="I4300" t="s">
        <v>13188</v>
      </c>
      <c r="J4300" t="str">
        <f>HYPERLINK("http://twitter.com/dykecheol")</f>
        <v>http://twitter.com/dykecheol</v>
      </c>
      <c r="K4300">
        <v>441</v>
      </c>
      <c r="N4300" t="s">
        <v>65</v>
      </c>
      <c r="R4300" t="s">
        <v>60</v>
      </c>
      <c r="S4300" t="s">
        <v>1521</v>
      </c>
      <c r="T4300" t="s">
        <v>13189</v>
      </c>
      <c r="U4300" t="s">
        <v>13190</v>
      </c>
      <c r="W4300">
        <v>0</v>
      </c>
      <c r="X4300">
        <v>0</v>
      </c>
      <c r="AE4300">
        <v>0</v>
      </c>
      <c r="AF4300">
        <v>0</v>
      </c>
      <c r="AI4300" t="s">
        <v>52</v>
      </c>
      <c r="AJ4300" t="s">
        <v>52</v>
      </c>
      <c r="AK4300" t="s">
        <v>52</v>
      </c>
      <c r="AL4300" t="str">
        <f>HYPERLINK("https://pbs.twimg.com/media/D9t00w7U8AAFgSw.jpg")</f>
        <v>https://pbs.twimg.com/media/D9t00w7U8AAFgSw.jpg</v>
      </c>
      <c r="AM4300" t="s">
        <v>52</v>
      </c>
      <c r="AN4300" t="s">
        <v>53</v>
      </c>
    </row>
    <row r="4301" spans="1:40">
      <c r="A4301" t="s">
        <v>13057</v>
      </c>
      <c r="B4301" t="s">
        <v>8223</v>
      </c>
      <c r="C4301" t="s">
        <v>13186</v>
      </c>
      <c r="D4301" t="s">
        <v>52</v>
      </c>
      <c r="E4301" t="s">
        <v>13191</v>
      </c>
      <c r="F4301" t="s">
        <v>131</v>
      </c>
      <c r="G4301" t="str">
        <f>HYPERLINK("https://twitter.com/1098850172082085888/status/1142635438697414657")</f>
        <v>https://twitter.com/1098850172082085888/status/1142635438697414657</v>
      </c>
      <c r="H4301" t="s">
        <v>46</v>
      </c>
      <c r="I4301" t="s">
        <v>13188</v>
      </c>
      <c r="J4301" t="str">
        <f>HYPERLINK("http://twitter.com/dykecheol")</f>
        <v>http://twitter.com/dykecheol</v>
      </c>
      <c r="K4301">
        <v>441</v>
      </c>
      <c r="N4301" t="s">
        <v>65</v>
      </c>
      <c r="R4301" t="s">
        <v>60</v>
      </c>
      <c r="S4301" t="s">
        <v>1521</v>
      </c>
      <c r="T4301" t="s">
        <v>13189</v>
      </c>
      <c r="U4301" t="s">
        <v>13190</v>
      </c>
      <c r="W4301">
        <v>0</v>
      </c>
      <c r="X4301">
        <v>0</v>
      </c>
      <c r="AE4301">
        <v>0</v>
      </c>
      <c r="AM4301" t="s">
        <v>52</v>
      </c>
      <c r="AN4301" t="s">
        <v>53</v>
      </c>
    </row>
    <row r="4302" spans="1:40">
      <c r="A4302" t="s">
        <v>13057</v>
      </c>
      <c r="B4302" t="s">
        <v>8223</v>
      </c>
      <c r="C4302" t="s">
        <v>13192</v>
      </c>
      <c r="D4302" t="s">
        <v>52</v>
      </c>
      <c r="E4302" t="s">
        <v>4936</v>
      </c>
      <c r="F4302" t="s">
        <v>131</v>
      </c>
      <c r="G4302" t="str">
        <f>HYPERLINK("https://twitter.com/722625690680492033/status/1142635411082231813")</f>
        <v>https://twitter.com/722625690680492033/status/1142635411082231813</v>
      </c>
      <c r="H4302" t="s">
        <v>46</v>
      </c>
      <c r="I4302" t="s">
        <v>13193</v>
      </c>
      <c r="J4302" t="str">
        <f>HYPERLINK("http://twitter.com/KMBUZ_Official")</f>
        <v>http://twitter.com/KMBUZ_Official</v>
      </c>
      <c r="K4302">
        <v>8</v>
      </c>
      <c r="L4302" t="s">
        <v>48</v>
      </c>
      <c r="N4302" t="s">
        <v>65</v>
      </c>
      <c r="R4302" t="s">
        <v>60</v>
      </c>
      <c r="S4302" t="s">
        <v>437</v>
      </c>
      <c r="T4302" t="s">
        <v>13194</v>
      </c>
      <c r="U4302" t="s">
        <v>13195</v>
      </c>
      <c r="W4302">
        <v>0</v>
      </c>
      <c r="X4302">
        <v>0</v>
      </c>
      <c r="AE4302">
        <v>0</v>
      </c>
      <c r="AI4302" t="s">
        <v>52</v>
      </c>
      <c r="AJ4302" t="s">
        <v>4938</v>
      </c>
      <c r="AK4302" t="s">
        <v>1037</v>
      </c>
      <c r="AL4302" t="str">
        <f>HYPERLINK("https://pbs.twimg.com/media/D9Ij6xWWwAINXT5.jpg")</f>
        <v>https://pbs.twimg.com/media/D9Ij6xWWwAINXT5.jpg</v>
      </c>
      <c r="AM4302" t="s">
        <v>52</v>
      </c>
      <c r="AN4302" t="s">
        <v>53</v>
      </c>
    </row>
    <row r="4303" spans="1:40">
      <c r="A4303" t="s">
        <v>13057</v>
      </c>
      <c r="B4303" t="s">
        <v>8223</v>
      </c>
      <c r="C4303" t="s">
        <v>13196</v>
      </c>
      <c r="D4303" t="s">
        <v>52</v>
      </c>
      <c r="E4303" t="s">
        <v>13197</v>
      </c>
      <c r="F4303" t="s">
        <v>45</v>
      </c>
      <c r="G4303" t="str">
        <f>HYPERLINK("https://www.instagram.com/p/BzCYR_qnVx4")</f>
        <v>https://www.instagram.com/p/BzCYR_qnVx4</v>
      </c>
      <c r="H4303" t="s">
        <v>46</v>
      </c>
      <c r="I4303" t="s">
        <v>13198</v>
      </c>
      <c r="J4303" t="str">
        <f>HYPERLINK("http://instagram.com/mayyyzzz.spammm")</f>
        <v>http://instagram.com/mayyyzzz.spammm</v>
      </c>
      <c r="K4303">
        <v>258</v>
      </c>
      <c r="N4303" t="s">
        <v>59</v>
      </c>
      <c r="O4303" t="s">
        <v>13198</v>
      </c>
      <c r="P4303" t="str">
        <f>HYPERLINK("http://instagram.com/mayyyzzz.spammm")</f>
        <v>http://instagram.com/mayyyzzz.spammm</v>
      </c>
      <c r="Q4303">
        <v>258</v>
      </c>
      <c r="R4303" t="s">
        <v>60</v>
      </c>
      <c r="W4303">
        <v>30</v>
      </c>
      <c r="X4303">
        <v>30</v>
      </c>
      <c r="AE4303">
        <v>1</v>
      </c>
      <c r="AI4303" t="s">
        <v>108</v>
      </c>
      <c r="AJ4303" t="s">
        <v>12543</v>
      </c>
      <c r="AK4303" t="s">
        <v>52</v>
      </c>
      <c r="AL4303" t="str">
        <f>HYPERLINK("https://www.instagram.com/p/BzCYR_qnVx4/media/?size=l")</f>
        <v>https://www.instagram.com/p/BzCYR_qnVx4/media/?size=l</v>
      </c>
      <c r="AM4303" t="s">
        <v>52</v>
      </c>
      <c r="AN4303" t="s">
        <v>53</v>
      </c>
    </row>
    <row r="4304" spans="1:40">
      <c r="A4304" t="s">
        <v>13057</v>
      </c>
      <c r="B4304" t="s">
        <v>2524</v>
      </c>
      <c r="C4304" t="s">
        <v>13199</v>
      </c>
      <c r="D4304" t="s">
        <v>52</v>
      </c>
      <c r="E4304" t="s">
        <v>13187</v>
      </c>
      <c r="F4304" t="s">
        <v>71</v>
      </c>
      <c r="G4304" t="str">
        <f>HYPERLINK("https://twitter.com/866914799854075905/status/1142635386344050688")</f>
        <v>https://twitter.com/866914799854075905/status/1142635386344050688</v>
      </c>
      <c r="H4304" t="s">
        <v>46</v>
      </c>
      <c r="I4304" t="s">
        <v>13200</v>
      </c>
      <c r="J4304" t="str">
        <f>HYPERLINK("http://twitter.com/jjohnsbaanana")</f>
        <v>http://twitter.com/jjohnsbaanana</v>
      </c>
      <c r="K4304">
        <v>1744</v>
      </c>
      <c r="N4304" t="s">
        <v>65</v>
      </c>
      <c r="R4304" t="s">
        <v>60</v>
      </c>
      <c r="W4304">
        <v>1</v>
      </c>
      <c r="X4304">
        <v>1</v>
      </c>
      <c r="AE4304">
        <v>1</v>
      </c>
      <c r="AF4304">
        <v>1</v>
      </c>
      <c r="AI4304" t="s">
        <v>52</v>
      </c>
      <c r="AJ4304" t="s">
        <v>52</v>
      </c>
      <c r="AK4304" t="s">
        <v>52</v>
      </c>
      <c r="AL4304" t="str">
        <f>HYPERLINK("https://pbs.twimg.com/media/D9t00w7U8AAFgSw.jpg")</f>
        <v>https://pbs.twimg.com/media/D9t00w7U8AAFgSw.jpg</v>
      </c>
      <c r="AM4304" t="s">
        <v>52</v>
      </c>
      <c r="AN4304" t="s">
        <v>53</v>
      </c>
    </row>
    <row r="4305" spans="1:40">
      <c r="A4305" t="s">
        <v>13057</v>
      </c>
      <c r="B4305" t="s">
        <v>2524</v>
      </c>
      <c r="C4305" t="s">
        <v>11916</v>
      </c>
      <c r="D4305" t="s">
        <v>52</v>
      </c>
      <c r="E4305" t="s">
        <v>13201</v>
      </c>
      <c r="F4305" t="s">
        <v>45</v>
      </c>
      <c r="G4305" t="str">
        <f>HYPERLINK("https://www.instagram.com/p/BzCYF7enaqa")</f>
        <v>https://www.instagram.com/p/BzCYF7enaqa</v>
      </c>
      <c r="H4305" t="s">
        <v>46</v>
      </c>
      <c r="I4305" t="s">
        <v>10216</v>
      </c>
      <c r="J4305" t="str">
        <f>HYPERLINK("http://instagram.com/iibrahiimspamz")</f>
        <v>http://instagram.com/iibrahiimspamz</v>
      </c>
      <c r="K4305">
        <v>1338</v>
      </c>
      <c r="N4305" t="s">
        <v>59</v>
      </c>
      <c r="O4305" t="s">
        <v>10216</v>
      </c>
      <c r="P4305" t="str">
        <f>HYPERLINK("http://instagram.com/iibrahiimspamz")</f>
        <v>http://instagram.com/iibrahiimspamz</v>
      </c>
      <c r="Q4305">
        <v>1338</v>
      </c>
      <c r="R4305" t="s">
        <v>60</v>
      </c>
      <c r="W4305">
        <v>68</v>
      </c>
      <c r="X4305">
        <v>68</v>
      </c>
      <c r="AE4305">
        <v>0</v>
      </c>
      <c r="AG4305">
        <v>257</v>
      </c>
      <c r="AI4305" t="s">
        <v>108</v>
      </c>
      <c r="AJ4305" t="s">
        <v>13202</v>
      </c>
      <c r="AK4305" t="s">
        <v>52</v>
      </c>
      <c r="AL4305" t="str">
        <f>HYPERLINK("https://www.instagram.com/p/BzCYF7enaqa/media/?size=l")</f>
        <v>https://www.instagram.com/p/BzCYF7enaqa/media/?size=l</v>
      </c>
      <c r="AM4305" t="s">
        <v>52</v>
      </c>
      <c r="AN4305" t="s">
        <v>53</v>
      </c>
    </row>
    <row r="4306" spans="1:40">
      <c r="A4306" t="s">
        <v>13057</v>
      </c>
      <c r="B4306" t="s">
        <v>2524</v>
      </c>
      <c r="C4306" t="s">
        <v>13199</v>
      </c>
      <c r="D4306" t="s">
        <v>52</v>
      </c>
      <c r="E4306" t="s">
        <v>13203</v>
      </c>
      <c r="F4306" t="s">
        <v>131</v>
      </c>
      <c r="G4306" t="str">
        <f>HYPERLINK("https://twitter.com/58672586/status/1142635358703759362")</f>
        <v>https://twitter.com/58672586/status/1142635358703759362</v>
      </c>
      <c r="H4306" t="s">
        <v>46</v>
      </c>
      <c r="I4306" t="s">
        <v>13204</v>
      </c>
      <c r="J4306" t="str">
        <f>HYPERLINK("http://twitter.com/zking10")</f>
        <v>http://twitter.com/zking10</v>
      </c>
      <c r="K4306">
        <v>364</v>
      </c>
      <c r="N4306" t="s">
        <v>65</v>
      </c>
      <c r="R4306" t="s">
        <v>60</v>
      </c>
      <c r="S4306" t="s">
        <v>387</v>
      </c>
      <c r="T4306" t="s">
        <v>2251</v>
      </c>
      <c r="U4306" t="s">
        <v>13205</v>
      </c>
      <c r="W4306">
        <v>0</v>
      </c>
      <c r="X4306">
        <v>0</v>
      </c>
      <c r="AE4306">
        <v>0</v>
      </c>
      <c r="AM4306" t="s">
        <v>52</v>
      </c>
      <c r="AN4306" t="s">
        <v>53</v>
      </c>
    </row>
    <row r="4307" spans="1:40">
      <c r="A4307" t="s">
        <v>13057</v>
      </c>
      <c r="B4307" t="s">
        <v>2524</v>
      </c>
      <c r="C4307" t="s">
        <v>13034</v>
      </c>
      <c r="D4307" t="s">
        <v>13206</v>
      </c>
      <c r="E4307" t="s">
        <v>13207</v>
      </c>
      <c r="F4307" t="s">
        <v>45</v>
      </c>
      <c r="G4307" t="str">
        <f>HYPERLINK("https://www.reddit.com/r/GifRecipes/comments/c0hlzw/cheesy_chicken_drumstick_poppers/?sort=new#thing_t1_erthfa0")</f>
        <v>https://www.reddit.com/r/GifRecipes/comments/c0hlzw/cheesy_chicken_drumstick_poppers/?sort=new#thing_t1_erthfa0</v>
      </c>
      <c r="H4307" t="s">
        <v>46</v>
      </c>
      <c r="I4307" t="s">
        <v>13208</v>
      </c>
      <c r="J4307" t="str">
        <f>HYPERLINK("https://www.reddit.com/r/GifRecipes/comments/c0hlzw/cheesy_chicken_drumstick_poppers/?sort=new#thing_t1_erthfa0")</f>
        <v>https://www.reddit.com/r/GifRecipes/comments/c0hlzw/cheesy_chicken_drumstick_poppers/?sort=new#thing_t1_erthfa0</v>
      </c>
      <c r="N4307" t="s">
        <v>545</v>
      </c>
      <c r="O4307" t="s">
        <v>13209</v>
      </c>
      <c r="P4307" t="str">
        <f>HYPERLINK("https://www.reddit.com/r/GifRecipes/")</f>
        <v>https://www.reddit.com/r/GifRecipes/</v>
      </c>
      <c r="R4307" t="s">
        <v>516</v>
      </c>
      <c r="S4307" t="s">
        <v>51</v>
      </c>
      <c r="AM4307" t="s">
        <v>52</v>
      </c>
      <c r="AN4307" t="s">
        <v>53</v>
      </c>
    </row>
    <row r="4308" spans="1:40">
      <c r="A4308" t="s">
        <v>13057</v>
      </c>
      <c r="B4308" t="s">
        <v>8228</v>
      </c>
      <c r="C4308" t="s">
        <v>12580</v>
      </c>
      <c r="D4308" t="s">
        <v>13210</v>
      </c>
      <c r="E4308" t="s">
        <v>13211</v>
      </c>
      <c r="F4308" t="s">
        <v>95</v>
      </c>
      <c r="G4308" t="str">
        <f>HYPERLINK("https://www.youtube.com/watch?v=KTjvmtiA-Ts&amp;lc=UgyiLVAykpaLGeyPV4J4AaABAg")</f>
        <v>https://www.youtube.com/watch?v=KTjvmtiA-Ts&amp;lc=UgyiLVAykpaLGeyPV4J4AaABAg</v>
      </c>
      <c r="H4308" t="s">
        <v>46</v>
      </c>
      <c r="I4308" t="s">
        <v>13212</v>
      </c>
      <c r="J4308" t="str">
        <f>HYPERLINK("https://www.youtube.com/channel/UCLsjllzUwt08cfprl7dTrfw")</f>
        <v>https://www.youtube.com/channel/UCLsjllzUwt08cfprl7dTrfw</v>
      </c>
      <c r="K4308">
        <v>3</v>
      </c>
      <c r="N4308" t="s">
        <v>116</v>
      </c>
      <c r="O4308" t="s">
        <v>13213</v>
      </c>
      <c r="P4308" t="str">
        <f>HYPERLINK("https://www.youtube.com/channel/UCD14uwwrPleuVkLBbMJpE8Q")</f>
        <v>https://www.youtube.com/channel/UCD14uwwrPleuVkLBbMJpE8Q</v>
      </c>
      <c r="Q4308">
        <v>17624</v>
      </c>
      <c r="R4308" t="s">
        <v>60</v>
      </c>
      <c r="S4308" t="s">
        <v>51</v>
      </c>
      <c r="W4308">
        <v>0</v>
      </c>
      <c r="X4308">
        <v>0</v>
      </c>
      <c r="AE4308">
        <v>0</v>
      </c>
      <c r="AM4308" t="s">
        <v>52</v>
      </c>
      <c r="AN4308" t="s">
        <v>53</v>
      </c>
    </row>
    <row r="4309" spans="1:40">
      <c r="A4309" t="s">
        <v>13057</v>
      </c>
      <c r="B4309" t="s">
        <v>8228</v>
      </c>
      <c r="C4309" t="s">
        <v>13186</v>
      </c>
      <c r="D4309" t="s">
        <v>13214</v>
      </c>
      <c r="E4309" t="s">
        <v>13215</v>
      </c>
      <c r="F4309" t="s">
        <v>95</v>
      </c>
      <c r="G4309" t="str">
        <f>HYPERLINK("https://undersugoisv2.tumblr.com/post/185782738042#comment-4512613024")</f>
        <v>https://undersugoisv2.tumblr.com/post/185782738042#comment-4512613024</v>
      </c>
      <c r="H4309" t="s">
        <v>46</v>
      </c>
      <c r="I4309" t="s">
        <v>13216</v>
      </c>
      <c r="J4309" t="str">
        <f>HYPERLINK("https://disqus.com/by/TiriBrivi/")</f>
        <v>https://disqus.com/by/TiriBrivi/</v>
      </c>
      <c r="K4309">
        <v>64</v>
      </c>
      <c r="N4309" t="s">
        <v>13217</v>
      </c>
      <c r="O4309" t="s">
        <v>13218</v>
      </c>
      <c r="P4309" t="str">
        <f>HYPERLINK("https://disqus.com/home/forum/undersugois/")</f>
        <v>https://disqus.com/home/forum/undersugois/</v>
      </c>
      <c r="R4309" t="s">
        <v>50</v>
      </c>
      <c r="W4309">
        <v>2</v>
      </c>
      <c r="X4309">
        <v>2</v>
      </c>
      <c r="AM4309" t="s">
        <v>52</v>
      </c>
      <c r="AN4309" t="s">
        <v>53</v>
      </c>
    </row>
    <row r="4310" spans="1:40">
      <c r="A4310" t="s">
        <v>13057</v>
      </c>
      <c r="B4310" t="s">
        <v>13219</v>
      </c>
      <c r="C4310" t="s">
        <v>13220</v>
      </c>
      <c r="D4310" t="s">
        <v>52</v>
      </c>
      <c r="E4310" t="s">
        <v>13221</v>
      </c>
      <c r="F4310" t="s">
        <v>45</v>
      </c>
      <c r="G4310" t="str">
        <f>HYPERLINK("https://www.instagram.com/p/BzCX3x-Hkls")</f>
        <v>https://www.instagram.com/p/BzCX3x-Hkls</v>
      </c>
      <c r="H4310" t="s">
        <v>46</v>
      </c>
      <c r="I4310" t="s">
        <v>13222</v>
      </c>
      <c r="J4310" t="str">
        <f>HYPERLINK("http://instagram.com/highdefperth")</f>
        <v>http://instagram.com/highdefperth</v>
      </c>
      <c r="K4310">
        <v>547</v>
      </c>
      <c r="N4310" t="s">
        <v>59</v>
      </c>
      <c r="O4310" t="s">
        <v>13222</v>
      </c>
      <c r="P4310" t="str">
        <f>HYPERLINK("http://instagram.com/highdefperth")</f>
        <v>http://instagram.com/highdefperth</v>
      </c>
      <c r="Q4310">
        <v>547</v>
      </c>
      <c r="R4310" t="s">
        <v>60</v>
      </c>
      <c r="S4310" t="s">
        <v>774</v>
      </c>
      <c r="T4310" t="s">
        <v>2887</v>
      </c>
      <c r="U4310" t="s">
        <v>6466</v>
      </c>
      <c r="W4310">
        <v>13</v>
      </c>
      <c r="X4310">
        <v>13</v>
      </c>
      <c r="AE4310">
        <v>1</v>
      </c>
      <c r="AG4310">
        <v>67</v>
      </c>
      <c r="AI4310" t="s">
        <v>52</v>
      </c>
      <c r="AJ4310" t="s">
        <v>5828</v>
      </c>
      <c r="AK4310" t="s">
        <v>52</v>
      </c>
      <c r="AL4310" t="str">
        <f>HYPERLINK("https://www.instagram.com/p/BzCX3x-Hkls/media/?size=l")</f>
        <v>https://www.instagram.com/p/BzCX3x-Hkls/media/?size=l</v>
      </c>
      <c r="AM4310" t="s">
        <v>52</v>
      </c>
      <c r="AN4310" t="s">
        <v>53</v>
      </c>
    </row>
    <row r="4311" spans="1:40">
      <c r="A4311" t="s">
        <v>13057</v>
      </c>
      <c r="B4311" t="s">
        <v>13219</v>
      </c>
      <c r="C4311" t="s">
        <v>13220</v>
      </c>
      <c r="D4311" t="s">
        <v>52</v>
      </c>
      <c r="E4311" t="s">
        <v>13223</v>
      </c>
      <c r="F4311" t="s">
        <v>95</v>
      </c>
      <c r="G4311" t="str">
        <f>HYPERLINK("https://twitter.com/805106561928622080/status/1142634604580483072")</f>
        <v>https://twitter.com/805106561928622080/status/1142634604580483072</v>
      </c>
      <c r="H4311" t="s">
        <v>46</v>
      </c>
      <c r="I4311" t="s">
        <v>13224</v>
      </c>
      <c r="J4311" t="str">
        <f>HYPERLINK("http://twitter.com/ShadeX98")</f>
        <v>http://twitter.com/ShadeX98</v>
      </c>
      <c r="K4311">
        <v>114</v>
      </c>
      <c r="N4311" t="s">
        <v>65</v>
      </c>
      <c r="R4311" t="s">
        <v>60</v>
      </c>
      <c r="S4311" t="s">
        <v>51</v>
      </c>
      <c r="T4311" t="s">
        <v>2200</v>
      </c>
      <c r="W4311">
        <v>0</v>
      </c>
      <c r="X4311">
        <v>0</v>
      </c>
      <c r="AE4311">
        <v>0</v>
      </c>
      <c r="AF4311">
        <v>0</v>
      </c>
      <c r="AM4311" t="s">
        <v>52</v>
      </c>
      <c r="AN4311" t="s">
        <v>53</v>
      </c>
    </row>
    <row r="4312" spans="1:40">
      <c r="A4312" t="s">
        <v>13057</v>
      </c>
      <c r="B4312" t="s">
        <v>2547</v>
      </c>
      <c r="C4312" t="s">
        <v>13225</v>
      </c>
      <c r="D4312" t="s">
        <v>52</v>
      </c>
      <c r="E4312" t="s">
        <v>13226</v>
      </c>
      <c r="F4312" t="s">
        <v>45</v>
      </c>
      <c r="G4312" t="str">
        <f>HYPERLINK("https://twitter.com/982048215691231232/status/1142634141915078656")</f>
        <v>https://twitter.com/982048215691231232/status/1142634141915078656</v>
      </c>
      <c r="H4312" t="s">
        <v>46</v>
      </c>
      <c r="I4312" t="s">
        <v>13227</v>
      </c>
      <c r="J4312" t="str">
        <f>HYPERLINK("http://twitter.com/namjoon58")</f>
        <v>http://twitter.com/namjoon58</v>
      </c>
      <c r="K4312">
        <v>144</v>
      </c>
      <c r="N4312" t="s">
        <v>65</v>
      </c>
      <c r="R4312" t="s">
        <v>60</v>
      </c>
      <c r="S4312" t="s">
        <v>774</v>
      </c>
      <c r="T4312" t="s">
        <v>3540</v>
      </c>
      <c r="U4312" t="s">
        <v>6248</v>
      </c>
      <c r="W4312">
        <v>0</v>
      </c>
      <c r="X4312">
        <v>0</v>
      </c>
      <c r="AE4312">
        <v>0</v>
      </c>
      <c r="AF4312">
        <v>0</v>
      </c>
      <c r="AM4312" t="s">
        <v>52</v>
      </c>
      <c r="AN4312" t="s">
        <v>53</v>
      </c>
    </row>
    <row r="4313" spans="1:40">
      <c r="A4313" t="s">
        <v>13057</v>
      </c>
      <c r="B4313" t="s">
        <v>2558</v>
      </c>
      <c r="C4313" t="s">
        <v>13228</v>
      </c>
      <c r="D4313" t="s">
        <v>52</v>
      </c>
      <c r="E4313" t="s">
        <v>13229</v>
      </c>
      <c r="F4313" t="s">
        <v>95</v>
      </c>
      <c r="G4313" t="str">
        <f>HYPERLINK("https://twitter.com/1073371767710904320/status/1142633154320035840")</f>
        <v>https://twitter.com/1073371767710904320/status/1142633154320035840</v>
      </c>
      <c r="H4313" t="s">
        <v>46</v>
      </c>
      <c r="I4313" t="s">
        <v>13230</v>
      </c>
      <c r="J4313" t="str">
        <f>HYPERLINK("http://twitter.com/AjOldershaw")</f>
        <v>http://twitter.com/AjOldershaw</v>
      </c>
      <c r="K4313">
        <v>12</v>
      </c>
      <c r="N4313" t="s">
        <v>65</v>
      </c>
      <c r="R4313" t="s">
        <v>60</v>
      </c>
      <c r="W4313">
        <v>2</v>
      </c>
      <c r="X4313">
        <v>2</v>
      </c>
      <c r="AE4313">
        <v>1</v>
      </c>
      <c r="AF4313">
        <v>0</v>
      </c>
      <c r="AM4313" t="s">
        <v>52</v>
      </c>
      <c r="AN4313" t="s">
        <v>53</v>
      </c>
    </row>
    <row r="4314" spans="1:40">
      <c r="A4314" t="s">
        <v>13057</v>
      </c>
      <c r="B4314" t="s">
        <v>2561</v>
      </c>
      <c r="C4314" t="s">
        <v>13231</v>
      </c>
      <c r="D4314" t="s">
        <v>52</v>
      </c>
      <c r="E4314" t="s">
        <v>13232</v>
      </c>
      <c r="F4314" t="s">
        <v>95</v>
      </c>
      <c r="G4314" t="str">
        <f>HYPERLINK("https://twitter.com/3319105750/status/1142633006605262848")</f>
        <v>https://twitter.com/3319105750/status/1142633006605262848</v>
      </c>
      <c r="H4314" t="s">
        <v>215</v>
      </c>
      <c r="I4314" t="s">
        <v>13233</v>
      </c>
      <c r="J4314" t="str">
        <f>HYPERLINK("http://twitter.com/nifty_mustard")</f>
        <v>http://twitter.com/nifty_mustard</v>
      </c>
      <c r="K4314">
        <v>30</v>
      </c>
      <c r="L4314" t="s">
        <v>48</v>
      </c>
      <c r="N4314" t="s">
        <v>65</v>
      </c>
      <c r="R4314" t="s">
        <v>60</v>
      </c>
      <c r="W4314">
        <v>1</v>
      </c>
      <c r="X4314">
        <v>1</v>
      </c>
      <c r="AE4314">
        <v>0</v>
      </c>
      <c r="AF4314">
        <v>0</v>
      </c>
      <c r="AM4314" t="s">
        <v>52</v>
      </c>
      <c r="AN4314" t="s">
        <v>53</v>
      </c>
    </row>
    <row r="4315" spans="1:40">
      <c r="A4315" t="s">
        <v>13057</v>
      </c>
      <c r="B4315" t="s">
        <v>2576</v>
      </c>
      <c r="C4315" t="s">
        <v>13234</v>
      </c>
      <c r="D4315" t="s">
        <v>52</v>
      </c>
      <c r="E4315" t="s">
        <v>13235</v>
      </c>
      <c r="F4315" t="s">
        <v>45</v>
      </c>
      <c r="G4315" t="str">
        <f>HYPERLINK("https://twitter.com/1129424124865069056/status/1142632154956013570")</f>
        <v>https://twitter.com/1129424124865069056/status/1142632154956013570</v>
      </c>
      <c r="H4315" t="s">
        <v>215</v>
      </c>
      <c r="I4315" t="s">
        <v>11092</v>
      </c>
      <c r="J4315" t="str">
        <f>HYPERLINK("http://twitter.com/woahitshercules")</f>
        <v>http://twitter.com/woahitshercules</v>
      </c>
      <c r="K4315">
        <v>151</v>
      </c>
      <c r="N4315" t="s">
        <v>65</v>
      </c>
      <c r="R4315" t="s">
        <v>60</v>
      </c>
      <c r="S4315" t="s">
        <v>4276</v>
      </c>
      <c r="T4315" t="s">
        <v>11093</v>
      </c>
      <c r="U4315" t="s">
        <v>11094</v>
      </c>
      <c r="W4315">
        <v>1</v>
      </c>
      <c r="X4315">
        <v>1</v>
      </c>
      <c r="AE4315">
        <v>0</v>
      </c>
      <c r="AF4315">
        <v>0</v>
      </c>
      <c r="AM4315" t="s">
        <v>52</v>
      </c>
      <c r="AN4315" t="s">
        <v>53</v>
      </c>
    </row>
    <row r="4316" spans="1:40">
      <c r="A4316" t="s">
        <v>13057</v>
      </c>
      <c r="B4316" t="s">
        <v>2580</v>
      </c>
      <c r="C4316" t="s">
        <v>13236</v>
      </c>
      <c r="D4316" t="s">
        <v>52</v>
      </c>
      <c r="E4316" t="s">
        <v>13237</v>
      </c>
      <c r="F4316" t="s">
        <v>45</v>
      </c>
      <c r="G4316" t="str">
        <f>HYPERLINK("https://twitter.com/137800058/status/1142632065055232001")</f>
        <v>https://twitter.com/137800058/status/1142632065055232001</v>
      </c>
      <c r="H4316" t="s">
        <v>46</v>
      </c>
      <c r="I4316" t="s">
        <v>13238</v>
      </c>
      <c r="J4316" t="str">
        <f>HYPERLINK("http://twitter.com/AasiyaAce55")</f>
        <v>http://twitter.com/AasiyaAce55</v>
      </c>
      <c r="K4316">
        <v>133</v>
      </c>
      <c r="N4316" t="s">
        <v>65</v>
      </c>
      <c r="R4316" t="s">
        <v>60</v>
      </c>
      <c r="W4316">
        <v>0</v>
      </c>
      <c r="X4316">
        <v>0</v>
      </c>
      <c r="AE4316">
        <v>0</v>
      </c>
      <c r="AF4316">
        <v>0</v>
      </c>
      <c r="AM4316" t="s">
        <v>52</v>
      </c>
      <c r="AN4316" t="s">
        <v>53</v>
      </c>
    </row>
    <row r="4317" spans="1:40">
      <c r="A4317" t="s">
        <v>13057</v>
      </c>
      <c r="B4317" t="s">
        <v>13239</v>
      </c>
      <c r="C4317" t="s">
        <v>13240</v>
      </c>
      <c r="D4317" t="s">
        <v>13241</v>
      </c>
      <c r="E4317" t="s">
        <v>13242</v>
      </c>
      <c r="F4317" t="s">
        <v>45</v>
      </c>
      <c r="G4317" t="str">
        <f>HYPERLINK("https://ocnjdaily.com/bayside-family-day-makes-huge-splash")</f>
        <v>https://ocnjdaily.com/bayside-family-day-makes-huge-splash</v>
      </c>
      <c r="H4317" t="s">
        <v>46</v>
      </c>
      <c r="I4317" t="s">
        <v>13243</v>
      </c>
      <c r="J4317" t="str">
        <f>HYPERLINK("https://ocnjdaily.com/bayside-family-day-makes-huge-splash/")</f>
        <v>https://ocnjdaily.com/bayside-family-day-makes-huge-splash/</v>
      </c>
      <c r="N4317" t="s">
        <v>13244</v>
      </c>
      <c r="R4317" t="s">
        <v>357</v>
      </c>
      <c r="S4317" t="s">
        <v>51</v>
      </c>
      <c r="AI4317" t="s">
        <v>52</v>
      </c>
      <c r="AJ4317" t="s">
        <v>5656</v>
      </c>
      <c r="AK4317" t="s">
        <v>13245</v>
      </c>
      <c r="AL4317" t="str">
        <f>HYPERLINK("https://ocnjdaily.com/wp-content/uploads/2019/06/1.4-stephanie-salisbury-margate-alexis-4-christina-ardelean-ocean-city-giselle-7-640x427.jpg")</f>
        <v>https://ocnjdaily.com/wp-content/uploads/2019/06/1.4-stephanie-salisbury-margate-alexis-4-christina-ardelean-ocean-city-giselle-7-640x427.jpg</v>
      </c>
      <c r="AM4317" t="s">
        <v>52</v>
      </c>
      <c r="AN4317" t="s">
        <v>53</v>
      </c>
    </row>
    <row r="4318" spans="1:40">
      <c r="A4318" t="s">
        <v>13057</v>
      </c>
      <c r="B4318" t="s">
        <v>2605</v>
      </c>
      <c r="C4318" t="s">
        <v>11909</v>
      </c>
      <c r="D4318" t="s">
        <v>52</v>
      </c>
      <c r="E4318" t="s">
        <v>13246</v>
      </c>
      <c r="F4318" t="s">
        <v>45</v>
      </c>
      <c r="G4318" t="str">
        <f>HYPERLINK("https://www.instagram.com/p/BzCWLNal4PK")</f>
        <v>https://www.instagram.com/p/BzCWLNal4PK</v>
      </c>
      <c r="H4318" t="s">
        <v>46</v>
      </c>
      <c r="I4318" t="s">
        <v>13247</v>
      </c>
      <c r="J4318" t="str">
        <f>HYPERLINK("http://instagram.com/helisaulmartinez13")</f>
        <v>http://instagram.com/helisaulmartinez13</v>
      </c>
      <c r="K4318">
        <v>658</v>
      </c>
      <c r="N4318" t="s">
        <v>59</v>
      </c>
      <c r="O4318" t="s">
        <v>13247</v>
      </c>
      <c r="P4318" t="str">
        <f>HYPERLINK("http://instagram.com/helisaulmartinez13")</f>
        <v>http://instagram.com/helisaulmartinez13</v>
      </c>
      <c r="Q4318">
        <v>658</v>
      </c>
      <c r="R4318" t="s">
        <v>60</v>
      </c>
      <c r="S4318" t="s">
        <v>51</v>
      </c>
      <c r="T4318" t="s">
        <v>73</v>
      </c>
      <c r="U4318" t="s">
        <v>3854</v>
      </c>
      <c r="W4318">
        <v>26</v>
      </c>
      <c r="X4318">
        <v>26</v>
      </c>
      <c r="AE4318">
        <v>0</v>
      </c>
      <c r="AI4318" t="s">
        <v>108</v>
      </c>
      <c r="AJ4318" t="s">
        <v>1182</v>
      </c>
      <c r="AK4318" t="s">
        <v>52</v>
      </c>
      <c r="AL4318" t="str">
        <f>HYPERLINK("https://www.instagram.com/p/BzCWLNal4PK/media/?size=l")</f>
        <v>https://www.instagram.com/p/BzCWLNal4PK/media/?size=l</v>
      </c>
      <c r="AM4318" t="s">
        <v>52</v>
      </c>
      <c r="AN4318" t="s">
        <v>53</v>
      </c>
    </row>
    <row r="4319" spans="1:40">
      <c r="A4319" t="s">
        <v>13057</v>
      </c>
      <c r="B4319" t="s">
        <v>2605</v>
      </c>
      <c r="C4319" t="s">
        <v>13139</v>
      </c>
      <c r="D4319" t="s">
        <v>13248</v>
      </c>
      <c r="E4319" t="s">
        <v>13249</v>
      </c>
      <c r="F4319" t="s">
        <v>45</v>
      </c>
      <c r="G4319" t="str">
        <f>HYPERLINK("https://apkhook.com/mlg-picture-maker.html")</f>
        <v>https://apkhook.com/mlg-picture-maker.html</v>
      </c>
      <c r="H4319" t="s">
        <v>46</v>
      </c>
      <c r="N4319" t="s">
        <v>1633</v>
      </c>
      <c r="R4319" t="s">
        <v>50</v>
      </c>
      <c r="S4319" t="s">
        <v>51</v>
      </c>
      <c r="AM4319" t="s">
        <v>52</v>
      </c>
      <c r="AN4319" t="s">
        <v>53</v>
      </c>
    </row>
    <row r="4320" spans="1:40">
      <c r="A4320" t="s">
        <v>13057</v>
      </c>
      <c r="B4320" t="s">
        <v>2622</v>
      </c>
      <c r="C4320" t="s">
        <v>13250</v>
      </c>
      <c r="D4320" t="s">
        <v>52</v>
      </c>
      <c r="E4320" t="s">
        <v>13251</v>
      </c>
      <c r="F4320" t="s">
        <v>131</v>
      </c>
      <c r="G4320" t="str">
        <f>HYPERLINK("https://twitter.com/2406126285/status/1142630276532789248")</f>
        <v>https://twitter.com/2406126285/status/1142630276532789248</v>
      </c>
      <c r="H4320" t="s">
        <v>46</v>
      </c>
      <c r="I4320" t="s">
        <v>13252</v>
      </c>
      <c r="J4320" t="str">
        <f>HYPERLINK("http://twitter.com/AlexxaUSA_First")</f>
        <v>http://twitter.com/AlexxaUSA_First</v>
      </c>
      <c r="K4320">
        <v>13705</v>
      </c>
      <c r="L4320" t="s">
        <v>48</v>
      </c>
      <c r="N4320" t="s">
        <v>65</v>
      </c>
      <c r="R4320" t="s">
        <v>60</v>
      </c>
      <c r="S4320" t="s">
        <v>51</v>
      </c>
      <c r="T4320" t="s">
        <v>3290</v>
      </c>
      <c r="W4320">
        <v>0</v>
      </c>
      <c r="X4320">
        <v>0</v>
      </c>
      <c r="AE4320">
        <v>0</v>
      </c>
      <c r="AI4320" t="s">
        <v>108</v>
      </c>
      <c r="AJ4320" t="s">
        <v>52</v>
      </c>
      <c r="AK4320" t="s">
        <v>52</v>
      </c>
      <c r="AL4320" t="str">
        <f>HYPERLINK("https://pbs.twimg.com/media/D7pVIbaWkAEdB4c.jpg")</f>
        <v>https://pbs.twimg.com/media/D7pVIbaWkAEdB4c.jpg</v>
      </c>
      <c r="AM4320" t="s">
        <v>52</v>
      </c>
      <c r="AN4320" t="s">
        <v>53</v>
      </c>
    </row>
    <row r="4321" spans="1:40">
      <c r="A4321" t="s">
        <v>13057</v>
      </c>
      <c r="B4321" t="s">
        <v>2622</v>
      </c>
      <c r="C4321" t="s">
        <v>13250</v>
      </c>
      <c r="D4321" t="s">
        <v>52</v>
      </c>
      <c r="E4321" t="s">
        <v>13065</v>
      </c>
      <c r="F4321" t="s">
        <v>45</v>
      </c>
      <c r="G4321" t="str">
        <f>HYPERLINK("https://twitter.com/156778288/status/1142630272745082880")</f>
        <v>https://twitter.com/156778288/status/1142630272745082880</v>
      </c>
      <c r="H4321" t="s">
        <v>46</v>
      </c>
      <c r="I4321" t="s">
        <v>13253</v>
      </c>
      <c r="J4321" t="str">
        <f>HYPERLINK("http://twitter.com/ella_m_y_")</f>
        <v>http://twitter.com/ella_m_y_</v>
      </c>
      <c r="K4321">
        <v>1739</v>
      </c>
      <c r="N4321" t="s">
        <v>65</v>
      </c>
      <c r="R4321" t="s">
        <v>60</v>
      </c>
      <c r="S4321" t="s">
        <v>51</v>
      </c>
      <c r="T4321" t="s">
        <v>173</v>
      </c>
      <c r="U4321" t="s">
        <v>8792</v>
      </c>
      <c r="W4321">
        <v>17</v>
      </c>
      <c r="X4321">
        <v>17</v>
      </c>
      <c r="AE4321">
        <v>4</v>
      </c>
      <c r="AF4321">
        <v>2</v>
      </c>
      <c r="AM4321" t="s">
        <v>52</v>
      </c>
      <c r="AN4321" t="s">
        <v>53</v>
      </c>
    </row>
    <row r="4322" spans="1:40">
      <c r="A4322" t="s">
        <v>13057</v>
      </c>
      <c r="B4322" t="s">
        <v>2622</v>
      </c>
      <c r="C4322" t="s">
        <v>13254</v>
      </c>
      <c r="D4322" t="s">
        <v>52</v>
      </c>
      <c r="E4322" t="s">
        <v>13255</v>
      </c>
      <c r="F4322" t="s">
        <v>45</v>
      </c>
      <c r="G4322" t="str">
        <f>HYPERLINK("https://www.instagram.com/p/BzCV7WLlrjx")</f>
        <v>https://www.instagram.com/p/BzCV7WLlrjx</v>
      </c>
      <c r="H4322" t="s">
        <v>46</v>
      </c>
      <c r="I4322" t="s">
        <v>8903</v>
      </c>
      <c r="J4322" t="str">
        <f>HYPERLINK("http://instagram.com/rny_albr102418")</f>
        <v>http://instagram.com/rny_albr102418</v>
      </c>
      <c r="K4322">
        <v>26</v>
      </c>
      <c r="L4322" t="s">
        <v>58</v>
      </c>
      <c r="N4322" t="s">
        <v>59</v>
      </c>
      <c r="O4322" t="s">
        <v>8903</v>
      </c>
      <c r="P4322" t="str">
        <f>HYPERLINK("http://instagram.com/rny_albr102418")</f>
        <v>http://instagram.com/rny_albr102418</v>
      </c>
      <c r="Q4322">
        <v>26</v>
      </c>
      <c r="R4322" t="s">
        <v>60</v>
      </c>
      <c r="W4322">
        <v>2</v>
      </c>
      <c r="X4322">
        <v>2</v>
      </c>
      <c r="AE4322">
        <v>1</v>
      </c>
      <c r="AI4322" t="s">
        <v>52</v>
      </c>
      <c r="AJ4322" t="s">
        <v>985</v>
      </c>
      <c r="AK4322" t="s">
        <v>52</v>
      </c>
      <c r="AL4322" t="str">
        <f>HYPERLINK("https://www.instagram.com/p/BzCV7WLlrjx/media/?size=l")</f>
        <v>https://www.instagram.com/p/BzCV7WLlrjx/media/?size=l</v>
      </c>
      <c r="AM4322" t="s">
        <v>52</v>
      </c>
      <c r="AN4322" t="s">
        <v>53</v>
      </c>
    </row>
    <row r="4323" spans="1:40">
      <c r="A4323" t="s">
        <v>13057</v>
      </c>
      <c r="B4323" t="s">
        <v>2636</v>
      </c>
      <c r="C4323" t="s">
        <v>13254</v>
      </c>
      <c r="D4323" t="s">
        <v>52</v>
      </c>
      <c r="E4323" t="s">
        <v>13256</v>
      </c>
      <c r="F4323" t="s">
        <v>45</v>
      </c>
      <c r="G4323" t="str">
        <f>HYPERLINK("https://twitter.com/3379898920/status/1142629735077502978")</f>
        <v>https://twitter.com/3379898920/status/1142629735077502978</v>
      </c>
      <c r="H4323" t="s">
        <v>46</v>
      </c>
      <c r="I4323" t="s">
        <v>13257</v>
      </c>
      <c r="J4323" t="str">
        <f>HYPERLINK("http://twitter.com/buying_girls")</f>
        <v>http://twitter.com/buying_girls</v>
      </c>
      <c r="K4323">
        <v>276</v>
      </c>
      <c r="N4323" t="s">
        <v>65</v>
      </c>
      <c r="R4323" t="s">
        <v>60</v>
      </c>
      <c r="W4323">
        <v>11</v>
      </c>
      <c r="X4323">
        <v>11</v>
      </c>
      <c r="AE4323">
        <v>1</v>
      </c>
      <c r="AF4323">
        <v>0</v>
      </c>
      <c r="AM4323" t="s">
        <v>52</v>
      </c>
      <c r="AN4323" t="s">
        <v>53</v>
      </c>
    </row>
    <row r="4324" spans="1:40">
      <c r="A4324" t="s">
        <v>13057</v>
      </c>
      <c r="B4324" t="s">
        <v>2636</v>
      </c>
      <c r="C4324" t="s">
        <v>13258</v>
      </c>
      <c r="D4324" t="s">
        <v>52</v>
      </c>
      <c r="E4324" t="s">
        <v>12991</v>
      </c>
      <c r="F4324" t="s">
        <v>95</v>
      </c>
      <c r="G4324" t="str">
        <f>HYPERLINK("https://twitter.com/19977478/status/1142629695760060416")</f>
        <v>https://twitter.com/19977478/status/1142629695760060416</v>
      </c>
      <c r="H4324" t="s">
        <v>46</v>
      </c>
      <c r="I4324" t="s">
        <v>13259</v>
      </c>
      <c r="J4324" t="str">
        <f>HYPERLINK("http://twitter.com/axematty")</f>
        <v>http://twitter.com/axematty</v>
      </c>
      <c r="K4324">
        <v>616</v>
      </c>
      <c r="N4324" t="s">
        <v>65</v>
      </c>
      <c r="R4324" t="s">
        <v>60</v>
      </c>
      <c r="S4324" t="s">
        <v>444</v>
      </c>
      <c r="T4324" t="s">
        <v>1062</v>
      </c>
      <c r="U4324" t="s">
        <v>2436</v>
      </c>
      <c r="W4324">
        <v>9</v>
      </c>
      <c r="X4324">
        <v>9</v>
      </c>
      <c r="AE4324">
        <v>2</v>
      </c>
      <c r="AF4324">
        <v>1</v>
      </c>
      <c r="AM4324" t="s">
        <v>52</v>
      </c>
      <c r="AN4324" t="s">
        <v>53</v>
      </c>
    </row>
    <row r="4325" spans="1:40">
      <c r="A4325" t="s">
        <v>13057</v>
      </c>
      <c r="B4325" t="s">
        <v>2636</v>
      </c>
      <c r="C4325" t="s">
        <v>13260</v>
      </c>
      <c r="D4325" t="s">
        <v>52</v>
      </c>
      <c r="E4325" t="s">
        <v>13261</v>
      </c>
      <c r="F4325" t="s">
        <v>95</v>
      </c>
      <c r="G4325" t="str">
        <f>HYPERLINK("https://twitter.com/2737872878/status/1142629633990582274")</f>
        <v>https://twitter.com/2737872878/status/1142629633990582274</v>
      </c>
      <c r="H4325" t="s">
        <v>46</v>
      </c>
      <c r="I4325" t="s">
        <v>13262</v>
      </c>
      <c r="J4325" t="str">
        <f>HYPERLINK("http://twitter.com/CBMHype")</f>
        <v>http://twitter.com/CBMHype</v>
      </c>
      <c r="K4325">
        <v>238</v>
      </c>
      <c r="N4325" t="s">
        <v>65</v>
      </c>
      <c r="R4325" t="s">
        <v>60</v>
      </c>
      <c r="W4325">
        <v>0</v>
      </c>
      <c r="X4325">
        <v>0</v>
      </c>
      <c r="AE4325">
        <v>0</v>
      </c>
      <c r="AF4325">
        <v>0</v>
      </c>
      <c r="AM4325" t="s">
        <v>52</v>
      </c>
      <c r="AN4325" t="s">
        <v>53</v>
      </c>
    </row>
    <row r="4326" spans="1:40">
      <c r="A4326" t="s">
        <v>13057</v>
      </c>
      <c r="B4326" t="s">
        <v>13263</v>
      </c>
      <c r="C4326" t="s">
        <v>13264</v>
      </c>
      <c r="D4326" t="s">
        <v>52</v>
      </c>
      <c r="E4326" t="s">
        <v>13265</v>
      </c>
      <c r="F4326" t="s">
        <v>45</v>
      </c>
      <c r="G4326" t="str">
        <f>HYPERLINK("https://twitter.com/3242695209/status/1142629569587044354")</f>
        <v>https://twitter.com/3242695209/status/1142629569587044354</v>
      </c>
      <c r="H4326" t="s">
        <v>46</v>
      </c>
      <c r="I4326" t="s">
        <v>13266</v>
      </c>
      <c r="J4326" t="str">
        <f>HYPERLINK("http://twitter.com/JasPayette")</f>
        <v>http://twitter.com/JasPayette</v>
      </c>
      <c r="K4326">
        <v>129</v>
      </c>
      <c r="N4326" t="s">
        <v>65</v>
      </c>
      <c r="R4326" t="s">
        <v>60</v>
      </c>
      <c r="S4326" t="s">
        <v>444</v>
      </c>
      <c r="T4326" t="s">
        <v>2608</v>
      </c>
      <c r="U4326" t="s">
        <v>2609</v>
      </c>
      <c r="W4326">
        <v>1</v>
      </c>
      <c r="X4326">
        <v>1</v>
      </c>
      <c r="AE4326">
        <v>1</v>
      </c>
      <c r="AF4326">
        <v>0</v>
      </c>
      <c r="AM4326" t="s">
        <v>52</v>
      </c>
      <c r="AN4326" t="s">
        <v>53</v>
      </c>
    </row>
    <row r="4327" spans="1:40">
      <c r="A4327" t="s">
        <v>13057</v>
      </c>
      <c r="B4327" t="s">
        <v>8292</v>
      </c>
      <c r="C4327" t="s">
        <v>13267</v>
      </c>
      <c r="D4327" t="s">
        <v>52</v>
      </c>
      <c r="E4327" t="s">
        <v>13268</v>
      </c>
      <c r="F4327" t="s">
        <v>71</v>
      </c>
      <c r="G4327" t="str">
        <f>HYPERLINK("https://twitter.com/226414400/status/1142629261758484480")</f>
        <v>https://twitter.com/226414400/status/1142629261758484480</v>
      </c>
      <c r="H4327" t="s">
        <v>46</v>
      </c>
      <c r="I4327" t="s">
        <v>13269</v>
      </c>
      <c r="J4327" t="str">
        <f>HYPERLINK("http://twitter.com/vintagejohnny84")</f>
        <v>http://twitter.com/vintagejohnny84</v>
      </c>
      <c r="K4327">
        <v>823</v>
      </c>
      <c r="L4327" t="s">
        <v>48</v>
      </c>
      <c r="N4327" t="s">
        <v>65</v>
      </c>
      <c r="R4327" t="s">
        <v>60</v>
      </c>
      <c r="S4327" t="s">
        <v>444</v>
      </c>
      <c r="T4327" t="s">
        <v>3183</v>
      </c>
      <c r="U4327" t="s">
        <v>13270</v>
      </c>
      <c r="W4327">
        <v>0</v>
      </c>
      <c r="X4327">
        <v>0</v>
      </c>
      <c r="AE4327">
        <v>0</v>
      </c>
      <c r="AF4327">
        <v>0</v>
      </c>
      <c r="AM4327" t="s">
        <v>52</v>
      </c>
      <c r="AN4327" t="s">
        <v>53</v>
      </c>
    </row>
    <row r="4328" spans="1:40">
      <c r="A4328" t="s">
        <v>13057</v>
      </c>
      <c r="B4328" t="s">
        <v>8292</v>
      </c>
      <c r="C4328" t="s">
        <v>12048</v>
      </c>
      <c r="D4328" t="s">
        <v>52</v>
      </c>
      <c r="E4328" t="s">
        <v>13271</v>
      </c>
      <c r="F4328" t="s">
        <v>45</v>
      </c>
      <c r="G4328" t="str">
        <f>HYPERLINK("https://www.facebook.com/236081286439907/posts/2205154446199238")</f>
        <v>https://www.facebook.com/236081286439907/posts/2205154446199238</v>
      </c>
      <c r="H4328" t="s">
        <v>46</v>
      </c>
      <c r="I4328" t="s">
        <v>13272</v>
      </c>
      <c r="J4328" t="str">
        <f>HYPERLINK("https://www.facebook.com/236081286439907")</f>
        <v>https://www.facebook.com/236081286439907</v>
      </c>
      <c r="K4328">
        <v>89618</v>
      </c>
      <c r="L4328" t="s">
        <v>651</v>
      </c>
      <c r="N4328" t="s">
        <v>1792</v>
      </c>
      <c r="O4328" t="s">
        <v>13272</v>
      </c>
      <c r="P4328" t="str">
        <f>HYPERLINK("https://www.facebook.com/236081286439907")</f>
        <v>https://www.facebook.com/236081286439907</v>
      </c>
      <c r="Q4328">
        <v>89618</v>
      </c>
      <c r="R4328" t="s">
        <v>60</v>
      </c>
      <c r="W4328">
        <v>44</v>
      </c>
      <c r="X4328">
        <v>20</v>
      </c>
      <c r="Y4328">
        <v>0</v>
      </c>
      <c r="Z4328">
        <v>22</v>
      </c>
      <c r="AA4328">
        <v>2</v>
      </c>
      <c r="AB4328">
        <v>0</v>
      </c>
      <c r="AC4328">
        <v>0</v>
      </c>
      <c r="AE4328">
        <v>3</v>
      </c>
      <c r="AF4328">
        <v>46</v>
      </c>
      <c r="AI4328" t="s">
        <v>52</v>
      </c>
      <c r="AJ4328" t="s">
        <v>52</v>
      </c>
      <c r="AK4328" t="s">
        <v>8711</v>
      </c>
      <c r="AL4328" t="str">
        <f>HYPERLINK("https://scontent.xx.fbcdn.net/v/t15.5256-10/62441567_421889298399877_3547254970560544768_n.jpg?_nc_cat=1&amp;_nc_oc=AQkjj5nTWoINjLUorFiWk04NODVLnCR7Tst5x8L_FOJEPugx9A2IHZ2P0hFHh3FzMUo&amp;_nc_ht=scontent.xx&amp;oh=02c1f91ce6deae5dc9c948bca74ba857&amp;oe=5D804314")</f>
        <v>https://scontent.xx.fbcdn.net/v/t15.5256-10/62441567_421889298399877_3547254970560544768_n.jpg?_nc_cat=1&amp;_nc_oc=AQkjj5nTWoINjLUorFiWk04NODVLnCR7Tst5x8L_FOJEPugx9A2IHZ2P0hFHh3FzMUo&amp;_nc_ht=scontent.xx&amp;oh=02c1f91ce6deae5dc9c948bca74ba857&amp;oe=5D804314</v>
      </c>
      <c r="AM4328" t="s">
        <v>52</v>
      </c>
      <c r="AN4328" t="s">
        <v>53</v>
      </c>
    </row>
    <row r="4329" spans="1:40">
      <c r="A4329" t="s">
        <v>13057</v>
      </c>
      <c r="B4329" t="s">
        <v>8296</v>
      </c>
      <c r="C4329" t="s">
        <v>13273</v>
      </c>
      <c r="D4329" t="s">
        <v>52</v>
      </c>
      <c r="E4329" t="s">
        <v>13274</v>
      </c>
      <c r="F4329" t="s">
        <v>95</v>
      </c>
      <c r="G4329" t="str">
        <f>HYPERLINK("https://twitter.com/705810101777494016/status/1142629011396419584")</f>
        <v>https://twitter.com/705810101777494016/status/1142629011396419584</v>
      </c>
      <c r="H4329" t="s">
        <v>46</v>
      </c>
      <c r="I4329" t="s">
        <v>13275</v>
      </c>
      <c r="J4329" t="str">
        <f>HYPERLINK("http://twitter.com/rdmnrenno")</f>
        <v>http://twitter.com/rdmnrenno</v>
      </c>
      <c r="K4329">
        <v>10</v>
      </c>
      <c r="L4329" t="s">
        <v>48</v>
      </c>
      <c r="N4329" t="s">
        <v>65</v>
      </c>
      <c r="R4329" t="s">
        <v>60</v>
      </c>
      <c r="S4329" t="s">
        <v>51</v>
      </c>
      <c r="T4329" t="s">
        <v>2200</v>
      </c>
      <c r="U4329" t="s">
        <v>13276</v>
      </c>
      <c r="W4329">
        <v>0</v>
      </c>
      <c r="X4329">
        <v>0</v>
      </c>
      <c r="AE4329">
        <v>0</v>
      </c>
      <c r="AF4329">
        <v>0</v>
      </c>
      <c r="AM4329" t="s">
        <v>52</v>
      </c>
      <c r="AN4329" t="s">
        <v>53</v>
      </c>
    </row>
    <row r="4330" spans="1:40">
      <c r="A4330" t="s">
        <v>13057</v>
      </c>
      <c r="B4330" t="s">
        <v>8296</v>
      </c>
      <c r="C4330" t="s">
        <v>13277</v>
      </c>
      <c r="D4330" t="s">
        <v>52</v>
      </c>
      <c r="E4330" t="s">
        <v>276</v>
      </c>
      <c r="F4330" t="s">
        <v>131</v>
      </c>
      <c r="G4330" t="str">
        <f>HYPERLINK("https://twitter.com/150144680/status/1142628896933851137")</f>
        <v>https://twitter.com/150144680/status/1142628896933851137</v>
      </c>
      <c r="H4330" t="s">
        <v>46</v>
      </c>
      <c r="I4330" t="s">
        <v>13278</v>
      </c>
      <c r="J4330" t="str">
        <f>HYPERLINK("http://twitter.com/notjeanine")</f>
        <v>http://twitter.com/notjeanine</v>
      </c>
      <c r="K4330">
        <v>2999</v>
      </c>
      <c r="L4330" t="s">
        <v>58</v>
      </c>
      <c r="N4330" t="s">
        <v>65</v>
      </c>
      <c r="R4330" t="s">
        <v>60</v>
      </c>
      <c r="S4330" t="s">
        <v>51</v>
      </c>
      <c r="T4330" t="s">
        <v>152</v>
      </c>
      <c r="U4330" t="s">
        <v>1958</v>
      </c>
      <c r="W4330">
        <v>0</v>
      </c>
      <c r="X4330">
        <v>0</v>
      </c>
      <c r="AE4330">
        <v>0</v>
      </c>
      <c r="AI4330" t="s">
        <v>108</v>
      </c>
      <c r="AJ4330" t="s">
        <v>52</v>
      </c>
      <c r="AK4330" t="s">
        <v>52</v>
      </c>
      <c r="AL4330" t="str">
        <f>HYPERLINK("https://pbs.twimg.com/tweet_video_thumb/D9hvNNzXUAATAS3.jpg")</f>
        <v>https://pbs.twimg.com/tweet_video_thumb/D9hvNNzXUAATAS3.jpg</v>
      </c>
      <c r="AM4330" t="s">
        <v>52</v>
      </c>
      <c r="AN4330" t="s">
        <v>53</v>
      </c>
    </row>
    <row r="4331" spans="1:40">
      <c r="A4331" t="s">
        <v>13057</v>
      </c>
      <c r="B4331" t="s">
        <v>8296</v>
      </c>
      <c r="C4331" t="s">
        <v>6991</v>
      </c>
      <c r="D4331" t="s">
        <v>12294</v>
      </c>
      <c r="E4331" t="s">
        <v>13279</v>
      </c>
      <c r="F4331" t="s">
        <v>45</v>
      </c>
      <c r="G4331" t="str">
        <f>HYPERLINK("https://www.heraldscotland.com/life_style/17724266.cookbook-food-writer-mimi-aye-talks-burmese-cuisine")</f>
        <v>https://www.heraldscotland.com/life_style/17724266.cookbook-food-writer-mimi-aye-talks-burmese-cuisine</v>
      </c>
      <c r="H4331" t="s">
        <v>46</v>
      </c>
      <c r="I4331" t="s">
        <v>12354</v>
      </c>
      <c r="J4331" t="str">
        <f>HYPERLINK("https://www.heraldscotland.com/life_style/17724266.cookbook-food-writer-mimi-aye-talks-burmese-cuisine/")</f>
        <v>https://www.heraldscotland.com/life_style/17724266.cookbook-food-writer-mimi-aye-talks-burmese-cuisine/</v>
      </c>
      <c r="N4331" t="s">
        <v>12354</v>
      </c>
      <c r="R4331" t="s">
        <v>357</v>
      </c>
      <c r="S4331" t="s">
        <v>97</v>
      </c>
      <c r="AM4331" t="s">
        <v>52</v>
      </c>
      <c r="AN4331" t="s">
        <v>53</v>
      </c>
    </row>
    <row r="4332" spans="1:40">
      <c r="A4332" t="s">
        <v>13057</v>
      </c>
      <c r="B4332" t="s">
        <v>8296</v>
      </c>
      <c r="C4332" t="s">
        <v>13139</v>
      </c>
      <c r="D4332" t="s">
        <v>12294</v>
      </c>
      <c r="E4332" t="s">
        <v>12353</v>
      </c>
      <c r="F4332" t="s">
        <v>45</v>
      </c>
      <c r="G4332" t="str">
        <f>HYPERLINK("http://www.heraldscotland.com/life_style/17724266.cookbook-food-writer-mimi-aye-talks-burmese-cuisine")</f>
        <v>http://www.heraldscotland.com/life_style/17724266.cookbook-food-writer-mimi-aye-talks-burmese-cuisine</v>
      </c>
      <c r="H4332" t="s">
        <v>46</v>
      </c>
      <c r="I4332" t="s">
        <v>12354</v>
      </c>
      <c r="J4332" t="str">
        <f>HYPERLINK("http://www.heraldscotland.com/life_style/17724266.cookbook-food-writer-mimi-aye-talks-burmese-cuisine/")</f>
        <v>http://www.heraldscotland.com/life_style/17724266.cookbook-food-writer-mimi-aye-talks-burmese-cuisine/</v>
      </c>
      <c r="N4332" t="s">
        <v>12354</v>
      </c>
      <c r="R4332" t="s">
        <v>357</v>
      </c>
      <c r="S4332" t="s">
        <v>97</v>
      </c>
      <c r="AM4332" t="s">
        <v>52</v>
      </c>
      <c r="AN4332" t="s">
        <v>53</v>
      </c>
    </row>
    <row r="4333" spans="1:40">
      <c r="A4333" t="s">
        <v>13057</v>
      </c>
      <c r="B4333" t="s">
        <v>8311</v>
      </c>
      <c r="C4333" t="s">
        <v>13280</v>
      </c>
      <c r="D4333" t="s">
        <v>13281</v>
      </c>
      <c r="E4333" t="s">
        <v>13282</v>
      </c>
      <c r="F4333" t="s">
        <v>45</v>
      </c>
      <c r="G4333" t="str">
        <f>HYPERLINK("https://www.youtube.com/watch?v=p8jG9ODmq3A")</f>
        <v>https://www.youtube.com/watch?v=p8jG9ODmq3A</v>
      </c>
      <c r="H4333" t="s">
        <v>46</v>
      </c>
      <c r="I4333" t="s">
        <v>13283</v>
      </c>
      <c r="J4333" t="str">
        <f>HYPERLINK("https://www.youtube.com/channel/UCJhfJLBJ_p1A0yUF0CIUWpg")</f>
        <v>https://www.youtube.com/channel/UCJhfJLBJ_p1A0yUF0CIUWpg</v>
      </c>
      <c r="K4333">
        <v>21</v>
      </c>
      <c r="N4333" t="s">
        <v>116</v>
      </c>
      <c r="O4333" t="s">
        <v>13283</v>
      </c>
      <c r="P4333" t="str">
        <f>HYPERLINK("https://www.youtube.com/channel/UCJhfJLBJ_p1A0yUF0CIUWpg")</f>
        <v>https://www.youtube.com/channel/UCJhfJLBJ_p1A0yUF0CIUWpg</v>
      </c>
      <c r="Q4333">
        <v>21</v>
      </c>
      <c r="R4333" t="s">
        <v>60</v>
      </c>
      <c r="W4333">
        <v>0</v>
      </c>
      <c r="X4333">
        <v>0</v>
      </c>
      <c r="AD4333">
        <v>0</v>
      </c>
      <c r="AE4333">
        <v>0</v>
      </c>
      <c r="AG4333">
        <v>1</v>
      </c>
      <c r="AI4333" t="s">
        <v>52</v>
      </c>
      <c r="AJ4333" t="s">
        <v>2985</v>
      </c>
      <c r="AK4333" t="s">
        <v>2986</v>
      </c>
      <c r="AL4333" t="str">
        <f>HYPERLINK("https://i.ytimg.com/vi/p8jG9ODmq3A/sddefault.jpg")</f>
        <v>https://i.ytimg.com/vi/p8jG9ODmq3A/sddefault.jpg</v>
      </c>
      <c r="AM4333" t="s">
        <v>52</v>
      </c>
      <c r="AN4333" t="s">
        <v>53</v>
      </c>
    </row>
    <row r="4334" spans="1:40">
      <c r="A4334" t="s">
        <v>13057</v>
      </c>
      <c r="B4334" t="s">
        <v>2640</v>
      </c>
      <c r="C4334" t="s">
        <v>13284</v>
      </c>
      <c r="D4334" t="s">
        <v>52</v>
      </c>
      <c r="E4334" t="s">
        <v>13285</v>
      </c>
      <c r="F4334" t="s">
        <v>95</v>
      </c>
      <c r="G4334" t="str">
        <f>HYPERLINK("https://twitter.com/2980646475/status/1142628586303737856")</f>
        <v>https://twitter.com/2980646475/status/1142628586303737856</v>
      </c>
      <c r="H4334" t="s">
        <v>46</v>
      </c>
      <c r="I4334" t="s">
        <v>13286</v>
      </c>
      <c r="J4334" t="str">
        <f>HYPERLINK("http://twitter.com/brednewyork")</f>
        <v>http://twitter.com/brednewyork</v>
      </c>
      <c r="K4334">
        <v>84</v>
      </c>
      <c r="N4334" t="s">
        <v>65</v>
      </c>
      <c r="R4334" t="s">
        <v>60</v>
      </c>
      <c r="S4334" t="s">
        <v>51</v>
      </c>
      <c r="T4334" t="s">
        <v>380</v>
      </c>
      <c r="U4334" t="s">
        <v>380</v>
      </c>
      <c r="W4334">
        <v>0</v>
      </c>
      <c r="X4334">
        <v>0</v>
      </c>
      <c r="AE4334">
        <v>2</v>
      </c>
      <c r="AF4334">
        <v>0</v>
      </c>
      <c r="AM4334" t="s">
        <v>52</v>
      </c>
      <c r="AN4334" t="s">
        <v>53</v>
      </c>
    </row>
    <row r="4335" spans="1:40">
      <c r="A4335" t="s">
        <v>13057</v>
      </c>
      <c r="B4335" t="s">
        <v>2640</v>
      </c>
      <c r="C4335" t="s">
        <v>13273</v>
      </c>
      <c r="D4335" t="s">
        <v>52</v>
      </c>
      <c r="E4335" t="s">
        <v>13287</v>
      </c>
      <c r="F4335" t="s">
        <v>45</v>
      </c>
      <c r="G4335" t="str">
        <f>HYPERLINK("https://twitter.com/186244651/status/1142628451402358785")</f>
        <v>https://twitter.com/186244651/status/1142628451402358785</v>
      </c>
      <c r="H4335" t="s">
        <v>215</v>
      </c>
      <c r="I4335" t="s">
        <v>13288</v>
      </c>
      <c r="J4335" t="str">
        <f>HYPERLINK("http://twitter.com/calilapaz")</f>
        <v>http://twitter.com/calilapaz</v>
      </c>
      <c r="K4335">
        <v>2811</v>
      </c>
      <c r="N4335" t="s">
        <v>65</v>
      </c>
      <c r="R4335" t="s">
        <v>60</v>
      </c>
      <c r="S4335" t="s">
        <v>4293</v>
      </c>
      <c r="T4335" t="s">
        <v>13289</v>
      </c>
      <c r="U4335" t="s">
        <v>13290</v>
      </c>
      <c r="W4335">
        <v>3</v>
      </c>
      <c r="X4335">
        <v>3</v>
      </c>
      <c r="AE4335">
        <v>0</v>
      </c>
      <c r="AF4335">
        <v>0</v>
      </c>
      <c r="AM4335" t="s">
        <v>52</v>
      </c>
      <c r="AN4335" t="s">
        <v>53</v>
      </c>
    </row>
    <row r="4336" spans="1:40">
      <c r="A4336" t="s">
        <v>13057</v>
      </c>
      <c r="B4336" t="s">
        <v>2644</v>
      </c>
      <c r="C4336" t="s">
        <v>13273</v>
      </c>
      <c r="D4336" t="s">
        <v>13134</v>
      </c>
      <c r="E4336" t="s">
        <v>13291</v>
      </c>
      <c r="F4336" t="s">
        <v>95</v>
      </c>
      <c r="G4336" t="str">
        <f>HYPERLINK("https://www.equestriadaily.com/2019/06/nightly-discussion-1838.html#comment-4512597870")</f>
        <v>https://www.equestriadaily.com/2019/06/nightly-discussion-1838.html#comment-4512597870</v>
      </c>
      <c r="H4336" t="s">
        <v>215</v>
      </c>
      <c r="I4336" t="s">
        <v>13292</v>
      </c>
      <c r="J4336" t="str">
        <f>HYPERLINK("https://disqus.com/by/bettyleanne/")</f>
        <v>https://disqus.com/by/bettyleanne/</v>
      </c>
      <c r="K4336">
        <v>36</v>
      </c>
      <c r="N4336" t="s">
        <v>13137</v>
      </c>
      <c r="O4336" t="s">
        <v>13138</v>
      </c>
      <c r="P4336" t="str">
        <f>HYPERLINK("https://disqus.com/home/forum/equestriadaily/")</f>
        <v>https://disqus.com/home/forum/equestriadaily/</v>
      </c>
      <c r="R4336" t="s">
        <v>50</v>
      </c>
      <c r="S4336" t="s">
        <v>51</v>
      </c>
      <c r="T4336" t="s">
        <v>152</v>
      </c>
      <c r="U4336" t="s">
        <v>1801</v>
      </c>
      <c r="W4336">
        <v>1</v>
      </c>
      <c r="X4336">
        <v>1</v>
      </c>
      <c r="AM4336" t="s">
        <v>52</v>
      </c>
      <c r="AN4336" t="s">
        <v>53</v>
      </c>
    </row>
    <row r="4337" spans="1:40">
      <c r="A4337" t="s">
        <v>13057</v>
      </c>
      <c r="B4337" t="s">
        <v>2654</v>
      </c>
      <c r="C4337" t="s">
        <v>13293</v>
      </c>
      <c r="D4337" t="s">
        <v>52</v>
      </c>
      <c r="E4337" t="s">
        <v>13294</v>
      </c>
      <c r="F4337" t="s">
        <v>95</v>
      </c>
      <c r="G4337" t="str">
        <f>HYPERLINK("https://twitter.com/551512735/status/1142628085763735552")</f>
        <v>https://twitter.com/551512735/status/1142628085763735552</v>
      </c>
      <c r="H4337" t="s">
        <v>215</v>
      </c>
      <c r="I4337" t="s">
        <v>13295</v>
      </c>
      <c r="J4337" t="str">
        <f>HYPERLINK("http://twitter.com/DisneyMom917")</f>
        <v>http://twitter.com/DisneyMom917</v>
      </c>
      <c r="K4337">
        <v>2067</v>
      </c>
      <c r="L4337" t="s">
        <v>58</v>
      </c>
      <c r="N4337" t="s">
        <v>65</v>
      </c>
      <c r="R4337" t="s">
        <v>60</v>
      </c>
      <c r="S4337" t="s">
        <v>51</v>
      </c>
      <c r="T4337" t="s">
        <v>173</v>
      </c>
      <c r="U4337" t="s">
        <v>1214</v>
      </c>
      <c r="W4337">
        <v>0</v>
      </c>
      <c r="X4337">
        <v>0</v>
      </c>
      <c r="AE4337">
        <v>0</v>
      </c>
      <c r="AF4337">
        <v>0</v>
      </c>
      <c r="AM4337" t="s">
        <v>52</v>
      </c>
      <c r="AN4337" t="s">
        <v>53</v>
      </c>
    </row>
    <row r="4338" spans="1:40">
      <c r="A4338" t="s">
        <v>13057</v>
      </c>
      <c r="B4338" t="s">
        <v>2654</v>
      </c>
      <c r="C4338" t="s">
        <v>13277</v>
      </c>
      <c r="D4338" t="s">
        <v>52</v>
      </c>
      <c r="E4338" t="s">
        <v>13296</v>
      </c>
      <c r="F4338" t="s">
        <v>45</v>
      </c>
      <c r="G4338" t="str">
        <f>HYPERLINK("https://twitter.com/794700492626661376/status/1142628018055241729")</f>
        <v>https://twitter.com/794700492626661376/status/1142628018055241729</v>
      </c>
      <c r="H4338" t="s">
        <v>46</v>
      </c>
      <c r="I4338" t="s">
        <v>13297</v>
      </c>
      <c r="J4338" t="str">
        <f>HYPERLINK("http://twitter.com/MobSaltMid")</f>
        <v>http://twitter.com/MobSaltMid</v>
      </c>
      <c r="K4338">
        <v>182</v>
      </c>
      <c r="N4338" t="s">
        <v>65</v>
      </c>
      <c r="R4338" t="s">
        <v>60</v>
      </c>
      <c r="S4338" t="s">
        <v>189</v>
      </c>
      <c r="U4338" t="s">
        <v>190</v>
      </c>
      <c r="W4338">
        <v>0</v>
      </c>
      <c r="X4338">
        <v>0</v>
      </c>
      <c r="AE4338">
        <v>1</v>
      </c>
      <c r="AF4338">
        <v>0</v>
      </c>
      <c r="AM4338" t="s">
        <v>52</v>
      </c>
      <c r="AN4338" t="s">
        <v>53</v>
      </c>
    </row>
    <row r="4339" spans="1:40">
      <c r="A4339" t="s">
        <v>13057</v>
      </c>
      <c r="B4339" t="s">
        <v>2654</v>
      </c>
      <c r="C4339" t="s">
        <v>13298</v>
      </c>
      <c r="D4339" t="s">
        <v>52</v>
      </c>
      <c r="E4339" t="s">
        <v>13299</v>
      </c>
      <c r="F4339" t="s">
        <v>45</v>
      </c>
      <c r="G4339" t="str">
        <f>HYPERLINK("https://twitter.com/19373140/status/1142627948253478912")</f>
        <v>https://twitter.com/19373140/status/1142627948253478912</v>
      </c>
      <c r="H4339" t="s">
        <v>46</v>
      </c>
      <c r="I4339" t="s">
        <v>13300</v>
      </c>
      <c r="J4339" t="str">
        <f>HYPERLINK("http://twitter.com/LRMYSoccerOtter")</f>
        <v>http://twitter.com/LRMYSoccerOtter</v>
      </c>
      <c r="K4339">
        <v>680</v>
      </c>
      <c r="N4339" t="s">
        <v>65</v>
      </c>
      <c r="R4339" t="s">
        <v>60</v>
      </c>
      <c r="S4339" t="s">
        <v>387</v>
      </c>
      <c r="T4339" t="s">
        <v>9052</v>
      </c>
      <c r="U4339" t="s">
        <v>13301</v>
      </c>
      <c r="W4339">
        <v>0</v>
      </c>
      <c r="X4339">
        <v>0</v>
      </c>
      <c r="AE4339">
        <v>2</v>
      </c>
      <c r="AF4339">
        <v>0</v>
      </c>
      <c r="AM4339" t="s">
        <v>52</v>
      </c>
      <c r="AN4339" t="s">
        <v>53</v>
      </c>
    </row>
    <row r="4340" spans="1:40">
      <c r="A4340" t="s">
        <v>13057</v>
      </c>
      <c r="B4340" t="s">
        <v>2654</v>
      </c>
      <c r="C4340" t="s">
        <v>13302</v>
      </c>
      <c r="D4340" t="s">
        <v>52</v>
      </c>
      <c r="E4340" t="s">
        <v>13303</v>
      </c>
      <c r="F4340" t="s">
        <v>45</v>
      </c>
      <c r="G4340" t="str">
        <f>HYPERLINK("https://www.instagram.com/p/BzCU4hvnoWO")</f>
        <v>https://www.instagram.com/p/BzCU4hvnoWO</v>
      </c>
      <c r="H4340" t="s">
        <v>46</v>
      </c>
      <c r="I4340" t="s">
        <v>13304</v>
      </c>
      <c r="J4340" t="str">
        <f>HYPERLINK("http://instagram.com/fatkurtworkinghard")</f>
        <v>http://instagram.com/fatkurtworkinghard</v>
      </c>
      <c r="K4340">
        <v>32</v>
      </c>
      <c r="L4340" t="s">
        <v>48</v>
      </c>
      <c r="N4340" t="s">
        <v>59</v>
      </c>
      <c r="O4340" t="s">
        <v>13304</v>
      </c>
      <c r="P4340" t="str">
        <f>HYPERLINK("http://instagram.com/fatkurtworkinghard")</f>
        <v>http://instagram.com/fatkurtworkinghard</v>
      </c>
      <c r="Q4340">
        <v>32</v>
      </c>
      <c r="R4340" t="s">
        <v>60</v>
      </c>
      <c r="W4340">
        <v>14</v>
      </c>
      <c r="X4340">
        <v>14</v>
      </c>
      <c r="AE4340">
        <v>1</v>
      </c>
      <c r="AI4340" t="s">
        <v>108</v>
      </c>
      <c r="AJ4340" t="s">
        <v>321</v>
      </c>
      <c r="AK4340" t="s">
        <v>52</v>
      </c>
      <c r="AL4340" t="str">
        <f>HYPERLINK("https://www.instagram.com/p/BzCU4hvnoWO/media/?size=l")</f>
        <v>https://www.instagram.com/p/BzCU4hvnoWO/media/?size=l</v>
      </c>
      <c r="AM4340" t="s">
        <v>52</v>
      </c>
      <c r="AN4340" t="s">
        <v>53</v>
      </c>
    </row>
    <row r="4341" spans="1:40">
      <c r="A4341" t="s">
        <v>13057</v>
      </c>
      <c r="B4341" t="s">
        <v>2665</v>
      </c>
      <c r="C4341" t="s">
        <v>13305</v>
      </c>
      <c r="D4341" t="s">
        <v>52</v>
      </c>
      <c r="E4341" t="s">
        <v>13306</v>
      </c>
      <c r="F4341" t="s">
        <v>95</v>
      </c>
      <c r="G4341" t="str">
        <f>HYPERLINK("https://twitter.com/1142625709707472896/status/1142627830871859200")</f>
        <v>https://twitter.com/1142625709707472896/status/1142627830871859200</v>
      </c>
      <c r="H4341" t="s">
        <v>46</v>
      </c>
      <c r="I4341" t="s">
        <v>13307</v>
      </c>
      <c r="J4341" t="str">
        <f>HYPERLINK("http://twitter.com/Brandon96662232")</f>
        <v>http://twitter.com/Brandon96662232</v>
      </c>
      <c r="K4341">
        <v>0</v>
      </c>
      <c r="L4341" t="s">
        <v>48</v>
      </c>
      <c r="N4341" t="s">
        <v>65</v>
      </c>
      <c r="R4341" t="s">
        <v>60</v>
      </c>
      <c r="W4341">
        <v>0</v>
      </c>
      <c r="X4341">
        <v>0</v>
      </c>
      <c r="AE4341">
        <v>0</v>
      </c>
      <c r="AF4341">
        <v>0</v>
      </c>
      <c r="AM4341" t="s">
        <v>52</v>
      </c>
      <c r="AN4341" t="s">
        <v>53</v>
      </c>
    </row>
    <row r="4342" spans="1:40">
      <c r="A4342" t="s">
        <v>13057</v>
      </c>
      <c r="B4342" t="s">
        <v>2665</v>
      </c>
      <c r="C4342" t="s">
        <v>13250</v>
      </c>
      <c r="D4342" t="s">
        <v>52</v>
      </c>
      <c r="E4342" t="s">
        <v>13308</v>
      </c>
      <c r="F4342" t="s">
        <v>45</v>
      </c>
      <c r="G4342" t="str">
        <f>HYPERLINK("https://www.instagram.com/p/BzCUzhbnTuh")</f>
        <v>https://www.instagram.com/p/BzCUzhbnTuh</v>
      </c>
      <c r="H4342" t="s">
        <v>46</v>
      </c>
      <c r="I4342" t="s">
        <v>13309</v>
      </c>
      <c r="J4342" t="str">
        <f>HYPERLINK("http://instagram.com/new_adventures_of_matt")</f>
        <v>http://instagram.com/new_adventures_of_matt</v>
      </c>
      <c r="K4342">
        <v>104</v>
      </c>
      <c r="L4342" t="s">
        <v>48</v>
      </c>
      <c r="N4342" t="s">
        <v>59</v>
      </c>
      <c r="O4342" t="s">
        <v>13309</v>
      </c>
      <c r="P4342" t="str">
        <f>HYPERLINK("http://instagram.com/new_adventures_of_matt")</f>
        <v>http://instagram.com/new_adventures_of_matt</v>
      </c>
      <c r="Q4342">
        <v>104</v>
      </c>
      <c r="R4342" t="s">
        <v>60</v>
      </c>
      <c r="W4342">
        <v>16</v>
      </c>
      <c r="X4342">
        <v>16</v>
      </c>
      <c r="AE4342">
        <v>0</v>
      </c>
      <c r="AI4342" t="s">
        <v>52</v>
      </c>
      <c r="AJ4342" t="s">
        <v>13310</v>
      </c>
      <c r="AK4342" t="s">
        <v>52</v>
      </c>
      <c r="AL4342" t="str">
        <f>HYPERLINK("https://www.instagram.com/p/BzCUzhbnTuh/media/?size=l")</f>
        <v>https://www.instagram.com/p/BzCUzhbnTuh/media/?size=l</v>
      </c>
      <c r="AM4342" t="s">
        <v>52</v>
      </c>
      <c r="AN4342" t="s">
        <v>53</v>
      </c>
    </row>
    <row r="4343" spans="1:40">
      <c r="A4343" t="s">
        <v>13057</v>
      </c>
      <c r="B4343" t="s">
        <v>2671</v>
      </c>
      <c r="C4343" t="s">
        <v>11926</v>
      </c>
      <c r="D4343" t="s">
        <v>52</v>
      </c>
      <c r="E4343" t="s">
        <v>13311</v>
      </c>
      <c r="F4343" t="s">
        <v>45</v>
      </c>
      <c r="G4343" t="str">
        <f>HYPERLINK("https://www.instagram.com/p/BzCUsdBDd8J")</f>
        <v>https://www.instagram.com/p/BzCUsdBDd8J</v>
      </c>
      <c r="H4343" t="s">
        <v>46</v>
      </c>
      <c r="I4343" t="s">
        <v>13312</v>
      </c>
      <c r="J4343" t="str">
        <f>HYPERLINK("http://instagram.com/__edgy.memez__")</f>
        <v>http://instagram.com/__edgy.memez__</v>
      </c>
      <c r="K4343">
        <v>346</v>
      </c>
      <c r="N4343" t="s">
        <v>59</v>
      </c>
      <c r="O4343" t="s">
        <v>13312</v>
      </c>
      <c r="P4343" t="str">
        <f>HYPERLINK("http://instagram.com/__edgy.memez__")</f>
        <v>http://instagram.com/__edgy.memez__</v>
      </c>
      <c r="Q4343">
        <v>346</v>
      </c>
      <c r="R4343" t="s">
        <v>60</v>
      </c>
      <c r="S4343" t="s">
        <v>51</v>
      </c>
      <c r="T4343" t="s">
        <v>173</v>
      </c>
      <c r="U4343" t="s">
        <v>13313</v>
      </c>
      <c r="W4343">
        <v>24</v>
      </c>
      <c r="X4343">
        <v>24</v>
      </c>
      <c r="AE4343">
        <v>4</v>
      </c>
      <c r="AI4343" t="s">
        <v>108</v>
      </c>
      <c r="AJ4343" t="s">
        <v>13314</v>
      </c>
      <c r="AK4343" t="s">
        <v>52</v>
      </c>
      <c r="AL4343" t="str">
        <f>HYPERLINK("https://www.instagram.com/p/BzCUsdBDd8J/media/?size=l")</f>
        <v>https://www.instagram.com/p/BzCUsdBDd8J/media/?size=l</v>
      </c>
      <c r="AM4343" t="s">
        <v>52</v>
      </c>
      <c r="AN4343" t="s">
        <v>53</v>
      </c>
    </row>
    <row r="4344" spans="1:40">
      <c r="A4344" t="s">
        <v>13057</v>
      </c>
      <c r="B4344" t="s">
        <v>2675</v>
      </c>
      <c r="C4344" t="s">
        <v>12619</v>
      </c>
      <c r="D4344" t="s">
        <v>12931</v>
      </c>
      <c r="E4344" t="s">
        <v>13315</v>
      </c>
      <c r="F4344" t="s">
        <v>95</v>
      </c>
      <c r="G4344" t="str">
        <f>HYPERLINK("https://www.youtube.com/watch?v=2RoZJaVEeCA&amp;lc=Ugwy1oN4FSrOqmDglPJ4AaABAg.8wVkVmncC1k8wVpQSNBZFO")</f>
        <v>https://www.youtube.com/watch?v=2RoZJaVEeCA&amp;lc=Ugwy1oN4FSrOqmDglPJ4AaABAg.8wVkVmncC1k8wVpQSNBZFO</v>
      </c>
      <c r="H4344" t="s">
        <v>46</v>
      </c>
      <c r="I4344" t="s">
        <v>13316</v>
      </c>
      <c r="J4344" t="str">
        <f>HYPERLINK("https://www.youtube.com/channel/UCbxvIbXYhRGcUlaRoXMbwhA")</f>
        <v>https://www.youtube.com/channel/UCbxvIbXYhRGcUlaRoXMbwhA</v>
      </c>
      <c r="K4344">
        <v>0</v>
      </c>
      <c r="N4344" t="s">
        <v>116</v>
      </c>
      <c r="O4344" t="s">
        <v>12934</v>
      </c>
      <c r="P4344" t="str">
        <f>HYPERLINK("https://www.youtube.com/channel/UC_Or-6_E9aesSJmoJ1QSc6Q")</f>
        <v>https://www.youtube.com/channel/UC_Or-6_E9aesSJmoJ1QSc6Q</v>
      </c>
      <c r="Q4344">
        <v>160448</v>
      </c>
      <c r="R4344" t="s">
        <v>60</v>
      </c>
      <c r="S4344" t="s">
        <v>437</v>
      </c>
      <c r="W4344">
        <v>0</v>
      </c>
      <c r="X4344">
        <v>0</v>
      </c>
      <c r="AM4344" t="s">
        <v>52</v>
      </c>
      <c r="AN4344" t="s">
        <v>53</v>
      </c>
    </row>
    <row r="4345" spans="1:40">
      <c r="A4345" t="s">
        <v>13057</v>
      </c>
      <c r="B4345" t="s">
        <v>8344</v>
      </c>
      <c r="C4345" t="s">
        <v>13317</v>
      </c>
      <c r="D4345" t="s">
        <v>52</v>
      </c>
      <c r="E4345" t="s">
        <v>13318</v>
      </c>
      <c r="F4345" t="s">
        <v>95</v>
      </c>
      <c r="G4345" t="str">
        <f>HYPERLINK("https://twitter.com/351194976/status/1142626808757723136")</f>
        <v>https://twitter.com/351194976/status/1142626808757723136</v>
      </c>
      <c r="H4345" t="s">
        <v>46</v>
      </c>
      <c r="I4345" t="s">
        <v>13319</v>
      </c>
      <c r="J4345" t="str">
        <f>HYPERLINK("http://twitter.com/toonstyle1981")</f>
        <v>http://twitter.com/toonstyle1981</v>
      </c>
      <c r="K4345">
        <v>406</v>
      </c>
      <c r="N4345" t="s">
        <v>65</v>
      </c>
      <c r="R4345" t="s">
        <v>60</v>
      </c>
      <c r="S4345" t="s">
        <v>444</v>
      </c>
      <c r="T4345" t="s">
        <v>2608</v>
      </c>
      <c r="U4345" t="s">
        <v>2609</v>
      </c>
      <c r="W4345">
        <v>0</v>
      </c>
      <c r="X4345">
        <v>0</v>
      </c>
      <c r="AE4345">
        <v>0</v>
      </c>
      <c r="AF4345">
        <v>0</v>
      </c>
      <c r="AM4345" t="s">
        <v>52</v>
      </c>
      <c r="AN4345" t="s">
        <v>53</v>
      </c>
    </row>
    <row r="4346" spans="1:40">
      <c r="A4346" t="s">
        <v>13057</v>
      </c>
      <c r="B4346" t="s">
        <v>2691</v>
      </c>
      <c r="C4346" t="s">
        <v>13320</v>
      </c>
      <c r="D4346" t="s">
        <v>52</v>
      </c>
      <c r="E4346" t="s">
        <v>13321</v>
      </c>
      <c r="F4346" t="s">
        <v>45</v>
      </c>
      <c r="G4346" t="str">
        <f>HYPERLINK("https://twitter.com/488791294/status/1142626185052086272")</f>
        <v>https://twitter.com/488791294/status/1142626185052086272</v>
      </c>
      <c r="H4346" t="s">
        <v>46</v>
      </c>
      <c r="I4346" t="s">
        <v>13322</v>
      </c>
      <c r="J4346" t="str">
        <f>HYPERLINK("http://twitter.com/JeffreyRmirez")</f>
        <v>http://twitter.com/JeffreyRmirez</v>
      </c>
      <c r="K4346">
        <v>12</v>
      </c>
      <c r="N4346" t="s">
        <v>65</v>
      </c>
      <c r="R4346" t="s">
        <v>60</v>
      </c>
      <c r="W4346">
        <v>1</v>
      </c>
      <c r="X4346">
        <v>1</v>
      </c>
      <c r="AE4346">
        <v>0</v>
      </c>
      <c r="AF4346">
        <v>0</v>
      </c>
      <c r="AM4346" t="s">
        <v>52</v>
      </c>
      <c r="AN4346" t="s">
        <v>53</v>
      </c>
    </row>
    <row r="4347" spans="1:40">
      <c r="A4347" t="s">
        <v>13057</v>
      </c>
      <c r="B4347" t="s">
        <v>2696</v>
      </c>
      <c r="C4347" t="s">
        <v>13323</v>
      </c>
      <c r="D4347" t="s">
        <v>52</v>
      </c>
      <c r="E4347" t="s">
        <v>13324</v>
      </c>
      <c r="F4347" t="s">
        <v>95</v>
      </c>
      <c r="G4347" t="str">
        <f>HYPERLINK("https://twitter.com/1054506999897972736/status/1142625914028609537")</f>
        <v>https://twitter.com/1054506999897972736/status/1142625914028609537</v>
      </c>
      <c r="H4347" t="s">
        <v>46</v>
      </c>
      <c r="I4347" t="s">
        <v>13325</v>
      </c>
      <c r="J4347" t="str">
        <f>HYPERLINK("http://twitter.com/lizablabbit")</f>
        <v>http://twitter.com/lizablabbit</v>
      </c>
      <c r="K4347">
        <v>21</v>
      </c>
      <c r="N4347" t="s">
        <v>65</v>
      </c>
      <c r="R4347" t="s">
        <v>60</v>
      </c>
      <c r="S4347" t="s">
        <v>444</v>
      </c>
      <c r="T4347" t="s">
        <v>3183</v>
      </c>
      <c r="U4347" t="s">
        <v>9241</v>
      </c>
      <c r="W4347">
        <v>0</v>
      </c>
      <c r="X4347">
        <v>0</v>
      </c>
      <c r="AE4347">
        <v>1</v>
      </c>
      <c r="AF4347">
        <v>0</v>
      </c>
      <c r="AI4347" t="s">
        <v>52</v>
      </c>
      <c r="AJ4347" t="s">
        <v>1196</v>
      </c>
      <c r="AK4347" t="s">
        <v>52</v>
      </c>
      <c r="AL4347" t="str">
        <f>HYPERLINK("https://pbs.twimg.com/media/D9tsNhzUwAAsWeu.jpg")</f>
        <v>https://pbs.twimg.com/media/D9tsNhzUwAAsWeu.jpg</v>
      </c>
      <c r="AM4347" t="s">
        <v>52</v>
      </c>
      <c r="AN4347" t="s">
        <v>53</v>
      </c>
    </row>
    <row r="4348" spans="1:40">
      <c r="A4348" t="s">
        <v>13057</v>
      </c>
      <c r="B4348" t="s">
        <v>2704</v>
      </c>
      <c r="C4348" t="s">
        <v>13326</v>
      </c>
      <c r="D4348" t="s">
        <v>52</v>
      </c>
      <c r="E4348" t="s">
        <v>6744</v>
      </c>
      <c r="F4348" t="s">
        <v>131</v>
      </c>
      <c r="G4348" t="str">
        <f>HYPERLINK("https://twitter.com/575057784/status/1142625633996038144")</f>
        <v>https://twitter.com/575057784/status/1142625633996038144</v>
      </c>
      <c r="H4348" t="s">
        <v>46</v>
      </c>
      <c r="I4348" t="s">
        <v>13327</v>
      </c>
      <c r="J4348" t="str">
        <f>HYPERLINK("http://twitter.com/redd3451")</f>
        <v>http://twitter.com/redd3451</v>
      </c>
      <c r="K4348">
        <v>14117</v>
      </c>
      <c r="N4348" t="s">
        <v>65</v>
      </c>
      <c r="R4348" t="s">
        <v>60</v>
      </c>
      <c r="S4348" t="s">
        <v>97</v>
      </c>
      <c r="T4348" t="s">
        <v>177</v>
      </c>
      <c r="U4348" t="s">
        <v>13328</v>
      </c>
      <c r="W4348">
        <v>0</v>
      </c>
      <c r="X4348">
        <v>0</v>
      </c>
      <c r="AE4348">
        <v>0</v>
      </c>
      <c r="AI4348" t="s">
        <v>52</v>
      </c>
      <c r="AJ4348" t="s">
        <v>52</v>
      </c>
      <c r="AK4348" t="s">
        <v>2782</v>
      </c>
      <c r="AL4348" t="str">
        <f>HYPERLINK("https://pbs.twimg.com/media/D9ry2iBXkAA00_i.jpg")</f>
        <v>https://pbs.twimg.com/media/D9ry2iBXkAA00_i.jpg</v>
      </c>
      <c r="AM4348" t="s">
        <v>52</v>
      </c>
      <c r="AN4348" t="s">
        <v>53</v>
      </c>
    </row>
    <row r="4349" spans="1:40">
      <c r="A4349" t="s">
        <v>13057</v>
      </c>
      <c r="B4349" t="s">
        <v>2711</v>
      </c>
      <c r="C4349" t="s">
        <v>13323</v>
      </c>
      <c r="D4349" t="s">
        <v>52</v>
      </c>
      <c r="E4349" t="s">
        <v>13329</v>
      </c>
      <c r="F4349" t="s">
        <v>95</v>
      </c>
      <c r="G4349" t="str">
        <f>HYPERLINK("https://twitter.com/1099287796278349831/status/1142625495751778304")</f>
        <v>https://twitter.com/1099287796278349831/status/1142625495751778304</v>
      </c>
      <c r="H4349" t="s">
        <v>46</v>
      </c>
      <c r="I4349" t="s">
        <v>13330</v>
      </c>
      <c r="J4349" t="str">
        <f>HYPERLINK("http://twitter.com/delicateclownn")</f>
        <v>http://twitter.com/delicateclownn</v>
      </c>
      <c r="K4349">
        <v>892</v>
      </c>
      <c r="N4349" t="s">
        <v>65</v>
      </c>
      <c r="R4349" t="s">
        <v>60</v>
      </c>
      <c r="S4349" t="s">
        <v>226</v>
      </c>
      <c r="T4349" t="s">
        <v>1744</v>
      </c>
      <c r="U4349" t="s">
        <v>1745</v>
      </c>
      <c r="W4349">
        <v>5</v>
      </c>
      <c r="X4349">
        <v>5</v>
      </c>
      <c r="AE4349">
        <v>1</v>
      </c>
      <c r="AF4349">
        <v>0</v>
      </c>
      <c r="AM4349" t="s">
        <v>52</v>
      </c>
      <c r="AN4349" t="s">
        <v>53</v>
      </c>
    </row>
    <row r="4350" spans="1:40">
      <c r="A4350" t="s">
        <v>13057</v>
      </c>
      <c r="B4350" t="s">
        <v>2711</v>
      </c>
      <c r="C4350" t="s">
        <v>13331</v>
      </c>
      <c r="D4350" t="s">
        <v>52</v>
      </c>
      <c r="E4350" t="s">
        <v>13332</v>
      </c>
      <c r="F4350" t="s">
        <v>95</v>
      </c>
      <c r="G4350" t="str">
        <f>HYPERLINK("https://twitter.com/28450002/status/1142625445181034496")</f>
        <v>https://twitter.com/28450002/status/1142625445181034496</v>
      </c>
      <c r="H4350" t="s">
        <v>46</v>
      </c>
      <c r="I4350" t="s">
        <v>13333</v>
      </c>
      <c r="J4350" t="str">
        <f>HYPERLINK("http://twitter.com/euphoriagrenade")</f>
        <v>http://twitter.com/euphoriagrenade</v>
      </c>
      <c r="K4350">
        <v>1252</v>
      </c>
      <c r="L4350" t="s">
        <v>48</v>
      </c>
      <c r="N4350" t="s">
        <v>65</v>
      </c>
      <c r="R4350" t="s">
        <v>60</v>
      </c>
      <c r="S4350" t="s">
        <v>51</v>
      </c>
      <c r="T4350" t="s">
        <v>2729</v>
      </c>
      <c r="U4350" t="s">
        <v>10097</v>
      </c>
      <c r="W4350">
        <v>1</v>
      </c>
      <c r="X4350">
        <v>1</v>
      </c>
      <c r="AE4350">
        <v>1</v>
      </c>
      <c r="AF4350">
        <v>0</v>
      </c>
      <c r="AM4350" t="s">
        <v>52</v>
      </c>
      <c r="AN4350" t="s">
        <v>53</v>
      </c>
    </row>
    <row r="4351" spans="1:40">
      <c r="A4351" t="s">
        <v>13057</v>
      </c>
      <c r="B4351" t="s">
        <v>2716</v>
      </c>
      <c r="C4351" t="s">
        <v>13334</v>
      </c>
      <c r="D4351" t="s">
        <v>52</v>
      </c>
      <c r="E4351" t="s">
        <v>6744</v>
      </c>
      <c r="F4351" t="s">
        <v>131</v>
      </c>
      <c r="G4351" t="str">
        <f>HYPERLINK("https://twitter.com/967536126842908673/status/1142625209339375617")</f>
        <v>https://twitter.com/967536126842908673/status/1142625209339375617</v>
      </c>
      <c r="H4351" t="s">
        <v>46</v>
      </c>
      <c r="I4351" t="s">
        <v>13335</v>
      </c>
      <c r="J4351" t="str">
        <f>HYPERLINK("http://twitter.com/brendapower88")</f>
        <v>http://twitter.com/brendapower88</v>
      </c>
      <c r="K4351">
        <v>15890</v>
      </c>
      <c r="N4351" t="s">
        <v>65</v>
      </c>
      <c r="R4351" t="s">
        <v>60</v>
      </c>
      <c r="W4351">
        <v>0</v>
      </c>
      <c r="X4351">
        <v>0</v>
      </c>
      <c r="AE4351">
        <v>0</v>
      </c>
      <c r="AI4351" t="s">
        <v>52</v>
      </c>
      <c r="AJ4351" t="s">
        <v>52</v>
      </c>
      <c r="AK4351" t="s">
        <v>2782</v>
      </c>
      <c r="AL4351" t="str">
        <f>HYPERLINK("https://pbs.twimg.com/media/D9ry2iBXkAA00_i.jpg")</f>
        <v>https://pbs.twimg.com/media/D9ry2iBXkAA00_i.jpg</v>
      </c>
      <c r="AM4351" t="s">
        <v>52</v>
      </c>
      <c r="AN4351" t="s">
        <v>53</v>
      </c>
    </row>
    <row r="4352" spans="1:40">
      <c r="A4352" t="s">
        <v>13057</v>
      </c>
      <c r="B4352" t="s">
        <v>13336</v>
      </c>
      <c r="C4352" t="s">
        <v>12845</v>
      </c>
      <c r="D4352" t="s">
        <v>13337</v>
      </c>
      <c r="E4352" t="s">
        <v>13338</v>
      </c>
      <c r="F4352" t="s">
        <v>45</v>
      </c>
      <c r="G4352" t="str">
        <f>HYPERLINK("https://www.youtube.com/watch?v=sxVytHwH7fA")</f>
        <v>https://www.youtube.com/watch?v=sxVytHwH7fA</v>
      </c>
      <c r="H4352" t="s">
        <v>46</v>
      </c>
      <c r="I4352" t="s">
        <v>13339</v>
      </c>
      <c r="J4352" t="str">
        <f>HYPERLINK("https://www.youtube.com/channel/UC64POPpr2jUwSae8xEtV7Xg")</f>
        <v>https://www.youtube.com/channel/UC64POPpr2jUwSae8xEtV7Xg</v>
      </c>
      <c r="K4352">
        <v>3</v>
      </c>
      <c r="N4352" t="s">
        <v>116</v>
      </c>
      <c r="O4352" t="s">
        <v>13339</v>
      </c>
      <c r="P4352" t="str">
        <f>HYPERLINK("https://www.youtube.com/channel/UC64POPpr2jUwSae8xEtV7Xg")</f>
        <v>https://www.youtube.com/channel/UC64POPpr2jUwSae8xEtV7Xg</v>
      </c>
      <c r="Q4352">
        <v>3</v>
      </c>
      <c r="R4352" t="s">
        <v>60</v>
      </c>
      <c r="W4352">
        <v>0</v>
      </c>
      <c r="X4352">
        <v>0</v>
      </c>
      <c r="AD4352">
        <v>0</v>
      </c>
      <c r="AE4352">
        <v>0</v>
      </c>
      <c r="AG4352">
        <v>24</v>
      </c>
      <c r="AI4352" t="s">
        <v>52</v>
      </c>
      <c r="AJ4352" t="s">
        <v>52</v>
      </c>
      <c r="AK4352" t="s">
        <v>52</v>
      </c>
      <c r="AL4352" t="str">
        <f>HYPERLINK("https://i.ytimg.com/vi/sxVytHwH7fA/hqdefault.jpg")</f>
        <v>https://i.ytimg.com/vi/sxVytHwH7fA/hqdefault.jpg</v>
      </c>
      <c r="AM4352" t="s">
        <v>52</v>
      </c>
      <c r="AN4352" t="s">
        <v>53</v>
      </c>
    </row>
    <row r="4353" spans="1:40">
      <c r="A4353" t="s">
        <v>13057</v>
      </c>
      <c r="B4353" t="s">
        <v>13340</v>
      </c>
      <c r="C4353" t="s">
        <v>12619</v>
      </c>
      <c r="D4353" t="s">
        <v>12931</v>
      </c>
      <c r="E4353" t="s">
        <v>13341</v>
      </c>
      <c r="F4353" t="s">
        <v>95</v>
      </c>
      <c r="G4353" t="str">
        <f>HYPERLINK("https://www.youtube.com/watch?v=2RoZJaVEeCA&amp;lc=UgzDInQP2-hHjpp0xst4AaABAg")</f>
        <v>https://www.youtube.com/watch?v=2RoZJaVEeCA&amp;lc=UgzDInQP2-hHjpp0xst4AaABAg</v>
      </c>
      <c r="H4353" t="s">
        <v>46</v>
      </c>
      <c r="I4353" t="s">
        <v>13342</v>
      </c>
      <c r="J4353" t="str">
        <f>HYPERLINK("https://www.youtube.com/channel/UCbm4-vJeShp0VYCtzMCDoOA")</f>
        <v>https://www.youtube.com/channel/UCbm4-vJeShp0VYCtzMCDoOA</v>
      </c>
      <c r="K4353">
        <v>1</v>
      </c>
      <c r="N4353" t="s">
        <v>116</v>
      </c>
      <c r="O4353" t="s">
        <v>12934</v>
      </c>
      <c r="P4353" t="str">
        <f>HYPERLINK("https://www.youtube.com/channel/UC_Or-6_E9aesSJmoJ1QSc6Q")</f>
        <v>https://www.youtube.com/channel/UC_Or-6_E9aesSJmoJ1QSc6Q</v>
      </c>
      <c r="Q4353">
        <v>160448</v>
      </c>
      <c r="R4353" t="s">
        <v>60</v>
      </c>
      <c r="S4353" t="s">
        <v>437</v>
      </c>
      <c r="W4353">
        <v>1</v>
      </c>
      <c r="X4353">
        <v>1</v>
      </c>
      <c r="AE4353">
        <v>0</v>
      </c>
      <c r="AM4353" t="s">
        <v>52</v>
      </c>
      <c r="AN4353" t="s">
        <v>53</v>
      </c>
    </row>
    <row r="4354" spans="1:40">
      <c r="A4354" t="s">
        <v>13057</v>
      </c>
      <c r="B4354" t="s">
        <v>13340</v>
      </c>
      <c r="C4354" t="s">
        <v>12409</v>
      </c>
      <c r="D4354" t="s">
        <v>13343</v>
      </c>
      <c r="E4354" t="s">
        <v>13344</v>
      </c>
      <c r="F4354" t="s">
        <v>45</v>
      </c>
      <c r="G4354" t="str">
        <f>HYPERLINK("https://www.reddit.com/r/Zoomies/comments/c3pdxd/do_elephant_trunk_zoomies_count_meet_mee_boon_a/?sort=new#thing_t1_ertza2a")</f>
        <v>https://www.reddit.com/r/Zoomies/comments/c3pdxd/do_elephant_trunk_zoomies_count_meet_mee_boon_a/?sort=new#thing_t1_ertza2a</v>
      </c>
      <c r="H4354" t="s">
        <v>46</v>
      </c>
      <c r="I4354" t="s">
        <v>13345</v>
      </c>
      <c r="J4354" t="str">
        <f>HYPERLINK("https://www.reddit.com/r/Zoomies/comments/c3pdxd/do_elephant_trunk_zoomies_count_meet_mee_boon_a/?sort=new#thing_t1_ertza2a")</f>
        <v>https://www.reddit.com/r/Zoomies/comments/c3pdxd/do_elephant_trunk_zoomies_count_meet_mee_boon_a/?sort=new#thing_t1_ertza2a</v>
      </c>
      <c r="N4354" t="s">
        <v>545</v>
      </c>
      <c r="O4354" t="s">
        <v>13346</v>
      </c>
      <c r="P4354" t="str">
        <f>HYPERLINK("https://www.reddit.com/r/vegan/")</f>
        <v>https://www.reddit.com/r/vegan/</v>
      </c>
      <c r="R4354" t="s">
        <v>516</v>
      </c>
      <c r="S4354" t="s">
        <v>51</v>
      </c>
      <c r="AM4354" t="s">
        <v>52</v>
      </c>
      <c r="AN4354" t="s">
        <v>53</v>
      </c>
    </row>
    <row r="4355" spans="1:40">
      <c r="A4355" t="s">
        <v>13057</v>
      </c>
      <c r="B4355" t="s">
        <v>2731</v>
      </c>
      <c r="C4355" t="s">
        <v>13347</v>
      </c>
      <c r="D4355" t="s">
        <v>52</v>
      </c>
      <c r="E4355" t="s">
        <v>13348</v>
      </c>
      <c r="F4355" t="s">
        <v>45</v>
      </c>
      <c r="G4355" t="str">
        <f>HYPERLINK("https://twitter.com/711057756782862336/status/1142624241084354562")</f>
        <v>https://twitter.com/711057756782862336/status/1142624241084354562</v>
      </c>
      <c r="H4355" t="s">
        <v>46</v>
      </c>
      <c r="I4355" t="s">
        <v>13349</v>
      </c>
      <c r="J4355" t="str">
        <f>HYPERLINK("http://twitter.com/_peachbeach")</f>
        <v>http://twitter.com/_peachbeach</v>
      </c>
      <c r="K4355">
        <v>951</v>
      </c>
      <c r="N4355" t="s">
        <v>65</v>
      </c>
      <c r="R4355" t="s">
        <v>60</v>
      </c>
      <c r="S4355" t="s">
        <v>51</v>
      </c>
      <c r="T4355" t="s">
        <v>173</v>
      </c>
      <c r="U4355" t="s">
        <v>4051</v>
      </c>
      <c r="W4355">
        <v>6</v>
      </c>
      <c r="X4355">
        <v>6</v>
      </c>
      <c r="AE4355">
        <v>0</v>
      </c>
      <c r="AF4355">
        <v>0</v>
      </c>
      <c r="AM4355" t="s">
        <v>52</v>
      </c>
      <c r="AN4355" t="s">
        <v>53</v>
      </c>
    </row>
    <row r="4356" spans="1:40">
      <c r="A4356" t="s">
        <v>13057</v>
      </c>
      <c r="B4356" t="s">
        <v>2736</v>
      </c>
      <c r="C4356" t="s">
        <v>13350</v>
      </c>
      <c r="D4356" t="s">
        <v>52</v>
      </c>
      <c r="E4356" t="s">
        <v>13351</v>
      </c>
      <c r="F4356" t="s">
        <v>45</v>
      </c>
      <c r="G4356" t="str">
        <f>HYPERLINK("https://www.instagram.com/p/BzCTDkIHvbz")</f>
        <v>https://www.instagram.com/p/BzCTDkIHvbz</v>
      </c>
      <c r="H4356" t="s">
        <v>46</v>
      </c>
      <c r="I4356" t="s">
        <v>13352</v>
      </c>
      <c r="J4356" t="str">
        <f>HYPERLINK("http://instagram.com/lariecaroline")</f>
        <v>http://instagram.com/lariecaroline</v>
      </c>
      <c r="K4356">
        <v>1439</v>
      </c>
      <c r="N4356" t="s">
        <v>59</v>
      </c>
      <c r="O4356" t="s">
        <v>13352</v>
      </c>
      <c r="P4356" t="str">
        <f>HYPERLINK("http://instagram.com/lariecaroline")</f>
        <v>http://instagram.com/lariecaroline</v>
      </c>
      <c r="Q4356">
        <v>1439</v>
      </c>
      <c r="R4356" t="s">
        <v>60</v>
      </c>
      <c r="W4356">
        <v>35</v>
      </c>
      <c r="X4356">
        <v>35</v>
      </c>
      <c r="AE4356">
        <v>2</v>
      </c>
      <c r="AI4356" t="s">
        <v>108</v>
      </c>
      <c r="AJ4356" t="s">
        <v>3936</v>
      </c>
      <c r="AK4356" t="s">
        <v>13353</v>
      </c>
      <c r="AL4356" t="str">
        <f>HYPERLINK("https://www.instagram.com/p/BzCTDkIHvbz/media/?size=l")</f>
        <v>https://www.instagram.com/p/BzCTDkIHvbz/media/?size=l</v>
      </c>
      <c r="AM4356" t="s">
        <v>52</v>
      </c>
      <c r="AN4356" t="s">
        <v>53</v>
      </c>
    </row>
    <row r="4357" spans="1:40">
      <c r="A4357" t="s">
        <v>13057</v>
      </c>
      <c r="B4357" t="s">
        <v>2736</v>
      </c>
      <c r="C4357" t="s">
        <v>12619</v>
      </c>
      <c r="D4357" t="s">
        <v>12931</v>
      </c>
      <c r="E4357" t="s">
        <v>13354</v>
      </c>
      <c r="F4357" t="s">
        <v>95</v>
      </c>
      <c r="G4357" t="str">
        <f>HYPERLINK("https://www.youtube.com/watch?v=2RoZJaVEeCA&amp;lc=Ugw3guinZhjcXE5peoN4AaABAg")</f>
        <v>https://www.youtube.com/watch?v=2RoZJaVEeCA&amp;lc=Ugw3guinZhjcXE5peoN4AaABAg</v>
      </c>
      <c r="H4357" t="s">
        <v>46</v>
      </c>
      <c r="I4357" t="s">
        <v>13355</v>
      </c>
      <c r="J4357" t="str">
        <f>HYPERLINK("https://www.youtube.com/channel/UCG0E44BWb0fZ0Q19pxbBf9A")</f>
        <v>https://www.youtube.com/channel/UCG0E44BWb0fZ0Q19pxbBf9A</v>
      </c>
      <c r="K4357">
        <v>0</v>
      </c>
      <c r="L4357" t="s">
        <v>48</v>
      </c>
      <c r="N4357" t="s">
        <v>116</v>
      </c>
      <c r="O4357" t="s">
        <v>12934</v>
      </c>
      <c r="P4357" t="str">
        <f>HYPERLINK("https://www.youtube.com/channel/UC_Or-6_E9aesSJmoJ1QSc6Q")</f>
        <v>https://www.youtube.com/channel/UC_Or-6_E9aesSJmoJ1QSc6Q</v>
      </c>
      <c r="Q4357">
        <v>160448</v>
      </c>
      <c r="R4357" t="s">
        <v>60</v>
      </c>
      <c r="S4357" t="s">
        <v>437</v>
      </c>
      <c r="W4357">
        <v>0</v>
      </c>
      <c r="X4357">
        <v>0</v>
      </c>
      <c r="AE4357">
        <v>0</v>
      </c>
      <c r="AM4357" t="s">
        <v>52</v>
      </c>
      <c r="AN4357" t="s">
        <v>53</v>
      </c>
    </row>
    <row r="4358" spans="1:40">
      <c r="A4358" t="s">
        <v>13057</v>
      </c>
      <c r="B4358" t="s">
        <v>8407</v>
      </c>
      <c r="C4358" t="s">
        <v>12835</v>
      </c>
      <c r="D4358" t="s">
        <v>13356</v>
      </c>
      <c r="E4358" t="s">
        <v>13357</v>
      </c>
      <c r="F4358" t="s">
        <v>45</v>
      </c>
      <c r="G4358" t="str">
        <f>HYPERLINK("https://www.youtube.com/watch?v=CyY1zhwrxZk")</f>
        <v>https://www.youtube.com/watch?v=CyY1zhwrxZk</v>
      </c>
      <c r="H4358" t="s">
        <v>46</v>
      </c>
      <c r="I4358" t="s">
        <v>13358</v>
      </c>
      <c r="J4358" t="str">
        <f>HYPERLINK("https://www.youtube.com/channel/UCCnFlPfPJ7_HchKya3z8w3g")</f>
        <v>https://www.youtube.com/channel/UCCnFlPfPJ7_HchKya3z8w3g</v>
      </c>
      <c r="K4358">
        <v>6</v>
      </c>
      <c r="L4358" t="s">
        <v>48</v>
      </c>
      <c r="N4358" t="s">
        <v>116</v>
      </c>
      <c r="O4358" t="s">
        <v>13358</v>
      </c>
      <c r="P4358" t="str">
        <f>HYPERLINK("https://www.youtube.com/channel/UCCnFlPfPJ7_HchKya3z8w3g")</f>
        <v>https://www.youtube.com/channel/UCCnFlPfPJ7_HchKya3z8w3g</v>
      </c>
      <c r="Q4358">
        <v>6</v>
      </c>
      <c r="R4358" t="s">
        <v>60</v>
      </c>
      <c r="W4358">
        <v>0</v>
      </c>
      <c r="X4358">
        <v>0</v>
      </c>
      <c r="AD4358">
        <v>0</v>
      </c>
      <c r="AE4358">
        <v>0</v>
      </c>
      <c r="AG4358">
        <v>6</v>
      </c>
      <c r="AI4358" t="s">
        <v>52</v>
      </c>
      <c r="AJ4358" t="s">
        <v>52</v>
      </c>
      <c r="AK4358" t="s">
        <v>52</v>
      </c>
      <c r="AL4358" t="str">
        <f>HYPERLINK("https://i.ytimg.com/vi/CyY1zhwrxZk/sddefault.jpg")</f>
        <v>https://i.ytimg.com/vi/CyY1zhwrxZk/sddefault.jpg</v>
      </c>
      <c r="AM4358" t="s">
        <v>52</v>
      </c>
      <c r="AN4358" t="s">
        <v>53</v>
      </c>
    </row>
    <row r="4359" spans="1:40">
      <c r="A4359" t="s">
        <v>13057</v>
      </c>
      <c r="B4359" t="s">
        <v>2761</v>
      </c>
      <c r="C4359" t="s">
        <v>13359</v>
      </c>
      <c r="D4359" t="s">
        <v>52</v>
      </c>
      <c r="E4359" t="s">
        <v>13360</v>
      </c>
      <c r="F4359" t="s">
        <v>45</v>
      </c>
      <c r="G4359" t="str">
        <f>HYPERLINK("https://twitter.com/907761419894091776/status/1142623229380575233")</f>
        <v>https://twitter.com/907761419894091776/status/1142623229380575233</v>
      </c>
      <c r="H4359" t="s">
        <v>46</v>
      </c>
      <c r="I4359" t="s">
        <v>52</v>
      </c>
      <c r="J4359" t="str">
        <f>HYPERLINK("http://twitter.com/DAjaLaShae_")</f>
        <v>http://twitter.com/DAjaLaShae_</v>
      </c>
      <c r="K4359">
        <v>73</v>
      </c>
      <c r="N4359" t="s">
        <v>65</v>
      </c>
      <c r="R4359" t="s">
        <v>60</v>
      </c>
      <c r="W4359">
        <v>0</v>
      </c>
      <c r="X4359">
        <v>0</v>
      </c>
      <c r="AE4359">
        <v>0</v>
      </c>
      <c r="AF4359">
        <v>0</v>
      </c>
      <c r="AM4359" t="s">
        <v>52</v>
      </c>
      <c r="AN4359" t="s">
        <v>53</v>
      </c>
    </row>
    <row r="4360" spans="1:40">
      <c r="A4360" t="s">
        <v>13057</v>
      </c>
      <c r="B4360" t="s">
        <v>2761</v>
      </c>
      <c r="C4360" t="s">
        <v>13361</v>
      </c>
      <c r="D4360" t="s">
        <v>52</v>
      </c>
      <c r="E4360" t="s">
        <v>13362</v>
      </c>
      <c r="F4360" t="s">
        <v>45</v>
      </c>
      <c r="G4360" t="str">
        <f>HYPERLINK("https://twitter.com/905090551/status/1142623123935653888")</f>
        <v>https://twitter.com/905090551/status/1142623123935653888</v>
      </c>
      <c r="H4360" t="s">
        <v>46</v>
      </c>
      <c r="I4360" t="s">
        <v>13363</v>
      </c>
      <c r="J4360" t="str">
        <f>HYPERLINK("http://twitter.com/taejinmingikoo")</f>
        <v>http://twitter.com/taejinmingikoo</v>
      </c>
      <c r="K4360">
        <v>387</v>
      </c>
      <c r="L4360" t="s">
        <v>58</v>
      </c>
      <c r="N4360" t="s">
        <v>65</v>
      </c>
      <c r="R4360" t="s">
        <v>60</v>
      </c>
      <c r="W4360">
        <v>3</v>
      </c>
      <c r="X4360">
        <v>3</v>
      </c>
      <c r="AE4360">
        <v>0</v>
      </c>
      <c r="AF4360">
        <v>0</v>
      </c>
      <c r="AI4360" t="s">
        <v>52</v>
      </c>
      <c r="AJ4360" t="s">
        <v>11385</v>
      </c>
      <c r="AK4360" t="s">
        <v>52</v>
      </c>
      <c r="AL4360" t="str">
        <f>HYPERLINK("https://pbs.twimg.com/media/D9tprG-XUAIt--I.jpg")</f>
        <v>https://pbs.twimg.com/media/D9tprG-XUAIt--I.jpg</v>
      </c>
      <c r="AM4360" t="s">
        <v>52</v>
      </c>
      <c r="AN4360" t="s">
        <v>53</v>
      </c>
    </row>
    <row r="4361" spans="1:40">
      <c r="A4361" t="s">
        <v>13057</v>
      </c>
      <c r="B4361" t="s">
        <v>8416</v>
      </c>
      <c r="C4361" t="s">
        <v>12858</v>
      </c>
      <c r="D4361" t="s">
        <v>13364</v>
      </c>
      <c r="E4361" t="s">
        <v>13365</v>
      </c>
      <c r="F4361" t="s">
        <v>45</v>
      </c>
      <c r="G4361" t="str">
        <f>HYPERLINK("https://www.youtube.com/watch?v=kdO9OimHfdg")</f>
        <v>https://www.youtube.com/watch?v=kdO9OimHfdg</v>
      </c>
      <c r="H4361" t="s">
        <v>215</v>
      </c>
      <c r="I4361" t="s">
        <v>13366</v>
      </c>
      <c r="J4361" t="str">
        <f>HYPERLINK("https://www.youtube.com/channel/UCYV6OSFVmXZGg5HHtXBu_rA")</f>
        <v>https://www.youtube.com/channel/UCYV6OSFVmXZGg5HHtXBu_rA</v>
      </c>
      <c r="K4361">
        <v>1169</v>
      </c>
      <c r="N4361" t="s">
        <v>116</v>
      </c>
      <c r="O4361" t="s">
        <v>13366</v>
      </c>
      <c r="P4361" t="str">
        <f>HYPERLINK("https://www.youtube.com/channel/UCYV6OSFVmXZGg5HHtXBu_rA")</f>
        <v>https://www.youtube.com/channel/UCYV6OSFVmXZGg5HHtXBu_rA</v>
      </c>
      <c r="Q4361">
        <v>1169</v>
      </c>
      <c r="R4361" t="s">
        <v>60</v>
      </c>
      <c r="S4361" t="s">
        <v>51</v>
      </c>
      <c r="W4361">
        <v>1</v>
      </c>
      <c r="X4361">
        <v>1</v>
      </c>
      <c r="AD4361">
        <v>0</v>
      </c>
      <c r="AE4361">
        <v>1</v>
      </c>
      <c r="AG4361">
        <v>2</v>
      </c>
      <c r="AI4361" t="s">
        <v>52</v>
      </c>
      <c r="AJ4361" t="s">
        <v>10257</v>
      </c>
      <c r="AK4361" t="s">
        <v>52</v>
      </c>
      <c r="AL4361" t="str">
        <f>HYPERLINK("https://i.ytimg.com/vi/kdO9OimHfdg/maxresdefault.jpg")</f>
        <v>https://i.ytimg.com/vi/kdO9OimHfdg/maxresdefault.jpg</v>
      </c>
      <c r="AM4361" t="s">
        <v>52</v>
      </c>
      <c r="AN4361" t="s">
        <v>53</v>
      </c>
    </row>
    <row r="4362" spans="1:40">
      <c r="A4362" t="s">
        <v>13057</v>
      </c>
      <c r="B4362" t="s">
        <v>2775</v>
      </c>
      <c r="C4362" t="s">
        <v>13347</v>
      </c>
      <c r="D4362" t="s">
        <v>52</v>
      </c>
      <c r="E4362" t="s">
        <v>13367</v>
      </c>
      <c r="F4362" t="s">
        <v>71</v>
      </c>
      <c r="G4362" t="str">
        <f>HYPERLINK("https://twitter.com/114325817/status/1142622757668003841")</f>
        <v>https://twitter.com/114325817/status/1142622757668003841</v>
      </c>
      <c r="H4362" t="s">
        <v>46</v>
      </c>
      <c r="I4362" t="s">
        <v>13368</v>
      </c>
      <c r="J4362" t="str">
        <f>HYPERLINK("http://twitter.com/megsboringlife")</f>
        <v>http://twitter.com/megsboringlife</v>
      </c>
      <c r="K4362">
        <v>103</v>
      </c>
      <c r="N4362" t="s">
        <v>65</v>
      </c>
      <c r="R4362" t="s">
        <v>60</v>
      </c>
      <c r="S4362" t="s">
        <v>51</v>
      </c>
      <c r="W4362">
        <v>1</v>
      </c>
      <c r="X4362">
        <v>1</v>
      </c>
      <c r="AE4362">
        <v>0</v>
      </c>
      <c r="AF4362">
        <v>0</v>
      </c>
      <c r="AI4362" t="s">
        <v>108</v>
      </c>
      <c r="AJ4362" t="s">
        <v>52</v>
      </c>
      <c r="AK4362" t="s">
        <v>52</v>
      </c>
      <c r="AL4362" t="str">
        <f>HYPERLINK("https://pbs.twimg.com/tweet_video_thumb/D9hvNNzXUAATAS3.jpg")</f>
        <v>https://pbs.twimg.com/tweet_video_thumb/D9hvNNzXUAATAS3.jpg</v>
      </c>
      <c r="AM4362" t="s">
        <v>52</v>
      </c>
      <c r="AN4362" t="s">
        <v>53</v>
      </c>
    </row>
    <row r="4363" spans="1:40">
      <c r="A4363" t="s">
        <v>13057</v>
      </c>
      <c r="B4363" t="s">
        <v>2775</v>
      </c>
      <c r="C4363" t="s">
        <v>13359</v>
      </c>
      <c r="D4363" t="s">
        <v>52</v>
      </c>
      <c r="E4363" t="s">
        <v>13369</v>
      </c>
      <c r="F4363" t="s">
        <v>95</v>
      </c>
      <c r="G4363" t="str">
        <f>HYPERLINK("https://twitter.com/114325817/status/1142622683751862273")</f>
        <v>https://twitter.com/114325817/status/1142622683751862273</v>
      </c>
      <c r="H4363" t="s">
        <v>215</v>
      </c>
      <c r="I4363" t="s">
        <v>13368</v>
      </c>
      <c r="J4363" t="str">
        <f>HYPERLINK("http://twitter.com/megsboringlife")</f>
        <v>http://twitter.com/megsboringlife</v>
      </c>
      <c r="K4363">
        <v>103</v>
      </c>
      <c r="N4363" t="s">
        <v>65</v>
      </c>
      <c r="R4363" t="s">
        <v>60</v>
      </c>
      <c r="S4363" t="s">
        <v>51</v>
      </c>
      <c r="W4363">
        <v>0</v>
      </c>
      <c r="X4363">
        <v>0</v>
      </c>
      <c r="AE4363">
        <v>0</v>
      </c>
      <c r="AF4363">
        <v>0</v>
      </c>
      <c r="AM4363" t="s">
        <v>52</v>
      </c>
      <c r="AN4363" t="s">
        <v>53</v>
      </c>
    </row>
    <row r="4364" spans="1:40">
      <c r="A4364" t="s">
        <v>13057</v>
      </c>
      <c r="B4364" t="s">
        <v>2775</v>
      </c>
      <c r="C4364" t="s">
        <v>13370</v>
      </c>
      <c r="D4364" t="s">
        <v>52</v>
      </c>
      <c r="E4364" t="s">
        <v>13371</v>
      </c>
      <c r="F4364" t="s">
        <v>45</v>
      </c>
      <c r="G4364" t="str">
        <f>HYPERLINK("https://twitter.com/41977326/status/1142622665770983425")</f>
        <v>https://twitter.com/41977326/status/1142622665770983425</v>
      </c>
      <c r="H4364" t="s">
        <v>91</v>
      </c>
      <c r="I4364" t="s">
        <v>13372</v>
      </c>
      <c r="J4364" t="str">
        <f>HYPERLINK("http://twitter.com/chimerabear")</f>
        <v>http://twitter.com/chimerabear</v>
      </c>
      <c r="K4364">
        <v>56</v>
      </c>
      <c r="L4364" t="s">
        <v>48</v>
      </c>
      <c r="N4364" t="s">
        <v>65</v>
      </c>
      <c r="R4364" t="s">
        <v>60</v>
      </c>
      <c r="S4364" t="s">
        <v>51</v>
      </c>
      <c r="T4364" t="s">
        <v>66</v>
      </c>
      <c r="W4364">
        <v>0</v>
      </c>
      <c r="X4364">
        <v>0</v>
      </c>
      <c r="AE4364">
        <v>0</v>
      </c>
      <c r="AF4364">
        <v>0</v>
      </c>
      <c r="AM4364" t="s">
        <v>52</v>
      </c>
      <c r="AN4364" t="s">
        <v>53</v>
      </c>
    </row>
    <row r="4365" spans="1:40">
      <c r="A4365" t="s">
        <v>13057</v>
      </c>
      <c r="B4365" t="s">
        <v>2775</v>
      </c>
      <c r="C4365" t="s">
        <v>13359</v>
      </c>
      <c r="D4365" t="s">
        <v>52</v>
      </c>
      <c r="E4365" t="s">
        <v>13373</v>
      </c>
      <c r="F4365" t="s">
        <v>71</v>
      </c>
      <c r="G4365" t="str">
        <f>HYPERLINK("https://www.instagram.com/p/BzCSecTHAZi")</f>
        <v>https://www.instagram.com/p/BzCSecTHAZi</v>
      </c>
      <c r="H4365" t="s">
        <v>215</v>
      </c>
      <c r="I4365" t="s">
        <v>1890</v>
      </c>
      <c r="J4365" t="str">
        <f>HYPERLINK("http://instagram.com/smoltriangle._")</f>
        <v>http://instagram.com/smoltriangle._</v>
      </c>
      <c r="K4365">
        <v>1</v>
      </c>
      <c r="N4365" t="s">
        <v>59</v>
      </c>
      <c r="O4365" t="s">
        <v>1890</v>
      </c>
      <c r="P4365" t="str">
        <f>HYPERLINK("http://instagram.com/smoltriangle._")</f>
        <v>http://instagram.com/smoltriangle._</v>
      </c>
      <c r="Q4365">
        <v>1</v>
      </c>
      <c r="R4365" t="s">
        <v>60</v>
      </c>
      <c r="W4365">
        <v>8</v>
      </c>
      <c r="X4365">
        <v>8</v>
      </c>
      <c r="AE4365">
        <v>0</v>
      </c>
      <c r="AI4365" t="s">
        <v>52</v>
      </c>
      <c r="AJ4365" t="s">
        <v>458</v>
      </c>
      <c r="AK4365" t="s">
        <v>52</v>
      </c>
      <c r="AL4365" t="str">
        <f>HYPERLINK("https://www.instagram.com/p/BzCSecTHAZi/media/?size=l")</f>
        <v>https://www.instagram.com/p/BzCSecTHAZi/media/?size=l</v>
      </c>
      <c r="AM4365" t="s">
        <v>52</v>
      </c>
      <c r="AN4365" t="s">
        <v>53</v>
      </c>
    </row>
    <row r="4366" spans="1:40">
      <c r="A4366" t="s">
        <v>13057</v>
      </c>
      <c r="B4366" t="s">
        <v>2775</v>
      </c>
      <c r="C4366" t="s">
        <v>13374</v>
      </c>
      <c r="D4366" t="s">
        <v>52</v>
      </c>
      <c r="E4366" t="s">
        <v>13375</v>
      </c>
      <c r="F4366" t="s">
        <v>45</v>
      </c>
      <c r="G4366" t="str">
        <f>HYPERLINK("https://www.instagram.com/p/BzCSeC2A0CQ")</f>
        <v>https://www.instagram.com/p/BzCSeC2A0CQ</v>
      </c>
      <c r="H4366" t="s">
        <v>46</v>
      </c>
      <c r="I4366" t="s">
        <v>13376</v>
      </c>
      <c r="J4366" t="str">
        <f>HYPERLINK("http://instagram.com/jazz_likestacos")</f>
        <v>http://instagram.com/jazz_likestacos</v>
      </c>
      <c r="K4366">
        <v>319</v>
      </c>
      <c r="N4366" t="s">
        <v>59</v>
      </c>
      <c r="O4366" t="s">
        <v>13376</v>
      </c>
      <c r="P4366" t="str">
        <f>HYPERLINK("http://instagram.com/jazz_likestacos")</f>
        <v>http://instagram.com/jazz_likestacos</v>
      </c>
      <c r="Q4366">
        <v>319</v>
      </c>
      <c r="R4366" t="s">
        <v>60</v>
      </c>
      <c r="W4366">
        <v>27</v>
      </c>
      <c r="X4366">
        <v>27</v>
      </c>
      <c r="AE4366">
        <v>1</v>
      </c>
      <c r="AI4366" t="s">
        <v>52</v>
      </c>
      <c r="AJ4366" t="s">
        <v>2277</v>
      </c>
      <c r="AK4366" t="s">
        <v>13377</v>
      </c>
      <c r="AL4366" t="str">
        <f>HYPERLINK("https://www.instagram.com/p/BzCSeC2A0CQ/media/?size=l")</f>
        <v>https://www.instagram.com/p/BzCSeC2A0CQ/media/?size=l</v>
      </c>
      <c r="AM4366" t="s">
        <v>52</v>
      </c>
      <c r="AN4366" t="s">
        <v>53</v>
      </c>
    </row>
    <row r="4367" spans="1:40">
      <c r="A4367" t="s">
        <v>13057</v>
      </c>
      <c r="B4367" t="s">
        <v>8437</v>
      </c>
      <c r="C4367" t="s">
        <v>13378</v>
      </c>
      <c r="D4367" t="s">
        <v>52</v>
      </c>
      <c r="E4367" t="s">
        <v>13379</v>
      </c>
      <c r="F4367" t="s">
        <v>45</v>
      </c>
      <c r="G4367" t="str">
        <f>HYPERLINK("https://twitter.com/1043990306314768385/status/1142622330784493568")</f>
        <v>https://twitter.com/1043990306314768385/status/1142622330784493568</v>
      </c>
      <c r="H4367" t="s">
        <v>46</v>
      </c>
      <c r="I4367" t="s">
        <v>13380</v>
      </c>
      <c r="J4367" t="str">
        <f>HYPERLINK("http://twitter.com/saraheh015")</f>
        <v>http://twitter.com/saraheh015</v>
      </c>
      <c r="K4367">
        <v>1</v>
      </c>
      <c r="L4367" t="s">
        <v>58</v>
      </c>
      <c r="N4367" t="s">
        <v>65</v>
      </c>
      <c r="R4367" t="s">
        <v>60</v>
      </c>
      <c r="S4367" t="s">
        <v>51</v>
      </c>
      <c r="W4367">
        <v>0</v>
      </c>
      <c r="X4367">
        <v>0</v>
      </c>
      <c r="AE4367">
        <v>0</v>
      </c>
      <c r="AF4367">
        <v>0</v>
      </c>
      <c r="AM4367" t="s">
        <v>52</v>
      </c>
      <c r="AN4367" t="s">
        <v>53</v>
      </c>
    </row>
    <row r="4368" spans="1:40">
      <c r="A4368" t="s">
        <v>13057</v>
      </c>
      <c r="B4368" t="s">
        <v>8437</v>
      </c>
      <c r="C4368" t="s">
        <v>12735</v>
      </c>
      <c r="D4368" t="s">
        <v>13381</v>
      </c>
      <c r="E4368" t="s">
        <v>13382</v>
      </c>
      <c r="F4368" t="s">
        <v>45</v>
      </c>
      <c r="G4368" t="str">
        <f>HYPERLINK("https://www.reddit.com/r/notliketheothergirls/comments/c3ughm/the_1/?sort=new#thing_t1_ertdlzj")</f>
        <v>https://www.reddit.com/r/notliketheothergirls/comments/c3ughm/the_1/?sort=new#thing_t1_ertdlzj</v>
      </c>
      <c r="H4368" t="s">
        <v>46</v>
      </c>
      <c r="I4368" t="s">
        <v>13383</v>
      </c>
      <c r="J4368" t="str">
        <f>HYPERLINK("https://www.reddit.com/r/notliketheothergirls/comments/c3ughm/the_1/?sort=new#thing_t1_ertdlzj")</f>
        <v>https://www.reddit.com/r/notliketheothergirls/comments/c3ughm/the_1/?sort=new#thing_t1_ertdlzj</v>
      </c>
      <c r="N4368" t="s">
        <v>545</v>
      </c>
      <c r="O4368" t="s">
        <v>13384</v>
      </c>
      <c r="P4368" t="str">
        <f>HYPERLINK("https://www.reddit.com/r/notliketheothergirls/")</f>
        <v>https://www.reddit.com/r/notliketheothergirls/</v>
      </c>
      <c r="R4368" t="s">
        <v>516</v>
      </c>
      <c r="S4368" t="s">
        <v>51</v>
      </c>
      <c r="AM4368" t="s">
        <v>52</v>
      </c>
      <c r="AN4368" t="s">
        <v>53</v>
      </c>
    </row>
    <row r="4369" spans="1:40">
      <c r="A4369" t="s">
        <v>13057</v>
      </c>
      <c r="B4369" t="s">
        <v>13385</v>
      </c>
      <c r="C4369" t="s">
        <v>13386</v>
      </c>
      <c r="D4369" t="s">
        <v>52</v>
      </c>
      <c r="E4369" t="s">
        <v>13387</v>
      </c>
      <c r="F4369" t="s">
        <v>131</v>
      </c>
      <c r="G4369" t="str">
        <f>HYPERLINK("https://twitter.com/756635793142255616/status/1142622159916765184")</f>
        <v>https://twitter.com/756635793142255616/status/1142622159916765184</v>
      </c>
      <c r="H4369" t="s">
        <v>46</v>
      </c>
      <c r="I4369" t="s">
        <v>13388</v>
      </c>
      <c r="J4369" t="str">
        <f>HYPERLINK("http://twitter.com/LulaPuch")</f>
        <v>http://twitter.com/LulaPuch</v>
      </c>
      <c r="K4369">
        <v>1904</v>
      </c>
      <c r="N4369" t="s">
        <v>65</v>
      </c>
      <c r="R4369" t="s">
        <v>60</v>
      </c>
      <c r="S4369" t="s">
        <v>51</v>
      </c>
      <c r="T4369" t="s">
        <v>173</v>
      </c>
      <c r="W4369">
        <v>0</v>
      </c>
      <c r="X4369">
        <v>0</v>
      </c>
      <c r="AE4369">
        <v>0</v>
      </c>
      <c r="AM4369" t="s">
        <v>52</v>
      </c>
      <c r="AN4369" t="s">
        <v>53</v>
      </c>
    </row>
    <row r="4370" spans="1:40">
      <c r="A4370" t="s">
        <v>13057</v>
      </c>
      <c r="B4370" t="s">
        <v>8446</v>
      </c>
      <c r="C4370" t="s">
        <v>12619</v>
      </c>
      <c r="D4370" t="s">
        <v>12931</v>
      </c>
      <c r="E4370" t="s">
        <v>13389</v>
      </c>
      <c r="F4370" t="s">
        <v>95</v>
      </c>
      <c r="G4370" t="str">
        <f>HYPERLINK("https://www.youtube.com/watch?v=2RoZJaVEeCA&amp;lc=Ugw29BG-cQaF4fauBA14AaABAg.8wVmE_oBwWk8wVmm5KdJcy")</f>
        <v>https://www.youtube.com/watch?v=2RoZJaVEeCA&amp;lc=Ugw29BG-cQaF4fauBA14AaABAg.8wVmE_oBwWk8wVmm5KdJcy</v>
      </c>
      <c r="H4370" t="s">
        <v>46</v>
      </c>
      <c r="I4370" t="s">
        <v>12934</v>
      </c>
      <c r="J4370" t="str">
        <f>HYPERLINK("https://www.youtube.com/channel/UC_Or-6_E9aesSJmoJ1QSc6Q")</f>
        <v>https://www.youtube.com/channel/UC_Or-6_E9aesSJmoJ1QSc6Q</v>
      </c>
      <c r="K4370">
        <v>160448</v>
      </c>
      <c r="N4370" t="s">
        <v>116</v>
      </c>
      <c r="O4370" t="s">
        <v>12934</v>
      </c>
      <c r="P4370" t="str">
        <f>HYPERLINK("https://www.youtube.com/channel/UC_Or-6_E9aesSJmoJ1QSc6Q")</f>
        <v>https://www.youtube.com/channel/UC_Or-6_E9aesSJmoJ1QSc6Q</v>
      </c>
      <c r="Q4370">
        <v>160448</v>
      </c>
      <c r="R4370" t="s">
        <v>60</v>
      </c>
      <c r="S4370" t="s">
        <v>437</v>
      </c>
      <c r="W4370">
        <v>0</v>
      </c>
      <c r="X4370">
        <v>0</v>
      </c>
      <c r="AM4370" t="s">
        <v>52</v>
      </c>
      <c r="AN4370" t="s">
        <v>53</v>
      </c>
    </row>
    <row r="4371" spans="1:40">
      <c r="A4371" t="s">
        <v>13057</v>
      </c>
      <c r="B4371" t="s">
        <v>2788</v>
      </c>
      <c r="C4371" t="s">
        <v>12619</v>
      </c>
      <c r="D4371" t="s">
        <v>12931</v>
      </c>
      <c r="E4371" t="s">
        <v>13390</v>
      </c>
      <c r="F4371" t="s">
        <v>95</v>
      </c>
      <c r="G4371" t="str">
        <f>HYPERLINK("https://www.youtube.com/watch?v=2RoZJaVEeCA&amp;lc=UgxJkke_qSMbkFhExWF4AaABAg.8wVj8qNWN7G8wVmf67eomQ")</f>
        <v>https://www.youtube.com/watch?v=2RoZJaVEeCA&amp;lc=UgxJkke_qSMbkFhExWF4AaABAg.8wVj8qNWN7G8wVmf67eomQ</v>
      </c>
      <c r="H4371" t="s">
        <v>46</v>
      </c>
      <c r="I4371" t="s">
        <v>13391</v>
      </c>
      <c r="J4371" t="str">
        <f>HYPERLINK("https://www.youtube.com/channel/UCzu8MRs0nHvydGDmbDy7l7A")</f>
        <v>https://www.youtube.com/channel/UCzu8MRs0nHvydGDmbDy7l7A</v>
      </c>
      <c r="K4371">
        <v>0</v>
      </c>
      <c r="L4371" t="s">
        <v>48</v>
      </c>
      <c r="N4371" t="s">
        <v>116</v>
      </c>
      <c r="O4371" t="s">
        <v>12934</v>
      </c>
      <c r="P4371" t="str">
        <f>HYPERLINK("https://www.youtube.com/channel/UC_Or-6_E9aesSJmoJ1QSc6Q")</f>
        <v>https://www.youtube.com/channel/UC_Or-6_E9aesSJmoJ1QSc6Q</v>
      </c>
      <c r="Q4371">
        <v>160448</v>
      </c>
      <c r="R4371" t="s">
        <v>60</v>
      </c>
      <c r="S4371" t="s">
        <v>437</v>
      </c>
      <c r="W4371">
        <v>0</v>
      </c>
      <c r="X4371">
        <v>0</v>
      </c>
      <c r="AM4371" t="s">
        <v>52</v>
      </c>
      <c r="AN4371" t="s">
        <v>53</v>
      </c>
    </row>
    <row r="4372" spans="1:40">
      <c r="A4372" t="s">
        <v>13057</v>
      </c>
      <c r="B4372" t="s">
        <v>2788</v>
      </c>
      <c r="C4372" t="s">
        <v>12082</v>
      </c>
      <c r="D4372" t="s">
        <v>52</v>
      </c>
      <c r="E4372" t="s">
        <v>13392</v>
      </c>
      <c r="F4372" t="s">
        <v>45</v>
      </c>
      <c r="G4372" t="str">
        <f>HYPERLINK("https://www.facebook.com/219346565378807/posts/375692036410925")</f>
        <v>https://www.facebook.com/219346565378807/posts/375692036410925</v>
      </c>
      <c r="H4372" t="s">
        <v>46</v>
      </c>
      <c r="I4372" t="s">
        <v>13393</v>
      </c>
      <c r="J4372" t="str">
        <f>HYPERLINK("https://www.facebook.com/219346565378807")</f>
        <v>https://www.facebook.com/219346565378807</v>
      </c>
      <c r="K4372">
        <v>15249</v>
      </c>
      <c r="L4372" t="s">
        <v>651</v>
      </c>
      <c r="N4372" t="s">
        <v>1792</v>
      </c>
      <c r="O4372" t="s">
        <v>13393</v>
      </c>
      <c r="P4372" t="str">
        <f>HYPERLINK("https://www.facebook.com/219346565378807")</f>
        <v>https://www.facebook.com/219346565378807</v>
      </c>
      <c r="Q4372">
        <v>15249</v>
      </c>
      <c r="R4372" t="s">
        <v>60</v>
      </c>
      <c r="W4372">
        <v>102</v>
      </c>
      <c r="X4372">
        <v>8</v>
      </c>
      <c r="Y4372">
        <v>78</v>
      </c>
      <c r="Z4372">
        <v>15</v>
      </c>
      <c r="AA4372">
        <v>1</v>
      </c>
      <c r="AB4372">
        <v>0</v>
      </c>
      <c r="AC4372">
        <v>0</v>
      </c>
      <c r="AE4372">
        <v>1</v>
      </c>
      <c r="AF4372">
        <v>16</v>
      </c>
      <c r="AI4372" t="s">
        <v>108</v>
      </c>
      <c r="AJ4372" t="s">
        <v>52</v>
      </c>
      <c r="AK4372" t="s">
        <v>52</v>
      </c>
      <c r="AL4372" t="str">
        <f>HYPERLINK("https://scontent.xx.fbcdn.net/v/t1.0-9/s720x720/64787588_375692013077594_3645773067835146240_o.jpg?_nc_cat=102&amp;_nc_oc=AQnqjOfw8pIHNDL0UP-T5YUja26tMNq9nSLqBJLtpj1OCuSPYqD45gHZZy74Bj7oiKM&amp;_nc_ht=scontent.xx&amp;oh=deda50b9398683183cf0a4efb218704c&amp;oe=5DC52F83")</f>
        <v>https://scontent.xx.fbcdn.net/v/t1.0-9/s720x720/64787588_375692013077594_3645773067835146240_o.jpg?_nc_cat=102&amp;_nc_oc=AQnqjOfw8pIHNDL0UP-T5YUja26tMNq9nSLqBJLtpj1OCuSPYqD45gHZZy74Bj7oiKM&amp;_nc_ht=scontent.xx&amp;oh=deda50b9398683183cf0a4efb218704c&amp;oe=5DC52F83</v>
      </c>
      <c r="AM4372" t="s">
        <v>52</v>
      </c>
      <c r="AN4372" t="s">
        <v>53</v>
      </c>
    </row>
    <row r="4373" spans="1:40">
      <c r="A4373" t="s">
        <v>13057</v>
      </c>
      <c r="B4373" t="s">
        <v>2788</v>
      </c>
      <c r="C4373" t="s">
        <v>6988</v>
      </c>
      <c r="D4373" t="s">
        <v>13394</v>
      </c>
      <c r="E4373" t="s">
        <v>13395</v>
      </c>
      <c r="F4373" t="s">
        <v>45</v>
      </c>
      <c r="G4373" t="str">
        <f>HYPERLINK("https://apkhook.com/unlock-xbox-360.html")</f>
        <v>https://apkhook.com/unlock-xbox-360.html</v>
      </c>
      <c r="H4373" t="s">
        <v>46</v>
      </c>
      <c r="N4373" t="s">
        <v>1633</v>
      </c>
      <c r="R4373" t="s">
        <v>50</v>
      </c>
      <c r="S4373" t="s">
        <v>51</v>
      </c>
      <c r="AM4373" t="s">
        <v>52</v>
      </c>
      <c r="AN4373" t="s">
        <v>53</v>
      </c>
    </row>
    <row r="4374" spans="1:40">
      <c r="A4374" t="s">
        <v>13057</v>
      </c>
      <c r="B4374" t="s">
        <v>8457</v>
      </c>
      <c r="C4374" t="s">
        <v>6959</v>
      </c>
      <c r="D4374" t="s">
        <v>13396</v>
      </c>
      <c r="E4374" t="s">
        <v>13397</v>
      </c>
      <c r="F4374" t="s">
        <v>45</v>
      </c>
      <c r="G4374" t="str">
        <f>HYPERLINK("https://rootchopper.com/2019/06/22/no-name-tour-day-38-cold-and-dizzy")</f>
        <v>https://rootchopper.com/2019/06/22/no-name-tour-day-38-cold-and-dizzy</v>
      </c>
      <c r="H4374" t="s">
        <v>215</v>
      </c>
      <c r="I4374" t="s">
        <v>13398</v>
      </c>
      <c r="J4374" t="str">
        <f>HYPERLINK("https://rootchopper.com/2019/06/22/no-name-tour-day-38-cold-and-dizzy/")</f>
        <v>https://rootchopper.com/2019/06/22/no-name-tour-day-38-cold-and-dizzy/</v>
      </c>
      <c r="N4374" t="s">
        <v>13399</v>
      </c>
      <c r="R4374" t="s">
        <v>50</v>
      </c>
      <c r="S4374" t="s">
        <v>51</v>
      </c>
      <c r="AM4374" t="s">
        <v>52</v>
      </c>
      <c r="AN4374" t="s">
        <v>53</v>
      </c>
    </row>
    <row r="4375" spans="1:40">
      <c r="A4375" t="s">
        <v>13057</v>
      </c>
      <c r="B4375" t="s">
        <v>2794</v>
      </c>
      <c r="C4375" t="s">
        <v>13400</v>
      </c>
      <c r="D4375" t="s">
        <v>52</v>
      </c>
      <c r="E4375" t="s">
        <v>13401</v>
      </c>
      <c r="F4375" t="s">
        <v>95</v>
      </c>
      <c r="G4375" t="str">
        <f>HYPERLINK("https://twitter.com/1020770247446597632/status/1142620774567747584")</f>
        <v>https://twitter.com/1020770247446597632/status/1142620774567747584</v>
      </c>
      <c r="H4375" t="s">
        <v>46</v>
      </c>
      <c r="I4375" t="s">
        <v>13402</v>
      </c>
      <c r="J4375" t="str">
        <f>HYPERLINK("http://twitter.com/ELByrne1")</f>
        <v>http://twitter.com/ELByrne1</v>
      </c>
      <c r="K4375">
        <v>543</v>
      </c>
      <c r="N4375" t="s">
        <v>65</v>
      </c>
      <c r="R4375" t="s">
        <v>60</v>
      </c>
      <c r="S4375" t="s">
        <v>156</v>
      </c>
      <c r="T4375" t="s">
        <v>1252</v>
      </c>
      <c r="U4375" t="s">
        <v>1252</v>
      </c>
      <c r="W4375">
        <v>2</v>
      </c>
      <c r="X4375">
        <v>2</v>
      </c>
      <c r="AE4375">
        <v>1</v>
      </c>
      <c r="AF4375">
        <v>0</v>
      </c>
      <c r="AM4375" t="s">
        <v>52</v>
      </c>
      <c r="AN4375" t="s">
        <v>53</v>
      </c>
    </row>
    <row r="4376" spans="1:40">
      <c r="A4376" t="s">
        <v>13057</v>
      </c>
      <c r="B4376" t="s">
        <v>2794</v>
      </c>
      <c r="C4376" t="s">
        <v>11849</v>
      </c>
      <c r="D4376" t="s">
        <v>52</v>
      </c>
      <c r="E4376" t="s">
        <v>13403</v>
      </c>
      <c r="F4376" t="s">
        <v>45</v>
      </c>
      <c r="G4376" t="str">
        <f>HYPERLINK("https://www.instagram.com/p/BzCRiu5HCKi")</f>
        <v>https://www.instagram.com/p/BzCRiu5HCKi</v>
      </c>
      <c r="H4376" t="s">
        <v>215</v>
      </c>
      <c r="I4376" t="s">
        <v>13404</v>
      </c>
      <c r="J4376" t="str">
        <f>HYPERLINK("http://instagram.com/haha.kookaburra")</f>
        <v>http://instagram.com/haha.kookaburra</v>
      </c>
      <c r="K4376">
        <v>18993</v>
      </c>
      <c r="N4376" t="s">
        <v>59</v>
      </c>
      <c r="O4376" t="s">
        <v>13404</v>
      </c>
      <c r="P4376" t="str">
        <f>HYPERLINK("http://instagram.com/haha.kookaburra")</f>
        <v>http://instagram.com/haha.kookaburra</v>
      </c>
      <c r="Q4376">
        <v>18993</v>
      </c>
      <c r="R4376" t="s">
        <v>60</v>
      </c>
      <c r="W4376">
        <v>90</v>
      </c>
      <c r="X4376">
        <v>90</v>
      </c>
      <c r="AE4376">
        <v>3</v>
      </c>
      <c r="AI4376" t="s">
        <v>108</v>
      </c>
      <c r="AJ4376" t="s">
        <v>1750</v>
      </c>
      <c r="AK4376" t="s">
        <v>52</v>
      </c>
      <c r="AL4376" t="str">
        <f>HYPERLINK("https://www.instagram.com/p/BzCRiu5HCKi/media/?size=l")</f>
        <v>https://www.instagram.com/p/BzCRiu5HCKi/media/?size=l</v>
      </c>
      <c r="AM4376" t="s">
        <v>52</v>
      </c>
      <c r="AN4376" t="s">
        <v>53</v>
      </c>
    </row>
    <row r="4377" spans="1:40">
      <c r="A4377" t="s">
        <v>13057</v>
      </c>
      <c r="B4377" t="s">
        <v>2794</v>
      </c>
      <c r="C4377" t="s">
        <v>13405</v>
      </c>
      <c r="D4377" t="s">
        <v>52</v>
      </c>
      <c r="E4377" t="s">
        <v>13406</v>
      </c>
      <c r="F4377" t="s">
        <v>45</v>
      </c>
      <c r="G4377" t="str">
        <f>HYPERLINK("https://twitter.com/1038241114900377600/status/1142620556640030721")</f>
        <v>https://twitter.com/1038241114900377600/status/1142620556640030721</v>
      </c>
      <c r="H4377" t="s">
        <v>46</v>
      </c>
      <c r="I4377" t="s">
        <v>9038</v>
      </c>
      <c r="J4377" t="str">
        <f>HYPERLINK("http://twitter.com/ItsNickyBoy67")</f>
        <v>http://twitter.com/ItsNickyBoy67</v>
      </c>
      <c r="K4377">
        <v>13</v>
      </c>
      <c r="L4377" t="s">
        <v>48</v>
      </c>
      <c r="N4377" t="s">
        <v>65</v>
      </c>
      <c r="R4377" t="s">
        <v>60</v>
      </c>
      <c r="S4377" t="s">
        <v>51</v>
      </c>
      <c r="T4377" t="s">
        <v>66</v>
      </c>
      <c r="W4377">
        <v>0</v>
      </c>
      <c r="X4377">
        <v>0</v>
      </c>
      <c r="AE4377">
        <v>0</v>
      </c>
      <c r="AF4377">
        <v>0</v>
      </c>
      <c r="AI4377" t="s">
        <v>52</v>
      </c>
      <c r="AJ4377" t="s">
        <v>52</v>
      </c>
      <c r="AK4377" t="s">
        <v>110</v>
      </c>
      <c r="AL4377" t="str">
        <f>HYPERLINK("https://pbs.twimg.com/media/D9tnVrYWwAEu5Oh.jpg")</f>
        <v>https://pbs.twimg.com/media/D9tnVrYWwAEu5Oh.jpg</v>
      </c>
      <c r="AM4377" t="s">
        <v>52</v>
      </c>
      <c r="AN4377" t="s">
        <v>53</v>
      </c>
    </row>
    <row r="4378" spans="1:40">
      <c r="A4378" t="s">
        <v>13057</v>
      </c>
      <c r="B4378" t="s">
        <v>2794</v>
      </c>
      <c r="C4378" t="s">
        <v>12619</v>
      </c>
      <c r="D4378" t="s">
        <v>12931</v>
      </c>
      <c r="E4378" t="s">
        <v>13407</v>
      </c>
      <c r="F4378" t="s">
        <v>95</v>
      </c>
      <c r="G4378" t="str">
        <f>HYPERLINK("https://www.youtube.com/watch?v=2RoZJaVEeCA&amp;lc=Ugz2Msh6P-KALkk3gpZ4AaABAg")</f>
        <v>https://www.youtube.com/watch?v=2RoZJaVEeCA&amp;lc=Ugz2Msh6P-KALkk3gpZ4AaABAg</v>
      </c>
      <c r="H4378" t="s">
        <v>46</v>
      </c>
      <c r="I4378" t="s">
        <v>13408</v>
      </c>
      <c r="J4378" t="str">
        <f>HYPERLINK("https://www.youtube.com/channel/UCeuqKHGUmh2apJSAV2g1cHw")</f>
        <v>https://www.youtube.com/channel/UCeuqKHGUmh2apJSAV2g1cHw</v>
      </c>
      <c r="K4378">
        <v>10</v>
      </c>
      <c r="N4378" t="s">
        <v>116</v>
      </c>
      <c r="O4378" t="s">
        <v>12934</v>
      </c>
      <c r="P4378" t="str">
        <f>HYPERLINK("https://www.youtube.com/channel/UC_Or-6_E9aesSJmoJ1QSc6Q")</f>
        <v>https://www.youtube.com/channel/UC_Or-6_E9aesSJmoJ1QSc6Q</v>
      </c>
      <c r="Q4378">
        <v>160448</v>
      </c>
      <c r="R4378" t="s">
        <v>60</v>
      </c>
      <c r="S4378" t="s">
        <v>437</v>
      </c>
      <c r="W4378">
        <v>0</v>
      </c>
      <c r="X4378">
        <v>0</v>
      </c>
      <c r="AE4378">
        <v>0</v>
      </c>
      <c r="AM4378" t="s">
        <v>52</v>
      </c>
      <c r="AN4378" t="s">
        <v>53</v>
      </c>
    </row>
    <row r="4379" spans="1:40">
      <c r="A4379" t="s">
        <v>13057</v>
      </c>
      <c r="B4379" t="s">
        <v>2799</v>
      </c>
      <c r="C4379" t="s">
        <v>13409</v>
      </c>
      <c r="D4379" t="s">
        <v>52</v>
      </c>
      <c r="E4379" t="s">
        <v>13410</v>
      </c>
      <c r="F4379" t="s">
        <v>45</v>
      </c>
      <c r="G4379" t="str">
        <f>HYPERLINK("https://twitter.com/969304962/status/1142620534271807489")</f>
        <v>https://twitter.com/969304962/status/1142620534271807489</v>
      </c>
      <c r="H4379" t="s">
        <v>46</v>
      </c>
      <c r="I4379" t="s">
        <v>13411</v>
      </c>
      <c r="J4379" t="str">
        <f>HYPERLINK("http://twitter.com/PunkCatCincy")</f>
        <v>http://twitter.com/PunkCatCincy</v>
      </c>
      <c r="K4379">
        <v>491</v>
      </c>
      <c r="N4379" t="s">
        <v>65</v>
      </c>
      <c r="R4379" t="s">
        <v>60</v>
      </c>
      <c r="S4379" t="s">
        <v>51</v>
      </c>
      <c r="W4379">
        <v>0</v>
      </c>
      <c r="X4379">
        <v>0</v>
      </c>
      <c r="AE4379">
        <v>0</v>
      </c>
      <c r="AF4379">
        <v>0</v>
      </c>
      <c r="AM4379" t="s">
        <v>52</v>
      </c>
      <c r="AN4379" t="s">
        <v>53</v>
      </c>
    </row>
    <row r="4380" spans="1:40">
      <c r="A4380" t="s">
        <v>13057</v>
      </c>
      <c r="B4380" t="s">
        <v>2799</v>
      </c>
      <c r="C4380" t="s">
        <v>12619</v>
      </c>
      <c r="D4380" t="s">
        <v>12931</v>
      </c>
      <c r="E4380" t="s">
        <v>13412</v>
      </c>
      <c r="F4380" t="s">
        <v>95</v>
      </c>
      <c r="G4380" t="str">
        <f>HYPERLINK("https://www.youtube.com/watch?v=2RoZJaVEeCA&amp;lc=UgxxY8zlSs2XlK1VyIF4AaABAg")</f>
        <v>https://www.youtube.com/watch?v=2RoZJaVEeCA&amp;lc=UgxxY8zlSs2XlK1VyIF4AaABAg</v>
      </c>
      <c r="H4380" t="s">
        <v>46</v>
      </c>
      <c r="I4380" t="s">
        <v>13413</v>
      </c>
      <c r="J4380" t="str">
        <f>HYPERLINK("https://www.youtube.com/channel/UC64aCPPApSlchJ4Ed7YrQyg")</f>
        <v>https://www.youtube.com/channel/UC64aCPPApSlchJ4Ed7YrQyg</v>
      </c>
      <c r="K4380">
        <v>0</v>
      </c>
      <c r="L4380" t="s">
        <v>48</v>
      </c>
      <c r="N4380" t="s">
        <v>116</v>
      </c>
      <c r="O4380" t="s">
        <v>12934</v>
      </c>
      <c r="P4380" t="str">
        <f>HYPERLINK("https://www.youtube.com/channel/UC_Or-6_E9aesSJmoJ1QSc6Q")</f>
        <v>https://www.youtube.com/channel/UC_Or-6_E9aesSJmoJ1QSc6Q</v>
      </c>
      <c r="Q4380">
        <v>160448</v>
      </c>
      <c r="R4380" t="s">
        <v>60</v>
      </c>
      <c r="S4380" t="s">
        <v>437</v>
      </c>
      <c r="W4380">
        <v>0</v>
      </c>
      <c r="X4380">
        <v>0</v>
      </c>
      <c r="AE4380">
        <v>0</v>
      </c>
      <c r="AM4380" t="s">
        <v>52</v>
      </c>
      <c r="AN4380" t="s">
        <v>53</v>
      </c>
    </row>
    <row r="4381" spans="1:40">
      <c r="A4381" t="s">
        <v>13057</v>
      </c>
      <c r="B4381" t="s">
        <v>2808</v>
      </c>
      <c r="C4381" t="s">
        <v>13405</v>
      </c>
      <c r="D4381" t="s">
        <v>52</v>
      </c>
      <c r="E4381" t="s">
        <v>13414</v>
      </c>
      <c r="F4381" t="s">
        <v>95</v>
      </c>
      <c r="G4381" t="str">
        <f>HYPERLINK("https://twitter.com/486829968/status/1142620162920779776")</f>
        <v>https://twitter.com/486829968/status/1142620162920779776</v>
      </c>
      <c r="H4381" t="s">
        <v>46</v>
      </c>
      <c r="I4381" t="s">
        <v>13415</v>
      </c>
      <c r="J4381" t="str">
        <f>HYPERLINK("http://twitter.com/thepizzatom")</f>
        <v>http://twitter.com/thepizzatom</v>
      </c>
      <c r="K4381">
        <v>42</v>
      </c>
      <c r="N4381" t="s">
        <v>65</v>
      </c>
      <c r="R4381" t="s">
        <v>60</v>
      </c>
      <c r="S4381" t="s">
        <v>51</v>
      </c>
      <c r="T4381" t="s">
        <v>678</v>
      </c>
      <c r="U4381" t="s">
        <v>679</v>
      </c>
      <c r="W4381">
        <v>0</v>
      </c>
      <c r="X4381">
        <v>0</v>
      </c>
      <c r="AE4381">
        <v>0</v>
      </c>
      <c r="AF4381">
        <v>0</v>
      </c>
      <c r="AM4381" t="s">
        <v>52</v>
      </c>
      <c r="AN4381" t="s">
        <v>53</v>
      </c>
    </row>
    <row r="4382" spans="1:40">
      <c r="A4382" t="s">
        <v>13057</v>
      </c>
      <c r="B4382" t="s">
        <v>2808</v>
      </c>
      <c r="C4382" t="s">
        <v>13405</v>
      </c>
      <c r="D4382" t="s">
        <v>52</v>
      </c>
      <c r="E4382" t="s">
        <v>13416</v>
      </c>
      <c r="F4382" t="s">
        <v>45</v>
      </c>
      <c r="G4382" t="str">
        <f>HYPERLINK("https://www.instagram.com/p/BzCRV4zABwT")</f>
        <v>https://www.instagram.com/p/BzCRV4zABwT</v>
      </c>
      <c r="H4382" t="s">
        <v>46</v>
      </c>
      <c r="I4382" t="s">
        <v>13417</v>
      </c>
      <c r="J4382" t="str">
        <f>HYPERLINK("http://instagram.com/whooism")</f>
        <v>http://instagram.com/whooism</v>
      </c>
      <c r="K4382">
        <v>150</v>
      </c>
      <c r="N4382" t="s">
        <v>59</v>
      </c>
      <c r="O4382" t="s">
        <v>13417</v>
      </c>
      <c r="P4382" t="str">
        <f>HYPERLINK("http://instagram.com/whooism")</f>
        <v>http://instagram.com/whooism</v>
      </c>
      <c r="Q4382">
        <v>150</v>
      </c>
      <c r="R4382" t="s">
        <v>60</v>
      </c>
      <c r="W4382">
        <v>9</v>
      </c>
      <c r="X4382">
        <v>9</v>
      </c>
      <c r="AE4382">
        <v>0</v>
      </c>
      <c r="AI4382" t="s">
        <v>108</v>
      </c>
      <c r="AJ4382" t="s">
        <v>4819</v>
      </c>
      <c r="AK4382" t="s">
        <v>52</v>
      </c>
      <c r="AL4382" t="str">
        <f>HYPERLINK("https://www.instagram.com/p/BzCRV4zABwT/media/?size=l")</f>
        <v>https://www.instagram.com/p/BzCRV4zABwT/media/?size=l</v>
      </c>
      <c r="AM4382" t="s">
        <v>52</v>
      </c>
      <c r="AN4382" t="s">
        <v>53</v>
      </c>
    </row>
    <row r="4383" spans="1:40">
      <c r="A4383" t="s">
        <v>13057</v>
      </c>
      <c r="B4383" t="s">
        <v>8482</v>
      </c>
      <c r="C4383" t="s">
        <v>12619</v>
      </c>
      <c r="D4383" t="s">
        <v>12931</v>
      </c>
      <c r="E4383" t="s">
        <v>13418</v>
      </c>
      <c r="F4383" t="s">
        <v>95</v>
      </c>
      <c r="G4383" t="str">
        <f>HYPERLINK("https://www.youtube.com/watch?v=2RoZJaVEeCA&amp;lc=UgxUYDEWBi-ki_51kRB4AaABAg")</f>
        <v>https://www.youtube.com/watch?v=2RoZJaVEeCA&amp;lc=UgxUYDEWBi-ki_51kRB4AaABAg</v>
      </c>
      <c r="H4383" t="s">
        <v>46</v>
      </c>
      <c r="I4383" t="s">
        <v>13419</v>
      </c>
      <c r="J4383" t="str">
        <f>HYPERLINK("https://www.youtube.com/channel/UC54b4Xoi7oUxYfd__O2McJQ")</f>
        <v>https://www.youtube.com/channel/UC54b4Xoi7oUxYfd__O2McJQ</v>
      </c>
      <c r="K4383">
        <v>71</v>
      </c>
      <c r="L4383" t="s">
        <v>48</v>
      </c>
      <c r="N4383" t="s">
        <v>116</v>
      </c>
      <c r="O4383" t="s">
        <v>12934</v>
      </c>
      <c r="P4383" t="str">
        <f>HYPERLINK("https://www.youtube.com/channel/UC_Or-6_E9aesSJmoJ1QSc6Q")</f>
        <v>https://www.youtube.com/channel/UC_Or-6_E9aesSJmoJ1QSc6Q</v>
      </c>
      <c r="Q4383">
        <v>160448</v>
      </c>
      <c r="R4383" t="s">
        <v>60</v>
      </c>
      <c r="S4383" t="s">
        <v>437</v>
      </c>
      <c r="W4383">
        <v>0</v>
      </c>
      <c r="X4383">
        <v>0</v>
      </c>
      <c r="AE4383">
        <v>0</v>
      </c>
      <c r="AM4383" t="s">
        <v>52</v>
      </c>
      <c r="AN4383" t="s">
        <v>53</v>
      </c>
    </row>
    <row r="4384" spans="1:40">
      <c r="A4384" t="s">
        <v>13057</v>
      </c>
      <c r="B4384" t="s">
        <v>8482</v>
      </c>
      <c r="C4384" t="s">
        <v>12619</v>
      </c>
      <c r="D4384" t="s">
        <v>12931</v>
      </c>
      <c r="E4384" t="s">
        <v>13420</v>
      </c>
      <c r="F4384" t="s">
        <v>95</v>
      </c>
      <c r="G4384" t="str">
        <f>HYPERLINK("https://www.youtube.com/watch?v=2RoZJaVEeCA&amp;lc=UgyiGA_5kvAPSQPVYbN4AaABAg")</f>
        <v>https://www.youtube.com/watch?v=2RoZJaVEeCA&amp;lc=UgyiGA_5kvAPSQPVYbN4AaABAg</v>
      </c>
      <c r="H4384" t="s">
        <v>46</v>
      </c>
      <c r="I4384" t="s">
        <v>13421</v>
      </c>
      <c r="J4384" t="str">
        <f>HYPERLINK("https://www.youtube.com/channel/UCSkU4nvhDFYBnkNeLZx5-kQ")</f>
        <v>https://www.youtube.com/channel/UCSkU4nvhDFYBnkNeLZx5-kQ</v>
      </c>
      <c r="K4384">
        <v>11</v>
      </c>
      <c r="N4384" t="s">
        <v>116</v>
      </c>
      <c r="O4384" t="s">
        <v>12934</v>
      </c>
      <c r="P4384" t="str">
        <f>HYPERLINK("https://www.youtube.com/channel/UC_Or-6_E9aesSJmoJ1QSc6Q")</f>
        <v>https://www.youtube.com/channel/UC_Or-6_E9aesSJmoJ1QSc6Q</v>
      </c>
      <c r="Q4384">
        <v>160448</v>
      </c>
      <c r="R4384" t="s">
        <v>60</v>
      </c>
      <c r="S4384" t="s">
        <v>437</v>
      </c>
      <c r="W4384">
        <v>0</v>
      </c>
      <c r="X4384">
        <v>0</v>
      </c>
      <c r="AE4384">
        <v>0</v>
      </c>
      <c r="AM4384" t="s">
        <v>52</v>
      </c>
      <c r="AN4384" t="s">
        <v>53</v>
      </c>
    </row>
    <row r="4385" spans="1:40">
      <c r="A4385" t="s">
        <v>13057</v>
      </c>
      <c r="B4385" t="s">
        <v>2817</v>
      </c>
      <c r="C4385" t="s">
        <v>13422</v>
      </c>
      <c r="D4385" t="s">
        <v>52</v>
      </c>
      <c r="E4385" t="s">
        <v>13423</v>
      </c>
      <c r="F4385" t="s">
        <v>95</v>
      </c>
      <c r="G4385" t="str">
        <f>HYPERLINK("https://twitter.com/271533777/status/1142619369849139201")</f>
        <v>https://twitter.com/271533777/status/1142619369849139201</v>
      </c>
      <c r="H4385" t="s">
        <v>46</v>
      </c>
      <c r="I4385" t="s">
        <v>13424</v>
      </c>
      <c r="J4385" t="str">
        <f>HYPERLINK("http://twitter.com/deHmannen")</f>
        <v>http://twitter.com/deHmannen</v>
      </c>
      <c r="K4385">
        <v>1129</v>
      </c>
      <c r="N4385" t="s">
        <v>65</v>
      </c>
      <c r="R4385" t="s">
        <v>60</v>
      </c>
      <c r="W4385">
        <v>4</v>
      </c>
      <c r="X4385">
        <v>4</v>
      </c>
      <c r="AE4385">
        <v>2</v>
      </c>
      <c r="AF4385">
        <v>0</v>
      </c>
      <c r="AM4385" t="s">
        <v>52</v>
      </c>
      <c r="AN4385" t="s">
        <v>53</v>
      </c>
    </row>
    <row r="4386" spans="1:40">
      <c r="A4386" t="s">
        <v>13057</v>
      </c>
      <c r="B4386" t="s">
        <v>2820</v>
      </c>
      <c r="C4386" t="s">
        <v>12619</v>
      </c>
      <c r="D4386" t="s">
        <v>12931</v>
      </c>
      <c r="E4386" t="s">
        <v>13425</v>
      </c>
      <c r="F4386" t="s">
        <v>95</v>
      </c>
      <c r="G4386" t="str">
        <f>HYPERLINK("https://www.youtube.com/watch?v=2RoZJaVEeCA&amp;lc=UgxbHM6lQ4UA-Mxyp1R4AaABAg")</f>
        <v>https://www.youtube.com/watch?v=2RoZJaVEeCA&amp;lc=UgxbHM6lQ4UA-Mxyp1R4AaABAg</v>
      </c>
      <c r="H4386" t="s">
        <v>46</v>
      </c>
      <c r="I4386" t="s">
        <v>13421</v>
      </c>
      <c r="J4386" t="str">
        <f>HYPERLINK("https://www.youtube.com/channel/UCSkU4nvhDFYBnkNeLZx5-kQ")</f>
        <v>https://www.youtube.com/channel/UCSkU4nvhDFYBnkNeLZx5-kQ</v>
      </c>
      <c r="K4386">
        <v>11</v>
      </c>
      <c r="N4386" t="s">
        <v>116</v>
      </c>
      <c r="O4386" t="s">
        <v>12934</v>
      </c>
      <c r="P4386" t="str">
        <f>HYPERLINK("https://www.youtube.com/channel/UC_Or-6_E9aesSJmoJ1QSc6Q")</f>
        <v>https://www.youtube.com/channel/UC_Or-6_E9aesSJmoJ1QSc6Q</v>
      </c>
      <c r="Q4386">
        <v>160448</v>
      </c>
      <c r="R4386" t="s">
        <v>60</v>
      </c>
      <c r="S4386" t="s">
        <v>437</v>
      </c>
      <c r="W4386">
        <v>0</v>
      </c>
      <c r="X4386">
        <v>0</v>
      </c>
      <c r="AE4386">
        <v>0</v>
      </c>
      <c r="AM4386" t="s">
        <v>52</v>
      </c>
      <c r="AN4386" t="s">
        <v>53</v>
      </c>
    </row>
    <row r="4387" spans="1:40">
      <c r="A4387" t="s">
        <v>13057</v>
      </c>
      <c r="B4387" t="s">
        <v>2824</v>
      </c>
      <c r="C4387" t="s">
        <v>12619</v>
      </c>
      <c r="D4387" t="s">
        <v>12931</v>
      </c>
      <c r="E4387" t="s">
        <v>13426</v>
      </c>
      <c r="F4387" t="s">
        <v>95</v>
      </c>
      <c r="G4387" t="str">
        <f>HYPERLINK("https://www.youtube.com/watch?v=2RoZJaVEeCA&amp;lc=Ugy9PykJ6sWi_yrbgGt4AaABAg")</f>
        <v>https://www.youtube.com/watch?v=2RoZJaVEeCA&amp;lc=Ugy9PykJ6sWi_yrbgGt4AaABAg</v>
      </c>
      <c r="H4387" t="s">
        <v>46</v>
      </c>
      <c r="I4387" t="s">
        <v>13427</v>
      </c>
      <c r="J4387" t="str">
        <f>HYPERLINK("https://www.youtube.com/channel/UC5yo9Q1sdaIh3Mu4yK2Qx5g")</f>
        <v>https://www.youtube.com/channel/UC5yo9Q1sdaIh3Mu4yK2Qx5g</v>
      </c>
      <c r="K4387">
        <v>2</v>
      </c>
      <c r="L4387" t="s">
        <v>48</v>
      </c>
      <c r="N4387" t="s">
        <v>116</v>
      </c>
      <c r="O4387" t="s">
        <v>12934</v>
      </c>
      <c r="P4387" t="str">
        <f>HYPERLINK("https://www.youtube.com/channel/UC_Or-6_E9aesSJmoJ1QSc6Q")</f>
        <v>https://www.youtube.com/channel/UC_Or-6_E9aesSJmoJ1QSc6Q</v>
      </c>
      <c r="Q4387">
        <v>160448</v>
      </c>
      <c r="R4387" t="s">
        <v>60</v>
      </c>
      <c r="S4387" t="s">
        <v>437</v>
      </c>
      <c r="W4387">
        <v>0</v>
      </c>
      <c r="X4387">
        <v>0</v>
      </c>
      <c r="AE4387">
        <v>0</v>
      </c>
      <c r="AM4387" t="s">
        <v>52</v>
      </c>
      <c r="AN4387" t="s">
        <v>53</v>
      </c>
    </row>
    <row r="4388" spans="1:40">
      <c r="A4388" t="s">
        <v>13057</v>
      </c>
      <c r="B4388" t="s">
        <v>2824</v>
      </c>
      <c r="C4388" t="s">
        <v>13428</v>
      </c>
      <c r="D4388" t="s">
        <v>1880</v>
      </c>
      <c r="E4388" t="s">
        <v>13429</v>
      </c>
      <c r="F4388" t="s">
        <v>95</v>
      </c>
      <c r="G4388" t="str">
        <f>HYPERLINK("https://www.brandeating.com/2019/06/kfc-set-to-launch-new-cheetos-sandwich-on-july-1-2019.html#comment-4512575645")</f>
        <v>https://www.brandeating.com/2019/06/kfc-set-to-launch-new-cheetos-sandwich-on-july-1-2019.html#comment-4512575645</v>
      </c>
      <c r="H4388" t="s">
        <v>46</v>
      </c>
      <c r="I4388" t="s">
        <v>13430</v>
      </c>
      <c r="J4388" t="str">
        <f>HYPERLINK("https://disqus.com/by/disqus_GeRSEGn0QZ/")</f>
        <v>https://disqus.com/by/disqus_GeRSEGn0QZ/</v>
      </c>
      <c r="K4388">
        <v>0</v>
      </c>
      <c r="N4388" t="s">
        <v>1883</v>
      </c>
      <c r="O4388" t="s">
        <v>1884</v>
      </c>
      <c r="P4388" t="str">
        <f>HYPERLINK("https://disqus.com/home/forum/brandeating/")</f>
        <v>https://disqus.com/home/forum/brandeating/</v>
      </c>
      <c r="R4388" t="s">
        <v>50</v>
      </c>
      <c r="W4388">
        <v>0</v>
      </c>
      <c r="X4388">
        <v>0</v>
      </c>
      <c r="AM4388" t="s">
        <v>52</v>
      </c>
      <c r="AN4388" t="s">
        <v>53</v>
      </c>
    </row>
    <row r="4389" spans="1:40">
      <c r="A4389" t="s">
        <v>13057</v>
      </c>
      <c r="B4389" t="s">
        <v>2824</v>
      </c>
      <c r="C4389" t="s">
        <v>13431</v>
      </c>
      <c r="D4389" t="s">
        <v>13432</v>
      </c>
      <c r="E4389" t="s">
        <v>13433</v>
      </c>
      <c r="F4389" t="s">
        <v>45</v>
      </c>
      <c r="G4389" t="str">
        <f>HYPERLINK("https://www.reddit.com/r/cosplaygirls/comments/c3okdj/dva_by_maria_fernanda/?sort=new#thing_t1_ertcisf")</f>
        <v>https://www.reddit.com/r/cosplaygirls/comments/c3okdj/dva_by_maria_fernanda/?sort=new#thing_t1_ertcisf</v>
      </c>
      <c r="H4389" t="s">
        <v>46</v>
      </c>
      <c r="I4389" t="s">
        <v>13434</v>
      </c>
      <c r="J4389" t="str">
        <f>HYPERLINK("https://www.reddit.com/r/cosplaygirls/comments/c3okdj/dva_by_maria_fernanda/?sort=new#thing_t1_ertcisf")</f>
        <v>https://www.reddit.com/r/cosplaygirls/comments/c3okdj/dva_by_maria_fernanda/?sort=new#thing_t1_ertcisf</v>
      </c>
      <c r="N4389" t="s">
        <v>545</v>
      </c>
      <c r="O4389" t="s">
        <v>13435</v>
      </c>
      <c r="P4389" t="str">
        <f>HYPERLINK("https://www.reddit.com/r/cosplaygirls/")</f>
        <v>https://www.reddit.com/r/cosplaygirls/</v>
      </c>
      <c r="R4389" t="s">
        <v>516</v>
      </c>
      <c r="S4389" t="s">
        <v>51</v>
      </c>
      <c r="AM4389" t="s">
        <v>52</v>
      </c>
      <c r="AN4389" t="s">
        <v>53</v>
      </c>
    </row>
    <row r="4390" spans="1:40">
      <c r="A4390" t="s">
        <v>13057</v>
      </c>
      <c r="B4390" t="s">
        <v>2824</v>
      </c>
      <c r="C4390" t="s">
        <v>13139</v>
      </c>
      <c r="D4390" t="s">
        <v>1886</v>
      </c>
      <c r="E4390" t="s">
        <v>13429</v>
      </c>
      <c r="F4390" t="s">
        <v>95</v>
      </c>
      <c r="G4390" t="str">
        <f>HYPERLINK("https://www.brandeating.com/2019/06/kfc-set-to-launch-new-cheetos-sandwich-on-july-1-2019.html#post-7")</f>
        <v>https://www.brandeating.com/2019/06/kfc-set-to-launch-new-cheetos-sandwich-on-july-1-2019.html#post-7</v>
      </c>
      <c r="H4390" t="s">
        <v>46</v>
      </c>
      <c r="I4390" t="s">
        <v>13430</v>
      </c>
      <c r="J4390" t="str">
        <f>HYPERLINK("https://www.brandeating.com/2019/06/kfc-set-to-launch-new-cheetos-sandwich-on-july-1-2019.html#post-7")</f>
        <v>https://www.brandeating.com/2019/06/kfc-set-to-launch-new-cheetos-sandwich-on-july-1-2019.html#post-7</v>
      </c>
      <c r="N4390" t="s">
        <v>1883</v>
      </c>
      <c r="R4390" t="s">
        <v>50</v>
      </c>
      <c r="S4390" t="s">
        <v>51</v>
      </c>
      <c r="AM4390" t="s">
        <v>52</v>
      </c>
      <c r="AN4390" t="s">
        <v>53</v>
      </c>
    </row>
    <row r="4391" spans="1:40">
      <c r="A4391" t="s">
        <v>13057</v>
      </c>
      <c r="B4391" t="s">
        <v>2829</v>
      </c>
      <c r="C4391" t="s">
        <v>13436</v>
      </c>
      <c r="D4391" t="s">
        <v>52</v>
      </c>
      <c r="E4391" t="s">
        <v>13437</v>
      </c>
      <c r="F4391" t="s">
        <v>95</v>
      </c>
      <c r="G4391" t="str">
        <f>HYPERLINK("https://twitter.com/35794074/status/1142618726388260865")</f>
        <v>https://twitter.com/35794074/status/1142618726388260865</v>
      </c>
      <c r="H4391" t="s">
        <v>46</v>
      </c>
      <c r="I4391" t="s">
        <v>13438</v>
      </c>
      <c r="J4391" t="str">
        <f>HYPERLINK("http://twitter.com/TomCrzsWtchCrft")</f>
        <v>http://twitter.com/TomCrzsWtchCrft</v>
      </c>
      <c r="K4391">
        <v>13</v>
      </c>
      <c r="N4391" t="s">
        <v>65</v>
      </c>
      <c r="R4391" t="s">
        <v>60</v>
      </c>
      <c r="W4391">
        <v>0</v>
      </c>
      <c r="X4391">
        <v>0</v>
      </c>
      <c r="AE4391">
        <v>0</v>
      </c>
      <c r="AF4391">
        <v>0</v>
      </c>
      <c r="AM4391" t="s">
        <v>52</v>
      </c>
      <c r="AN4391" t="s">
        <v>53</v>
      </c>
    </row>
    <row r="4392" spans="1:40">
      <c r="A4392" t="s">
        <v>13057</v>
      </c>
      <c r="B4392" t="s">
        <v>2829</v>
      </c>
      <c r="C4392" t="s">
        <v>12619</v>
      </c>
      <c r="D4392" t="s">
        <v>12931</v>
      </c>
      <c r="E4392" t="s">
        <v>13439</v>
      </c>
      <c r="F4392" t="s">
        <v>95</v>
      </c>
      <c r="G4392" t="str">
        <f>HYPERLINK("https://www.youtube.com/watch?v=2RoZJaVEeCA&amp;lc=Ugwy1oN4FSrOqmDglPJ4AaABAg.8wVkVmncC1k8wVlZS9CdVG")</f>
        <v>https://www.youtube.com/watch?v=2RoZJaVEeCA&amp;lc=Ugwy1oN4FSrOqmDglPJ4AaABAg.8wVkVmncC1k8wVlZS9CdVG</v>
      </c>
      <c r="H4392" t="s">
        <v>46</v>
      </c>
      <c r="I4392" t="s">
        <v>13440</v>
      </c>
      <c r="J4392" t="str">
        <f>HYPERLINK("https://www.youtube.com/channel/UC9QXdtKBtVbUZDuT0dGs7Dg")</f>
        <v>https://www.youtube.com/channel/UC9QXdtKBtVbUZDuT0dGs7Dg</v>
      </c>
      <c r="K4392">
        <v>5</v>
      </c>
      <c r="L4392" t="s">
        <v>48</v>
      </c>
      <c r="N4392" t="s">
        <v>116</v>
      </c>
      <c r="O4392" t="s">
        <v>12934</v>
      </c>
      <c r="P4392" t="str">
        <f>HYPERLINK("https://www.youtube.com/channel/UC_Or-6_E9aesSJmoJ1QSc6Q")</f>
        <v>https://www.youtube.com/channel/UC_Or-6_E9aesSJmoJ1QSc6Q</v>
      </c>
      <c r="Q4392">
        <v>160448</v>
      </c>
      <c r="R4392" t="s">
        <v>60</v>
      </c>
      <c r="S4392" t="s">
        <v>437</v>
      </c>
      <c r="W4392">
        <v>1</v>
      </c>
      <c r="X4392">
        <v>1</v>
      </c>
      <c r="AM4392" t="s">
        <v>52</v>
      </c>
      <c r="AN4392" t="s">
        <v>53</v>
      </c>
    </row>
    <row r="4393" spans="1:40">
      <c r="A4393" t="s">
        <v>13057</v>
      </c>
      <c r="B4393" t="s">
        <v>2829</v>
      </c>
      <c r="C4393" t="s">
        <v>13441</v>
      </c>
      <c r="D4393" t="s">
        <v>52</v>
      </c>
      <c r="E4393" t="s">
        <v>13442</v>
      </c>
      <c r="F4393" t="s">
        <v>71</v>
      </c>
      <c r="G4393" t="str">
        <f>HYPERLINK("https://twitter.com/871452074302746624/status/1142618606188060673")</f>
        <v>https://twitter.com/871452074302746624/status/1142618606188060673</v>
      </c>
      <c r="H4393" t="s">
        <v>46</v>
      </c>
      <c r="I4393" t="s">
        <v>13443</v>
      </c>
      <c r="J4393" t="str">
        <f>HYPERLINK("http://twitter.com/radoptimist")</f>
        <v>http://twitter.com/radoptimist</v>
      </c>
      <c r="K4393">
        <v>760</v>
      </c>
      <c r="N4393" t="s">
        <v>65</v>
      </c>
      <c r="R4393" t="s">
        <v>60</v>
      </c>
      <c r="W4393">
        <v>0</v>
      </c>
      <c r="X4393">
        <v>0</v>
      </c>
      <c r="AE4393">
        <v>0</v>
      </c>
      <c r="AF4393">
        <v>0</v>
      </c>
      <c r="AM4393" t="s">
        <v>52</v>
      </c>
      <c r="AN4393" t="s">
        <v>53</v>
      </c>
    </row>
    <row r="4394" spans="1:40">
      <c r="A4394" t="s">
        <v>13057</v>
      </c>
      <c r="B4394" t="s">
        <v>2849</v>
      </c>
      <c r="C4394" t="s">
        <v>12619</v>
      </c>
      <c r="D4394" t="s">
        <v>12931</v>
      </c>
      <c r="E4394" t="s">
        <v>13444</v>
      </c>
      <c r="F4394" t="s">
        <v>95</v>
      </c>
      <c r="G4394" t="str">
        <f>HYPERLINK("https://www.youtube.com/watch?v=2RoZJaVEeCA&amp;lc=UgxUkU1I8VlGMaCv-i54AaABAg")</f>
        <v>https://www.youtube.com/watch?v=2RoZJaVEeCA&amp;lc=UgxUkU1I8VlGMaCv-i54AaABAg</v>
      </c>
      <c r="H4394" t="s">
        <v>46</v>
      </c>
      <c r="I4394" t="s">
        <v>13445</v>
      </c>
      <c r="J4394" t="str">
        <f>HYPERLINK("https://www.youtube.com/channel/UChB8fTuFzE6T1rJ2p7AdUww")</f>
        <v>https://www.youtube.com/channel/UChB8fTuFzE6T1rJ2p7AdUww</v>
      </c>
      <c r="K4394">
        <v>0</v>
      </c>
      <c r="N4394" t="s">
        <v>116</v>
      </c>
      <c r="O4394" t="s">
        <v>12934</v>
      </c>
      <c r="P4394" t="str">
        <f>HYPERLINK("https://www.youtube.com/channel/UC_Or-6_E9aesSJmoJ1QSc6Q")</f>
        <v>https://www.youtube.com/channel/UC_Or-6_E9aesSJmoJ1QSc6Q</v>
      </c>
      <c r="Q4394">
        <v>160448</v>
      </c>
      <c r="R4394" t="s">
        <v>60</v>
      </c>
      <c r="S4394" t="s">
        <v>437</v>
      </c>
      <c r="W4394">
        <v>0</v>
      </c>
      <c r="X4394">
        <v>0</v>
      </c>
      <c r="AE4394">
        <v>0</v>
      </c>
      <c r="AM4394" t="s">
        <v>52</v>
      </c>
      <c r="AN4394" t="s">
        <v>53</v>
      </c>
    </row>
    <row r="4395" spans="1:40">
      <c r="A4395" t="s">
        <v>13057</v>
      </c>
      <c r="B4395" t="s">
        <v>2849</v>
      </c>
      <c r="C4395" t="s">
        <v>12619</v>
      </c>
      <c r="D4395" t="s">
        <v>12931</v>
      </c>
      <c r="E4395" t="s">
        <v>13446</v>
      </c>
      <c r="F4395" t="s">
        <v>95</v>
      </c>
      <c r="G4395" t="str">
        <f>HYPERLINK("https://www.youtube.com/watch?v=2RoZJaVEeCA&amp;lc=UgxWhHe5nI9F7PJY0HJ4AaABAg")</f>
        <v>https://www.youtube.com/watch?v=2RoZJaVEeCA&amp;lc=UgxWhHe5nI9F7PJY0HJ4AaABAg</v>
      </c>
      <c r="H4395" t="s">
        <v>46</v>
      </c>
      <c r="I4395" t="s">
        <v>13447</v>
      </c>
      <c r="J4395" t="str">
        <f>HYPERLINK("https://www.youtube.com/channel/UCSyAYNohFko9CBIoVNCc5xQ")</f>
        <v>https://www.youtube.com/channel/UCSyAYNohFko9CBIoVNCc5xQ</v>
      </c>
      <c r="K4395">
        <v>0</v>
      </c>
      <c r="L4395" t="s">
        <v>48</v>
      </c>
      <c r="N4395" t="s">
        <v>116</v>
      </c>
      <c r="O4395" t="s">
        <v>12934</v>
      </c>
      <c r="P4395" t="str">
        <f>HYPERLINK("https://www.youtube.com/channel/UC_Or-6_E9aesSJmoJ1QSc6Q")</f>
        <v>https://www.youtube.com/channel/UC_Or-6_E9aesSJmoJ1QSc6Q</v>
      </c>
      <c r="Q4395">
        <v>160448</v>
      </c>
      <c r="R4395" t="s">
        <v>60</v>
      </c>
      <c r="S4395" t="s">
        <v>437</v>
      </c>
      <c r="W4395">
        <v>0</v>
      </c>
      <c r="X4395">
        <v>0</v>
      </c>
      <c r="AE4395">
        <v>0</v>
      </c>
      <c r="AM4395" t="s">
        <v>52</v>
      </c>
      <c r="AN4395" t="s">
        <v>53</v>
      </c>
    </row>
    <row r="4396" spans="1:40">
      <c r="A4396" t="s">
        <v>13057</v>
      </c>
      <c r="B4396" t="s">
        <v>2849</v>
      </c>
      <c r="C4396" t="s">
        <v>13448</v>
      </c>
      <c r="D4396" t="s">
        <v>52</v>
      </c>
      <c r="E4396" t="s">
        <v>13449</v>
      </c>
      <c r="F4396" t="s">
        <v>45</v>
      </c>
      <c r="G4396" t="str">
        <f>HYPERLINK("https://www.instagram.com/p/BzCQdL5JAht")</f>
        <v>https://www.instagram.com/p/BzCQdL5JAht</v>
      </c>
      <c r="H4396" t="s">
        <v>46</v>
      </c>
      <c r="I4396" t="s">
        <v>13450</v>
      </c>
      <c r="J4396" t="str">
        <f>HYPERLINK("http://instagram.com/thismelissasummers")</f>
        <v>http://instagram.com/thismelissasummers</v>
      </c>
      <c r="K4396">
        <v>1981</v>
      </c>
      <c r="L4396" t="s">
        <v>58</v>
      </c>
      <c r="N4396" t="s">
        <v>59</v>
      </c>
      <c r="O4396" t="s">
        <v>13450</v>
      </c>
      <c r="P4396" t="str">
        <f>HYPERLINK("http://instagram.com/thismelissasummers")</f>
        <v>http://instagram.com/thismelissasummers</v>
      </c>
      <c r="Q4396">
        <v>1981</v>
      </c>
      <c r="R4396" t="s">
        <v>60</v>
      </c>
      <c r="W4396">
        <v>9</v>
      </c>
      <c r="X4396">
        <v>9</v>
      </c>
      <c r="AE4396">
        <v>0</v>
      </c>
      <c r="AI4396" t="s">
        <v>52</v>
      </c>
      <c r="AJ4396" t="s">
        <v>985</v>
      </c>
      <c r="AK4396" t="s">
        <v>52</v>
      </c>
      <c r="AL4396" t="str">
        <f>HYPERLINK("https://www.instagram.com/p/BzCQdL5JAht/media/?size=l")</f>
        <v>https://www.instagram.com/p/BzCQdL5JAht/media/?size=l</v>
      </c>
      <c r="AM4396" t="s">
        <v>52</v>
      </c>
      <c r="AN4396" t="s">
        <v>53</v>
      </c>
    </row>
    <row r="4397" spans="1:40">
      <c r="A4397" t="s">
        <v>13057</v>
      </c>
      <c r="B4397" t="s">
        <v>2849</v>
      </c>
      <c r="C4397" t="s">
        <v>13451</v>
      </c>
      <c r="D4397" t="s">
        <v>52</v>
      </c>
      <c r="E4397" t="s">
        <v>3031</v>
      </c>
      <c r="F4397" t="s">
        <v>131</v>
      </c>
      <c r="G4397" t="str">
        <f>HYPERLINK("https://twitter.com/196603860/status/1142618172698312704")</f>
        <v>https://twitter.com/196603860/status/1142618172698312704</v>
      </c>
      <c r="H4397" t="s">
        <v>46</v>
      </c>
      <c r="I4397" t="s">
        <v>13452</v>
      </c>
      <c r="J4397" t="str">
        <f>HYPERLINK("http://twitter.com/Cvanderkodde")</f>
        <v>http://twitter.com/Cvanderkodde</v>
      </c>
      <c r="K4397">
        <v>50</v>
      </c>
      <c r="L4397" t="s">
        <v>58</v>
      </c>
      <c r="N4397" t="s">
        <v>65</v>
      </c>
      <c r="R4397" t="s">
        <v>60</v>
      </c>
      <c r="S4397" t="s">
        <v>51</v>
      </c>
      <c r="T4397" t="s">
        <v>3136</v>
      </c>
      <c r="U4397" t="s">
        <v>13453</v>
      </c>
      <c r="W4397">
        <v>0</v>
      </c>
      <c r="X4397">
        <v>0</v>
      </c>
      <c r="AE4397">
        <v>0</v>
      </c>
      <c r="AI4397" t="s">
        <v>108</v>
      </c>
      <c r="AJ4397" t="s">
        <v>52</v>
      </c>
      <c r="AK4397" t="s">
        <v>52</v>
      </c>
      <c r="AL4397" t="str">
        <f>HYPERLINK("https://pbs.twimg.com/tweet_video_thumb/D9cjm2HUYAAJ9R9.jpg")</f>
        <v>https://pbs.twimg.com/tweet_video_thumb/D9cjm2HUYAAJ9R9.jpg</v>
      </c>
      <c r="AM4397" t="s">
        <v>52</v>
      </c>
      <c r="AN4397" t="s">
        <v>53</v>
      </c>
    </row>
    <row r="4398" spans="1:40">
      <c r="A4398" t="s">
        <v>13057</v>
      </c>
      <c r="B4398" t="s">
        <v>2849</v>
      </c>
      <c r="C4398" t="s">
        <v>13454</v>
      </c>
      <c r="D4398" t="s">
        <v>52</v>
      </c>
      <c r="E4398" t="s">
        <v>13455</v>
      </c>
      <c r="F4398" t="s">
        <v>45</v>
      </c>
      <c r="G4398" t="str">
        <f>HYPERLINK("https://www.instagram.com/p/BzCQKoBgB7a")</f>
        <v>https://www.instagram.com/p/BzCQKoBgB7a</v>
      </c>
      <c r="H4398" t="s">
        <v>46</v>
      </c>
      <c r="I4398" t="s">
        <v>13456</v>
      </c>
      <c r="J4398" t="str">
        <f>HYPERLINK("http://instagram.com/memebo2")</f>
        <v>http://instagram.com/memebo2</v>
      </c>
      <c r="K4398">
        <v>764</v>
      </c>
      <c r="N4398" t="s">
        <v>59</v>
      </c>
      <c r="O4398" t="s">
        <v>13456</v>
      </c>
      <c r="P4398" t="str">
        <f>HYPERLINK("http://instagram.com/memebo2")</f>
        <v>http://instagram.com/memebo2</v>
      </c>
      <c r="Q4398">
        <v>764</v>
      </c>
      <c r="R4398" t="s">
        <v>60</v>
      </c>
      <c r="W4398">
        <v>32</v>
      </c>
      <c r="X4398">
        <v>32</v>
      </c>
      <c r="AE4398">
        <v>1</v>
      </c>
      <c r="AG4398">
        <v>136</v>
      </c>
      <c r="AI4398" t="s">
        <v>52</v>
      </c>
      <c r="AJ4398" t="s">
        <v>52</v>
      </c>
      <c r="AK4398" t="s">
        <v>52</v>
      </c>
      <c r="AL4398" t="str">
        <f>HYPERLINK("https://www.instagram.com/p/BzCQKoBgB7a/media/?size=l")</f>
        <v>https://www.instagram.com/p/BzCQKoBgB7a/media/?size=l</v>
      </c>
      <c r="AM4398" t="s">
        <v>52</v>
      </c>
      <c r="AN4398" t="s">
        <v>53</v>
      </c>
    </row>
    <row r="4399" spans="1:40">
      <c r="A4399" t="s">
        <v>13057</v>
      </c>
      <c r="B4399" t="s">
        <v>8521</v>
      </c>
      <c r="C4399" t="s">
        <v>13457</v>
      </c>
      <c r="D4399" t="s">
        <v>13458</v>
      </c>
      <c r="E4399" t="s">
        <v>13459</v>
      </c>
      <c r="F4399" t="s">
        <v>45</v>
      </c>
      <c r="G4399" t="str">
        <f>HYPERLINK("https://www.youtube.com/watch?v=USh2C7i6Nds")</f>
        <v>https://www.youtube.com/watch?v=USh2C7i6Nds</v>
      </c>
      <c r="H4399" t="s">
        <v>46</v>
      </c>
      <c r="I4399" t="s">
        <v>13460</v>
      </c>
      <c r="J4399" t="str">
        <f>HYPERLINK("https://www.youtube.com/channel/UCsv0fuGfotDtVOCfrcLRsuA")</f>
        <v>https://www.youtube.com/channel/UCsv0fuGfotDtVOCfrcLRsuA</v>
      </c>
      <c r="K4399">
        <v>908</v>
      </c>
      <c r="N4399" t="s">
        <v>116</v>
      </c>
      <c r="O4399" t="s">
        <v>13460</v>
      </c>
      <c r="P4399" t="str">
        <f>HYPERLINK("https://www.youtube.com/channel/UCsv0fuGfotDtVOCfrcLRsuA")</f>
        <v>https://www.youtube.com/channel/UCsv0fuGfotDtVOCfrcLRsuA</v>
      </c>
      <c r="Q4399">
        <v>908</v>
      </c>
      <c r="R4399" t="s">
        <v>60</v>
      </c>
      <c r="S4399" t="s">
        <v>2118</v>
      </c>
      <c r="W4399">
        <v>58</v>
      </c>
      <c r="X4399">
        <v>58</v>
      </c>
      <c r="AD4399">
        <v>0</v>
      </c>
      <c r="AE4399">
        <v>3</v>
      </c>
      <c r="AG4399">
        <v>325</v>
      </c>
      <c r="AI4399" t="s">
        <v>52</v>
      </c>
      <c r="AJ4399" t="s">
        <v>52</v>
      </c>
      <c r="AK4399" t="s">
        <v>52</v>
      </c>
      <c r="AL4399" t="str">
        <f>HYPERLINK("https://i.ytimg.com/vi/USh2C7i6Nds/maxresdefault_live.jpg")</f>
        <v>https://i.ytimg.com/vi/USh2C7i6Nds/maxresdefault_live.jpg</v>
      </c>
      <c r="AM4399" t="s">
        <v>52</v>
      </c>
      <c r="AN4399" t="s">
        <v>53</v>
      </c>
    </row>
    <row r="4400" spans="1:40">
      <c r="A4400" t="s">
        <v>13057</v>
      </c>
      <c r="B4400" t="s">
        <v>8521</v>
      </c>
      <c r="C4400" t="s">
        <v>13451</v>
      </c>
      <c r="D4400" t="s">
        <v>52</v>
      </c>
      <c r="E4400" t="s">
        <v>13461</v>
      </c>
      <c r="F4400" t="s">
        <v>95</v>
      </c>
      <c r="G4400" t="str">
        <f>HYPERLINK("https://twitter.com/195261288/status/1142617832854839297")</f>
        <v>https://twitter.com/195261288/status/1142617832854839297</v>
      </c>
      <c r="H4400" t="s">
        <v>215</v>
      </c>
      <c r="I4400" t="s">
        <v>13462</v>
      </c>
      <c r="J4400" t="str">
        <f>HYPERLINK("http://twitter.com/anchorarmz")</f>
        <v>http://twitter.com/anchorarmz</v>
      </c>
      <c r="K4400">
        <v>289</v>
      </c>
      <c r="N4400" t="s">
        <v>65</v>
      </c>
      <c r="R4400" t="s">
        <v>60</v>
      </c>
      <c r="S4400" t="s">
        <v>1947</v>
      </c>
      <c r="T4400" t="s">
        <v>2484</v>
      </c>
      <c r="U4400" t="s">
        <v>2485</v>
      </c>
      <c r="W4400">
        <v>0</v>
      </c>
      <c r="X4400">
        <v>0</v>
      </c>
      <c r="AE4400">
        <v>0</v>
      </c>
      <c r="AF4400">
        <v>0</v>
      </c>
      <c r="AM4400" t="s">
        <v>52</v>
      </c>
      <c r="AN4400" t="s">
        <v>53</v>
      </c>
    </row>
    <row r="4401" spans="1:40">
      <c r="A4401" t="s">
        <v>13057</v>
      </c>
      <c r="B4401" t="s">
        <v>2858</v>
      </c>
      <c r="C4401" t="s">
        <v>13454</v>
      </c>
      <c r="D4401" t="s">
        <v>52</v>
      </c>
      <c r="E4401" t="s">
        <v>13463</v>
      </c>
      <c r="F4401" t="s">
        <v>95</v>
      </c>
      <c r="G4401" t="str">
        <f>HYPERLINK("https://twitter.com/1083124560885678080/status/1142617539790458880")</f>
        <v>https://twitter.com/1083124560885678080/status/1142617539790458880</v>
      </c>
      <c r="H4401" t="s">
        <v>46</v>
      </c>
      <c r="I4401" t="s">
        <v>13464</v>
      </c>
      <c r="J4401" t="str">
        <f>HYPERLINK("http://twitter.com/8lackpen")</f>
        <v>http://twitter.com/8lackpen</v>
      </c>
      <c r="K4401">
        <v>133</v>
      </c>
      <c r="N4401" t="s">
        <v>65</v>
      </c>
      <c r="R4401" t="s">
        <v>60</v>
      </c>
      <c r="S4401" t="s">
        <v>325</v>
      </c>
      <c r="T4401" t="s">
        <v>13465</v>
      </c>
      <c r="U4401" t="s">
        <v>13466</v>
      </c>
      <c r="W4401">
        <v>0</v>
      </c>
      <c r="X4401">
        <v>0</v>
      </c>
      <c r="AE4401">
        <v>1</v>
      </c>
      <c r="AF4401">
        <v>0</v>
      </c>
      <c r="AM4401" t="s">
        <v>52</v>
      </c>
      <c r="AN4401" t="s">
        <v>53</v>
      </c>
    </row>
    <row r="4402" spans="1:40">
      <c r="A4402" t="s">
        <v>13057</v>
      </c>
      <c r="B4402" t="s">
        <v>8532</v>
      </c>
      <c r="C4402" t="s">
        <v>13457</v>
      </c>
      <c r="D4402" t="s">
        <v>52</v>
      </c>
      <c r="E4402" t="s">
        <v>276</v>
      </c>
      <c r="F4402" t="s">
        <v>131</v>
      </c>
      <c r="G4402" t="str">
        <f>HYPERLINK("https://twitter.com/1113092110364872704/status/1142617489693728768")</f>
        <v>https://twitter.com/1113092110364872704/status/1142617489693728768</v>
      </c>
      <c r="H4402" t="s">
        <v>46</v>
      </c>
      <c r="I4402" t="s">
        <v>13467</v>
      </c>
      <c r="J4402" t="str">
        <f>HYPERLINK("http://twitter.com/SamuelPizarro_")</f>
        <v>http://twitter.com/SamuelPizarro_</v>
      </c>
      <c r="K4402">
        <v>1</v>
      </c>
      <c r="L4402" t="s">
        <v>48</v>
      </c>
      <c r="N4402" t="s">
        <v>65</v>
      </c>
      <c r="R4402" t="s">
        <v>60</v>
      </c>
      <c r="W4402">
        <v>0</v>
      </c>
      <c r="X4402">
        <v>0</v>
      </c>
      <c r="AE4402">
        <v>0</v>
      </c>
      <c r="AI4402" t="s">
        <v>108</v>
      </c>
      <c r="AJ4402" t="s">
        <v>52</v>
      </c>
      <c r="AK4402" t="s">
        <v>52</v>
      </c>
      <c r="AL4402" t="str">
        <f>HYPERLINK("https://pbs.twimg.com/tweet_video_thumb/D9hvNNzXUAATAS3.jpg")</f>
        <v>https://pbs.twimg.com/tweet_video_thumb/D9hvNNzXUAATAS3.jpg</v>
      </c>
      <c r="AM4402" t="s">
        <v>52</v>
      </c>
      <c r="AN4402" t="s">
        <v>53</v>
      </c>
    </row>
    <row r="4403" spans="1:40">
      <c r="A4403" t="s">
        <v>13057</v>
      </c>
      <c r="B4403" t="s">
        <v>8532</v>
      </c>
      <c r="C4403" t="s">
        <v>13457</v>
      </c>
      <c r="D4403" t="s">
        <v>13468</v>
      </c>
      <c r="E4403" t="s">
        <v>13468</v>
      </c>
      <c r="F4403" t="s">
        <v>45</v>
      </c>
      <c r="G4403" t="str">
        <f>HYPERLINK("https://www.youtube.com/watch?v=tYmQqUrvGt4")</f>
        <v>https://www.youtube.com/watch?v=tYmQqUrvGt4</v>
      </c>
      <c r="H4403" t="s">
        <v>46</v>
      </c>
      <c r="I4403" t="s">
        <v>13469</v>
      </c>
      <c r="J4403" t="str">
        <f>HYPERLINK("https://www.youtube.com/channel/UCqqWbxGIutq5rYO-pRdN3Xw")</f>
        <v>https://www.youtube.com/channel/UCqqWbxGIutq5rYO-pRdN3Xw</v>
      </c>
      <c r="K4403">
        <v>46</v>
      </c>
      <c r="L4403" t="s">
        <v>48</v>
      </c>
      <c r="N4403" t="s">
        <v>116</v>
      </c>
      <c r="O4403" t="s">
        <v>13469</v>
      </c>
      <c r="P4403" t="str">
        <f>HYPERLINK("https://www.youtube.com/channel/UCqqWbxGIutq5rYO-pRdN3Xw")</f>
        <v>https://www.youtube.com/channel/UCqqWbxGIutq5rYO-pRdN3Xw</v>
      </c>
      <c r="Q4403">
        <v>46</v>
      </c>
      <c r="R4403" t="s">
        <v>60</v>
      </c>
      <c r="W4403">
        <v>106</v>
      </c>
      <c r="X4403">
        <v>106</v>
      </c>
      <c r="AD4403">
        <v>5</v>
      </c>
      <c r="AE4403">
        <v>4</v>
      </c>
      <c r="AG4403">
        <v>4388</v>
      </c>
      <c r="AI4403" t="s">
        <v>52</v>
      </c>
      <c r="AJ4403" t="s">
        <v>52</v>
      </c>
      <c r="AK4403" t="s">
        <v>52</v>
      </c>
      <c r="AL4403" t="str">
        <f>HYPERLINK("https://i.ytimg.com/vi/tYmQqUrvGt4/sddefault.jpg")</f>
        <v>https://i.ytimg.com/vi/tYmQqUrvGt4/sddefault.jpg</v>
      </c>
      <c r="AM4403" t="s">
        <v>52</v>
      </c>
      <c r="AN4403" t="s">
        <v>53</v>
      </c>
    </row>
    <row r="4404" spans="1:40">
      <c r="A4404" t="s">
        <v>13057</v>
      </c>
      <c r="B4404" t="s">
        <v>8532</v>
      </c>
      <c r="C4404" t="s">
        <v>12619</v>
      </c>
      <c r="D4404" t="s">
        <v>12931</v>
      </c>
      <c r="E4404" t="s">
        <v>13470</v>
      </c>
      <c r="F4404" t="s">
        <v>95</v>
      </c>
      <c r="G4404" t="str">
        <f>HYPERLINK("https://www.youtube.com/watch?v=2RoZJaVEeCA&amp;lc=UgyfJTr_k1cMb6sztuB4AaABAg")</f>
        <v>https://www.youtube.com/watch?v=2RoZJaVEeCA&amp;lc=UgyfJTr_k1cMb6sztuB4AaABAg</v>
      </c>
      <c r="H4404" t="s">
        <v>46</v>
      </c>
      <c r="I4404" t="s">
        <v>13471</v>
      </c>
      <c r="J4404" t="str">
        <f>HYPERLINK("https://www.youtube.com/channel/UC-2khOOU3lsWM3_1nsfilmw")</f>
        <v>https://www.youtube.com/channel/UC-2khOOU3lsWM3_1nsfilmw</v>
      </c>
      <c r="K4404">
        <v>0</v>
      </c>
      <c r="N4404" t="s">
        <v>116</v>
      </c>
      <c r="O4404" t="s">
        <v>12934</v>
      </c>
      <c r="P4404" t="str">
        <f>HYPERLINK("https://www.youtube.com/channel/UC_Or-6_E9aesSJmoJ1QSc6Q")</f>
        <v>https://www.youtube.com/channel/UC_Or-6_E9aesSJmoJ1QSc6Q</v>
      </c>
      <c r="Q4404">
        <v>160448</v>
      </c>
      <c r="R4404" t="s">
        <v>60</v>
      </c>
      <c r="S4404" t="s">
        <v>437</v>
      </c>
      <c r="W4404">
        <v>0</v>
      </c>
      <c r="X4404">
        <v>0</v>
      </c>
      <c r="AE4404">
        <v>0</v>
      </c>
      <c r="AM4404" t="s">
        <v>52</v>
      </c>
      <c r="AN4404" t="s">
        <v>53</v>
      </c>
    </row>
    <row r="4405" spans="1:40">
      <c r="A4405" t="s">
        <v>13057</v>
      </c>
      <c r="B4405" t="s">
        <v>8532</v>
      </c>
      <c r="C4405" t="s">
        <v>12619</v>
      </c>
      <c r="D4405" t="s">
        <v>12931</v>
      </c>
      <c r="E4405" t="s">
        <v>13472</v>
      </c>
      <c r="F4405" t="s">
        <v>95</v>
      </c>
      <c r="G4405" t="str">
        <f>HYPERLINK("https://www.youtube.com/watch?v=2RoZJaVEeCA&amp;lc=Ugx1FTXmiqfK3XT2FYN4AaABAg")</f>
        <v>https://www.youtube.com/watch?v=2RoZJaVEeCA&amp;lc=Ugx1FTXmiqfK3XT2FYN4AaABAg</v>
      </c>
      <c r="H4405" t="s">
        <v>46</v>
      </c>
      <c r="I4405" t="s">
        <v>13473</v>
      </c>
      <c r="J4405" t="str">
        <f>HYPERLINK("https://www.youtube.com/channel/UCzDM7ENSW3Fu3a6LW4LpNKw")</f>
        <v>https://www.youtube.com/channel/UCzDM7ENSW3Fu3a6LW4LpNKw</v>
      </c>
      <c r="K4405">
        <v>82</v>
      </c>
      <c r="N4405" t="s">
        <v>116</v>
      </c>
      <c r="O4405" t="s">
        <v>12934</v>
      </c>
      <c r="P4405" t="str">
        <f>HYPERLINK("https://www.youtube.com/channel/UC_Or-6_E9aesSJmoJ1QSc6Q")</f>
        <v>https://www.youtube.com/channel/UC_Or-6_E9aesSJmoJ1QSc6Q</v>
      </c>
      <c r="Q4405">
        <v>160448</v>
      </c>
      <c r="R4405" t="s">
        <v>60</v>
      </c>
      <c r="S4405" t="s">
        <v>437</v>
      </c>
      <c r="W4405">
        <v>0</v>
      </c>
      <c r="X4405">
        <v>0</v>
      </c>
      <c r="AE4405">
        <v>0</v>
      </c>
      <c r="AM4405" t="s">
        <v>52</v>
      </c>
      <c r="AN4405" t="s">
        <v>53</v>
      </c>
    </row>
    <row r="4406" spans="1:40">
      <c r="A4406" t="s">
        <v>13057</v>
      </c>
      <c r="B4406" t="s">
        <v>8559</v>
      </c>
      <c r="C4406" t="s">
        <v>12619</v>
      </c>
      <c r="D4406" t="s">
        <v>12931</v>
      </c>
      <c r="E4406" t="s">
        <v>13474</v>
      </c>
      <c r="F4406" t="s">
        <v>95</v>
      </c>
      <c r="G4406" t="str">
        <f>HYPERLINK("https://www.youtube.com/watch?v=2RoZJaVEeCA&amp;lc=UgwnTcTwS2_EqcGSJV94AaABAg.8wVkQnVVPhL8wVkn-oZvVE")</f>
        <v>https://www.youtube.com/watch?v=2RoZJaVEeCA&amp;lc=UgwnTcTwS2_EqcGSJV94AaABAg.8wVkQnVVPhL8wVkn-oZvVE</v>
      </c>
      <c r="H4406" t="s">
        <v>46</v>
      </c>
      <c r="I4406" t="s">
        <v>13475</v>
      </c>
      <c r="J4406" t="str">
        <f>HYPERLINK("https://www.youtube.com/channel/UClKr-R3tx1IrGbc_JTq5Z6g")</f>
        <v>https://www.youtube.com/channel/UClKr-R3tx1IrGbc_JTq5Z6g</v>
      </c>
      <c r="K4406">
        <v>0</v>
      </c>
      <c r="N4406" t="s">
        <v>116</v>
      </c>
      <c r="O4406" t="s">
        <v>12934</v>
      </c>
      <c r="P4406" t="str">
        <f>HYPERLINK("https://www.youtube.com/channel/UC_Or-6_E9aesSJmoJ1QSc6Q")</f>
        <v>https://www.youtube.com/channel/UC_Or-6_E9aesSJmoJ1QSc6Q</v>
      </c>
      <c r="Q4406">
        <v>160448</v>
      </c>
      <c r="R4406" t="s">
        <v>60</v>
      </c>
      <c r="S4406" t="s">
        <v>437</v>
      </c>
      <c r="W4406">
        <v>0</v>
      </c>
      <c r="X4406">
        <v>0</v>
      </c>
      <c r="AM4406" t="s">
        <v>52</v>
      </c>
      <c r="AN4406" t="s">
        <v>53</v>
      </c>
    </row>
    <row r="4407" spans="1:40">
      <c r="A4407" t="s">
        <v>13057</v>
      </c>
      <c r="B4407" t="s">
        <v>8559</v>
      </c>
      <c r="C4407" t="s">
        <v>12619</v>
      </c>
      <c r="D4407" t="s">
        <v>12931</v>
      </c>
      <c r="E4407" t="s">
        <v>13476</v>
      </c>
      <c r="F4407" t="s">
        <v>95</v>
      </c>
      <c r="G4407" t="str">
        <f>HYPERLINK("https://www.youtube.com/watch?v=2RoZJaVEeCA&amp;lc=UgxE-na0csrIsQ4h9b94AaABAg")</f>
        <v>https://www.youtube.com/watch?v=2RoZJaVEeCA&amp;lc=UgxE-na0csrIsQ4h9b94AaABAg</v>
      </c>
      <c r="H4407" t="s">
        <v>46</v>
      </c>
      <c r="I4407" t="s">
        <v>13477</v>
      </c>
      <c r="J4407" t="str">
        <f>HYPERLINK("https://www.youtube.com/channel/UC3jC2w74zFTHRScivXTHR6Q")</f>
        <v>https://www.youtube.com/channel/UC3jC2w74zFTHRScivXTHR6Q</v>
      </c>
      <c r="K4407">
        <v>290</v>
      </c>
      <c r="N4407" t="s">
        <v>116</v>
      </c>
      <c r="O4407" t="s">
        <v>12934</v>
      </c>
      <c r="P4407" t="str">
        <f>HYPERLINK("https://www.youtube.com/channel/UC_Or-6_E9aesSJmoJ1QSc6Q")</f>
        <v>https://www.youtube.com/channel/UC_Or-6_E9aesSJmoJ1QSc6Q</v>
      </c>
      <c r="Q4407">
        <v>160448</v>
      </c>
      <c r="R4407" t="s">
        <v>60</v>
      </c>
      <c r="S4407" t="s">
        <v>437</v>
      </c>
      <c r="W4407">
        <v>0</v>
      </c>
      <c r="X4407">
        <v>0</v>
      </c>
      <c r="AE4407">
        <v>0</v>
      </c>
      <c r="AM4407" t="s">
        <v>52</v>
      </c>
      <c r="AN4407" t="s">
        <v>53</v>
      </c>
    </row>
    <row r="4408" spans="1:40">
      <c r="A4408" t="s">
        <v>13057</v>
      </c>
      <c r="B4408" t="s">
        <v>8559</v>
      </c>
      <c r="C4408" t="s">
        <v>12619</v>
      </c>
      <c r="D4408" t="s">
        <v>12931</v>
      </c>
      <c r="E4408" t="s">
        <v>13478</v>
      </c>
      <c r="F4408" t="s">
        <v>95</v>
      </c>
      <c r="G4408" t="str">
        <f>HYPERLINK("https://www.youtube.com/watch?v=2RoZJaVEeCA&amp;lc=UgwCspbjQHWBxvMpoAR4AaABAg")</f>
        <v>https://www.youtube.com/watch?v=2RoZJaVEeCA&amp;lc=UgwCspbjQHWBxvMpoAR4AaABAg</v>
      </c>
      <c r="H4408" t="s">
        <v>46</v>
      </c>
      <c r="I4408" t="s">
        <v>13479</v>
      </c>
      <c r="J4408" t="str">
        <f>HYPERLINK("https://www.youtube.com/channel/UCLLMsECJhWYv-DVwdk7GnxQ")</f>
        <v>https://www.youtube.com/channel/UCLLMsECJhWYv-DVwdk7GnxQ</v>
      </c>
      <c r="K4408">
        <v>0</v>
      </c>
      <c r="N4408" t="s">
        <v>116</v>
      </c>
      <c r="O4408" t="s">
        <v>12934</v>
      </c>
      <c r="P4408" t="str">
        <f>HYPERLINK("https://www.youtube.com/channel/UC_Or-6_E9aesSJmoJ1QSc6Q")</f>
        <v>https://www.youtube.com/channel/UC_Or-6_E9aesSJmoJ1QSc6Q</v>
      </c>
      <c r="Q4408">
        <v>160448</v>
      </c>
      <c r="R4408" t="s">
        <v>60</v>
      </c>
      <c r="S4408" t="s">
        <v>437</v>
      </c>
      <c r="W4408">
        <v>0</v>
      </c>
      <c r="X4408">
        <v>0</v>
      </c>
      <c r="AE4408">
        <v>0</v>
      </c>
      <c r="AM4408" t="s">
        <v>52</v>
      </c>
      <c r="AN4408" t="s">
        <v>53</v>
      </c>
    </row>
    <row r="4409" spans="1:40">
      <c r="A4409" t="s">
        <v>13057</v>
      </c>
      <c r="B4409" t="s">
        <v>8562</v>
      </c>
      <c r="C4409" t="s">
        <v>12313</v>
      </c>
      <c r="D4409" t="s">
        <v>52</v>
      </c>
      <c r="E4409" t="s">
        <v>13480</v>
      </c>
      <c r="F4409" t="s">
        <v>45</v>
      </c>
      <c r="G4409" t="str">
        <f>HYPERLINK("https://www.facebook.com/163475174293663/posts/388038888503956")</f>
        <v>https://www.facebook.com/163475174293663/posts/388038888503956</v>
      </c>
      <c r="H4409" t="s">
        <v>46</v>
      </c>
      <c r="I4409" t="s">
        <v>13481</v>
      </c>
      <c r="J4409" t="str">
        <f>HYPERLINK("https://www.facebook.com/163475174293663")</f>
        <v>https://www.facebook.com/163475174293663</v>
      </c>
      <c r="K4409">
        <v>15718</v>
      </c>
      <c r="L4409" t="s">
        <v>651</v>
      </c>
      <c r="N4409" t="s">
        <v>1792</v>
      </c>
      <c r="O4409" t="s">
        <v>13481</v>
      </c>
      <c r="P4409" t="str">
        <f>HYPERLINK("https://www.facebook.com/163475174293663")</f>
        <v>https://www.facebook.com/163475174293663</v>
      </c>
      <c r="Q4409">
        <v>15718</v>
      </c>
      <c r="R4409" t="s">
        <v>60</v>
      </c>
      <c r="W4409">
        <v>38</v>
      </c>
      <c r="X4409">
        <v>13</v>
      </c>
      <c r="Y4409">
        <v>14</v>
      </c>
      <c r="Z4409">
        <v>11</v>
      </c>
      <c r="AA4409">
        <v>0</v>
      </c>
      <c r="AB4409">
        <v>0</v>
      </c>
      <c r="AC4409">
        <v>0</v>
      </c>
      <c r="AE4409">
        <v>2</v>
      </c>
      <c r="AF4409">
        <v>7</v>
      </c>
      <c r="AI4409" t="s">
        <v>108</v>
      </c>
      <c r="AJ4409" t="s">
        <v>458</v>
      </c>
      <c r="AK4409" t="s">
        <v>52</v>
      </c>
      <c r="AL4409" t="str">
        <f>HYPERLINK("https://scontent.xx.fbcdn.net/v/t1.0-9/s720x720/65020517_388038871837291_7984396382821679104_n.jpg?_nc_cat=110&amp;_nc_ht=scontent.xx&amp;oh=127dab37ca7d3a9603c6449ba59d6109&amp;oe=5D7D1973")</f>
        <v>https://scontent.xx.fbcdn.net/v/t1.0-9/s720x720/65020517_388038871837291_7984396382821679104_n.jpg?_nc_cat=110&amp;_nc_ht=scontent.xx&amp;oh=127dab37ca7d3a9603c6449ba59d6109&amp;oe=5D7D1973</v>
      </c>
      <c r="AM4409" t="s">
        <v>52</v>
      </c>
      <c r="AN4409" t="s">
        <v>53</v>
      </c>
    </row>
    <row r="4410" spans="1:40">
      <c r="A4410" t="s">
        <v>13057</v>
      </c>
      <c r="B4410" t="s">
        <v>8564</v>
      </c>
      <c r="C4410" t="s">
        <v>13482</v>
      </c>
      <c r="D4410" t="s">
        <v>52</v>
      </c>
      <c r="E4410" t="s">
        <v>13483</v>
      </c>
      <c r="F4410" t="s">
        <v>45</v>
      </c>
      <c r="G4410" t="str">
        <f>HYPERLINK("https://twitter.com/14596823/status/1142616420011798529")</f>
        <v>https://twitter.com/14596823/status/1142616420011798529</v>
      </c>
      <c r="H4410" t="s">
        <v>46</v>
      </c>
      <c r="I4410" t="s">
        <v>13484</v>
      </c>
      <c r="J4410" t="str">
        <f>HYPERLINK("http://twitter.com/mightymendoza")</f>
        <v>http://twitter.com/mightymendoza</v>
      </c>
      <c r="K4410">
        <v>3666</v>
      </c>
      <c r="L4410" t="s">
        <v>48</v>
      </c>
      <c r="N4410" t="s">
        <v>65</v>
      </c>
      <c r="R4410" t="s">
        <v>60</v>
      </c>
      <c r="S4410" t="s">
        <v>51</v>
      </c>
      <c r="T4410" t="s">
        <v>173</v>
      </c>
      <c r="U4410" t="s">
        <v>1214</v>
      </c>
      <c r="W4410">
        <v>0</v>
      </c>
      <c r="X4410">
        <v>0</v>
      </c>
      <c r="AE4410">
        <v>0</v>
      </c>
      <c r="AF4410">
        <v>0</v>
      </c>
      <c r="AI4410" t="s">
        <v>52</v>
      </c>
      <c r="AJ4410" t="s">
        <v>458</v>
      </c>
      <c r="AK4410" t="s">
        <v>110</v>
      </c>
      <c r="AL4410" t="str">
        <f>HYPERLINK("https://pbs.twimg.com/tweet_video_thumb/D9tjhlGU4AEUCO3.jpg")</f>
        <v>https://pbs.twimg.com/tweet_video_thumb/D9tjhlGU4AEUCO3.jpg</v>
      </c>
      <c r="AM4410" t="s">
        <v>52</v>
      </c>
      <c r="AN4410" t="s">
        <v>53</v>
      </c>
    </row>
    <row r="4411" spans="1:40">
      <c r="A4411" t="s">
        <v>13057</v>
      </c>
      <c r="B4411" t="s">
        <v>8568</v>
      </c>
      <c r="C4411" t="s">
        <v>13485</v>
      </c>
      <c r="D4411" t="s">
        <v>52</v>
      </c>
      <c r="E4411" t="s">
        <v>13486</v>
      </c>
      <c r="F4411" t="s">
        <v>45</v>
      </c>
      <c r="G4411" t="str">
        <f>HYPERLINK("https://twitter.com/3672208819/status/1142616052750311424")</f>
        <v>https://twitter.com/3672208819/status/1142616052750311424</v>
      </c>
      <c r="H4411" t="s">
        <v>46</v>
      </c>
      <c r="I4411" t="s">
        <v>13487</v>
      </c>
      <c r="J4411" t="str">
        <f>HYPERLINK("http://twitter.com/KDaneFACS")</f>
        <v>http://twitter.com/KDaneFACS</v>
      </c>
      <c r="K4411">
        <v>223</v>
      </c>
      <c r="N4411" t="s">
        <v>65</v>
      </c>
      <c r="R4411" t="s">
        <v>60</v>
      </c>
      <c r="S4411" t="s">
        <v>51</v>
      </c>
      <c r="W4411">
        <v>1</v>
      </c>
      <c r="X4411">
        <v>1</v>
      </c>
      <c r="AE4411">
        <v>0</v>
      </c>
      <c r="AF4411">
        <v>0</v>
      </c>
      <c r="AI4411" t="s">
        <v>52</v>
      </c>
      <c r="AJ4411" t="s">
        <v>52</v>
      </c>
      <c r="AK4411" t="s">
        <v>13488</v>
      </c>
      <c r="AL4411" t="str">
        <f>HYPERLINK("https://pbs.twimg.com/media/D9tjPb4XoAACiQw.jpg")</f>
        <v>https://pbs.twimg.com/media/D9tjPb4XoAACiQw.jpg</v>
      </c>
      <c r="AM4411" t="s">
        <v>52</v>
      </c>
      <c r="AN4411" t="s">
        <v>53</v>
      </c>
    </row>
    <row r="4412" spans="1:40">
      <c r="A4412" t="s">
        <v>13057</v>
      </c>
      <c r="B4412" t="s">
        <v>8568</v>
      </c>
      <c r="C4412" t="s">
        <v>12619</v>
      </c>
      <c r="D4412" t="s">
        <v>12931</v>
      </c>
      <c r="E4412" t="s">
        <v>13489</v>
      </c>
      <c r="F4412" t="s">
        <v>95</v>
      </c>
      <c r="G4412" t="str">
        <f>HYPERLINK("https://www.youtube.com/watch?v=2RoZJaVEeCA&amp;lc=UgwAzK5u1orB8PhILuF4AaABAg")</f>
        <v>https://www.youtube.com/watch?v=2RoZJaVEeCA&amp;lc=UgwAzK5u1orB8PhILuF4AaABAg</v>
      </c>
      <c r="H4412" t="s">
        <v>46</v>
      </c>
      <c r="I4412" t="s">
        <v>13490</v>
      </c>
      <c r="J4412" t="str">
        <f>HYPERLINK("https://www.youtube.com/channel/UCfpAWJs1Pxb55f1EcOMdRag")</f>
        <v>https://www.youtube.com/channel/UCfpAWJs1Pxb55f1EcOMdRag</v>
      </c>
      <c r="K4412">
        <v>5</v>
      </c>
      <c r="L4412" t="s">
        <v>48</v>
      </c>
      <c r="N4412" t="s">
        <v>116</v>
      </c>
      <c r="O4412" t="s">
        <v>12934</v>
      </c>
      <c r="P4412" t="str">
        <f>HYPERLINK("https://www.youtube.com/channel/UC_Or-6_E9aesSJmoJ1QSc6Q")</f>
        <v>https://www.youtube.com/channel/UC_Or-6_E9aesSJmoJ1QSc6Q</v>
      </c>
      <c r="Q4412">
        <v>160448</v>
      </c>
      <c r="R4412" t="s">
        <v>60</v>
      </c>
      <c r="S4412" t="s">
        <v>437</v>
      </c>
      <c r="W4412">
        <v>0</v>
      </c>
      <c r="X4412">
        <v>0</v>
      </c>
      <c r="AE4412">
        <v>0</v>
      </c>
      <c r="AM4412" t="s">
        <v>52</v>
      </c>
      <c r="AN4412" t="s">
        <v>53</v>
      </c>
    </row>
    <row r="4413" spans="1:40">
      <c r="A4413" t="s">
        <v>13057</v>
      </c>
      <c r="B4413" t="s">
        <v>2879</v>
      </c>
      <c r="C4413" t="s">
        <v>13485</v>
      </c>
      <c r="D4413" t="s">
        <v>52</v>
      </c>
      <c r="E4413" t="s">
        <v>13491</v>
      </c>
      <c r="F4413" t="s">
        <v>45</v>
      </c>
      <c r="G4413" t="str">
        <f>HYPERLINK("https://twitter.com/55273638/status/1142615969161994240")</f>
        <v>https://twitter.com/55273638/status/1142615969161994240</v>
      </c>
      <c r="H4413" t="s">
        <v>46</v>
      </c>
      <c r="I4413" t="s">
        <v>13492</v>
      </c>
      <c r="J4413" t="str">
        <f>HYPERLINK("http://twitter.com/thealliebryan")</f>
        <v>http://twitter.com/thealliebryan</v>
      </c>
      <c r="K4413">
        <v>260</v>
      </c>
      <c r="N4413" t="s">
        <v>65</v>
      </c>
      <c r="R4413" t="s">
        <v>60</v>
      </c>
      <c r="S4413" t="s">
        <v>51</v>
      </c>
      <c r="T4413" t="s">
        <v>73</v>
      </c>
      <c r="U4413" t="s">
        <v>13493</v>
      </c>
      <c r="W4413">
        <v>0</v>
      </c>
      <c r="X4413">
        <v>0</v>
      </c>
      <c r="AE4413">
        <v>0</v>
      </c>
      <c r="AF4413">
        <v>0</v>
      </c>
      <c r="AM4413" t="s">
        <v>52</v>
      </c>
      <c r="AN4413" t="s">
        <v>53</v>
      </c>
    </row>
    <row r="4414" spans="1:40">
      <c r="A4414" t="s">
        <v>13057</v>
      </c>
      <c r="B4414" t="s">
        <v>2879</v>
      </c>
      <c r="C4414" t="s">
        <v>12619</v>
      </c>
      <c r="D4414" t="s">
        <v>12931</v>
      </c>
      <c r="E4414" t="s">
        <v>13494</v>
      </c>
      <c r="F4414" t="s">
        <v>95</v>
      </c>
      <c r="G4414" t="str">
        <f>HYPERLINK("https://www.youtube.com/watch?v=2RoZJaVEeCA&amp;lc=Ugzz-irkuuHzTdWnQTB4AaABAg")</f>
        <v>https://www.youtube.com/watch?v=2RoZJaVEeCA&amp;lc=Ugzz-irkuuHzTdWnQTB4AaABAg</v>
      </c>
      <c r="H4414" t="s">
        <v>46</v>
      </c>
      <c r="I4414" t="s">
        <v>13495</v>
      </c>
      <c r="J4414" t="str">
        <f>HYPERLINK("https://www.youtube.com/channel/UCggAVUrJJ_3WrxPsoZNSL4g")</f>
        <v>https://www.youtube.com/channel/UCggAVUrJJ_3WrxPsoZNSL4g</v>
      </c>
      <c r="K4414">
        <v>0</v>
      </c>
      <c r="L4414" t="s">
        <v>48</v>
      </c>
      <c r="N4414" t="s">
        <v>116</v>
      </c>
      <c r="O4414" t="s">
        <v>12934</v>
      </c>
      <c r="P4414" t="str">
        <f>HYPERLINK("https://www.youtube.com/channel/UC_Or-6_E9aesSJmoJ1QSc6Q")</f>
        <v>https://www.youtube.com/channel/UC_Or-6_E9aesSJmoJ1QSc6Q</v>
      </c>
      <c r="Q4414">
        <v>160448</v>
      </c>
      <c r="R4414" t="s">
        <v>60</v>
      </c>
      <c r="S4414" t="s">
        <v>437</v>
      </c>
      <c r="W4414">
        <v>0</v>
      </c>
      <c r="X4414">
        <v>0</v>
      </c>
      <c r="AE4414">
        <v>0</v>
      </c>
      <c r="AM4414" t="s">
        <v>52</v>
      </c>
      <c r="AN4414" t="s">
        <v>53</v>
      </c>
    </row>
    <row r="4415" spans="1:40">
      <c r="A4415" t="s">
        <v>13057</v>
      </c>
      <c r="B4415" t="s">
        <v>2889</v>
      </c>
      <c r="C4415" t="s">
        <v>13386</v>
      </c>
      <c r="D4415" t="s">
        <v>52</v>
      </c>
      <c r="E4415" t="s">
        <v>13496</v>
      </c>
      <c r="F4415" t="s">
        <v>45</v>
      </c>
      <c r="G4415" t="str">
        <f>HYPERLINK("https://www.instagram.com/p/BzCPPuulUWX")</f>
        <v>https://www.instagram.com/p/BzCPPuulUWX</v>
      </c>
      <c r="H4415" t="s">
        <v>46</v>
      </c>
      <c r="I4415" t="s">
        <v>13497</v>
      </c>
      <c r="J4415" t="str">
        <f>HYPERLINK("http://instagram.com/choosebettertoday")</f>
        <v>http://instagram.com/choosebettertoday</v>
      </c>
      <c r="K4415">
        <v>269</v>
      </c>
      <c r="L4415" t="s">
        <v>58</v>
      </c>
      <c r="N4415" t="s">
        <v>59</v>
      </c>
      <c r="O4415" t="s">
        <v>13497</v>
      </c>
      <c r="P4415" t="str">
        <f>HYPERLINK("http://instagram.com/choosebettertoday")</f>
        <v>http://instagram.com/choosebettertoday</v>
      </c>
      <c r="Q4415">
        <v>269</v>
      </c>
      <c r="R4415" t="s">
        <v>60</v>
      </c>
      <c r="W4415">
        <v>36</v>
      </c>
      <c r="X4415">
        <v>36</v>
      </c>
      <c r="AE4415">
        <v>10</v>
      </c>
      <c r="AI4415" t="s">
        <v>52</v>
      </c>
      <c r="AJ4415" t="s">
        <v>13498</v>
      </c>
      <c r="AK4415" t="s">
        <v>52</v>
      </c>
      <c r="AL4415" t="str">
        <f>HYPERLINK("https://www.instagram.com/p/BzCPPuulUWX/media/?size=l")</f>
        <v>https://www.instagram.com/p/BzCPPuulUWX/media/?size=l</v>
      </c>
      <c r="AM4415" t="s">
        <v>52</v>
      </c>
      <c r="AN4415" t="s">
        <v>53</v>
      </c>
    </row>
    <row r="4416" spans="1:40">
      <c r="A4416" t="s">
        <v>13057</v>
      </c>
      <c r="B4416" t="s">
        <v>13499</v>
      </c>
      <c r="C4416" t="s">
        <v>12030</v>
      </c>
      <c r="D4416" t="s">
        <v>52</v>
      </c>
      <c r="E4416" t="s">
        <v>13500</v>
      </c>
      <c r="F4416" t="s">
        <v>45</v>
      </c>
      <c r="G4416" t="str">
        <f>HYPERLINK("https://www.instagram.com/p/BzCPN7lHJze")</f>
        <v>https://www.instagram.com/p/BzCPN7lHJze</v>
      </c>
      <c r="H4416" t="s">
        <v>215</v>
      </c>
      <c r="I4416" t="s">
        <v>13501</v>
      </c>
      <c r="J4416" t="str">
        <f>HYPERLINK("http://instagram.com/cookingwithloco")</f>
        <v>http://instagram.com/cookingwithloco</v>
      </c>
      <c r="K4416">
        <v>3</v>
      </c>
      <c r="N4416" t="s">
        <v>59</v>
      </c>
      <c r="O4416" t="s">
        <v>13501</v>
      </c>
      <c r="P4416" t="str">
        <f>HYPERLINK("http://instagram.com/cookingwithloco")</f>
        <v>http://instagram.com/cookingwithloco</v>
      </c>
      <c r="Q4416">
        <v>3</v>
      </c>
      <c r="R4416" t="s">
        <v>60</v>
      </c>
      <c r="W4416">
        <v>14</v>
      </c>
      <c r="X4416">
        <v>14</v>
      </c>
      <c r="AE4416">
        <v>0</v>
      </c>
      <c r="AI4416" t="s">
        <v>108</v>
      </c>
      <c r="AJ4416" t="s">
        <v>303</v>
      </c>
      <c r="AK4416" t="s">
        <v>52</v>
      </c>
      <c r="AL4416" t="str">
        <f>HYPERLINK("https://www.instagram.com/p/BzCPN7lHJze/media/?size=l")</f>
        <v>https://www.instagram.com/p/BzCPN7lHJze/media/?size=l</v>
      </c>
      <c r="AM4416" t="s">
        <v>52</v>
      </c>
      <c r="AN4416" t="s">
        <v>53</v>
      </c>
    </row>
    <row r="4417" spans="1:40">
      <c r="A4417" t="s">
        <v>13057</v>
      </c>
      <c r="B4417" t="s">
        <v>8591</v>
      </c>
      <c r="C4417" t="s">
        <v>13502</v>
      </c>
      <c r="D4417" t="s">
        <v>52</v>
      </c>
      <c r="E4417" t="s">
        <v>13503</v>
      </c>
      <c r="F4417" t="s">
        <v>71</v>
      </c>
      <c r="G4417" t="str">
        <f>HYPERLINK("https://twitter.com/1087226889331077121/status/1142615076584615936")</f>
        <v>https://twitter.com/1087226889331077121/status/1142615076584615936</v>
      </c>
      <c r="H4417" t="s">
        <v>46</v>
      </c>
      <c r="I4417" t="s">
        <v>13504</v>
      </c>
      <c r="J4417" t="str">
        <f>HYPERLINK("http://twitter.com/YuniaWewik")</f>
        <v>http://twitter.com/YuniaWewik</v>
      </c>
      <c r="K4417">
        <v>9</v>
      </c>
      <c r="N4417" t="s">
        <v>65</v>
      </c>
      <c r="R4417" t="s">
        <v>60</v>
      </c>
      <c r="S4417" t="s">
        <v>1643</v>
      </c>
      <c r="W4417">
        <v>0</v>
      </c>
      <c r="X4417">
        <v>0</v>
      </c>
      <c r="AE4417">
        <v>0</v>
      </c>
      <c r="AF4417">
        <v>0</v>
      </c>
      <c r="AM4417" t="s">
        <v>52</v>
      </c>
      <c r="AN4417" t="s">
        <v>53</v>
      </c>
    </row>
    <row r="4418" spans="1:40">
      <c r="A4418" t="s">
        <v>13057</v>
      </c>
      <c r="B4418" t="s">
        <v>8591</v>
      </c>
      <c r="C4418" t="s">
        <v>13505</v>
      </c>
      <c r="D4418" t="s">
        <v>52</v>
      </c>
      <c r="E4418" t="s">
        <v>13506</v>
      </c>
      <c r="F4418" t="s">
        <v>45</v>
      </c>
      <c r="G4418" t="str">
        <f>HYPERLINK("https://www.instagram.com/p/BzCO0lqARsV")</f>
        <v>https://www.instagram.com/p/BzCO0lqARsV</v>
      </c>
      <c r="H4418" t="s">
        <v>215</v>
      </c>
      <c r="I4418" t="s">
        <v>13507</v>
      </c>
      <c r="J4418" t="str">
        <f>HYPERLINK("http://instagram.com/foody.asmr_")</f>
        <v>http://instagram.com/foody.asmr_</v>
      </c>
      <c r="K4418">
        <v>57</v>
      </c>
      <c r="N4418" t="s">
        <v>59</v>
      </c>
      <c r="O4418" t="s">
        <v>13507</v>
      </c>
      <c r="P4418" t="str">
        <f>HYPERLINK("http://instagram.com/foody.asmr_")</f>
        <v>http://instagram.com/foody.asmr_</v>
      </c>
      <c r="Q4418">
        <v>57</v>
      </c>
      <c r="R4418" t="s">
        <v>60</v>
      </c>
      <c r="W4418">
        <v>8</v>
      </c>
      <c r="X4418">
        <v>8</v>
      </c>
      <c r="AE4418">
        <v>3</v>
      </c>
      <c r="AG4418">
        <v>105</v>
      </c>
      <c r="AI4418" t="s">
        <v>52</v>
      </c>
      <c r="AJ4418" t="s">
        <v>659</v>
      </c>
      <c r="AK4418" t="s">
        <v>52</v>
      </c>
      <c r="AL4418" t="str">
        <f>HYPERLINK("https://www.instagram.com/p/BzCO0lqARsV/media/?size=l")</f>
        <v>https://www.instagram.com/p/BzCO0lqARsV/media/?size=l</v>
      </c>
      <c r="AM4418" t="s">
        <v>52</v>
      </c>
      <c r="AN4418" t="s">
        <v>53</v>
      </c>
    </row>
    <row r="4419" spans="1:40">
      <c r="A4419" t="s">
        <v>13057</v>
      </c>
      <c r="B4419" t="s">
        <v>8591</v>
      </c>
      <c r="C4419" t="s">
        <v>13502</v>
      </c>
      <c r="D4419" t="s">
        <v>52</v>
      </c>
      <c r="E4419" t="s">
        <v>4514</v>
      </c>
      <c r="F4419" t="s">
        <v>71</v>
      </c>
      <c r="G4419" t="str">
        <f>HYPERLINK("https://twitter.com/1087226889331077121/status/1142615032074608646")</f>
        <v>https://twitter.com/1087226889331077121/status/1142615032074608646</v>
      </c>
      <c r="H4419" t="s">
        <v>46</v>
      </c>
      <c r="I4419" t="s">
        <v>13504</v>
      </c>
      <c r="J4419" t="str">
        <f>HYPERLINK("http://twitter.com/YuniaWewik")</f>
        <v>http://twitter.com/YuniaWewik</v>
      </c>
      <c r="K4419">
        <v>9</v>
      </c>
      <c r="N4419" t="s">
        <v>65</v>
      </c>
      <c r="R4419" t="s">
        <v>60</v>
      </c>
      <c r="S4419" t="s">
        <v>1643</v>
      </c>
      <c r="W4419">
        <v>0</v>
      </c>
      <c r="X4419">
        <v>0</v>
      </c>
      <c r="AE4419">
        <v>0</v>
      </c>
      <c r="AF4419">
        <v>0</v>
      </c>
      <c r="AI4419" t="s">
        <v>108</v>
      </c>
      <c r="AJ4419" t="s">
        <v>52</v>
      </c>
      <c r="AK4419" t="s">
        <v>52</v>
      </c>
      <c r="AL4419" t="str">
        <f>HYPERLINK("https://pbs.twimg.com/tweet_video_thumb/D9hvNNzXUAATAS3.jpg")</f>
        <v>https://pbs.twimg.com/tweet_video_thumb/D9hvNNzXUAATAS3.jpg</v>
      </c>
      <c r="AM4419" t="s">
        <v>52</v>
      </c>
      <c r="AN4419" t="s">
        <v>53</v>
      </c>
    </row>
    <row r="4420" spans="1:40">
      <c r="A4420" t="s">
        <v>13057</v>
      </c>
      <c r="B4420" t="s">
        <v>2899</v>
      </c>
      <c r="C4420" t="s">
        <v>12619</v>
      </c>
      <c r="D4420" t="s">
        <v>12931</v>
      </c>
      <c r="E4420" t="s">
        <v>13508</v>
      </c>
      <c r="F4420" t="s">
        <v>95</v>
      </c>
      <c r="G4420" t="str">
        <f>HYPERLINK("https://www.youtube.com/watch?v=2RoZJaVEeCA&amp;lc=Ugwbf7e4CC2KeY-j4Pp4AaABAg")</f>
        <v>https://www.youtube.com/watch?v=2RoZJaVEeCA&amp;lc=Ugwbf7e4CC2KeY-j4Pp4AaABAg</v>
      </c>
      <c r="H4420" t="s">
        <v>46</v>
      </c>
      <c r="I4420" t="s">
        <v>13509</v>
      </c>
      <c r="J4420" t="str">
        <f>HYPERLINK("https://www.youtube.com/channel/UCaC63oeFAi2BdSQPSiJvUng")</f>
        <v>https://www.youtube.com/channel/UCaC63oeFAi2BdSQPSiJvUng</v>
      </c>
      <c r="K4420">
        <v>0</v>
      </c>
      <c r="N4420" t="s">
        <v>116</v>
      </c>
      <c r="O4420" t="s">
        <v>12934</v>
      </c>
      <c r="P4420" t="str">
        <f>HYPERLINK("https://www.youtube.com/channel/UC_Or-6_E9aesSJmoJ1QSc6Q")</f>
        <v>https://www.youtube.com/channel/UC_Or-6_E9aesSJmoJ1QSc6Q</v>
      </c>
      <c r="Q4420">
        <v>160448</v>
      </c>
      <c r="R4420" t="s">
        <v>60</v>
      </c>
      <c r="S4420" t="s">
        <v>437</v>
      </c>
      <c r="W4420">
        <v>0</v>
      </c>
      <c r="X4420">
        <v>0</v>
      </c>
      <c r="AE4420">
        <v>0</v>
      </c>
      <c r="AM4420" t="s">
        <v>52</v>
      </c>
      <c r="AN4420" t="s">
        <v>53</v>
      </c>
    </row>
    <row r="4421" spans="1:40">
      <c r="A4421" t="s">
        <v>13057</v>
      </c>
      <c r="B4421" t="s">
        <v>2899</v>
      </c>
      <c r="C4421" t="s">
        <v>12619</v>
      </c>
      <c r="D4421" t="s">
        <v>12931</v>
      </c>
      <c r="E4421" t="s">
        <v>13510</v>
      </c>
      <c r="F4421" t="s">
        <v>95</v>
      </c>
      <c r="G4421" t="str">
        <f>HYPERLINK("https://www.youtube.com/watch?v=2RoZJaVEeCA&amp;lc=UgwON5dkbEYRNRxfVVN4AaABAg")</f>
        <v>https://www.youtube.com/watch?v=2RoZJaVEeCA&amp;lc=UgwON5dkbEYRNRxfVVN4AaABAg</v>
      </c>
      <c r="H4421" t="s">
        <v>46</v>
      </c>
      <c r="I4421" t="s">
        <v>13511</v>
      </c>
      <c r="J4421" t="str">
        <f>HYPERLINK("https://www.youtube.com/channel/UC8GfLDRLjby4ZRxWhUJn3NA")</f>
        <v>https://www.youtube.com/channel/UC8GfLDRLjby4ZRxWhUJn3NA</v>
      </c>
      <c r="K4421">
        <v>15</v>
      </c>
      <c r="L4421" t="s">
        <v>48</v>
      </c>
      <c r="N4421" t="s">
        <v>116</v>
      </c>
      <c r="O4421" t="s">
        <v>12934</v>
      </c>
      <c r="P4421" t="str">
        <f>HYPERLINK("https://www.youtube.com/channel/UC_Or-6_E9aesSJmoJ1QSc6Q")</f>
        <v>https://www.youtube.com/channel/UC_Or-6_E9aesSJmoJ1QSc6Q</v>
      </c>
      <c r="Q4421">
        <v>160448</v>
      </c>
      <c r="R4421" t="s">
        <v>60</v>
      </c>
      <c r="S4421" t="s">
        <v>437</v>
      </c>
      <c r="W4421">
        <v>0</v>
      </c>
      <c r="X4421">
        <v>0</v>
      </c>
      <c r="AE4421">
        <v>0</v>
      </c>
      <c r="AM4421" t="s">
        <v>52</v>
      </c>
      <c r="AN4421" t="s">
        <v>53</v>
      </c>
    </row>
    <row r="4422" spans="1:40">
      <c r="A4422" t="s">
        <v>13057</v>
      </c>
      <c r="B4422" t="s">
        <v>2901</v>
      </c>
      <c r="C4422" t="s">
        <v>12619</v>
      </c>
      <c r="D4422" t="s">
        <v>12931</v>
      </c>
      <c r="E4422" t="s">
        <v>13512</v>
      </c>
      <c r="F4422" t="s">
        <v>95</v>
      </c>
      <c r="G4422" t="str">
        <f>HYPERLINK("https://www.youtube.com/watch?v=2RoZJaVEeCA&amp;lc=UgxNVY9GPIm_SECMjgF4AaABAg.8wVjZR69nnt8wVjkx_jI4j")</f>
        <v>https://www.youtube.com/watch?v=2RoZJaVEeCA&amp;lc=UgxNVY9GPIm_SECMjgF4AaABAg.8wVjZR69nnt8wVjkx_jI4j</v>
      </c>
      <c r="H4422" t="s">
        <v>46</v>
      </c>
      <c r="I4422" t="s">
        <v>13513</v>
      </c>
      <c r="J4422" t="str">
        <f>HYPERLINK("https://www.youtube.com/channel/UCqMXu_zo7cM9mr1r79Xcriw")</f>
        <v>https://www.youtube.com/channel/UCqMXu_zo7cM9mr1r79Xcriw</v>
      </c>
      <c r="K4422">
        <v>1</v>
      </c>
      <c r="N4422" t="s">
        <v>116</v>
      </c>
      <c r="O4422" t="s">
        <v>12934</v>
      </c>
      <c r="P4422" t="str">
        <f>HYPERLINK("https://www.youtube.com/channel/UC_Or-6_E9aesSJmoJ1QSc6Q")</f>
        <v>https://www.youtube.com/channel/UC_Or-6_E9aesSJmoJ1QSc6Q</v>
      </c>
      <c r="Q4422">
        <v>160448</v>
      </c>
      <c r="R4422" t="s">
        <v>60</v>
      </c>
      <c r="S4422" t="s">
        <v>437</v>
      </c>
      <c r="W4422">
        <v>0</v>
      </c>
      <c r="X4422">
        <v>0</v>
      </c>
      <c r="AM4422" t="s">
        <v>52</v>
      </c>
      <c r="AN4422" t="s">
        <v>53</v>
      </c>
    </row>
    <row r="4423" spans="1:40">
      <c r="A4423" t="s">
        <v>13057</v>
      </c>
      <c r="B4423" t="s">
        <v>2901</v>
      </c>
      <c r="C4423" t="s">
        <v>13514</v>
      </c>
      <c r="D4423" t="s">
        <v>52</v>
      </c>
      <c r="E4423" t="s">
        <v>13515</v>
      </c>
      <c r="F4423" t="s">
        <v>45</v>
      </c>
      <c r="G4423" t="str">
        <f>HYPERLINK("https://twitter.com/1083024153278590988/status/1142614734807715840")</f>
        <v>https://twitter.com/1083024153278590988/status/1142614734807715840</v>
      </c>
      <c r="H4423" t="s">
        <v>46</v>
      </c>
      <c r="I4423" t="s">
        <v>13516</v>
      </c>
      <c r="J4423" t="str">
        <f>HYPERLINK("http://twitter.com/keykidvie")</f>
        <v>http://twitter.com/keykidvie</v>
      </c>
      <c r="K4423">
        <v>240</v>
      </c>
      <c r="N4423" t="s">
        <v>65</v>
      </c>
      <c r="R4423" t="s">
        <v>60</v>
      </c>
      <c r="S4423" t="s">
        <v>387</v>
      </c>
      <c r="T4423" t="s">
        <v>2981</v>
      </c>
      <c r="U4423" t="s">
        <v>7015</v>
      </c>
      <c r="W4423">
        <v>11</v>
      </c>
      <c r="X4423">
        <v>11</v>
      </c>
      <c r="AE4423">
        <v>1</v>
      </c>
      <c r="AF4423">
        <v>0</v>
      </c>
      <c r="AI4423" t="s">
        <v>52</v>
      </c>
      <c r="AJ4423" t="s">
        <v>2277</v>
      </c>
      <c r="AK4423" t="s">
        <v>52</v>
      </c>
      <c r="AL4423" t="str">
        <f>HYPERLINK("https://pbs.twimg.com/media/D9tiCrhXsAEfMqC.jpg")</f>
        <v>https://pbs.twimg.com/media/D9tiCrhXsAEfMqC.jpg</v>
      </c>
      <c r="AM4423" t="s">
        <v>52</v>
      </c>
      <c r="AN4423" t="s">
        <v>53</v>
      </c>
    </row>
    <row r="4424" spans="1:40">
      <c r="A4424" t="s">
        <v>13057</v>
      </c>
      <c r="B4424" t="s">
        <v>2901</v>
      </c>
      <c r="C4424" t="s">
        <v>12619</v>
      </c>
      <c r="D4424" t="s">
        <v>12931</v>
      </c>
      <c r="E4424" t="s">
        <v>13390</v>
      </c>
      <c r="F4424" t="s">
        <v>95</v>
      </c>
      <c r="G4424" t="str">
        <f>HYPERLINK("https://www.youtube.com/watch?v=2RoZJaVEeCA&amp;lc=UgwNDWwqZz_a5ZMmadl4AaABAg.8wVjaFScY8e8wVjkSi85jI")</f>
        <v>https://www.youtube.com/watch?v=2RoZJaVEeCA&amp;lc=UgwNDWwqZz_a5ZMmadl4AaABAg.8wVjaFScY8e8wVjkSi85jI</v>
      </c>
      <c r="H4424" t="s">
        <v>46</v>
      </c>
      <c r="I4424" t="s">
        <v>13511</v>
      </c>
      <c r="J4424" t="str">
        <f>HYPERLINK("https://www.youtube.com/channel/UC8GfLDRLjby4ZRxWhUJn3NA")</f>
        <v>https://www.youtube.com/channel/UC8GfLDRLjby4ZRxWhUJn3NA</v>
      </c>
      <c r="K4424">
        <v>15</v>
      </c>
      <c r="L4424" t="s">
        <v>48</v>
      </c>
      <c r="N4424" t="s">
        <v>116</v>
      </c>
      <c r="O4424" t="s">
        <v>12934</v>
      </c>
      <c r="P4424" t="str">
        <f>HYPERLINK("https://www.youtube.com/channel/UC_Or-6_E9aesSJmoJ1QSc6Q")</f>
        <v>https://www.youtube.com/channel/UC_Or-6_E9aesSJmoJ1QSc6Q</v>
      </c>
      <c r="Q4424">
        <v>160448</v>
      </c>
      <c r="R4424" t="s">
        <v>60</v>
      </c>
      <c r="S4424" t="s">
        <v>437</v>
      </c>
      <c r="W4424">
        <v>0</v>
      </c>
      <c r="X4424">
        <v>0</v>
      </c>
      <c r="AM4424" t="s">
        <v>52</v>
      </c>
      <c r="AN4424" t="s">
        <v>53</v>
      </c>
    </row>
    <row r="4425" spans="1:40">
      <c r="A4425" t="s">
        <v>13057</v>
      </c>
      <c r="B4425" t="s">
        <v>2901</v>
      </c>
      <c r="C4425" t="s">
        <v>13517</v>
      </c>
      <c r="D4425" t="s">
        <v>52</v>
      </c>
      <c r="E4425" t="s">
        <v>13518</v>
      </c>
      <c r="F4425" t="s">
        <v>45</v>
      </c>
      <c r="G4425" t="str">
        <f>HYPERLINK("https://twitter.com/1024376731690512385/status/1142614614393442305")</f>
        <v>https://twitter.com/1024376731690512385/status/1142614614393442305</v>
      </c>
      <c r="H4425" t="s">
        <v>46</v>
      </c>
      <c r="I4425" t="s">
        <v>13519</v>
      </c>
      <c r="J4425" t="str">
        <f>HYPERLINK("http://twitter.com/akiriann")</f>
        <v>http://twitter.com/akiriann</v>
      </c>
      <c r="K4425">
        <v>1136</v>
      </c>
      <c r="N4425" t="s">
        <v>65</v>
      </c>
      <c r="R4425" t="s">
        <v>60</v>
      </c>
      <c r="S4425" t="s">
        <v>51</v>
      </c>
      <c r="T4425" t="s">
        <v>1785</v>
      </c>
      <c r="U4425" t="s">
        <v>1786</v>
      </c>
      <c r="W4425">
        <v>1</v>
      </c>
      <c r="X4425">
        <v>1</v>
      </c>
      <c r="AE4425">
        <v>0</v>
      </c>
      <c r="AF4425">
        <v>0</v>
      </c>
      <c r="AM4425" t="s">
        <v>52</v>
      </c>
      <c r="AN4425" t="s">
        <v>53</v>
      </c>
    </row>
    <row r="4426" spans="1:40">
      <c r="A4426" t="s">
        <v>13057</v>
      </c>
      <c r="B4426" t="s">
        <v>2901</v>
      </c>
      <c r="C4426" t="s">
        <v>12619</v>
      </c>
      <c r="D4426" t="s">
        <v>12931</v>
      </c>
      <c r="E4426" t="s">
        <v>13520</v>
      </c>
      <c r="F4426" t="s">
        <v>95</v>
      </c>
      <c r="G4426" t="str">
        <f>HYPERLINK("https://www.youtube.com/watch?v=2RoZJaVEeCA&amp;lc=UgwBCRrSbZFTEp5uget4AaABAg")</f>
        <v>https://www.youtube.com/watch?v=2RoZJaVEeCA&amp;lc=UgwBCRrSbZFTEp5uget4AaABAg</v>
      </c>
      <c r="H4426" t="s">
        <v>46</v>
      </c>
      <c r="I4426" t="s">
        <v>13521</v>
      </c>
      <c r="J4426" t="str">
        <f>HYPERLINK("https://www.youtube.com/channel/UCV7XtzK3-EbPTYknxSIYJrQ")</f>
        <v>https://www.youtube.com/channel/UCV7XtzK3-EbPTYknxSIYJrQ</v>
      </c>
      <c r="K4426">
        <v>43</v>
      </c>
      <c r="N4426" t="s">
        <v>116</v>
      </c>
      <c r="O4426" t="s">
        <v>12934</v>
      </c>
      <c r="P4426" t="str">
        <f t="shared" ref="P4426:P4434" si="4">HYPERLINK("https://www.youtube.com/channel/UC_Or-6_E9aesSJmoJ1QSc6Q")</f>
        <v>https://www.youtube.com/channel/UC_Or-6_E9aesSJmoJ1QSc6Q</v>
      </c>
      <c r="Q4426">
        <v>160448</v>
      </c>
      <c r="R4426" t="s">
        <v>60</v>
      </c>
      <c r="S4426" t="s">
        <v>437</v>
      </c>
      <c r="W4426">
        <v>0</v>
      </c>
      <c r="X4426">
        <v>0</v>
      </c>
      <c r="AE4426">
        <v>0</v>
      </c>
      <c r="AM4426" t="s">
        <v>52</v>
      </c>
      <c r="AN4426" t="s">
        <v>53</v>
      </c>
    </row>
    <row r="4427" spans="1:40">
      <c r="A4427" t="s">
        <v>13057</v>
      </c>
      <c r="B4427" t="s">
        <v>2907</v>
      </c>
      <c r="C4427" t="s">
        <v>12619</v>
      </c>
      <c r="D4427" t="s">
        <v>12931</v>
      </c>
      <c r="E4427" t="s">
        <v>13522</v>
      </c>
      <c r="F4427" t="s">
        <v>95</v>
      </c>
      <c r="G4427" t="str">
        <f>HYPERLINK("https://www.youtube.com/watch?v=2RoZJaVEeCA&amp;lc=UgxJkke_qSMbkFhExWF4AaABAg.8wVj8qNWN7G8wVjToK2c3f")</f>
        <v>https://www.youtube.com/watch?v=2RoZJaVEeCA&amp;lc=UgxJkke_qSMbkFhExWF4AaABAg.8wVj8qNWN7G8wVjToK2c3f</v>
      </c>
      <c r="H4427" t="s">
        <v>46</v>
      </c>
      <c r="I4427" t="s">
        <v>13511</v>
      </c>
      <c r="J4427" t="str">
        <f>HYPERLINK("https://www.youtube.com/channel/UC8GfLDRLjby4ZRxWhUJn3NA")</f>
        <v>https://www.youtube.com/channel/UC8GfLDRLjby4ZRxWhUJn3NA</v>
      </c>
      <c r="K4427">
        <v>15</v>
      </c>
      <c r="L4427" t="s">
        <v>48</v>
      </c>
      <c r="N4427" t="s">
        <v>116</v>
      </c>
      <c r="O4427" t="s">
        <v>12934</v>
      </c>
      <c r="P4427" t="str">
        <f t="shared" si="4"/>
        <v>https://www.youtube.com/channel/UC_Or-6_E9aesSJmoJ1QSc6Q</v>
      </c>
      <c r="Q4427">
        <v>160448</v>
      </c>
      <c r="R4427" t="s">
        <v>60</v>
      </c>
      <c r="S4427" t="s">
        <v>437</v>
      </c>
      <c r="W4427">
        <v>0</v>
      </c>
      <c r="X4427">
        <v>0</v>
      </c>
      <c r="AM4427" t="s">
        <v>52</v>
      </c>
      <c r="AN4427" t="s">
        <v>53</v>
      </c>
    </row>
    <row r="4428" spans="1:40">
      <c r="A4428" t="s">
        <v>13057</v>
      </c>
      <c r="B4428" t="s">
        <v>2915</v>
      </c>
      <c r="C4428" t="s">
        <v>12619</v>
      </c>
      <c r="D4428" t="s">
        <v>12931</v>
      </c>
      <c r="E4428" t="s">
        <v>13523</v>
      </c>
      <c r="F4428" t="s">
        <v>95</v>
      </c>
      <c r="G4428" t="str">
        <f>HYPERLINK("https://www.youtube.com/watch?v=2RoZJaVEeCA&amp;lc=UgyWf8R9ShE2Jk16qcB4AaABAg")</f>
        <v>https://www.youtube.com/watch?v=2RoZJaVEeCA&amp;lc=UgyWf8R9ShE2Jk16qcB4AaABAg</v>
      </c>
      <c r="H4428" t="s">
        <v>46</v>
      </c>
      <c r="I4428" t="s">
        <v>13524</v>
      </c>
      <c r="J4428" t="str">
        <f>HYPERLINK("https://www.youtube.com/channel/UCOwiTQbGm0SZInr2YOLR_CA")</f>
        <v>https://www.youtube.com/channel/UCOwiTQbGm0SZInr2YOLR_CA</v>
      </c>
      <c r="K4428">
        <v>6</v>
      </c>
      <c r="N4428" t="s">
        <v>116</v>
      </c>
      <c r="O4428" t="s">
        <v>12934</v>
      </c>
      <c r="P4428" t="str">
        <f t="shared" si="4"/>
        <v>https://www.youtube.com/channel/UC_Or-6_E9aesSJmoJ1QSc6Q</v>
      </c>
      <c r="Q4428">
        <v>160448</v>
      </c>
      <c r="R4428" t="s">
        <v>60</v>
      </c>
      <c r="S4428" t="s">
        <v>437</v>
      </c>
      <c r="W4428">
        <v>0</v>
      </c>
      <c r="X4428">
        <v>0</v>
      </c>
      <c r="AE4428">
        <v>0</v>
      </c>
      <c r="AM4428" t="s">
        <v>52</v>
      </c>
      <c r="AN4428" t="s">
        <v>53</v>
      </c>
    </row>
    <row r="4429" spans="1:40">
      <c r="A4429" t="s">
        <v>13057</v>
      </c>
      <c r="B4429" t="s">
        <v>2915</v>
      </c>
      <c r="C4429" t="s">
        <v>12619</v>
      </c>
      <c r="D4429" t="s">
        <v>12931</v>
      </c>
      <c r="E4429" t="s">
        <v>13525</v>
      </c>
      <c r="F4429" t="s">
        <v>95</v>
      </c>
      <c r="G4429" t="str">
        <f>HYPERLINK("https://www.youtube.com/watch?v=2RoZJaVEeCA&amp;lc=Ugxk4MECWIPP_tnoNLd4AaABAg")</f>
        <v>https://www.youtube.com/watch?v=2RoZJaVEeCA&amp;lc=Ugxk4MECWIPP_tnoNLd4AaABAg</v>
      </c>
      <c r="H4429" t="s">
        <v>46</v>
      </c>
      <c r="I4429" t="s">
        <v>13511</v>
      </c>
      <c r="J4429" t="str">
        <f>HYPERLINK("https://www.youtube.com/channel/UC8GfLDRLjby4ZRxWhUJn3NA")</f>
        <v>https://www.youtube.com/channel/UC8GfLDRLjby4ZRxWhUJn3NA</v>
      </c>
      <c r="K4429">
        <v>15</v>
      </c>
      <c r="L4429" t="s">
        <v>48</v>
      </c>
      <c r="N4429" t="s">
        <v>116</v>
      </c>
      <c r="O4429" t="s">
        <v>12934</v>
      </c>
      <c r="P4429" t="str">
        <f t="shared" si="4"/>
        <v>https://www.youtube.com/channel/UC_Or-6_E9aesSJmoJ1QSc6Q</v>
      </c>
      <c r="Q4429">
        <v>160448</v>
      </c>
      <c r="R4429" t="s">
        <v>60</v>
      </c>
      <c r="S4429" t="s">
        <v>437</v>
      </c>
      <c r="W4429">
        <v>9</v>
      </c>
      <c r="X4429">
        <v>9</v>
      </c>
      <c r="AE4429">
        <v>0</v>
      </c>
      <c r="AM4429" t="s">
        <v>52</v>
      </c>
      <c r="AN4429" t="s">
        <v>53</v>
      </c>
    </row>
    <row r="4430" spans="1:40">
      <c r="A4430" t="s">
        <v>13057</v>
      </c>
      <c r="B4430" t="s">
        <v>2915</v>
      </c>
      <c r="C4430" t="s">
        <v>12619</v>
      </c>
      <c r="D4430" t="s">
        <v>12931</v>
      </c>
      <c r="E4430" t="s">
        <v>13526</v>
      </c>
      <c r="F4430" t="s">
        <v>95</v>
      </c>
      <c r="G4430" t="str">
        <f>HYPERLINK("https://www.youtube.com/watch?v=2RoZJaVEeCA&amp;lc=UgyD-E7PvrxI2Oxxz4d4AaABAg")</f>
        <v>https://www.youtube.com/watch?v=2RoZJaVEeCA&amp;lc=UgyD-E7PvrxI2Oxxz4d4AaABAg</v>
      </c>
      <c r="H4430" t="s">
        <v>46</v>
      </c>
      <c r="I4430" t="s">
        <v>13527</v>
      </c>
      <c r="J4430" t="str">
        <f>HYPERLINK("https://www.youtube.com/channel/UCwPISgyYkb_Yifoz_sJEIEA")</f>
        <v>https://www.youtube.com/channel/UCwPISgyYkb_Yifoz_sJEIEA</v>
      </c>
      <c r="K4430">
        <v>0</v>
      </c>
      <c r="N4430" t="s">
        <v>116</v>
      </c>
      <c r="O4430" t="s">
        <v>12934</v>
      </c>
      <c r="P4430" t="str">
        <f t="shared" si="4"/>
        <v>https://www.youtube.com/channel/UC_Or-6_E9aesSJmoJ1QSc6Q</v>
      </c>
      <c r="Q4430">
        <v>160448</v>
      </c>
      <c r="R4430" t="s">
        <v>60</v>
      </c>
      <c r="S4430" t="s">
        <v>437</v>
      </c>
      <c r="W4430">
        <v>0</v>
      </c>
      <c r="X4430">
        <v>0</v>
      </c>
      <c r="AE4430">
        <v>0</v>
      </c>
      <c r="AM4430" t="s">
        <v>52</v>
      </c>
      <c r="AN4430" t="s">
        <v>53</v>
      </c>
    </row>
    <row r="4431" spans="1:40">
      <c r="A4431" t="s">
        <v>13057</v>
      </c>
      <c r="B4431" t="s">
        <v>2915</v>
      </c>
      <c r="C4431" t="s">
        <v>12619</v>
      </c>
      <c r="D4431" t="s">
        <v>12931</v>
      </c>
      <c r="E4431" t="s">
        <v>13528</v>
      </c>
      <c r="F4431" t="s">
        <v>95</v>
      </c>
      <c r="G4431" t="str">
        <f>HYPERLINK("https://www.youtube.com/watch?v=2RoZJaVEeCA&amp;lc=UgxdYWDGN3uUboU29yh4AaABAg")</f>
        <v>https://www.youtube.com/watch?v=2RoZJaVEeCA&amp;lc=UgxdYWDGN3uUboU29yh4AaABAg</v>
      </c>
      <c r="H4431" t="s">
        <v>46</v>
      </c>
      <c r="I4431" t="s">
        <v>13529</v>
      </c>
      <c r="J4431" t="str">
        <f>HYPERLINK("https://www.youtube.com/channel/UC0DuuzygmJAs5tvX_W79x4Q")</f>
        <v>https://www.youtube.com/channel/UC0DuuzygmJAs5tvX_W79x4Q</v>
      </c>
      <c r="K4431">
        <v>0</v>
      </c>
      <c r="N4431" t="s">
        <v>116</v>
      </c>
      <c r="O4431" t="s">
        <v>12934</v>
      </c>
      <c r="P4431" t="str">
        <f t="shared" si="4"/>
        <v>https://www.youtube.com/channel/UC_Or-6_E9aesSJmoJ1QSc6Q</v>
      </c>
      <c r="Q4431">
        <v>160448</v>
      </c>
      <c r="R4431" t="s">
        <v>60</v>
      </c>
      <c r="S4431" t="s">
        <v>437</v>
      </c>
      <c r="W4431">
        <v>0</v>
      </c>
      <c r="X4431">
        <v>0</v>
      </c>
      <c r="AE4431">
        <v>0</v>
      </c>
      <c r="AM4431" t="s">
        <v>52</v>
      </c>
      <c r="AN4431" t="s">
        <v>53</v>
      </c>
    </row>
    <row r="4432" spans="1:40">
      <c r="A4432" t="s">
        <v>13057</v>
      </c>
      <c r="B4432" t="s">
        <v>8636</v>
      </c>
      <c r="C4432" t="s">
        <v>12619</v>
      </c>
      <c r="D4432" t="s">
        <v>12931</v>
      </c>
      <c r="E4432" t="s">
        <v>13530</v>
      </c>
      <c r="F4432" t="s">
        <v>95</v>
      </c>
      <c r="G4432" t="str">
        <f>HYPERLINK("https://www.youtube.com/watch?v=2RoZJaVEeCA&amp;lc=UgyauOIoYpXxplFBJ-x4AaABAg")</f>
        <v>https://www.youtube.com/watch?v=2RoZJaVEeCA&amp;lc=UgyauOIoYpXxplFBJ-x4AaABAg</v>
      </c>
      <c r="H4432" t="s">
        <v>46</v>
      </c>
      <c r="I4432" t="s">
        <v>13531</v>
      </c>
      <c r="J4432" t="str">
        <f>HYPERLINK("https://www.youtube.com/channel/UCYWIfGTM5zhYvKHIOFB0OWQ")</f>
        <v>https://www.youtube.com/channel/UCYWIfGTM5zhYvKHIOFB0OWQ</v>
      </c>
      <c r="K4432">
        <v>19</v>
      </c>
      <c r="N4432" t="s">
        <v>116</v>
      </c>
      <c r="O4432" t="s">
        <v>12934</v>
      </c>
      <c r="P4432" t="str">
        <f t="shared" si="4"/>
        <v>https://www.youtube.com/channel/UC_Or-6_E9aesSJmoJ1QSc6Q</v>
      </c>
      <c r="Q4432">
        <v>160448</v>
      </c>
      <c r="R4432" t="s">
        <v>60</v>
      </c>
      <c r="S4432" t="s">
        <v>437</v>
      </c>
      <c r="W4432">
        <v>3</v>
      </c>
      <c r="X4432">
        <v>3</v>
      </c>
      <c r="AE4432">
        <v>0</v>
      </c>
      <c r="AM4432" t="s">
        <v>52</v>
      </c>
      <c r="AN4432" t="s">
        <v>53</v>
      </c>
    </row>
    <row r="4433" spans="1:40">
      <c r="A4433" t="s">
        <v>13057</v>
      </c>
      <c r="B4433" t="s">
        <v>2919</v>
      </c>
      <c r="C4433" t="s">
        <v>12619</v>
      </c>
      <c r="D4433" t="s">
        <v>12931</v>
      </c>
      <c r="E4433" t="s">
        <v>13532</v>
      </c>
      <c r="F4433" t="s">
        <v>95</v>
      </c>
      <c r="G4433" t="str">
        <f>HYPERLINK("https://www.youtube.com/watch?v=2RoZJaVEeCA&amp;lc=UgwVsXioQhlK1sUctMB4AaABAg")</f>
        <v>https://www.youtube.com/watch?v=2RoZJaVEeCA&amp;lc=UgwVsXioQhlK1sUctMB4AaABAg</v>
      </c>
      <c r="H4433" t="s">
        <v>46</v>
      </c>
      <c r="I4433" t="s">
        <v>13531</v>
      </c>
      <c r="J4433" t="str">
        <f>HYPERLINK("https://www.youtube.com/channel/UCYWIfGTM5zhYvKHIOFB0OWQ")</f>
        <v>https://www.youtube.com/channel/UCYWIfGTM5zhYvKHIOFB0OWQ</v>
      </c>
      <c r="K4433">
        <v>19</v>
      </c>
      <c r="N4433" t="s">
        <v>116</v>
      </c>
      <c r="O4433" t="s">
        <v>12934</v>
      </c>
      <c r="P4433" t="str">
        <f t="shared" si="4"/>
        <v>https://www.youtube.com/channel/UC_Or-6_E9aesSJmoJ1QSc6Q</v>
      </c>
      <c r="Q4433">
        <v>160448</v>
      </c>
      <c r="R4433" t="s">
        <v>60</v>
      </c>
      <c r="S4433" t="s">
        <v>437</v>
      </c>
      <c r="W4433">
        <v>0</v>
      </c>
      <c r="X4433">
        <v>0</v>
      </c>
      <c r="AE4433">
        <v>0</v>
      </c>
      <c r="AM4433" t="s">
        <v>52</v>
      </c>
      <c r="AN4433" t="s">
        <v>53</v>
      </c>
    </row>
    <row r="4434" spans="1:40">
      <c r="A4434" t="s">
        <v>13057</v>
      </c>
      <c r="B4434" t="s">
        <v>2919</v>
      </c>
      <c r="C4434" t="s">
        <v>12619</v>
      </c>
      <c r="D4434" t="s">
        <v>12931</v>
      </c>
      <c r="E4434" t="s">
        <v>13533</v>
      </c>
      <c r="F4434" t="s">
        <v>95</v>
      </c>
      <c r="G4434" t="str">
        <f>HYPERLINK("https://www.youtube.com/watch?v=2RoZJaVEeCA&amp;lc=UgwyCKoL-eYPWBbAcRB4AaABAg")</f>
        <v>https://www.youtube.com/watch?v=2RoZJaVEeCA&amp;lc=UgwyCKoL-eYPWBbAcRB4AaABAg</v>
      </c>
      <c r="H4434" t="s">
        <v>46</v>
      </c>
      <c r="I4434" t="s">
        <v>13534</v>
      </c>
      <c r="J4434" t="str">
        <f>HYPERLINK("https://www.youtube.com/channel/UCwhJV3iLQSz4FQFbf8V5BwA")</f>
        <v>https://www.youtube.com/channel/UCwhJV3iLQSz4FQFbf8V5BwA</v>
      </c>
      <c r="K4434">
        <v>0</v>
      </c>
      <c r="N4434" t="s">
        <v>116</v>
      </c>
      <c r="O4434" t="s">
        <v>12934</v>
      </c>
      <c r="P4434" t="str">
        <f t="shared" si="4"/>
        <v>https://www.youtube.com/channel/UC_Or-6_E9aesSJmoJ1QSc6Q</v>
      </c>
      <c r="Q4434">
        <v>160448</v>
      </c>
      <c r="R4434" t="s">
        <v>60</v>
      </c>
      <c r="S4434" t="s">
        <v>437</v>
      </c>
      <c r="W4434">
        <v>0</v>
      </c>
      <c r="X4434">
        <v>0</v>
      </c>
      <c r="AE4434">
        <v>0</v>
      </c>
      <c r="AM4434" t="s">
        <v>52</v>
      </c>
      <c r="AN4434" t="s">
        <v>53</v>
      </c>
    </row>
    <row r="4435" spans="1:40">
      <c r="A4435" t="s">
        <v>13057</v>
      </c>
      <c r="B4435" t="s">
        <v>2919</v>
      </c>
      <c r="C4435" t="s">
        <v>13535</v>
      </c>
      <c r="D4435" t="s">
        <v>52</v>
      </c>
      <c r="E4435" t="s">
        <v>13536</v>
      </c>
      <c r="F4435" t="s">
        <v>45</v>
      </c>
      <c r="G4435" t="str">
        <f>HYPERLINK("https://twitter.com/525056672/status/1142613379573538822")</f>
        <v>https://twitter.com/525056672/status/1142613379573538822</v>
      </c>
      <c r="H4435" t="s">
        <v>215</v>
      </c>
      <c r="I4435" t="s">
        <v>13537</v>
      </c>
      <c r="J4435" t="str">
        <f>HYPERLINK("http://twitter.com/siskangestips_")</f>
        <v>http://twitter.com/siskangestips_</v>
      </c>
      <c r="K4435">
        <v>541</v>
      </c>
      <c r="N4435" t="s">
        <v>65</v>
      </c>
      <c r="R4435" t="s">
        <v>60</v>
      </c>
      <c r="W4435">
        <v>0</v>
      </c>
      <c r="X4435">
        <v>0</v>
      </c>
      <c r="AE4435">
        <v>0</v>
      </c>
      <c r="AF4435">
        <v>0</v>
      </c>
      <c r="AI4435" t="s">
        <v>52</v>
      </c>
      <c r="AJ4435" t="s">
        <v>52</v>
      </c>
      <c r="AK4435" t="s">
        <v>341</v>
      </c>
      <c r="AL4435" t="str">
        <f>HYPERLINK("https://pbs.twimg.com/media/D9tg0C-W4AAn2ZS.png")</f>
        <v>https://pbs.twimg.com/media/D9tg0C-W4AAn2ZS.png</v>
      </c>
      <c r="AM4435" t="s">
        <v>52</v>
      </c>
      <c r="AN4435" t="s">
        <v>53</v>
      </c>
    </row>
    <row r="4436" spans="1:40">
      <c r="A4436" t="s">
        <v>13057</v>
      </c>
      <c r="B4436" t="s">
        <v>2919</v>
      </c>
      <c r="C4436" t="s">
        <v>13538</v>
      </c>
      <c r="D4436" t="s">
        <v>52</v>
      </c>
      <c r="E4436" t="s">
        <v>13539</v>
      </c>
      <c r="F4436" t="s">
        <v>45</v>
      </c>
      <c r="G4436" t="str">
        <f>HYPERLINK("https://www.instagram.com/p/BzCOQiBgLwy")</f>
        <v>https://www.instagram.com/p/BzCOQiBgLwy</v>
      </c>
      <c r="H4436" t="s">
        <v>46</v>
      </c>
      <c r="I4436" t="s">
        <v>13540</v>
      </c>
      <c r="J4436" t="str">
        <f>HYPERLINK("http://instagram.com/voxodyssey")</f>
        <v>http://instagram.com/voxodyssey</v>
      </c>
      <c r="K4436">
        <v>4888</v>
      </c>
      <c r="N4436" t="s">
        <v>59</v>
      </c>
      <c r="O4436" t="s">
        <v>13540</v>
      </c>
      <c r="P4436" t="str">
        <f>HYPERLINK("http://instagram.com/voxodyssey")</f>
        <v>http://instagram.com/voxodyssey</v>
      </c>
      <c r="Q4436">
        <v>4888</v>
      </c>
      <c r="R4436" t="s">
        <v>60</v>
      </c>
      <c r="W4436">
        <v>40</v>
      </c>
      <c r="X4436">
        <v>40</v>
      </c>
      <c r="AE4436">
        <v>1</v>
      </c>
      <c r="AI4436" t="s">
        <v>52</v>
      </c>
      <c r="AJ4436" t="s">
        <v>52</v>
      </c>
      <c r="AK4436" t="s">
        <v>52</v>
      </c>
      <c r="AL4436" t="str">
        <f>HYPERLINK("https://www.instagram.com/p/BzCOQiBgLwy/media/?size=l")</f>
        <v>https://www.instagram.com/p/BzCOQiBgLwy/media/?size=l</v>
      </c>
      <c r="AM4436" t="s">
        <v>52</v>
      </c>
      <c r="AN4436" t="s">
        <v>53</v>
      </c>
    </row>
    <row r="4437" spans="1:40">
      <c r="A4437" t="s">
        <v>13057</v>
      </c>
      <c r="B4437" t="s">
        <v>2919</v>
      </c>
      <c r="C4437" t="s">
        <v>13538</v>
      </c>
      <c r="D4437" t="s">
        <v>52</v>
      </c>
      <c r="E4437" t="s">
        <v>13541</v>
      </c>
      <c r="F4437" t="s">
        <v>71</v>
      </c>
      <c r="G4437" t="str">
        <f>HYPERLINK("https://twitter.com/1048593547501264896/status/1142613327102775296")</f>
        <v>https://twitter.com/1048593547501264896/status/1142613327102775296</v>
      </c>
      <c r="H4437" t="s">
        <v>46</v>
      </c>
      <c r="I4437" t="s">
        <v>13542</v>
      </c>
      <c r="J4437" t="str">
        <f>HYPERLINK("http://twitter.com/pearlyflcwers")</f>
        <v>http://twitter.com/pearlyflcwers</v>
      </c>
      <c r="K4437">
        <v>2149</v>
      </c>
      <c r="N4437" t="s">
        <v>65</v>
      </c>
      <c r="R4437" t="s">
        <v>60</v>
      </c>
      <c r="W4437">
        <v>0</v>
      </c>
      <c r="X4437">
        <v>0</v>
      </c>
      <c r="AE4437">
        <v>0</v>
      </c>
      <c r="AF4437">
        <v>0</v>
      </c>
      <c r="AI4437" t="s">
        <v>52</v>
      </c>
      <c r="AJ4437" t="s">
        <v>461</v>
      </c>
      <c r="AK4437" t="s">
        <v>52</v>
      </c>
      <c r="AL4437" t="str">
        <f>HYPERLINK("https://pbs.twimg.com/media/D9O7yfUXsAAJg4g.jpg")</f>
        <v>https://pbs.twimg.com/media/D9O7yfUXsAAJg4g.jpg</v>
      </c>
      <c r="AM4437" t="s">
        <v>52</v>
      </c>
      <c r="AN4437" t="s">
        <v>53</v>
      </c>
    </row>
    <row r="4438" spans="1:40">
      <c r="A4438" t="s">
        <v>13057</v>
      </c>
      <c r="B4438" t="s">
        <v>2926</v>
      </c>
      <c r="C4438" t="s">
        <v>13543</v>
      </c>
      <c r="D4438" t="s">
        <v>52</v>
      </c>
      <c r="E4438" t="s">
        <v>13544</v>
      </c>
      <c r="F4438" t="s">
        <v>95</v>
      </c>
      <c r="G4438" t="str">
        <f>HYPERLINK("https://twitter.com/1116793431144181761/status/1142613176753827840")</f>
        <v>https://twitter.com/1116793431144181761/status/1142613176753827840</v>
      </c>
      <c r="H4438" t="s">
        <v>46</v>
      </c>
      <c r="I4438" t="s">
        <v>13545</v>
      </c>
      <c r="J4438" t="str">
        <f>HYPERLINK("http://twitter.com/Tvpoll_rtfav2")</f>
        <v>http://twitter.com/Tvpoll_rtfav2</v>
      </c>
      <c r="K4438">
        <v>81</v>
      </c>
      <c r="N4438" t="s">
        <v>65</v>
      </c>
      <c r="R4438" t="s">
        <v>60</v>
      </c>
      <c r="S4438" t="s">
        <v>97</v>
      </c>
      <c r="T4438" t="s">
        <v>177</v>
      </c>
      <c r="U4438" t="s">
        <v>395</v>
      </c>
      <c r="W4438">
        <v>0</v>
      </c>
      <c r="X4438">
        <v>0</v>
      </c>
      <c r="AE4438">
        <v>0</v>
      </c>
      <c r="AF4438">
        <v>0</v>
      </c>
      <c r="AI4438" t="s">
        <v>52</v>
      </c>
      <c r="AJ4438" t="s">
        <v>52</v>
      </c>
      <c r="AK4438" t="s">
        <v>52</v>
      </c>
      <c r="AL4438" t="str">
        <f>HYPERLINK("https://pbs.twimg.com/tweet_video_thumb/D9tgoA2XUAAK0zl.jpg")</f>
        <v>https://pbs.twimg.com/tweet_video_thumb/D9tgoA2XUAAK0zl.jpg</v>
      </c>
      <c r="AM4438" t="s">
        <v>52</v>
      </c>
      <c r="AN4438" t="s">
        <v>53</v>
      </c>
    </row>
    <row r="4439" spans="1:40">
      <c r="A4439" t="s">
        <v>13057</v>
      </c>
      <c r="B4439" t="s">
        <v>2926</v>
      </c>
      <c r="C4439" t="s">
        <v>13546</v>
      </c>
      <c r="D4439" t="s">
        <v>52</v>
      </c>
      <c r="E4439" t="s">
        <v>276</v>
      </c>
      <c r="F4439" t="s">
        <v>131</v>
      </c>
      <c r="G4439" t="str">
        <f>HYPERLINK("https://twitter.com/1116793431144181761/status/1142613053562916865")</f>
        <v>https://twitter.com/1116793431144181761/status/1142613053562916865</v>
      </c>
      <c r="H4439" t="s">
        <v>46</v>
      </c>
      <c r="I4439" t="s">
        <v>13545</v>
      </c>
      <c r="J4439" t="str">
        <f>HYPERLINK("http://twitter.com/Tvpoll_rtfav2")</f>
        <v>http://twitter.com/Tvpoll_rtfav2</v>
      </c>
      <c r="K4439">
        <v>81</v>
      </c>
      <c r="N4439" t="s">
        <v>65</v>
      </c>
      <c r="R4439" t="s">
        <v>60</v>
      </c>
      <c r="S4439" t="s">
        <v>97</v>
      </c>
      <c r="T4439" t="s">
        <v>177</v>
      </c>
      <c r="U4439" t="s">
        <v>395</v>
      </c>
      <c r="W4439">
        <v>0</v>
      </c>
      <c r="X4439">
        <v>0</v>
      </c>
      <c r="AE4439">
        <v>0</v>
      </c>
      <c r="AI4439" t="s">
        <v>108</v>
      </c>
      <c r="AJ4439" t="s">
        <v>52</v>
      </c>
      <c r="AK4439" t="s">
        <v>52</v>
      </c>
      <c r="AL4439" t="str">
        <f>HYPERLINK("https://pbs.twimg.com/tweet_video_thumb/D9hvNNzXUAATAS3.jpg")</f>
        <v>https://pbs.twimg.com/tweet_video_thumb/D9hvNNzXUAATAS3.jpg</v>
      </c>
      <c r="AM4439" t="s">
        <v>52</v>
      </c>
      <c r="AN4439" t="s">
        <v>53</v>
      </c>
    </row>
    <row r="4440" spans="1:40">
      <c r="A4440" t="s">
        <v>13057</v>
      </c>
      <c r="B4440" t="s">
        <v>2926</v>
      </c>
      <c r="C4440" t="s">
        <v>8120</v>
      </c>
      <c r="D4440" t="s">
        <v>13547</v>
      </c>
      <c r="E4440" t="s">
        <v>13548</v>
      </c>
      <c r="F4440" t="s">
        <v>45</v>
      </c>
      <c r="G4440" t="str">
        <f>HYPERLINK("http://www.philropost.com/minecraft-mlg.html")</f>
        <v>http://www.philropost.com/minecraft-mlg.html</v>
      </c>
      <c r="H4440" t="s">
        <v>46</v>
      </c>
      <c r="N4440" t="s">
        <v>7552</v>
      </c>
      <c r="R4440" t="s">
        <v>50</v>
      </c>
      <c r="S4440" t="s">
        <v>51</v>
      </c>
      <c r="AM4440" t="s">
        <v>52</v>
      </c>
      <c r="AN4440" t="s">
        <v>53</v>
      </c>
    </row>
    <row r="4441" spans="1:40">
      <c r="A4441" t="s">
        <v>13057</v>
      </c>
      <c r="B4441" t="s">
        <v>2926</v>
      </c>
      <c r="C4441" t="s">
        <v>8120</v>
      </c>
      <c r="D4441" t="s">
        <v>8680</v>
      </c>
      <c r="E4441" t="s">
        <v>8681</v>
      </c>
      <c r="F4441" t="s">
        <v>45</v>
      </c>
      <c r="G4441" t="str">
        <f>HYPERLINK("http://www.philropost.com/mlg-dorito.html")</f>
        <v>http://www.philropost.com/mlg-dorito.html</v>
      </c>
      <c r="H4441" t="s">
        <v>46</v>
      </c>
      <c r="N4441" t="s">
        <v>7552</v>
      </c>
      <c r="R4441" t="s">
        <v>50</v>
      </c>
      <c r="S4441" t="s">
        <v>51</v>
      </c>
      <c r="AM4441" t="s">
        <v>52</v>
      </c>
      <c r="AN4441" t="s">
        <v>53</v>
      </c>
    </row>
    <row r="4442" spans="1:40">
      <c r="A4442" t="s">
        <v>13057</v>
      </c>
      <c r="B4442" t="s">
        <v>13549</v>
      </c>
      <c r="C4442" t="s">
        <v>13550</v>
      </c>
      <c r="D4442" t="s">
        <v>13551</v>
      </c>
      <c r="E4442" t="s">
        <v>13552</v>
      </c>
      <c r="F4442" t="s">
        <v>45</v>
      </c>
      <c r="G4442" t="str">
        <f>HYPERLINK("https://apkhook.com/mountain-d.html")</f>
        <v>https://apkhook.com/mountain-d.html</v>
      </c>
      <c r="H4442" t="s">
        <v>46</v>
      </c>
      <c r="N4442" t="s">
        <v>1633</v>
      </c>
      <c r="R4442" t="s">
        <v>50</v>
      </c>
      <c r="S4442" t="s">
        <v>51</v>
      </c>
      <c r="AM4442" t="s">
        <v>52</v>
      </c>
      <c r="AN4442" t="s">
        <v>53</v>
      </c>
    </row>
    <row r="4443" spans="1:40">
      <c r="A4443" t="s">
        <v>13057</v>
      </c>
      <c r="B4443" t="s">
        <v>2930</v>
      </c>
      <c r="C4443" t="s">
        <v>13553</v>
      </c>
      <c r="D4443" t="s">
        <v>52</v>
      </c>
      <c r="E4443" t="s">
        <v>13554</v>
      </c>
      <c r="F4443" t="s">
        <v>45</v>
      </c>
      <c r="G4443" t="str">
        <f>HYPERLINK("https://twitter.com/800377871340441600/status/1142612545544642560")</f>
        <v>https://twitter.com/800377871340441600/status/1142612545544642560</v>
      </c>
      <c r="H4443" t="s">
        <v>46</v>
      </c>
      <c r="I4443" t="s">
        <v>13555</v>
      </c>
      <c r="J4443" t="str">
        <f>HYPERLINK("http://twitter.com/Pabloramon24")</f>
        <v>http://twitter.com/Pabloramon24</v>
      </c>
      <c r="K4443">
        <v>107</v>
      </c>
      <c r="N4443" t="s">
        <v>65</v>
      </c>
      <c r="R4443" t="s">
        <v>60</v>
      </c>
      <c r="S4443" t="s">
        <v>142</v>
      </c>
      <c r="T4443" t="s">
        <v>143</v>
      </c>
      <c r="U4443" t="s">
        <v>439</v>
      </c>
      <c r="W4443">
        <v>2</v>
      </c>
      <c r="X4443">
        <v>2</v>
      </c>
      <c r="AE4443">
        <v>0</v>
      </c>
      <c r="AF4443">
        <v>0</v>
      </c>
      <c r="AM4443" t="s">
        <v>52</v>
      </c>
      <c r="AN4443" t="s">
        <v>53</v>
      </c>
    </row>
    <row r="4444" spans="1:40">
      <c r="A4444" t="s">
        <v>13057</v>
      </c>
      <c r="B4444" t="s">
        <v>2935</v>
      </c>
      <c r="C4444" t="s">
        <v>13556</v>
      </c>
      <c r="D4444" t="s">
        <v>52</v>
      </c>
      <c r="E4444" t="s">
        <v>9351</v>
      </c>
      <c r="F4444" t="s">
        <v>131</v>
      </c>
      <c r="G4444" t="str">
        <f>HYPERLINK("https://twitter.com/97533672/status/1142612319144275969")</f>
        <v>https://twitter.com/97533672/status/1142612319144275969</v>
      </c>
      <c r="H4444" t="s">
        <v>46</v>
      </c>
      <c r="I4444" t="s">
        <v>13557</v>
      </c>
      <c r="J4444" t="str">
        <f>HYPERLINK("http://twitter.com/Temporaneous")</f>
        <v>http://twitter.com/Temporaneous</v>
      </c>
      <c r="K4444">
        <v>96</v>
      </c>
      <c r="N4444" t="s">
        <v>65</v>
      </c>
      <c r="R4444" t="s">
        <v>60</v>
      </c>
      <c r="W4444">
        <v>0</v>
      </c>
      <c r="X4444">
        <v>0</v>
      </c>
      <c r="AE4444">
        <v>0</v>
      </c>
      <c r="AI4444" t="s">
        <v>52</v>
      </c>
      <c r="AJ4444" t="s">
        <v>52</v>
      </c>
      <c r="AK4444" t="s">
        <v>52</v>
      </c>
      <c r="AL4444" t="str">
        <f>HYPERLINK("https://pbs.twimg.com/media/D9mFywEW4AY05Wr.jpg")</f>
        <v>https://pbs.twimg.com/media/D9mFywEW4AY05Wr.jpg</v>
      </c>
      <c r="AM4444" t="s">
        <v>52</v>
      </c>
      <c r="AN4444" t="s">
        <v>53</v>
      </c>
    </row>
    <row r="4445" spans="1:40">
      <c r="A4445" t="s">
        <v>13057</v>
      </c>
      <c r="B4445" t="s">
        <v>2941</v>
      </c>
      <c r="C4445" t="s">
        <v>13558</v>
      </c>
      <c r="D4445" t="s">
        <v>52</v>
      </c>
      <c r="E4445" t="s">
        <v>13559</v>
      </c>
      <c r="F4445" t="s">
        <v>45</v>
      </c>
      <c r="G4445" t="str">
        <f>HYPERLINK("https://www.instagram.com/p/BzCMuQyAWfL")</f>
        <v>https://www.instagram.com/p/BzCMuQyAWfL</v>
      </c>
      <c r="H4445" t="s">
        <v>46</v>
      </c>
      <c r="I4445" t="s">
        <v>13560</v>
      </c>
      <c r="J4445" t="str">
        <f>HYPERLINK("http://instagram.com/richardson_955")</f>
        <v>http://instagram.com/richardson_955</v>
      </c>
      <c r="K4445">
        <v>296</v>
      </c>
      <c r="L4445" t="s">
        <v>48</v>
      </c>
      <c r="N4445" t="s">
        <v>59</v>
      </c>
      <c r="O4445" t="s">
        <v>13560</v>
      </c>
      <c r="P4445" t="str">
        <f>HYPERLINK("http://instagram.com/richardson_955")</f>
        <v>http://instagram.com/richardson_955</v>
      </c>
      <c r="Q4445">
        <v>296</v>
      </c>
      <c r="R4445" t="s">
        <v>60</v>
      </c>
      <c r="S4445" t="s">
        <v>51</v>
      </c>
      <c r="T4445" t="s">
        <v>253</v>
      </c>
      <c r="U4445" t="s">
        <v>13561</v>
      </c>
      <c r="W4445">
        <v>25</v>
      </c>
      <c r="X4445">
        <v>25</v>
      </c>
      <c r="AE4445">
        <v>1</v>
      </c>
      <c r="AG4445">
        <v>75</v>
      </c>
      <c r="AI4445" t="s">
        <v>52</v>
      </c>
      <c r="AJ4445" t="s">
        <v>2445</v>
      </c>
      <c r="AK4445" t="s">
        <v>2446</v>
      </c>
      <c r="AL4445" t="str">
        <f>HYPERLINK("https://www.instagram.com/p/BzCMuQyAWfL/media/?size=l")</f>
        <v>https://www.instagram.com/p/BzCMuQyAWfL/media/?size=l</v>
      </c>
      <c r="AM4445" t="s">
        <v>52</v>
      </c>
      <c r="AN4445" t="s">
        <v>53</v>
      </c>
    </row>
    <row r="4446" spans="1:40">
      <c r="A4446" t="s">
        <v>13057</v>
      </c>
      <c r="B4446" t="s">
        <v>2952</v>
      </c>
      <c r="C4446" t="s">
        <v>13556</v>
      </c>
      <c r="D4446" t="s">
        <v>52</v>
      </c>
      <c r="E4446" t="s">
        <v>13562</v>
      </c>
      <c r="F4446" t="s">
        <v>45</v>
      </c>
      <c r="G4446" t="str">
        <f>HYPERLINK("https://twitter.com/75924267/status/1142611705769410560")</f>
        <v>https://twitter.com/75924267/status/1142611705769410560</v>
      </c>
      <c r="H4446" t="s">
        <v>46</v>
      </c>
      <c r="I4446" t="s">
        <v>13563</v>
      </c>
      <c r="J4446" t="str">
        <f>HYPERLINK("http://twitter.com/44shadesofbray")</f>
        <v>http://twitter.com/44shadesofbray</v>
      </c>
      <c r="K4446">
        <v>587</v>
      </c>
      <c r="L4446" t="s">
        <v>48</v>
      </c>
      <c r="N4446" t="s">
        <v>65</v>
      </c>
      <c r="R4446" t="s">
        <v>60</v>
      </c>
      <c r="S4446" t="s">
        <v>51</v>
      </c>
      <c r="T4446" t="s">
        <v>678</v>
      </c>
      <c r="U4446" t="s">
        <v>13564</v>
      </c>
      <c r="W4446">
        <v>6</v>
      </c>
      <c r="X4446">
        <v>6</v>
      </c>
      <c r="AE4446">
        <v>1</v>
      </c>
      <c r="AF4446">
        <v>0</v>
      </c>
      <c r="AM4446" t="s">
        <v>52</v>
      </c>
      <c r="AN4446" t="s">
        <v>53</v>
      </c>
    </row>
    <row r="4447" spans="1:40">
      <c r="A4447" t="s">
        <v>13057</v>
      </c>
      <c r="B4447" t="s">
        <v>2952</v>
      </c>
      <c r="C4447" t="s">
        <v>13556</v>
      </c>
      <c r="D4447" t="s">
        <v>52</v>
      </c>
      <c r="E4447" t="s">
        <v>9023</v>
      </c>
      <c r="F4447" t="s">
        <v>131</v>
      </c>
      <c r="G4447" t="str">
        <f>HYPERLINK("https://twitter.com/703030653445664769/status/1142611689222934528")</f>
        <v>https://twitter.com/703030653445664769/status/1142611689222934528</v>
      </c>
      <c r="H4447" t="s">
        <v>46</v>
      </c>
      <c r="I4447" t="s">
        <v>13565</v>
      </c>
      <c r="J4447" t="str">
        <f>HYPERLINK("http://twitter.com/yrmweakness")</f>
        <v>http://twitter.com/yrmweakness</v>
      </c>
      <c r="K4447">
        <v>351</v>
      </c>
      <c r="N4447" t="s">
        <v>65</v>
      </c>
      <c r="R4447" t="s">
        <v>60</v>
      </c>
      <c r="S4447" t="s">
        <v>387</v>
      </c>
      <c r="T4447" t="s">
        <v>2981</v>
      </c>
      <c r="U4447" t="s">
        <v>7015</v>
      </c>
      <c r="W4447">
        <v>0</v>
      </c>
      <c r="X4447">
        <v>0</v>
      </c>
      <c r="AE4447">
        <v>0</v>
      </c>
      <c r="AI4447" t="s">
        <v>108</v>
      </c>
      <c r="AJ4447" t="s">
        <v>1182</v>
      </c>
      <c r="AK4447" t="s">
        <v>52</v>
      </c>
      <c r="AL4447" t="str">
        <f>HYPERLINK("https://pbs.twimg.com/media/D9tPJcrXoAAuJyr.jpg")</f>
        <v>https://pbs.twimg.com/media/D9tPJcrXoAAuJyr.jpg</v>
      </c>
      <c r="AM4447" t="s">
        <v>52</v>
      </c>
      <c r="AN4447" t="s">
        <v>53</v>
      </c>
    </row>
    <row r="4448" spans="1:40">
      <c r="A4448" t="s">
        <v>13057</v>
      </c>
      <c r="B4448" t="s">
        <v>2952</v>
      </c>
      <c r="C4448" t="s">
        <v>13566</v>
      </c>
      <c r="D4448" t="s">
        <v>13567</v>
      </c>
      <c r="E4448" t="s">
        <v>13567</v>
      </c>
      <c r="F4448" t="s">
        <v>45</v>
      </c>
      <c r="G4448" t="str">
        <f>HYPERLINK("https://www.youtube.com/watch?v=nR-XqDUQsE4")</f>
        <v>https://www.youtube.com/watch?v=nR-XqDUQsE4</v>
      </c>
      <c r="H4448" t="s">
        <v>46</v>
      </c>
      <c r="I4448" t="s">
        <v>13568</v>
      </c>
      <c r="J4448" t="str">
        <f>HYPERLINK("https://www.youtube.com/channel/UC9v47DbIazcDjM0UR8hnuBA")</f>
        <v>https://www.youtube.com/channel/UC9v47DbIazcDjM0UR8hnuBA</v>
      </c>
      <c r="K4448">
        <v>13</v>
      </c>
      <c r="L4448" t="s">
        <v>58</v>
      </c>
      <c r="N4448" t="s">
        <v>116</v>
      </c>
      <c r="O4448" t="s">
        <v>13568</v>
      </c>
      <c r="P4448" t="str">
        <f>HYPERLINK("https://www.youtube.com/channel/UC9v47DbIazcDjM0UR8hnuBA")</f>
        <v>https://www.youtube.com/channel/UC9v47DbIazcDjM0UR8hnuBA</v>
      </c>
      <c r="Q4448">
        <v>13</v>
      </c>
      <c r="R4448" t="s">
        <v>60</v>
      </c>
      <c r="W4448">
        <v>0</v>
      </c>
      <c r="X4448">
        <v>0</v>
      </c>
      <c r="AD4448">
        <v>0</v>
      </c>
      <c r="AE4448">
        <v>0</v>
      </c>
      <c r="AG4448">
        <v>2</v>
      </c>
      <c r="AI4448" t="s">
        <v>108</v>
      </c>
      <c r="AJ4448" t="s">
        <v>52</v>
      </c>
      <c r="AK4448" t="s">
        <v>52</v>
      </c>
      <c r="AL4448" t="str">
        <f>HYPERLINK("https://i.ytimg.com/vi/nR-XqDUQsE4/maxresdefault.jpg")</f>
        <v>https://i.ytimg.com/vi/nR-XqDUQsE4/maxresdefault.jpg</v>
      </c>
      <c r="AM4448" t="s">
        <v>52</v>
      </c>
      <c r="AN4448" t="s">
        <v>53</v>
      </c>
    </row>
    <row r="4449" spans="1:40">
      <c r="A4449" t="s">
        <v>13057</v>
      </c>
      <c r="B4449" t="s">
        <v>2952</v>
      </c>
      <c r="C4449" t="s">
        <v>13569</v>
      </c>
      <c r="D4449" t="s">
        <v>52</v>
      </c>
      <c r="E4449" t="s">
        <v>9372</v>
      </c>
      <c r="F4449" t="s">
        <v>131</v>
      </c>
      <c r="G4449" t="str">
        <f>HYPERLINK("https://twitter.com/400835378/status/1142611564899573761")</f>
        <v>https://twitter.com/400835378/status/1142611564899573761</v>
      </c>
      <c r="H4449" t="s">
        <v>46</v>
      </c>
      <c r="I4449" t="s">
        <v>13570</v>
      </c>
      <c r="J4449" t="str">
        <f>HYPERLINK("http://twitter.com/Debbaranowski")</f>
        <v>http://twitter.com/Debbaranowski</v>
      </c>
      <c r="K4449">
        <v>422</v>
      </c>
      <c r="N4449" t="s">
        <v>65</v>
      </c>
      <c r="R4449" t="s">
        <v>60</v>
      </c>
      <c r="S4449" t="s">
        <v>51</v>
      </c>
      <c r="T4449" t="s">
        <v>73</v>
      </c>
      <c r="U4449" t="s">
        <v>13571</v>
      </c>
      <c r="W4449">
        <v>0</v>
      </c>
      <c r="X4449">
        <v>0</v>
      </c>
      <c r="AE4449">
        <v>0</v>
      </c>
      <c r="AM4449" t="s">
        <v>52</v>
      </c>
      <c r="AN4449" t="s">
        <v>53</v>
      </c>
    </row>
    <row r="4450" spans="1:40">
      <c r="A4450" t="s">
        <v>13057</v>
      </c>
      <c r="B4450" t="s">
        <v>2957</v>
      </c>
      <c r="C4450" t="s">
        <v>13572</v>
      </c>
      <c r="D4450" t="s">
        <v>52</v>
      </c>
      <c r="E4450" t="s">
        <v>13573</v>
      </c>
      <c r="F4450" t="s">
        <v>131</v>
      </c>
      <c r="G4450" t="str">
        <f>HYPERLINK("https://twitter.com/884488773819670528/status/1142611235080458240")</f>
        <v>https://twitter.com/884488773819670528/status/1142611235080458240</v>
      </c>
      <c r="H4450" t="s">
        <v>46</v>
      </c>
      <c r="I4450" t="s">
        <v>52</v>
      </c>
      <c r="J4450" t="str">
        <f>HYPERLINK("http://twitter.com/DreamyHowell")</f>
        <v>http://twitter.com/DreamyHowell</v>
      </c>
      <c r="K4450">
        <v>204</v>
      </c>
      <c r="N4450" t="s">
        <v>65</v>
      </c>
      <c r="R4450" t="s">
        <v>60</v>
      </c>
      <c r="W4450">
        <v>0</v>
      </c>
      <c r="X4450">
        <v>0</v>
      </c>
      <c r="AE4450">
        <v>0</v>
      </c>
      <c r="AM4450" t="s">
        <v>52</v>
      </c>
      <c r="AN4450" t="s">
        <v>53</v>
      </c>
    </row>
    <row r="4451" spans="1:40">
      <c r="A4451" t="s">
        <v>13057</v>
      </c>
      <c r="B4451" t="s">
        <v>2957</v>
      </c>
      <c r="C4451" t="s">
        <v>8120</v>
      </c>
      <c r="D4451" t="s">
        <v>13574</v>
      </c>
      <c r="E4451" t="s">
        <v>13575</v>
      </c>
      <c r="F4451" t="s">
        <v>45</v>
      </c>
      <c r="G4451" t="str">
        <f>HYPERLINK("http://www.scandinavianhomestaging.com/taco-bell-san-luis-obispo.html")</f>
        <v>http://www.scandinavianhomestaging.com/taco-bell-san-luis-obispo.html</v>
      </c>
      <c r="H4451" t="s">
        <v>46</v>
      </c>
      <c r="N4451" t="s">
        <v>7165</v>
      </c>
      <c r="R4451" t="s">
        <v>50</v>
      </c>
      <c r="S4451" t="s">
        <v>51</v>
      </c>
      <c r="AM4451" t="s">
        <v>52</v>
      </c>
      <c r="AN4451" t="s">
        <v>53</v>
      </c>
    </row>
    <row r="4452" spans="1:40">
      <c r="A4452" t="s">
        <v>13057</v>
      </c>
      <c r="B4452" t="s">
        <v>2960</v>
      </c>
      <c r="C4452" t="s">
        <v>13576</v>
      </c>
      <c r="D4452" t="s">
        <v>52</v>
      </c>
      <c r="E4452" t="s">
        <v>13577</v>
      </c>
      <c r="F4452" t="s">
        <v>45</v>
      </c>
      <c r="G4452" t="str">
        <f>HYPERLINK("https://twitter.com/1522232256/status/1142610897749327873")</f>
        <v>https://twitter.com/1522232256/status/1142610897749327873</v>
      </c>
      <c r="H4452" t="s">
        <v>46</v>
      </c>
      <c r="I4452" t="s">
        <v>13578</v>
      </c>
      <c r="J4452" t="str">
        <f>HYPERLINK("http://twitter.com/hannyclaire_")</f>
        <v>http://twitter.com/hannyclaire_</v>
      </c>
      <c r="K4452">
        <v>371</v>
      </c>
      <c r="N4452" t="s">
        <v>65</v>
      </c>
      <c r="R4452" t="s">
        <v>60</v>
      </c>
      <c r="W4452">
        <v>1</v>
      </c>
      <c r="X4452">
        <v>1</v>
      </c>
      <c r="AE4452">
        <v>0</v>
      </c>
      <c r="AF4452">
        <v>0</v>
      </c>
      <c r="AM4452" t="s">
        <v>52</v>
      </c>
      <c r="AN4452" t="s">
        <v>53</v>
      </c>
    </row>
    <row r="4453" spans="1:40">
      <c r="A4453" t="s">
        <v>13057</v>
      </c>
      <c r="B4453" t="s">
        <v>2960</v>
      </c>
      <c r="C4453" t="s">
        <v>13579</v>
      </c>
      <c r="D4453" t="s">
        <v>52</v>
      </c>
      <c r="E4453" t="s">
        <v>13580</v>
      </c>
      <c r="F4453" t="s">
        <v>45</v>
      </c>
      <c r="G4453" t="str">
        <f>HYPERLINK("https://twitter.com/3150726607/status/1142610752399912964")</f>
        <v>https://twitter.com/3150726607/status/1142610752399912964</v>
      </c>
      <c r="H4453" t="s">
        <v>46</v>
      </c>
      <c r="I4453" t="s">
        <v>13581</v>
      </c>
      <c r="J4453" t="str">
        <f>HYPERLINK("http://twitter.com/apostlebrianpr1")</f>
        <v>http://twitter.com/apostlebrianpr1</v>
      </c>
      <c r="K4453">
        <v>13</v>
      </c>
      <c r="N4453" t="s">
        <v>65</v>
      </c>
      <c r="R4453" t="s">
        <v>60</v>
      </c>
      <c r="S4453" t="s">
        <v>51</v>
      </c>
      <c r="T4453" t="s">
        <v>2200</v>
      </c>
      <c r="U4453" t="s">
        <v>3790</v>
      </c>
      <c r="W4453">
        <v>1</v>
      </c>
      <c r="X4453">
        <v>1</v>
      </c>
      <c r="AE4453">
        <v>0</v>
      </c>
      <c r="AF4453">
        <v>0</v>
      </c>
      <c r="AI4453" t="s">
        <v>108</v>
      </c>
      <c r="AJ4453" t="s">
        <v>52</v>
      </c>
      <c r="AK4453" t="s">
        <v>52</v>
      </c>
      <c r="AL4453" t="str">
        <f>HYPERLINK("https://pbs.twimg.com/media/D9teaudXoAEXS47.jpg")</f>
        <v>https://pbs.twimg.com/media/D9teaudXoAEXS47.jpg</v>
      </c>
      <c r="AM4453" t="s">
        <v>52</v>
      </c>
      <c r="AN4453" t="s">
        <v>53</v>
      </c>
    </row>
    <row r="4454" spans="1:40">
      <c r="A4454" t="s">
        <v>13057</v>
      </c>
      <c r="B4454" t="s">
        <v>2966</v>
      </c>
      <c r="C4454" t="s">
        <v>13569</v>
      </c>
      <c r="D4454" t="s">
        <v>52</v>
      </c>
      <c r="E4454" t="s">
        <v>276</v>
      </c>
      <c r="F4454" t="s">
        <v>131</v>
      </c>
      <c r="G4454" t="str">
        <f>HYPERLINK("https://twitter.com/4527722481/status/1142610519951642625")</f>
        <v>https://twitter.com/4527722481/status/1142610519951642625</v>
      </c>
      <c r="H4454" t="s">
        <v>46</v>
      </c>
      <c r="I4454" t="s">
        <v>13582</v>
      </c>
      <c r="J4454" t="str">
        <f>HYPERLINK("http://twitter.com/StrickenCross88")</f>
        <v>http://twitter.com/StrickenCross88</v>
      </c>
      <c r="K4454">
        <v>28</v>
      </c>
      <c r="L4454" t="s">
        <v>48</v>
      </c>
      <c r="N4454" t="s">
        <v>65</v>
      </c>
      <c r="R4454" t="s">
        <v>60</v>
      </c>
      <c r="W4454">
        <v>0</v>
      </c>
      <c r="X4454">
        <v>0</v>
      </c>
      <c r="AE4454">
        <v>0</v>
      </c>
      <c r="AI4454" t="s">
        <v>108</v>
      </c>
      <c r="AJ4454" t="s">
        <v>52</v>
      </c>
      <c r="AK4454" t="s">
        <v>52</v>
      </c>
      <c r="AL4454" t="str">
        <f>HYPERLINK("https://pbs.twimg.com/tweet_video_thumb/D9hvNNzXUAATAS3.jpg")</f>
        <v>https://pbs.twimg.com/tweet_video_thumb/D9hvNNzXUAATAS3.jpg</v>
      </c>
      <c r="AM4454" t="s">
        <v>52</v>
      </c>
      <c r="AN4454" t="s">
        <v>53</v>
      </c>
    </row>
    <row r="4455" spans="1:40">
      <c r="A4455" t="s">
        <v>13057</v>
      </c>
      <c r="B4455" t="s">
        <v>2987</v>
      </c>
      <c r="C4455" t="s">
        <v>13579</v>
      </c>
      <c r="D4455" t="s">
        <v>52</v>
      </c>
      <c r="E4455" t="s">
        <v>13583</v>
      </c>
      <c r="F4455" t="s">
        <v>95</v>
      </c>
      <c r="G4455" t="str">
        <f>HYPERLINK("https://twitter.com/22320989/status/1142610188953948163")</f>
        <v>https://twitter.com/22320989/status/1142610188953948163</v>
      </c>
      <c r="H4455" t="s">
        <v>46</v>
      </c>
      <c r="I4455" t="s">
        <v>13584</v>
      </c>
      <c r="J4455" t="str">
        <f>HYPERLINK("http://twitter.com/JoniLoveVWBugs")</f>
        <v>http://twitter.com/JoniLoveVWBugs</v>
      </c>
      <c r="K4455">
        <v>4348</v>
      </c>
      <c r="N4455" t="s">
        <v>65</v>
      </c>
      <c r="R4455" t="s">
        <v>60</v>
      </c>
      <c r="S4455" t="s">
        <v>51</v>
      </c>
      <c r="T4455" t="s">
        <v>253</v>
      </c>
      <c r="U4455" t="s">
        <v>13585</v>
      </c>
      <c r="W4455">
        <v>0</v>
      </c>
      <c r="X4455">
        <v>0</v>
      </c>
      <c r="AE4455">
        <v>0</v>
      </c>
      <c r="AF4455">
        <v>0</v>
      </c>
      <c r="AM4455" t="s">
        <v>52</v>
      </c>
      <c r="AN4455" t="s">
        <v>53</v>
      </c>
    </row>
    <row r="4456" spans="1:40">
      <c r="A4456" t="s">
        <v>13057</v>
      </c>
      <c r="B4456" t="s">
        <v>2987</v>
      </c>
      <c r="C4456" t="s">
        <v>13586</v>
      </c>
      <c r="D4456" t="s">
        <v>52</v>
      </c>
      <c r="E4456" t="s">
        <v>13587</v>
      </c>
      <c r="F4456" t="s">
        <v>45</v>
      </c>
      <c r="G4456" t="str">
        <f>HYPERLINK("https://www.instagram.com/p/BzCMusWJKdx")</f>
        <v>https://www.instagram.com/p/BzCMusWJKdx</v>
      </c>
      <c r="H4456" t="s">
        <v>46</v>
      </c>
      <c r="I4456" t="s">
        <v>13588</v>
      </c>
      <c r="J4456" t="str">
        <f>HYPERLINK("http://instagram.com/bananabeedietclinic")</f>
        <v>http://instagram.com/bananabeedietclinic</v>
      </c>
      <c r="K4456">
        <v>170</v>
      </c>
      <c r="L4456" t="s">
        <v>651</v>
      </c>
      <c r="N4456" t="s">
        <v>59</v>
      </c>
      <c r="O4456" t="s">
        <v>13588</v>
      </c>
      <c r="P4456" t="str">
        <f>HYPERLINK("http://instagram.com/bananabeedietclinic")</f>
        <v>http://instagram.com/bananabeedietclinic</v>
      </c>
      <c r="Q4456">
        <v>170</v>
      </c>
      <c r="R4456" t="s">
        <v>60</v>
      </c>
      <c r="W4456">
        <v>21</v>
      </c>
      <c r="X4456">
        <v>21</v>
      </c>
      <c r="AE4456">
        <v>0</v>
      </c>
      <c r="AI4456" t="s">
        <v>52</v>
      </c>
      <c r="AJ4456" t="s">
        <v>52</v>
      </c>
      <c r="AK4456" t="s">
        <v>52</v>
      </c>
      <c r="AL4456" t="str">
        <f>HYPERLINK("https://www.instagram.com/p/BzCMusWJKdx/media/?size=l")</f>
        <v>https://www.instagram.com/p/BzCMusWJKdx/media/?size=l</v>
      </c>
      <c r="AM4456" t="s">
        <v>52</v>
      </c>
      <c r="AN4456" t="s">
        <v>53</v>
      </c>
    </row>
    <row r="4457" spans="1:40">
      <c r="A4457" t="s">
        <v>13057</v>
      </c>
      <c r="B4457" t="s">
        <v>2987</v>
      </c>
      <c r="C4457" t="s">
        <v>7208</v>
      </c>
      <c r="D4457" t="s">
        <v>13589</v>
      </c>
      <c r="E4457" t="s">
        <v>13590</v>
      </c>
      <c r="F4457" t="s">
        <v>45</v>
      </c>
      <c r="G4457" t="str">
        <f>HYPERLINK("https://moolasavingmom.com/target-deals-6-23-6-29")</f>
        <v>https://moolasavingmom.com/target-deals-6-23-6-29</v>
      </c>
      <c r="H4457" t="s">
        <v>46</v>
      </c>
      <c r="I4457" t="s">
        <v>13591</v>
      </c>
      <c r="J4457" t="str">
        <f>HYPERLINK("https://moolasavingmom.com/target-deals-6-23-6-29/")</f>
        <v>https://moolasavingmom.com/target-deals-6-23-6-29/</v>
      </c>
      <c r="N4457" t="s">
        <v>13592</v>
      </c>
      <c r="R4457" t="s">
        <v>50</v>
      </c>
      <c r="S4457" t="s">
        <v>51</v>
      </c>
      <c r="AM4457" t="s">
        <v>52</v>
      </c>
      <c r="AN4457" t="s">
        <v>53</v>
      </c>
    </row>
    <row r="4458" spans="1:40">
      <c r="A4458" t="s">
        <v>13057</v>
      </c>
      <c r="B4458" t="s">
        <v>2992</v>
      </c>
      <c r="C4458" t="s">
        <v>13569</v>
      </c>
      <c r="D4458" t="s">
        <v>52</v>
      </c>
      <c r="E4458" t="s">
        <v>13593</v>
      </c>
      <c r="F4458" t="s">
        <v>45</v>
      </c>
      <c r="G4458" t="str">
        <f>HYPERLINK("https://twitter.com/3385263569/status/1142609837865537536")</f>
        <v>https://twitter.com/3385263569/status/1142609837865537536</v>
      </c>
      <c r="H4458" t="s">
        <v>215</v>
      </c>
      <c r="I4458" t="s">
        <v>13594</v>
      </c>
      <c r="J4458" t="str">
        <f>HYPERLINK("http://twitter.com/jennafreund")</f>
        <v>http://twitter.com/jennafreund</v>
      </c>
      <c r="K4458">
        <v>227</v>
      </c>
      <c r="L4458" t="s">
        <v>58</v>
      </c>
      <c r="N4458" t="s">
        <v>65</v>
      </c>
      <c r="R4458" t="s">
        <v>60</v>
      </c>
      <c r="S4458" t="s">
        <v>51</v>
      </c>
      <c r="T4458" t="s">
        <v>678</v>
      </c>
      <c r="U4458" t="s">
        <v>2798</v>
      </c>
      <c r="W4458">
        <v>4</v>
      </c>
      <c r="X4458">
        <v>4</v>
      </c>
      <c r="AE4458">
        <v>0</v>
      </c>
      <c r="AF4458">
        <v>0</v>
      </c>
      <c r="AM4458" t="s">
        <v>52</v>
      </c>
      <c r="AN4458" t="s">
        <v>53</v>
      </c>
    </row>
    <row r="4459" spans="1:40">
      <c r="A4459" t="s">
        <v>13057</v>
      </c>
      <c r="B4459" t="s">
        <v>3001</v>
      </c>
      <c r="C4459" t="s">
        <v>13595</v>
      </c>
      <c r="D4459" t="s">
        <v>52</v>
      </c>
      <c r="E4459" t="s">
        <v>13596</v>
      </c>
      <c r="F4459" t="s">
        <v>45</v>
      </c>
      <c r="G4459" t="str">
        <f>HYPERLINK("https://www.instagram.com/p/BzCMV8Vhlc_")</f>
        <v>https://www.instagram.com/p/BzCMV8Vhlc_</v>
      </c>
      <c r="H4459" t="s">
        <v>46</v>
      </c>
      <c r="I4459" t="s">
        <v>13597</v>
      </c>
      <c r="J4459" t="str">
        <f>HYPERLINK("http://instagram.com/marvelmovieguide")</f>
        <v>http://instagram.com/marvelmovieguide</v>
      </c>
      <c r="K4459">
        <v>39</v>
      </c>
      <c r="N4459" t="s">
        <v>59</v>
      </c>
      <c r="O4459" t="s">
        <v>13597</v>
      </c>
      <c r="P4459" t="str">
        <f>HYPERLINK("http://instagram.com/marvelmovieguide")</f>
        <v>http://instagram.com/marvelmovieguide</v>
      </c>
      <c r="Q4459">
        <v>39</v>
      </c>
      <c r="R4459" t="s">
        <v>60</v>
      </c>
      <c r="W4459">
        <v>21</v>
      </c>
      <c r="X4459">
        <v>21</v>
      </c>
      <c r="AE4459">
        <v>1</v>
      </c>
      <c r="AI4459" t="s">
        <v>108</v>
      </c>
      <c r="AJ4459" t="s">
        <v>321</v>
      </c>
      <c r="AK4459" t="s">
        <v>52</v>
      </c>
      <c r="AL4459" t="str">
        <f>HYPERLINK("https://www.instagram.com/p/BzCMV8Vhlc_/media/?size=l")</f>
        <v>https://www.instagram.com/p/BzCMV8Vhlc_/media/?size=l</v>
      </c>
      <c r="AM4459" t="s">
        <v>52</v>
      </c>
      <c r="AN4459" t="s">
        <v>53</v>
      </c>
    </row>
    <row r="4460" spans="1:40">
      <c r="A4460" t="s">
        <v>13057</v>
      </c>
      <c r="B4460" t="s">
        <v>3001</v>
      </c>
      <c r="C4460" t="s">
        <v>13598</v>
      </c>
      <c r="D4460" t="s">
        <v>52</v>
      </c>
      <c r="E4460" t="s">
        <v>13500</v>
      </c>
      <c r="F4460" t="s">
        <v>45</v>
      </c>
      <c r="G4460" t="str">
        <f>HYPERLINK("https://www.instagram.com/p/BzCMS14HLDe")</f>
        <v>https://www.instagram.com/p/BzCMS14HLDe</v>
      </c>
      <c r="H4460" t="s">
        <v>215</v>
      </c>
      <c r="I4460" t="s">
        <v>13501</v>
      </c>
      <c r="J4460" t="str">
        <f>HYPERLINK("http://instagram.com/cookingwithloco")</f>
        <v>http://instagram.com/cookingwithloco</v>
      </c>
      <c r="K4460">
        <v>3</v>
      </c>
      <c r="N4460" t="s">
        <v>59</v>
      </c>
      <c r="O4460" t="s">
        <v>13501</v>
      </c>
      <c r="P4460" t="str">
        <f>HYPERLINK("http://instagram.com/cookingwithloco")</f>
        <v>http://instagram.com/cookingwithloco</v>
      </c>
      <c r="Q4460">
        <v>3</v>
      </c>
      <c r="R4460" t="s">
        <v>60</v>
      </c>
      <c r="W4460">
        <v>11</v>
      </c>
      <c r="X4460">
        <v>11</v>
      </c>
      <c r="AE4460">
        <v>1</v>
      </c>
      <c r="AI4460" t="s">
        <v>108</v>
      </c>
      <c r="AJ4460" t="s">
        <v>13599</v>
      </c>
      <c r="AK4460" t="s">
        <v>52</v>
      </c>
      <c r="AL4460" t="str">
        <f>HYPERLINK("https://www.instagram.com/p/BzCMS14HLDe/media/?size=l")</f>
        <v>https://www.instagram.com/p/BzCMS14HLDe/media/?size=l</v>
      </c>
      <c r="AM4460" t="s">
        <v>52</v>
      </c>
      <c r="AN4460" t="s">
        <v>53</v>
      </c>
    </row>
    <row r="4461" spans="1:40">
      <c r="A4461" t="s">
        <v>13057</v>
      </c>
      <c r="B4461" t="s">
        <v>3001</v>
      </c>
      <c r="C4461" t="s">
        <v>12034</v>
      </c>
      <c r="D4461" t="s">
        <v>52</v>
      </c>
      <c r="E4461" t="s">
        <v>13600</v>
      </c>
      <c r="F4461" t="s">
        <v>45</v>
      </c>
      <c r="G4461" t="str">
        <f>HYPERLINK("https://www.instagram.com/p/BzCMRBuF3Vi")</f>
        <v>https://www.instagram.com/p/BzCMRBuF3Vi</v>
      </c>
      <c r="H4461" t="s">
        <v>46</v>
      </c>
      <c r="I4461" t="s">
        <v>13601</v>
      </c>
      <c r="J4461" t="str">
        <f>HYPERLINK("http://instagram.com/nathan_rieck")</f>
        <v>http://instagram.com/nathan_rieck</v>
      </c>
      <c r="K4461">
        <v>158</v>
      </c>
      <c r="L4461" t="s">
        <v>48</v>
      </c>
      <c r="N4461" t="s">
        <v>59</v>
      </c>
      <c r="O4461" t="s">
        <v>13601</v>
      </c>
      <c r="P4461" t="str">
        <f>HYPERLINK("http://instagram.com/nathan_rieck")</f>
        <v>http://instagram.com/nathan_rieck</v>
      </c>
      <c r="Q4461">
        <v>158</v>
      </c>
      <c r="R4461" t="s">
        <v>60</v>
      </c>
      <c r="S4461" t="s">
        <v>51</v>
      </c>
      <c r="T4461" t="s">
        <v>173</v>
      </c>
      <c r="U4461" t="s">
        <v>13602</v>
      </c>
      <c r="W4461">
        <v>34</v>
      </c>
      <c r="X4461">
        <v>34</v>
      </c>
      <c r="AE4461">
        <v>2</v>
      </c>
      <c r="AI4461" t="s">
        <v>108</v>
      </c>
      <c r="AJ4461" t="s">
        <v>3639</v>
      </c>
      <c r="AK4461" t="s">
        <v>52</v>
      </c>
      <c r="AL4461" t="str">
        <f>HYPERLINK("https://www.instagram.com/p/BzCMRBuF3Vi/media/?size=l")</f>
        <v>https://www.instagram.com/p/BzCMRBuF3Vi/media/?size=l</v>
      </c>
      <c r="AM4461" t="s">
        <v>52</v>
      </c>
      <c r="AN4461" t="s">
        <v>53</v>
      </c>
    </row>
    <row r="4462" spans="1:40">
      <c r="A4462" t="s">
        <v>13057</v>
      </c>
      <c r="B4462" t="s">
        <v>3001</v>
      </c>
      <c r="C4462" t="s">
        <v>7208</v>
      </c>
      <c r="D4462" t="s">
        <v>13603</v>
      </c>
      <c r="E4462" t="s">
        <v>13604</v>
      </c>
      <c r="F4462" t="s">
        <v>45</v>
      </c>
      <c r="G4462" t="str">
        <f>HYPERLINK("https://moolasavingmom.com/cvs-deals-6-23-6-29")</f>
        <v>https://moolasavingmom.com/cvs-deals-6-23-6-29</v>
      </c>
      <c r="H4462" t="s">
        <v>46</v>
      </c>
      <c r="I4462" t="s">
        <v>13591</v>
      </c>
      <c r="J4462" t="str">
        <f>HYPERLINK("https://moolasavingmom.com/cvs-deals-6-23-6-29/")</f>
        <v>https://moolasavingmom.com/cvs-deals-6-23-6-29/</v>
      </c>
      <c r="N4462" t="s">
        <v>13592</v>
      </c>
      <c r="R4462" t="s">
        <v>50</v>
      </c>
      <c r="S4462" t="s">
        <v>51</v>
      </c>
      <c r="AM4462" t="s">
        <v>52</v>
      </c>
      <c r="AN4462" t="s">
        <v>53</v>
      </c>
    </row>
    <row r="4463" spans="1:40">
      <c r="A4463" t="s">
        <v>13057</v>
      </c>
      <c r="B4463" t="s">
        <v>3012</v>
      </c>
      <c r="C4463" t="s">
        <v>13595</v>
      </c>
      <c r="D4463" t="s">
        <v>52</v>
      </c>
      <c r="E4463" t="s">
        <v>13605</v>
      </c>
      <c r="F4463" t="s">
        <v>45</v>
      </c>
      <c r="G4463" t="str">
        <f>HYPERLINK("https://www.instagram.com/p/BzCMLccHxu0")</f>
        <v>https://www.instagram.com/p/BzCMLccHxu0</v>
      </c>
      <c r="H4463" t="s">
        <v>46</v>
      </c>
      <c r="I4463" t="s">
        <v>13606</v>
      </c>
      <c r="J4463" t="str">
        <f>HYPERLINK("http://instagram.com/rmb_1116")</f>
        <v>http://instagram.com/rmb_1116</v>
      </c>
      <c r="K4463">
        <v>359</v>
      </c>
      <c r="N4463" t="s">
        <v>59</v>
      </c>
      <c r="O4463" t="s">
        <v>13606</v>
      </c>
      <c r="P4463" t="str">
        <f>HYPERLINK("http://instagram.com/rmb_1116")</f>
        <v>http://instagram.com/rmb_1116</v>
      </c>
      <c r="Q4463">
        <v>359</v>
      </c>
      <c r="R4463" t="s">
        <v>60</v>
      </c>
      <c r="W4463">
        <v>23</v>
      </c>
      <c r="X4463">
        <v>23</v>
      </c>
      <c r="AE4463">
        <v>0</v>
      </c>
      <c r="AI4463" t="s">
        <v>52</v>
      </c>
      <c r="AJ4463" t="s">
        <v>4898</v>
      </c>
      <c r="AK4463" t="s">
        <v>13607</v>
      </c>
      <c r="AL4463" t="str">
        <f>HYPERLINK("https://www.instagram.com/p/BzCMLccHxu0/media/?size=l")</f>
        <v>https://www.instagram.com/p/BzCMLccHxu0/media/?size=l</v>
      </c>
      <c r="AM4463" t="s">
        <v>52</v>
      </c>
      <c r="AN4463" t="s">
        <v>53</v>
      </c>
    </row>
    <row r="4464" spans="1:40">
      <c r="A4464" t="s">
        <v>13057</v>
      </c>
      <c r="B4464" t="s">
        <v>3012</v>
      </c>
      <c r="C4464" t="s">
        <v>13608</v>
      </c>
      <c r="D4464" t="s">
        <v>52</v>
      </c>
      <c r="E4464" t="s">
        <v>4514</v>
      </c>
      <c r="F4464" t="s">
        <v>71</v>
      </c>
      <c r="G4464" t="str">
        <f>HYPERLINK("https://twitter.com/750704507198312449/status/1142608722390212608")</f>
        <v>https://twitter.com/750704507198312449/status/1142608722390212608</v>
      </c>
      <c r="H4464" t="s">
        <v>46</v>
      </c>
      <c r="I4464" t="s">
        <v>13609</v>
      </c>
      <c r="J4464" t="str">
        <f>HYPERLINK("http://twitter.com/EdgarRojas809")</f>
        <v>http://twitter.com/EdgarRojas809</v>
      </c>
      <c r="K4464">
        <v>28</v>
      </c>
      <c r="N4464" t="s">
        <v>65</v>
      </c>
      <c r="R4464" t="s">
        <v>60</v>
      </c>
      <c r="S4464" t="s">
        <v>51</v>
      </c>
      <c r="T4464" t="s">
        <v>173</v>
      </c>
      <c r="U4464" t="s">
        <v>13610</v>
      </c>
      <c r="W4464">
        <v>0</v>
      </c>
      <c r="X4464">
        <v>0</v>
      </c>
      <c r="AE4464">
        <v>0</v>
      </c>
      <c r="AF4464">
        <v>0</v>
      </c>
      <c r="AI4464" t="s">
        <v>108</v>
      </c>
      <c r="AJ4464" t="s">
        <v>52</v>
      </c>
      <c r="AK4464" t="s">
        <v>52</v>
      </c>
      <c r="AL4464" t="str">
        <f>HYPERLINK("https://pbs.twimg.com/tweet_video_thumb/D9hvNNzXUAATAS3.jpg")</f>
        <v>https://pbs.twimg.com/tweet_video_thumb/D9hvNNzXUAATAS3.jpg</v>
      </c>
      <c r="AM4464" t="s">
        <v>52</v>
      </c>
      <c r="AN4464" t="s">
        <v>53</v>
      </c>
    </row>
    <row r="4465" spans="1:40">
      <c r="A4465" t="s">
        <v>13057</v>
      </c>
      <c r="B4465" t="s">
        <v>3019</v>
      </c>
      <c r="C4465" t="s">
        <v>13595</v>
      </c>
      <c r="D4465" t="s">
        <v>52</v>
      </c>
      <c r="E4465" t="s">
        <v>13611</v>
      </c>
      <c r="F4465" t="s">
        <v>131</v>
      </c>
      <c r="G4465" t="str">
        <f>HYPERLINK("https://twitter.com/1071087676332232704/status/1142608593553747969")</f>
        <v>https://twitter.com/1071087676332232704/status/1142608593553747969</v>
      </c>
      <c r="H4465" t="s">
        <v>46</v>
      </c>
      <c r="I4465" t="s">
        <v>13612</v>
      </c>
      <c r="J4465" t="str">
        <f>HYPERLINK("http://twitter.com/mxosh94")</f>
        <v>http://twitter.com/mxosh94</v>
      </c>
      <c r="K4465">
        <v>82</v>
      </c>
      <c r="N4465" t="s">
        <v>65</v>
      </c>
      <c r="R4465" t="s">
        <v>60</v>
      </c>
      <c r="W4465">
        <v>0</v>
      </c>
      <c r="X4465">
        <v>0</v>
      </c>
      <c r="AE4465">
        <v>0</v>
      </c>
      <c r="AM4465" t="s">
        <v>52</v>
      </c>
      <c r="AN4465" t="s">
        <v>53</v>
      </c>
    </row>
    <row r="4466" spans="1:40">
      <c r="A4466" t="s">
        <v>13057</v>
      </c>
      <c r="B4466" t="s">
        <v>3019</v>
      </c>
      <c r="C4466" t="s">
        <v>13613</v>
      </c>
      <c r="D4466" t="s">
        <v>52</v>
      </c>
      <c r="E4466" t="s">
        <v>276</v>
      </c>
      <c r="F4466" t="s">
        <v>131</v>
      </c>
      <c r="G4466" t="str">
        <f>HYPERLINK("https://twitter.com/750704507198312449/status/1142608535970127872")</f>
        <v>https://twitter.com/750704507198312449/status/1142608535970127872</v>
      </c>
      <c r="H4466" t="s">
        <v>46</v>
      </c>
      <c r="I4466" t="s">
        <v>13609</v>
      </c>
      <c r="J4466" t="str">
        <f>HYPERLINK("http://twitter.com/EdgarRojas809")</f>
        <v>http://twitter.com/EdgarRojas809</v>
      </c>
      <c r="K4466">
        <v>28</v>
      </c>
      <c r="N4466" t="s">
        <v>65</v>
      </c>
      <c r="R4466" t="s">
        <v>60</v>
      </c>
      <c r="S4466" t="s">
        <v>51</v>
      </c>
      <c r="T4466" t="s">
        <v>173</v>
      </c>
      <c r="U4466" t="s">
        <v>13610</v>
      </c>
      <c r="W4466">
        <v>0</v>
      </c>
      <c r="X4466">
        <v>0</v>
      </c>
      <c r="AE4466">
        <v>0</v>
      </c>
      <c r="AI4466" t="s">
        <v>108</v>
      </c>
      <c r="AJ4466" t="s">
        <v>52</v>
      </c>
      <c r="AK4466" t="s">
        <v>52</v>
      </c>
      <c r="AL4466" t="str">
        <f>HYPERLINK("https://pbs.twimg.com/tweet_video_thumb/D9hvNNzXUAATAS3.jpg")</f>
        <v>https://pbs.twimg.com/tweet_video_thumb/D9hvNNzXUAATAS3.jpg</v>
      </c>
      <c r="AM4466" t="s">
        <v>52</v>
      </c>
      <c r="AN4466" t="s">
        <v>53</v>
      </c>
    </row>
    <row r="4467" spans="1:40">
      <c r="A4467" t="s">
        <v>13057</v>
      </c>
      <c r="B4467" t="s">
        <v>3019</v>
      </c>
      <c r="C4467" t="s">
        <v>13613</v>
      </c>
      <c r="D4467" t="s">
        <v>52</v>
      </c>
      <c r="E4467" t="s">
        <v>13614</v>
      </c>
      <c r="F4467" t="s">
        <v>45</v>
      </c>
      <c r="G4467" t="str">
        <f>HYPERLINK("https://twitter.com/934134794870493184/status/1142608537853595648")</f>
        <v>https://twitter.com/934134794870493184/status/1142608537853595648</v>
      </c>
      <c r="H4467" t="s">
        <v>46</v>
      </c>
      <c r="I4467" t="s">
        <v>13615</v>
      </c>
      <c r="J4467" t="str">
        <f>HYPERLINK("http://twitter.com/Florenc090")</f>
        <v>http://twitter.com/Florenc090</v>
      </c>
      <c r="K4467">
        <v>686</v>
      </c>
      <c r="N4467" t="s">
        <v>65</v>
      </c>
      <c r="R4467" t="s">
        <v>60</v>
      </c>
      <c r="W4467">
        <v>0</v>
      </c>
      <c r="X4467">
        <v>0</v>
      </c>
      <c r="AE4467">
        <v>0</v>
      </c>
      <c r="AF4467">
        <v>0</v>
      </c>
      <c r="AM4467" t="s">
        <v>52</v>
      </c>
      <c r="AN4467" t="s">
        <v>53</v>
      </c>
    </row>
    <row r="4468" spans="1:40">
      <c r="A4468" t="s">
        <v>13057</v>
      </c>
      <c r="B4468" t="s">
        <v>3019</v>
      </c>
      <c r="C4468" t="s">
        <v>13613</v>
      </c>
      <c r="D4468" t="s">
        <v>52</v>
      </c>
      <c r="E4468" t="s">
        <v>4803</v>
      </c>
      <c r="F4468" t="s">
        <v>45</v>
      </c>
      <c r="G4468" t="str">
        <f>HYPERLINK("https://twitter.com/934134794870493184/status/1142608504924123137")</f>
        <v>https://twitter.com/934134794870493184/status/1142608504924123137</v>
      </c>
      <c r="H4468" t="s">
        <v>46</v>
      </c>
      <c r="I4468" t="s">
        <v>13615</v>
      </c>
      <c r="J4468" t="str">
        <f>HYPERLINK("http://twitter.com/Florenc090")</f>
        <v>http://twitter.com/Florenc090</v>
      </c>
      <c r="K4468">
        <v>686</v>
      </c>
      <c r="N4468" t="s">
        <v>65</v>
      </c>
      <c r="R4468" t="s">
        <v>60</v>
      </c>
      <c r="W4468">
        <v>0</v>
      </c>
      <c r="X4468">
        <v>0</v>
      </c>
      <c r="AE4468">
        <v>0</v>
      </c>
      <c r="AF4468">
        <v>0</v>
      </c>
      <c r="AM4468" t="s">
        <v>52</v>
      </c>
      <c r="AN4468" t="s">
        <v>53</v>
      </c>
    </row>
    <row r="4469" spans="1:40">
      <c r="A4469" t="s">
        <v>13057</v>
      </c>
      <c r="B4469" t="s">
        <v>3026</v>
      </c>
      <c r="C4469" t="s">
        <v>6991</v>
      </c>
      <c r="D4469" t="s">
        <v>13616</v>
      </c>
      <c r="E4469" t="s">
        <v>13617</v>
      </c>
      <c r="F4469" t="s">
        <v>45</v>
      </c>
      <c r="G4469" t="str">
        <f>HYPERLINK("https://www.reddit.com/r/PublicFreakout/comments/c3rm1j/damn_those_segulls/?sort=new#thing_t1_ertut6o")</f>
        <v>https://www.reddit.com/r/PublicFreakout/comments/c3rm1j/damn_those_segulls/?sort=new#thing_t1_ertut6o</v>
      </c>
      <c r="H4469" t="s">
        <v>46</v>
      </c>
      <c r="I4469" t="s">
        <v>13618</v>
      </c>
      <c r="J4469" t="str">
        <f>HYPERLINK("https://www.reddit.com/r/PublicFreakout/comments/c3rm1j/damn_those_segulls/?sort=new#thing_t1_ertut6o")</f>
        <v>https://www.reddit.com/r/PublicFreakout/comments/c3rm1j/damn_those_segulls/?sort=new#thing_t1_ertut6o</v>
      </c>
      <c r="N4469" t="s">
        <v>545</v>
      </c>
      <c r="O4469" t="s">
        <v>8222</v>
      </c>
      <c r="P4469" t="str">
        <f>HYPERLINK("https://www.reddit.com/r/CasualUK/")</f>
        <v>https://www.reddit.com/r/CasualUK/</v>
      </c>
      <c r="R4469" t="s">
        <v>516</v>
      </c>
      <c r="S4469" t="s">
        <v>51</v>
      </c>
      <c r="AM4469" t="s">
        <v>52</v>
      </c>
      <c r="AN4469" t="s">
        <v>53</v>
      </c>
    </row>
    <row r="4470" spans="1:40">
      <c r="A4470" t="s">
        <v>13057</v>
      </c>
      <c r="B4470" t="s">
        <v>8725</v>
      </c>
      <c r="C4470" t="s">
        <v>13619</v>
      </c>
      <c r="D4470" t="s">
        <v>52</v>
      </c>
      <c r="E4470" t="s">
        <v>13620</v>
      </c>
      <c r="F4470" t="s">
        <v>45</v>
      </c>
      <c r="G4470" t="str">
        <f>HYPERLINK("https://twitter.com/65445053/status/1142607661394989057")</f>
        <v>https://twitter.com/65445053/status/1142607661394989057</v>
      </c>
      <c r="H4470" t="s">
        <v>46</v>
      </c>
      <c r="I4470" t="s">
        <v>13621</v>
      </c>
      <c r="J4470" t="str">
        <f>HYPERLINK("http://twitter.com/kellzillusion")</f>
        <v>http://twitter.com/kellzillusion</v>
      </c>
      <c r="K4470">
        <v>37</v>
      </c>
      <c r="N4470" t="s">
        <v>65</v>
      </c>
      <c r="R4470" t="s">
        <v>60</v>
      </c>
      <c r="S4470" t="s">
        <v>51</v>
      </c>
      <c r="T4470" t="s">
        <v>2923</v>
      </c>
      <c r="U4470" t="s">
        <v>13622</v>
      </c>
      <c r="W4470">
        <v>0</v>
      </c>
      <c r="X4470">
        <v>0</v>
      </c>
      <c r="AE4470">
        <v>0</v>
      </c>
      <c r="AF4470">
        <v>0</v>
      </c>
      <c r="AM4470" t="s">
        <v>52</v>
      </c>
      <c r="AN4470" t="s">
        <v>53</v>
      </c>
    </row>
    <row r="4471" spans="1:40">
      <c r="A4471" t="s">
        <v>13057</v>
      </c>
      <c r="B4471" t="s">
        <v>8725</v>
      </c>
      <c r="C4471" t="s">
        <v>13623</v>
      </c>
      <c r="D4471" t="s">
        <v>52</v>
      </c>
      <c r="E4471" t="s">
        <v>13624</v>
      </c>
      <c r="F4471" t="s">
        <v>45</v>
      </c>
      <c r="G4471" t="str">
        <f>HYPERLINK("https://twitter.com/714302095/status/1142607487176040448")</f>
        <v>https://twitter.com/714302095/status/1142607487176040448</v>
      </c>
      <c r="H4471" t="s">
        <v>215</v>
      </c>
      <c r="I4471" t="s">
        <v>13625</v>
      </c>
      <c r="J4471" t="str">
        <f>HYPERLINK("http://twitter.com/ihsanannashir")</f>
        <v>http://twitter.com/ihsanannashir</v>
      </c>
      <c r="K4471">
        <v>208</v>
      </c>
      <c r="N4471" t="s">
        <v>65</v>
      </c>
      <c r="R4471" t="s">
        <v>60</v>
      </c>
      <c r="W4471">
        <v>2</v>
      </c>
      <c r="X4471">
        <v>2</v>
      </c>
      <c r="AE4471">
        <v>1</v>
      </c>
      <c r="AF4471">
        <v>0</v>
      </c>
      <c r="AM4471" t="s">
        <v>52</v>
      </c>
      <c r="AN4471" t="s">
        <v>53</v>
      </c>
    </row>
    <row r="4472" spans="1:40">
      <c r="A4472" t="s">
        <v>13057</v>
      </c>
      <c r="B4472" t="s">
        <v>3029</v>
      </c>
      <c r="C4472" t="s">
        <v>13626</v>
      </c>
      <c r="D4472" t="s">
        <v>52</v>
      </c>
      <c r="E4472" t="s">
        <v>13627</v>
      </c>
      <c r="F4472" t="s">
        <v>45</v>
      </c>
      <c r="G4472" t="str">
        <f>HYPERLINK("https://www.instagram.com/p/BzCLbEXDNfa")</f>
        <v>https://www.instagram.com/p/BzCLbEXDNfa</v>
      </c>
      <c r="H4472" t="s">
        <v>46</v>
      </c>
      <c r="I4472" t="s">
        <v>13628</v>
      </c>
      <c r="J4472" t="str">
        <f>HYPERLINK("http://instagram.com/cosplayavery")</f>
        <v>http://instagram.com/cosplayavery</v>
      </c>
      <c r="K4472">
        <v>335</v>
      </c>
      <c r="N4472" t="s">
        <v>59</v>
      </c>
      <c r="O4472" t="s">
        <v>13628</v>
      </c>
      <c r="P4472" t="str">
        <f>HYPERLINK("http://instagram.com/cosplayavery")</f>
        <v>http://instagram.com/cosplayavery</v>
      </c>
      <c r="Q4472">
        <v>335</v>
      </c>
      <c r="R4472" t="s">
        <v>60</v>
      </c>
      <c r="W4472">
        <v>16</v>
      </c>
      <c r="X4472">
        <v>16</v>
      </c>
      <c r="AE4472">
        <v>0</v>
      </c>
      <c r="AI4472" t="s">
        <v>108</v>
      </c>
      <c r="AJ4472" t="s">
        <v>52</v>
      </c>
      <c r="AK4472" t="s">
        <v>52</v>
      </c>
      <c r="AL4472" t="str">
        <f>HYPERLINK("https://www.instagram.com/p/BzCLbEXDNfa/media/?size=l")</f>
        <v>https://www.instagram.com/p/BzCLbEXDNfa/media/?size=l</v>
      </c>
      <c r="AM4472" t="s">
        <v>52</v>
      </c>
      <c r="AN4472" t="s">
        <v>53</v>
      </c>
    </row>
    <row r="4473" spans="1:40">
      <c r="A4473" t="s">
        <v>13057</v>
      </c>
      <c r="B4473" t="s">
        <v>3029</v>
      </c>
      <c r="C4473" t="s">
        <v>12053</v>
      </c>
      <c r="D4473" t="s">
        <v>52</v>
      </c>
      <c r="E4473" t="s">
        <v>13629</v>
      </c>
      <c r="F4473" t="s">
        <v>45</v>
      </c>
      <c r="G4473" t="str">
        <f>HYPERLINK("https://www.instagram.com/p/BzCK4s9B3fI")</f>
        <v>https://www.instagram.com/p/BzCK4s9B3fI</v>
      </c>
      <c r="H4473" t="s">
        <v>46</v>
      </c>
      <c r="I4473" t="s">
        <v>52</v>
      </c>
      <c r="J4473" t="str">
        <f>HYPERLINK("http://instagram.com/mrfeelpotato")</f>
        <v>http://instagram.com/mrfeelpotato</v>
      </c>
      <c r="K4473">
        <v>253</v>
      </c>
      <c r="N4473" t="s">
        <v>59</v>
      </c>
      <c r="O4473" t="s">
        <v>52</v>
      </c>
      <c r="P4473" t="str">
        <f>HYPERLINK("http://instagram.com/mrfeelpotato")</f>
        <v>http://instagram.com/mrfeelpotato</v>
      </c>
      <c r="Q4473">
        <v>253</v>
      </c>
      <c r="R4473" t="s">
        <v>60</v>
      </c>
      <c r="W4473">
        <v>33</v>
      </c>
      <c r="X4473">
        <v>33</v>
      </c>
      <c r="AE4473">
        <v>1</v>
      </c>
      <c r="AG4473">
        <v>138</v>
      </c>
      <c r="AI4473" t="s">
        <v>108</v>
      </c>
      <c r="AJ4473" t="s">
        <v>52</v>
      </c>
      <c r="AK4473" t="s">
        <v>3229</v>
      </c>
      <c r="AL4473" t="str">
        <f>HYPERLINK("https://www.instagram.com/p/BzCK4s9B3fI/media/?size=l")</f>
        <v>https://www.instagram.com/p/BzCK4s9B3fI/media/?size=l</v>
      </c>
      <c r="AM4473" t="s">
        <v>52</v>
      </c>
      <c r="AN4473" t="s">
        <v>53</v>
      </c>
    </row>
    <row r="4474" spans="1:40">
      <c r="A4474" t="s">
        <v>13057</v>
      </c>
      <c r="B4474" t="s">
        <v>3032</v>
      </c>
      <c r="C4474" t="s">
        <v>13630</v>
      </c>
      <c r="D4474" t="s">
        <v>52</v>
      </c>
      <c r="E4474" t="s">
        <v>13631</v>
      </c>
      <c r="F4474" t="s">
        <v>71</v>
      </c>
      <c r="G4474" t="str">
        <f>HYPERLINK("https://twitter.com/1526750030/status/1142606763746717696")</f>
        <v>https://twitter.com/1526750030/status/1142606763746717696</v>
      </c>
      <c r="H4474" t="s">
        <v>46</v>
      </c>
      <c r="I4474" t="s">
        <v>52</v>
      </c>
      <c r="J4474" t="str">
        <f>HYPERLINK("http://twitter.com/BPutrins")</f>
        <v>http://twitter.com/BPutrins</v>
      </c>
      <c r="K4474">
        <v>115</v>
      </c>
      <c r="N4474" t="s">
        <v>65</v>
      </c>
      <c r="R4474" t="s">
        <v>60</v>
      </c>
      <c r="W4474">
        <v>0</v>
      </c>
      <c r="X4474">
        <v>0</v>
      </c>
      <c r="AE4474">
        <v>0</v>
      </c>
      <c r="AF4474">
        <v>0</v>
      </c>
      <c r="AI4474" t="s">
        <v>108</v>
      </c>
      <c r="AJ4474" t="s">
        <v>52</v>
      </c>
      <c r="AK4474" t="s">
        <v>52</v>
      </c>
      <c r="AL4474" t="str">
        <f>HYPERLINK("https://pbs.twimg.com/tweet_video_thumb/D9hvNNzXUAATAS3.jpg")</f>
        <v>https://pbs.twimg.com/tweet_video_thumb/D9hvNNzXUAATAS3.jpg</v>
      </c>
      <c r="AM4474" t="s">
        <v>52</v>
      </c>
      <c r="AN4474" t="s">
        <v>53</v>
      </c>
    </row>
    <row r="4475" spans="1:40">
      <c r="A4475" t="s">
        <v>13057</v>
      </c>
      <c r="B4475" t="s">
        <v>3032</v>
      </c>
      <c r="C4475" t="s">
        <v>13619</v>
      </c>
      <c r="D4475" t="s">
        <v>52</v>
      </c>
      <c r="E4475" t="s">
        <v>13632</v>
      </c>
      <c r="F4475" t="s">
        <v>95</v>
      </c>
      <c r="G4475" t="str">
        <f>HYPERLINK("https://twitter.com/1403165784/status/1142606747334512641")</f>
        <v>https://twitter.com/1403165784/status/1142606747334512641</v>
      </c>
      <c r="H4475" t="s">
        <v>215</v>
      </c>
      <c r="I4475" t="s">
        <v>13633</v>
      </c>
      <c r="J4475" t="str">
        <f>HYPERLINK("http://twitter.com/CaileanGrey")</f>
        <v>http://twitter.com/CaileanGrey</v>
      </c>
      <c r="K4475">
        <v>334</v>
      </c>
      <c r="N4475" t="s">
        <v>65</v>
      </c>
      <c r="R4475" t="s">
        <v>60</v>
      </c>
      <c r="S4475" t="s">
        <v>3735</v>
      </c>
      <c r="T4475" t="s">
        <v>3736</v>
      </c>
      <c r="U4475" t="s">
        <v>13634</v>
      </c>
      <c r="W4475">
        <v>0</v>
      </c>
      <c r="X4475">
        <v>0</v>
      </c>
      <c r="AE4475">
        <v>1</v>
      </c>
      <c r="AF4475">
        <v>1</v>
      </c>
      <c r="AM4475" t="s">
        <v>52</v>
      </c>
      <c r="AN4475" t="s">
        <v>53</v>
      </c>
    </row>
    <row r="4476" spans="1:40">
      <c r="A4476" t="s">
        <v>13057</v>
      </c>
      <c r="B4476" t="s">
        <v>3032</v>
      </c>
      <c r="C4476" t="s">
        <v>12053</v>
      </c>
      <c r="D4476" t="s">
        <v>52</v>
      </c>
      <c r="E4476" t="s">
        <v>13635</v>
      </c>
      <c r="F4476" t="s">
        <v>45</v>
      </c>
      <c r="G4476" t="str">
        <f>HYPERLINK("https://www.instagram.com/p/BzCLPsrjn6D")</f>
        <v>https://www.instagram.com/p/BzCLPsrjn6D</v>
      </c>
      <c r="H4476" t="s">
        <v>46</v>
      </c>
      <c r="I4476" t="s">
        <v>13636</v>
      </c>
      <c r="J4476" t="str">
        <f>HYPERLINK("http://instagram.com/authorjanae_marie5")</f>
        <v>http://instagram.com/authorjanae_marie5</v>
      </c>
      <c r="K4476">
        <v>543</v>
      </c>
      <c r="N4476" t="s">
        <v>59</v>
      </c>
      <c r="O4476" t="s">
        <v>13636</v>
      </c>
      <c r="P4476" t="str">
        <f>HYPERLINK("http://instagram.com/authorjanae_marie5")</f>
        <v>http://instagram.com/authorjanae_marie5</v>
      </c>
      <c r="Q4476">
        <v>543</v>
      </c>
      <c r="R4476" t="s">
        <v>60</v>
      </c>
      <c r="W4476">
        <v>10</v>
      </c>
      <c r="X4476">
        <v>10</v>
      </c>
      <c r="AE4476">
        <v>0</v>
      </c>
      <c r="AI4476" t="s">
        <v>108</v>
      </c>
      <c r="AJ4476" t="s">
        <v>52</v>
      </c>
      <c r="AK4476" t="s">
        <v>52</v>
      </c>
      <c r="AL4476" t="str">
        <f>HYPERLINK("https://www.instagram.com/p/BzCLPsrjn6D/media/?size=l")</f>
        <v>https://www.instagram.com/p/BzCLPsrjn6D/media/?size=l</v>
      </c>
      <c r="AM4476" t="s">
        <v>52</v>
      </c>
      <c r="AN4476" t="s">
        <v>53</v>
      </c>
    </row>
    <row r="4477" spans="1:40">
      <c r="A4477" t="s">
        <v>13057</v>
      </c>
      <c r="B4477" t="s">
        <v>3047</v>
      </c>
      <c r="C4477" t="s">
        <v>13623</v>
      </c>
      <c r="D4477" t="s">
        <v>52</v>
      </c>
      <c r="E4477" t="s">
        <v>13637</v>
      </c>
      <c r="F4477" t="s">
        <v>95</v>
      </c>
      <c r="G4477" t="str">
        <f>HYPERLINK("https://twitter.com/276797647/status/1142606369750691840")</f>
        <v>https://twitter.com/276797647/status/1142606369750691840</v>
      </c>
      <c r="H4477" t="s">
        <v>46</v>
      </c>
      <c r="I4477" t="s">
        <v>13638</v>
      </c>
      <c r="J4477" t="str">
        <f>HYPERLINK("http://twitter.com/laughterness")</f>
        <v>http://twitter.com/laughterness</v>
      </c>
      <c r="K4477">
        <v>226</v>
      </c>
      <c r="N4477" t="s">
        <v>65</v>
      </c>
      <c r="R4477" t="s">
        <v>60</v>
      </c>
      <c r="W4477">
        <v>0</v>
      </c>
      <c r="X4477">
        <v>0</v>
      </c>
      <c r="AE4477">
        <v>0</v>
      </c>
      <c r="AF4477">
        <v>0</v>
      </c>
      <c r="AM4477" t="s">
        <v>52</v>
      </c>
      <c r="AN4477" t="s">
        <v>53</v>
      </c>
    </row>
    <row r="4478" spans="1:40">
      <c r="A4478" t="s">
        <v>13057</v>
      </c>
      <c r="B4478" t="s">
        <v>3047</v>
      </c>
      <c r="C4478" t="s">
        <v>13630</v>
      </c>
      <c r="D4478" t="s">
        <v>52</v>
      </c>
      <c r="E4478" t="s">
        <v>13639</v>
      </c>
      <c r="F4478" t="s">
        <v>131</v>
      </c>
      <c r="G4478" t="str">
        <f>HYPERLINK("https://twitter.com/771814522818625536/status/1142606295926751232")</f>
        <v>https://twitter.com/771814522818625536/status/1142606295926751232</v>
      </c>
      <c r="H4478" t="s">
        <v>46</v>
      </c>
      <c r="I4478" t="s">
        <v>13640</v>
      </c>
      <c r="J4478" t="str">
        <f>HYPERLINK("http://twitter.com/soevetski")</f>
        <v>http://twitter.com/soevetski</v>
      </c>
      <c r="K4478">
        <v>17</v>
      </c>
      <c r="N4478" t="s">
        <v>65</v>
      </c>
      <c r="R4478" t="s">
        <v>60</v>
      </c>
      <c r="S4478" t="s">
        <v>7287</v>
      </c>
      <c r="U4478" t="s">
        <v>13641</v>
      </c>
      <c r="W4478">
        <v>0</v>
      </c>
      <c r="X4478">
        <v>0</v>
      </c>
      <c r="AE4478">
        <v>0</v>
      </c>
      <c r="AM4478" t="s">
        <v>52</v>
      </c>
      <c r="AN4478" t="s">
        <v>53</v>
      </c>
    </row>
    <row r="4479" spans="1:40">
      <c r="A4479" t="s">
        <v>13057</v>
      </c>
      <c r="B4479" t="s">
        <v>3050</v>
      </c>
      <c r="C4479" t="s">
        <v>13642</v>
      </c>
      <c r="D4479" t="s">
        <v>52</v>
      </c>
      <c r="E4479" t="s">
        <v>13643</v>
      </c>
      <c r="F4479" t="s">
        <v>45</v>
      </c>
      <c r="G4479" t="str">
        <f>HYPERLINK("https://twitter.com/1119969280320319489/status/1142605946486759425")</f>
        <v>https://twitter.com/1119969280320319489/status/1142605946486759425</v>
      </c>
      <c r="H4479" t="s">
        <v>46</v>
      </c>
      <c r="I4479" t="s">
        <v>13644</v>
      </c>
      <c r="J4479" t="str">
        <f>HYPERLINK("http://twitter.com/ktrashtm_")</f>
        <v>http://twitter.com/ktrashtm_</v>
      </c>
      <c r="K4479">
        <v>337</v>
      </c>
      <c r="N4479" t="s">
        <v>65</v>
      </c>
      <c r="R4479" t="s">
        <v>60</v>
      </c>
      <c r="S4479" t="s">
        <v>1071</v>
      </c>
      <c r="T4479" t="s">
        <v>7055</v>
      </c>
      <c r="U4479" t="s">
        <v>7056</v>
      </c>
      <c r="W4479">
        <v>1</v>
      </c>
      <c r="X4479">
        <v>1</v>
      </c>
      <c r="AE4479">
        <v>0</v>
      </c>
      <c r="AF4479">
        <v>0</v>
      </c>
      <c r="AM4479" t="s">
        <v>52</v>
      </c>
      <c r="AN4479" t="s">
        <v>53</v>
      </c>
    </row>
    <row r="4480" spans="1:40">
      <c r="A4480" t="s">
        <v>13057</v>
      </c>
      <c r="B4480" t="s">
        <v>3054</v>
      </c>
      <c r="C4480" t="s">
        <v>13645</v>
      </c>
      <c r="D4480" t="s">
        <v>52</v>
      </c>
      <c r="E4480" t="s">
        <v>13646</v>
      </c>
      <c r="F4480" t="s">
        <v>45</v>
      </c>
      <c r="G4480" t="str">
        <f>HYPERLINK("https://twitter.com/1023555211871309829/status/1142605937154371585")</f>
        <v>https://twitter.com/1023555211871309829/status/1142605937154371585</v>
      </c>
      <c r="H4480" t="s">
        <v>46</v>
      </c>
      <c r="I4480" t="s">
        <v>13647</v>
      </c>
      <c r="J4480" t="str">
        <f>HYPERLINK("http://twitter.com/ColfaxRegan")</f>
        <v>http://twitter.com/ColfaxRegan</v>
      </c>
      <c r="K4480">
        <v>12</v>
      </c>
      <c r="N4480" t="s">
        <v>65</v>
      </c>
      <c r="R4480" t="s">
        <v>60</v>
      </c>
      <c r="W4480">
        <v>0</v>
      </c>
      <c r="X4480">
        <v>0</v>
      </c>
      <c r="AE4480">
        <v>1</v>
      </c>
      <c r="AF4480">
        <v>0</v>
      </c>
      <c r="AM4480" t="s">
        <v>52</v>
      </c>
      <c r="AN4480" t="s">
        <v>53</v>
      </c>
    </row>
    <row r="4481" spans="1:40">
      <c r="A4481" t="s">
        <v>13057</v>
      </c>
      <c r="B4481" t="s">
        <v>3054</v>
      </c>
      <c r="C4481" t="s">
        <v>13648</v>
      </c>
      <c r="D4481" t="s">
        <v>52</v>
      </c>
      <c r="E4481" t="s">
        <v>13649</v>
      </c>
      <c r="F4481" t="s">
        <v>95</v>
      </c>
      <c r="G4481" t="str">
        <f>HYPERLINK("https://twitter.com/1003749711382286336/status/1142605817671274497")</f>
        <v>https://twitter.com/1003749711382286336/status/1142605817671274497</v>
      </c>
      <c r="H4481" t="s">
        <v>46</v>
      </c>
      <c r="I4481" t="s">
        <v>13650</v>
      </c>
      <c r="J4481" t="str">
        <f>HYPERLINK("http://twitter.com/radmadlads")</f>
        <v>http://twitter.com/radmadlads</v>
      </c>
      <c r="K4481">
        <v>73</v>
      </c>
      <c r="L4481" t="s">
        <v>58</v>
      </c>
      <c r="N4481" t="s">
        <v>65</v>
      </c>
      <c r="R4481" t="s">
        <v>60</v>
      </c>
      <c r="W4481">
        <v>1</v>
      </c>
      <c r="X4481">
        <v>1</v>
      </c>
      <c r="AE4481">
        <v>1</v>
      </c>
      <c r="AF4481">
        <v>0</v>
      </c>
      <c r="AM4481" t="s">
        <v>52</v>
      </c>
      <c r="AN4481" t="s">
        <v>53</v>
      </c>
    </row>
    <row r="4482" spans="1:40">
      <c r="A4482" t="s">
        <v>13057</v>
      </c>
      <c r="B4482" t="s">
        <v>8763</v>
      </c>
      <c r="C4482" t="s">
        <v>13651</v>
      </c>
      <c r="D4482" t="s">
        <v>52</v>
      </c>
      <c r="E4482" t="s">
        <v>13652</v>
      </c>
      <c r="F4482" t="s">
        <v>45</v>
      </c>
      <c r="G4482" t="str">
        <f>HYPERLINK("https://www.instagram.com/p/BzCKsdFBwI6")</f>
        <v>https://www.instagram.com/p/BzCKsdFBwI6</v>
      </c>
      <c r="H4482" t="s">
        <v>46</v>
      </c>
      <c r="I4482" t="s">
        <v>13653</v>
      </c>
      <c r="J4482" t="str">
        <f>HYPERLINK("http://instagram.com/diecast__usa")</f>
        <v>http://instagram.com/diecast__usa</v>
      </c>
      <c r="K4482">
        <v>99</v>
      </c>
      <c r="N4482" t="s">
        <v>59</v>
      </c>
      <c r="O4482" t="s">
        <v>13653</v>
      </c>
      <c r="P4482" t="str">
        <f>HYPERLINK("http://instagram.com/diecast__usa")</f>
        <v>http://instagram.com/diecast__usa</v>
      </c>
      <c r="Q4482">
        <v>99</v>
      </c>
      <c r="R4482" t="s">
        <v>60</v>
      </c>
      <c r="W4482">
        <v>16</v>
      </c>
      <c r="X4482">
        <v>16</v>
      </c>
      <c r="AE4482">
        <v>0</v>
      </c>
      <c r="AI4482" t="s">
        <v>108</v>
      </c>
      <c r="AJ4482" t="s">
        <v>648</v>
      </c>
      <c r="AK4482" t="s">
        <v>52</v>
      </c>
      <c r="AL4482" t="str">
        <f>HYPERLINK("https://www.instagram.com/p/BzCKsdFBwI6/media/?size=l")</f>
        <v>https://www.instagram.com/p/BzCKsdFBwI6/media/?size=l</v>
      </c>
      <c r="AM4482" t="s">
        <v>52</v>
      </c>
      <c r="AN4482" t="s">
        <v>53</v>
      </c>
    </row>
    <row r="4483" spans="1:40">
      <c r="A4483" t="s">
        <v>13057</v>
      </c>
      <c r="B4483" t="s">
        <v>8795</v>
      </c>
      <c r="C4483" t="s">
        <v>13654</v>
      </c>
      <c r="D4483" t="s">
        <v>52</v>
      </c>
      <c r="E4483" t="s">
        <v>13655</v>
      </c>
      <c r="F4483" t="s">
        <v>45</v>
      </c>
      <c r="G4483" t="str">
        <f>HYPERLINK("https://twitter.com/764242295847653376/status/1142604811180732416")</f>
        <v>https://twitter.com/764242295847653376/status/1142604811180732416</v>
      </c>
      <c r="H4483" t="s">
        <v>46</v>
      </c>
      <c r="I4483" t="s">
        <v>13656</v>
      </c>
      <c r="J4483" t="str">
        <f>HYPERLINK("http://twitter.com/TonyTru21")</f>
        <v>http://twitter.com/TonyTru21</v>
      </c>
      <c r="K4483">
        <v>77</v>
      </c>
      <c r="L4483" t="s">
        <v>48</v>
      </c>
      <c r="N4483" t="s">
        <v>65</v>
      </c>
      <c r="R4483" t="s">
        <v>60</v>
      </c>
      <c r="S4483" t="s">
        <v>51</v>
      </c>
      <c r="T4483" t="s">
        <v>2522</v>
      </c>
      <c r="U4483" t="s">
        <v>2523</v>
      </c>
      <c r="W4483">
        <v>0</v>
      </c>
      <c r="X4483">
        <v>0</v>
      </c>
      <c r="AE4483">
        <v>0</v>
      </c>
      <c r="AF4483">
        <v>0</v>
      </c>
      <c r="AM4483" t="s">
        <v>52</v>
      </c>
      <c r="AN4483" t="s">
        <v>53</v>
      </c>
    </row>
    <row r="4484" spans="1:40">
      <c r="A4484" t="s">
        <v>13057</v>
      </c>
      <c r="B4484" t="s">
        <v>8795</v>
      </c>
      <c r="C4484" t="s">
        <v>13648</v>
      </c>
      <c r="D4484" t="s">
        <v>52</v>
      </c>
      <c r="E4484" t="s">
        <v>13657</v>
      </c>
      <c r="F4484" t="s">
        <v>45</v>
      </c>
      <c r="G4484" t="str">
        <f>HYPERLINK("https://www.instagram.com/p/BzCKWBRD6IT")</f>
        <v>https://www.instagram.com/p/BzCKWBRD6IT</v>
      </c>
      <c r="H4484" t="s">
        <v>46</v>
      </c>
      <c r="I4484" t="s">
        <v>52</v>
      </c>
      <c r="J4484" t="str">
        <f>HYPERLINK("http://instagram.com/spideyflow")</f>
        <v>http://instagram.com/spideyflow</v>
      </c>
      <c r="K4484">
        <v>59</v>
      </c>
      <c r="N4484" t="s">
        <v>59</v>
      </c>
      <c r="O4484" t="s">
        <v>52</v>
      </c>
      <c r="P4484" t="str">
        <f>HYPERLINK("http://instagram.com/spideyflow")</f>
        <v>http://instagram.com/spideyflow</v>
      </c>
      <c r="Q4484">
        <v>59</v>
      </c>
      <c r="R4484" t="s">
        <v>60</v>
      </c>
      <c r="W4484">
        <v>35</v>
      </c>
      <c r="X4484">
        <v>35</v>
      </c>
      <c r="AE4484">
        <v>0</v>
      </c>
      <c r="AI4484" t="s">
        <v>108</v>
      </c>
      <c r="AJ4484" t="s">
        <v>1853</v>
      </c>
      <c r="AK4484" t="s">
        <v>52</v>
      </c>
      <c r="AL4484" t="str">
        <f>HYPERLINK("https://www.instagram.com/p/BzCKWBRD6IT/media/?size=l")</f>
        <v>https://www.instagram.com/p/BzCKWBRD6IT/media/?size=l</v>
      </c>
      <c r="AM4484" t="s">
        <v>52</v>
      </c>
      <c r="AN4484" t="s">
        <v>53</v>
      </c>
    </row>
    <row r="4485" spans="1:40">
      <c r="A4485" t="s">
        <v>13057</v>
      </c>
      <c r="B4485" t="s">
        <v>8795</v>
      </c>
      <c r="C4485" t="s">
        <v>13648</v>
      </c>
      <c r="D4485" t="s">
        <v>52</v>
      </c>
      <c r="E4485" t="s">
        <v>13658</v>
      </c>
      <c r="F4485" t="s">
        <v>131</v>
      </c>
      <c r="G4485" t="str">
        <f>HYPERLINK("https://twitter.com/3222844635/status/1142604706143002626")</f>
        <v>https://twitter.com/3222844635/status/1142604706143002626</v>
      </c>
      <c r="H4485" t="s">
        <v>46</v>
      </c>
      <c r="I4485" t="s">
        <v>13659</v>
      </c>
      <c r="J4485" t="str">
        <f>HYPERLINK("http://twitter.com/orozcofederico7")</f>
        <v>http://twitter.com/orozcofederico7</v>
      </c>
      <c r="K4485">
        <v>548</v>
      </c>
      <c r="N4485" t="s">
        <v>65</v>
      </c>
      <c r="R4485" t="s">
        <v>60</v>
      </c>
      <c r="S4485" t="s">
        <v>701</v>
      </c>
      <c r="T4485" t="s">
        <v>617</v>
      </c>
      <c r="W4485">
        <v>0</v>
      </c>
      <c r="X4485">
        <v>0</v>
      </c>
      <c r="AE4485">
        <v>0</v>
      </c>
      <c r="AM4485" t="s">
        <v>52</v>
      </c>
      <c r="AN4485" t="s">
        <v>53</v>
      </c>
    </row>
    <row r="4486" spans="1:40">
      <c r="A4486" t="s">
        <v>13057</v>
      </c>
      <c r="B4486" t="s">
        <v>8804</v>
      </c>
      <c r="C4486" t="s">
        <v>13648</v>
      </c>
      <c r="D4486" t="s">
        <v>52</v>
      </c>
      <c r="E4486" t="s">
        <v>13660</v>
      </c>
      <c r="F4486" t="s">
        <v>45</v>
      </c>
      <c r="G4486" t="str">
        <f>HYPERLINK("https://twitter.com/1055376707799015424/status/1142604260091109376")</f>
        <v>https://twitter.com/1055376707799015424/status/1142604260091109376</v>
      </c>
      <c r="H4486" t="s">
        <v>46</v>
      </c>
      <c r="I4486" t="s">
        <v>13661</v>
      </c>
      <c r="J4486" t="str">
        <f>HYPERLINK("http://twitter.com/bsny_x")</f>
        <v>http://twitter.com/bsny_x</v>
      </c>
      <c r="K4486">
        <v>251</v>
      </c>
      <c r="N4486" t="s">
        <v>65</v>
      </c>
      <c r="R4486" t="s">
        <v>60</v>
      </c>
      <c r="S4486" t="s">
        <v>51</v>
      </c>
      <c r="T4486" t="s">
        <v>738</v>
      </c>
      <c r="U4486" t="s">
        <v>13662</v>
      </c>
      <c r="W4486">
        <v>4</v>
      </c>
      <c r="X4486">
        <v>4</v>
      </c>
      <c r="AE4486">
        <v>0</v>
      </c>
      <c r="AF4486">
        <v>0</v>
      </c>
      <c r="AM4486" t="s">
        <v>52</v>
      </c>
      <c r="AN4486" t="s">
        <v>53</v>
      </c>
    </row>
    <row r="4487" spans="1:40">
      <c r="A4487" t="s">
        <v>13057</v>
      </c>
      <c r="B4487" t="s">
        <v>3066</v>
      </c>
      <c r="C4487" t="s">
        <v>13663</v>
      </c>
      <c r="D4487" t="s">
        <v>52</v>
      </c>
      <c r="E4487" t="s">
        <v>13664</v>
      </c>
      <c r="F4487" t="s">
        <v>45</v>
      </c>
      <c r="G4487" t="str">
        <f>HYPERLINK("https://www.instagram.com/p/BzCKDU8hcy8")</f>
        <v>https://www.instagram.com/p/BzCKDU8hcy8</v>
      </c>
      <c r="H4487" t="s">
        <v>46</v>
      </c>
      <c r="I4487" t="s">
        <v>13665</v>
      </c>
      <c r="J4487" t="str">
        <f>HYPERLINK("http://instagram.com/deborah.g.cooper")</f>
        <v>http://instagram.com/deborah.g.cooper</v>
      </c>
      <c r="K4487">
        <v>4748</v>
      </c>
      <c r="N4487" t="s">
        <v>59</v>
      </c>
      <c r="O4487" t="s">
        <v>13665</v>
      </c>
      <c r="P4487" t="str">
        <f>HYPERLINK("http://instagram.com/deborah.g.cooper")</f>
        <v>http://instagram.com/deborah.g.cooper</v>
      </c>
      <c r="Q4487">
        <v>4748</v>
      </c>
      <c r="R4487" t="s">
        <v>60</v>
      </c>
      <c r="W4487">
        <v>92</v>
      </c>
      <c r="X4487">
        <v>92</v>
      </c>
      <c r="AE4487">
        <v>1</v>
      </c>
      <c r="AI4487" t="s">
        <v>108</v>
      </c>
      <c r="AJ4487" t="s">
        <v>52</v>
      </c>
      <c r="AK4487" t="s">
        <v>52</v>
      </c>
      <c r="AL4487" t="str">
        <f>HYPERLINK("https://www.instagram.com/p/BzCKDU8hcy8/media/?size=l")</f>
        <v>https://www.instagram.com/p/BzCKDU8hcy8/media/?size=l</v>
      </c>
      <c r="AM4487" t="s">
        <v>52</v>
      </c>
      <c r="AN4487" t="s">
        <v>53</v>
      </c>
    </row>
    <row r="4488" spans="1:40">
      <c r="A4488" t="s">
        <v>13057</v>
      </c>
      <c r="B4488" t="s">
        <v>3073</v>
      </c>
      <c r="C4488" t="s">
        <v>13666</v>
      </c>
      <c r="D4488" t="s">
        <v>52</v>
      </c>
      <c r="E4488" t="s">
        <v>6744</v>
      </c>
      <c r="F4488" t="s">
        <v>131</v>
      </c>
      <c r="G4488" t="str">
        <f>HYPERLINK("https://twitter.com/139438330/status/1142603854363729920")</f>
        <v>https://twitter.com/139438330/status/1142603854363729920</v>
      </c>
      <c r="H4488" t="s">
        <v>46</v>
      </c>
      <c r="I4488" t="s">
        <v>13667</v>
      </c>
      <c r="J4488" t="str">
        <f>HYPERLINK("http://twitter.com/jat1020")</f>
        <v>http://twitter.com/jat1020</v>
      </c>
      <c r="K4488">
        <v>22307</v>
      </c>
      <c r="L4488" t="s">
        <v>58</v>
      </c>
      <c r="N4488" t="s">
        <v>65</v>
      </c>
      <c r="R4488" t="s">
        <v>60</v>
      </c>
      <c r="S4488" t="s">
        <v>51</v>
      </c>
      <c r="W4488">
        <v>0</v>
      </c>
      <c r="X4488">
        <v>0</v>
      </c>
      <c r="AE4488">
        <v>0</v>
      </c>
      <c r="AI4488" t="s">
        <v>52</v>
      </c>
      <c r="AJ4488" t="s">
        <v>52</v>
      </c>
      <c r="AK4488" t="s">
        <v>2782</v>
      </c>
      <c r="AL4488" t="str">
        <f>HYPERLINK("https://pbs.twimg.com/media/D9ry2iBXkAA00_i.jpg")</f>
        <v>https://pbs.twimg.com/media/D9ry2iBXkAA00_i.jpg</v>
      </c>
      <c r="AM4488" t="s">
        <v>52</v>
      </c>
      <c r="AN4488" t="s">
        <v>53</v>
      </c>
    </row>
    <row r="4489" spans="1:40">
      <c r="A4489" t="s">
        <v>13057</v>
      </c>
      <c r="B4489" t="s">
        <v>3077</v>
      </c>
      <c r="C4489" t="s">
        <v>13668</v>
      </c>
      <c r="D4489" t="s">
        <v>52</v>
      </c>
      <c r="E4489" t="s">
        <v>13669</v>
      </c>
      <c r="F4489" t="s">
        <v>71</v>
      </c>
      <c r="G4489" t="str">
        <f>HYPERLINK("https://twitter.com/149391547/status/1142603633491697664")</f>
        <v>https://twitter.com/149391547/status/1142603633491697664</v>
      </c>
      <c r="H4489" t="s">
        <v>215</v>
      </c>
      <c r="I4489" t="s">
        <v>13670</v>
      </c>
      <c r="J4489" t="str">
        <f>HYPERLINK("http://twitter.com/_LeeBarb0sa")</f>
        <v>http://twitter.com/_LeeBarb0sa</v>
      </c>
      <c r="K4489">
        <v>1561</v>
      </c>
      <c r="N4489" t="s">
        <v>65</v>
      </c>
      <c r="R4489" t="s">
        <v>60</v>
      </c>
      <c r="W4489">
        <v>1</v>
      </c>
      <c r="X4489">
        <v>1</v>
      </c>
      <c r="AE4489">
        <v>1</v>
      </c>
      <c r="AF4489">
        <v>0</v>
      </c>
      <c r="AM4489" t="s">
        <v>52</v>
      </c>
      <c r="AN4489" t="s">
        <v>53</v>
      </c>
    </row>
    <row r="4490" spans="1:40">
      <c r="A4490" t="s">
        <v>13057</v>
      </c>
      <c r="B4490" t="s">
        <v>3083</v>
      </c>
      <c r="C4490" t="s">
        <v>13671</v>
      </c>
      <c r="D4490" t="s">
        <v>52</v>
      </c>
      <c r="E4490" t="s">
        <v>13672</v>
      </c>
      <c r="F4490" t="s">
        <v>95</v>
      </c>
      <c r="G4490" t="str">
        <f>HYPERLINK("https://twitter.com/1129373564820434944/status/1142603365672804352")</f>
        <v>https://twitter.com/1129373564820434944/status/1142603365672804352</v>
      </c>
      <c r="H4490" t="s">
        <v>46</v>
      </c>
      <c r="I4490" t="s">
        <v>13673</v>
      </c>
      <c r="J4490" t="str">
        <f>HYPERLINK("http://twitter.com/ST87351749")</f>
        <v>http://twitter.com/ST87351749</v>
      </c>
      <c r="K4490">
        <v>2</v>
      </c>
      <c r="N4490" t="s">
        <v>65</v>
      </c>
      <c r="R4490" t="s">
        <v>60</v>
      </c>
      <c r="W4490">
        <v>1</v>
      </c>
      <c r="X4490">
        <v>1</v>
      </c>
      <c r="AE4490">
        <v>0</v>
      </c>
      <c r="AF4490">
        <v>0</v>
      </c>
      <c r="AM4490" t="s">
        <v>52</v>
      </c>
      <c r="AN4490" t="s">
        <v>53</v>
      </c>
    </row>
    <row r="4491" spans="1:40">
      <c r="A4491" t="s">
        <v>13057</v>
      </c>
      <c r="B4491" t="s">
        <v>3093</v>
      </c>
      <c r="C4491" t="s">
        <v>13674</v>
      </c>
      <c r="D4491" t="s">
        <v>52</v>
      </c>
      <c r="E4491" t="s">
        <v>13675</v>
      </c>
      <c r="F4491" t="s">
        <v>95</v>
      </c>
      <c r="G4491" t="str">
        <f>HYPERLINK("https://twitter.com/858498348243972096/status/1142603167793917952")</f>
        <v>https://twitter.com/858498348243972096/status/1142603167793917952</v>
      </c>
      <c r="H4491" t="s">
        <v>46</v>
      </c>
      <c r="I4491" t="s">
        <v>4769</v>
      </c>
      <c r="J4491" t="str">
        <f>HYPERLINK("http://twitter.com/lisazumba10")</f>
        <v>http://twitter.com/lisazumba10</v>
      </c>
      <c r="K4491">
        <v>5464</v>
      </c>
      <c r="L4491" t="s">
        <v>58</v>
      </c>
      <c r="N4491" t="s">
        <v>65</v>
      </c>
      <c r="R4491" t="s">
        <v>60</v>
      </c>
      <c r="S4491" t="s">
        <v>51</v>
      </c>
      <c r="T4491" t="s">
        <v>490</v>
      </c>
      <c r="U4491" t="s">
        <v>13676</v>
      </c>
      <c r="W4491">
        <v>1</v>
      </c>
      <c r="X4491">
        <v>1</v>
      </c>
      <c r="AE4491">
        <v>2</v>
      </c>
      <c r="AF4491">
        <v>0</v>
      </c>
      <c r="AM4491" t="s">
        <v>52</v>
      </c>
      <c r="AN4491" t="s">
        <v>53</v>
      </c>
    </row>
    <row r="4492" spans="1:40">
      <c r="A4492" t="s">
        <v>13057</v>
      </c>
      <c r="B4492" t="s">
        <v>3093</v>
      </c>
      <c r="C4492" t="s">
        <v>13677</v>
      </c>
      <c r="D4492" t="s">
        <v>52</v>
      </c>
      <c r="E4492" t="s">
        <v>276</v>
      </c>
      <c r="F4492" t="s">
        <v>131</v>
      </c>
      <c r="G4492" t="str">
        <f>HYPERLINK("https://twitter.com/276797647/status/1142602980677627906")</f>
        <v>https://twitter.com/276797647/status/1142602980677627906</v>
      </c>
      <c r="H4492" t="s">
        <v>46</v>
      </c>
      <c r="I4492" t="s">
        <v>13638</v>
      </c>
      <c r="J4492" t="str">
        <f>HYPERLINK("http://twitter.com/laughterness")</f>
        <v>http://twitter.com/laughterness</v>
      </c>
      <c r="K4492">
        <v>226</v>
      </c>
      <c r="N4492" t="s">
        <v>65</v>
      </c>
      <c r="R4492" t="s">
        <v>60</v>
      </c>
      <c r="W4492">
        <v>0</v>
      </c>
      <c r="X4492">
        <v>0</v>
      </c>
      <c r="AE4492">
        <v>0</v>
      </c>
      <c r="AI4492" t="s">
        <v>108</v>
      </c>
      <c r="AJ4492" t="s">
        <v>52</v>
      </c>
      <c r="AK4492" t="s">
        <v>52</v>
      </c>
      <c r="AL4492" t="str">
        <f>HYPERLINK("https://pbs.twimg.com/tweet_video_thumb/D9hvNNzXUAATAS3.jpg")</f>
        <v>https://pbs.twimg.com/tweet_video_thumb/D9hvNNzXUAATAS3.jpg</v>
      </c>
      <c r="AM4492" t="s">
        <v>52</v>
      </c>
      <c r="AN4492" t="s">
        <v>53</v>
      </c>
    </row>
    <row r="4493" spans="1:40">
      <c r="A4493" t="s">
        <v>13057</v>
      </c>
      <c r="B4493" t="s">
        <v>3093</v>
      </c>
      <c r="C4493" t="s">
        <v>13677</v>
      </c>
      <c r="D4493" t="s">
        <v>52</v>
      </c>
      <c r="E4493" t="s">
        <v>13678</v>
      </c>
      <c r="F4493" t="s">
        <v>45</v>
      </c>
      <c r="G4493" t="str">
        <f>HYPERLINK("https://twitter.com/2636178328/status/1142602943285342214")</f>
        <v>https://twitter.com/2636178328/status/1142602943285342214</v>
      </c>
      <c r="H4493" t="s">
        <v>46</v>
      </c>
      <c r="I4493" t="s">
        <v>13679</v>
      </c>
      <c r="J4493" t="str">
        <f>HYPERLINK("http://twitter.com/FATHERJAWSH")</f>
        <v>http://twitter.com/FATHERJAWSH</v>
      </c>
      <c r="K4493">
        <v>2105</v>
      </c>
      <c r="N4493" t="s">
        <v>65</v>
      </c>
      <c r="R4493" t="s">
        <v>60</v>
      </c>
      <c r="W4493">
        <v>4</v>
      </c>
      <c r="X4493">
        <v>4</v>
      </c>
      <c r="AE4493">
        <v>1</v>
      </c>
      <c r="AF4493">
        <v>0</v>
      </c>
      <c r="AM4493" t="s">
        <v>52</v>
      </c>
      <c r="AN4493" t="s">
        <v>53</v>
      </c>
    </row>
    <row r="4494" spans="1:40">
      <c r="A4494" t="s">
        <v>13057</v>
      </c>
      <c r="B4494" t="s">
        <v>3093</v>
      </c>
      <c r="C4494" t="s">
        <v>13668</v>
      </c>
      <c r="D4494" t="s">
        <v>52</v>
      </c>
      <c r="E4494" t="s">
        <v>13680</v>
      </c>
      <c r="F4494" t="s">
        <v>45</v>
      </c>
      <c r="G4494" t="str">
        <f>HYPERLINK("https://twitter.com/1020770247446597632/status/1142602931939794944")</f>
        <v>https://twitter.com/1020770247446597632/status/1142602931939794944</v>
      </c>
      <c r="H4494" t="s">
        <v>46</v>
      </c>
      <c r="I4494" t="s">
        <v>13402</v>
      </c>
      <c r="J4494" t="str">
        <f>HYPERLINK("http://twitter.com/ELByrne1")</f>
        <v>http://twitter.com/ELByrne1</v>
      </c>
      <c r="K4494">
        <v>543</v>
      </c>
      <c r="N4494" t="s">
        <v>65</v>
      </c>
      <c r="R4494" t="s">
        <v>60</v>
      </c>
      <c r="S4494" t="s">
        <v>1530</v>
      </c>
      <c r="T4494" t="s">
        <v>13681</v>
      </c>
      <c r="U4494" t="s">
        <v>13682</v>
      </c>
      <c r="W4494">
        <v>4</v>
      </c>
      <c r="X4494">
        <v>4</v>
      </c>
      <c r="AE4494">
        <v>1</v>
      </c>
      <c r="AF4494">
        <v>0</v>
      </c>
      <c r="AI4494" t="s">
        <v>52</v>
      </c>
      <c r="AJ4494" t="s">
        <v>3158</v>
      </c>
      <c r="AK4494" t="s">
        <v>52</v>
      </c>
      <c r="AL4494" t="str">
        <f>HYPERLINK("https://pbs.twimg.com/media/D9tXTM4XoAAf4q2.jpg")</f>
        <v>https://pbs.twimg.com/media/D9tXTM4XoAAf4q2.jpg</v>
      </c>
      <c r="AM4494" t="s">
        <v>52</v>
      </c>
      <c r="AN4494" t="s">
        <v>53</v>
      </c>
    </row>
    <row r="4495" spans="1:40">
      <c r="A4495" t="s">
        <v>13057</v>
      </c>
      <c r="B4495" t="s">
        <v>3099</v>
      </c>
      <c r="C4495" t="s">
        <v>13671</v>
      </c>
      <c r="D4495" t="s">
        <v>52</v>
      </c>
      <c r="E4495" t="s">
        <v>13683</v>
      </c>
      <c r="F4495" t="s">
        <v>95</v>
      </c>
      <c r="G4495" t="str">
        <f>HYPERLINK("https://twitter.com/130952148/status/1142602880903471104")</f>
        <v>https://twitter.com/130952148/status/1142602880903471104</v>
      </c>
      <c r="H4495" t="s">
        <v>215</v>
      </c>
      <c r="I4495" t="s">
        <v>13684</v>
      </c>
      <c r="J4495" t="str">
        <f>HYPERLINK("http://twitter.com/aqualina56")</f>
        <v>http://twitter.com/aqualina56</v>
      </c>
      <c r="K4495">
        <v>1376</v>
      </c>
      <c r="N4495" t="s">
        <v>65</v>
      </c>
      <c r="R4495" t="s">
        <v>60</v>
      </c>
      <c r="S4495" t="s">
        <v>432</v>
      </c>
      <c r="W4495">
        <v>0</v>
      </c>
      <c r="X4495">
        <v>0</v>
      </c>
      <c r="AE4495">
        <v>0</v>
      </c>
      <c r="AF4495">
        <v>0</v>
      </c>
      <c r="AM4495" t="s">
        <v>52</v>
      </c>
      <c r="AN4495" t="s">
        <v>53</v>
      </c>
    </row>
    <row r="4496" spans="1:40">
      <c r="A4496" t="s">
        <v>13057</v>
      </c>
      <c r="B4496" t="s">
        <v>3099</v>
      </c>
      <c r="C4496" t="s">
        <v>13685</v>
      </c>
      <c r="D4496" t="s">
        <v>52</v>
      </c>
      <c r="E4496" t="s">
        <v>13686</v>
      </c>
      <c r="F4496" t="s">
        <v>71</v>
      </c>
      <c r="G4496" t="str">
        <f>HYPERLINK("https://twitter.com/500344374/status/1142602753111465984")</f>
        <v>https://twitter.com/500344374/status/1142602753111465984</v>
      </c>
      <c r="H4496" t="s">
        <v>215</v>
      </c>
      <c r="I4496" t="s">
        <v>13687</v>
      </c>
      <c r="J4496" t="str">
        <f>HYPERLINK("http://twitter.com/RichSaibot")</f>
        <v>http://twitter.com/RichSaibot</v>
      </c>
      <c r="K4496">
        <v>453</v>
      </c>
      <c r="N4496" t="s">
        <v>65</v>
      </c>
      <c r="R4496" t="s">
        <v>60</v>
      </c>
      <c r="S4496" t="s">
        <v>97</v>
      </c>
      <c r="T4496" t="s">
        <v>177</v>
      </c>
      <c r="U4496" t="s">
        <v>11695</v>
      </c>
      <c r="W4496">
        <v>0</v>
      </c>
      <c r="X4496">
        <v>0</v>
      </c>
      <c r="AE4496">
        <v>1</v>
      </c>
      <c r="AF4496">
        <v>0</v>
      </c>
      <c r="AM4496" t="s">
        <v>52</v>
      </c>
      <c r="AN4496" t="s">
        <v>53</v>
      </c>
    </row>
    <row r="4497" spans="1:40">
      <c r="A4497" t="s">
        <v>13057</v>
      </c>
      <c r="B4497" t="s">
        <v>3106</v>
      </c>
      <c r="C4497" t="s">
        <v>13688</v>
      </c>
      <c r="D4497" t="s">
        <v>52</v>
      </c>
      <c r="E4497" t="s">
        <v>13689</v>
      </c>
      <c r="F4497" t="s">
        <v>71</v>
      </c>
      <c r="G4497" t="str">
        <f>HYPERLINK("https://twitter.com/795624950749134849/status/1142602556230778882")</f>
        <v>https://twitter.com/795624950749134849/status/1142602556230778882</v>
      </c>
      <c r="H4497" t="s">
        <v>215</v>
      </c>
      <c r="I4497" t="s">
        <v>13690</v>
      </c>
      <c r="J4497" t="str">
        <f>HYPERLINK("http://twitter.com/bisforbeloved")</f>
        <v>http://twitter.com/bisforbeloved</v>
      </c>
      <c r="K4497">
        <v>2919</v>
      </c>
      <c r="N4497" t="s">
        <v>65</v>
      </c>
      <c r="R4497" t="s">
        <v>60</v>
      </c>
      <c r="S4497" t="s">
        <v>51</v>
      </c>
      <c r="T4497" t="s">
        <v>1669</v>
      </c>
      <c r="W4497">
        <v>0</v>
      </c>
      <c r="X4497">
        <v>0</v>
      </c>
      <c r="AE4497">
        <v>0</v>
      </c>
      <c r="AF4497">
        <v>0</v>
      </c>
      <c r="AI4497" t="s">
        <v>52</v>
      </c>
      <c r="AJ4497" t="s">
        <v>7370</v>
      </c>
      <c r="AK4497" t="s">
        <v>52</v>
      </c>
      <c r="AL4497" t="str">
        <f>HYPERLINK("https://pbs.twimg.com/ext_tw_video_thumb/1142527004530630657/pu/img/cy1zUbvLRHHMrBdP.jpg")</f>
        <v>https://pbs.twimg.com/ext_tw_video_thumb/1142527004530630657/pu/img/cy1zUbvLRHHMrBdP.jpg</v>
      </c>
      <c r="AM4497" t="s">
        <v>52</v>
      </c>
      <c r="AN4497" t="s">
        <v>53</v>
      </c>
    </row>
    <row r="4498" spans="1:40">
      <c r="A4498" t="s">
        <v>13057</v>
      </c>
      <c r="B4498" t="s">
        <v>3106</v>
      </c>
      <c r="C4498" t="s">
        <v>13677</v>
      </c>
      <c r="D4498" t="s">
        <v>52</v>
      </c>
      <c r="E4498" t="s">
        <v>13691</v>
      </c>
      <c r="F4498" t="s">
        <v>45</v>
      </c>
      <c r="G4498" t="str">
        <f>HYPERLINK("https://www.instagram.com/p/BzCJC3Jn-Pq")</f>
        <v>https://www.instagram.com/p/BzCJC3Jn-Pq</v>
      </c>
      <c r="H4498" t="s">
        <v>46</v>
      </c>
      <c r="I4498" t="s">
        <v>13692</v>
      </c>
      <c r="J4498" t="str">
        <f>HYPERLINK("http://instagram.com/owu.tostitos")</f>
        <v>http://instagram.com/owu.tostitos</v>
      </c>
      <c r="K4498">
        <v>613</v>
      </c>
      <c r="N4498" t="s">
        <v>59</v>
      </c>
      <c r="O4498" t="s">
        <v>13692</v>
      </c>
      <c r="P4498" t="str">
        <f>HYPERLINK("http://instagram.com/owu.tostitos")</f>
        <v>http://instagram.com/owu.tostitos</v>
      </c>
      <c r="Q4498">
        <v>613</v>
      </c>
      <c r="R4498" t="s">
        <v>60</v>
      </c>
      <c r="W4498">
        <v>75</v>
      </c>
      <c r="X4498">
        <v>75</v>
      </c>
      <c r="AE4498">
        <v>24</v>
      </c>
      <c r="AG4498">
        <v>285</v>
      </c>
      <c r="AI4498" t="s">
        <v>52</v>
      </c>
      <c r="AJ4498" t="s">
        <v>52</v>
      </c>
      <c r="AK4498" t="s">
        <v>341</v>
      </c>
      <c r="AL4498" t="str">
        <f>HYPERLINK("https://www.instagram.com/p/BzCJC3Jn-Pq/media/?size=l")</f>
        <v>https://www.instagram.com/p/BzCJC3Jn-Pq/media/?size=l</v>
      </c>
      <c r="AM4498" t="s">
        <v>52</v>
      </c>
      <c r="AN4498" t="s">
        <v>53</v>
      </c>
    </row>
    <row r="4499" spans="1:40">
      <c r="A4499" t="s">
        <v>13057</v>
      </c>
      <c r="B4499" t="s">
        <v>3106</v>
      </c>
      <c r="C4499" t="s">
        <v>13550</v>
      </c>
      <c r="D4499" t="s">
        <v>13693</v>
      </c>
      <c r="E4499" t="s">
        <v>13694</v>
      </c>
      <c r="F4499" t="s">
        <v>45</v>
      </c>
      <c r="G4499" t="str">
        <f>HYPERLINK("http://www.scandinavianhomestaging.com/moutain-dew-pics.html")</f>
        <v>http://www.scandinavianhomestaging.com/moutain-dew-pics.html</v>
      </c>
      <c r="H4499" t="s">
        <v>46</v>
      </c>
      <c r="N4499" t="s">
        <v>7165</v>
      </c>
      <c r="R4499" t="s">
        <v>50</v>
      </c>
      <c r="S4499" t="s">
        <v>51</v>
      </c>
      <c r="AM4499" t="s">
        <v>52</v>
      </c>
      <c r="AN4499" t="s">
        <v>53</v>
      </c>
    </row>
    <row r="4500" spans="1:40">
      <c r="A4500" t="s">
        <v>13057</v>
      </c>
      <c r="B4500" t="s">
        <v>3110</v>
      </c>
      <c r="C4500" t="s">
        <v>13677</v>
      </c>
      <c r="D4500" t="s">
        <v>52</v>
      </c>
      <c r="E4500" t="s">
        <v>6744</v>
      </c>
      <c r="F4500" t="s">
        <v>131</v>
      </c>
      <c r="G4500" t="str">
        <f>HYPERLINK("https://twitter.com/982290050388905985/status/1142602320523485185")</f>
        <v>https://twitter.com/982290050388905985/status/1142602320523485185</v>
      </c>
      <c r="H4500" t="s">
        <v>46</v>
      </c>
      <c r="I4500" t="s">
        <v>13695</v>
      </c>
      <c r="J4500" t="str">
        <f>HYPERLINK("http://twitter.com/FMFPisTRUTH")</f>
        <v>http://twitter.com/FMFPisTRUTH</v>
      </c>
      <c r="K4500">
        <v>1225</v>
      </c>
      <c r="N4500" t="s">
        <v>65</v>
      </c>
      <c r="R4500" t="s">
        <v>60</v>
      </c>
      <c r="S4500" t="s">
        <v>51</v>
      </c>
      <c r="T4500" t="s">
        <v>1661</v>
      </c>
      <c r="U4500" t="s">
        <v>13696</v>
      </c>
      <c r="W4500">
        <v>0</v>
      </c>
      <c r="X4500">
        <v>0</v>
      </c>
      <c r="AE4500">
        <v>0</v>
      </c>
      <c r="AI4500" t="s">
        <v>52</v>
      </c>
      <c r="AJ4500" t="s">
        <v>52</v>
      </c>
      <c r="AK4500" t="s">
        <v>2782</v>
      </c>
      <c r="AL4500" t="str">
        <f>HYPERLINK("https://pbs.twimg.com/media/D9ry2iBXkAA00_i.jpg")</f>
        <v>https://pbs.twimg.com/media/D9ry2iBXkAA00_i.jpg</v>
      </c>
      <c r="AM4500" t="s">
        <v>52</v>
      </c>
      <c r="AN4500" t="s">
        <v>53</v>
      </c>
    </row>
    <row r="4501" spans="1:40">
      <c r="A4501" t="s">
        <v>13057</v>
      </c>
      <c r="B4501" t="s">
        <v>3110</v>
      </c>
      <c r="C4501" t="s">
        <v>13502</v>
      </c>
      <c r="D4501" t="s">
        <v>13697</v>
      </c>
      <c r="E4501" t="s">
        <v>13698</v>
      </c>
      <c r="F4501" t="s">
        <v>45</v>
      </c>
      <c r="G4501" t="str">
        <f>HYPERLINK("https://www.youtube.com/watch?v=pYnnbEtQHe4")</f>
        <v>https://www.youtube.com/watch?v=pYnnbEtQHe4</v>
      </c>
      <c r="H4501" t="s">
        <v>46</v>
      </c>
      <c r="I4501" t="s">
        <v>13699</v>
      </c>
      <c r="J4501" t="str">
        <f>HYPERLINK("https://www.youtube.com/channel/UCUWs0k-D3to9XzG1WjMiXYQ")</f>
        <v>https://www.youtube.com/channel/UCUWs0k-D3to9XzG1WjMiXYQ</v>
      </c>
      <c r="K4501">
        <v>4</v>
      </c>
      <c r="N4501" t="s">
        <v>116</v>
      </c>
      <c r="O4501" t="s">
        <v>13699</v>
      </c>
      <c r="P4501" t="str">
        <f>HYPERLINK("https://www.youtube.com/channel/UCUWs0k-D3to9XzG1WjMiXYQ")</f>
        <v>https://www.youtube.com/channel/UCUWs0k-D3to9XzG1WjMiXYQ</v>
      </c>
      <c r="Q4501">
        <v>4</v>
      </c>
      <c r="R4501" t="s">
        <v>60</v>
      </c>
      <c r="W4501">
        <v>0</v>
      </c>
      <c r="X4501">
        <v>0</v>
      </c>
      <c r="AD4501">
        <v>0</v>
      </c>
      <c r="AE4501">
        <v>1</v>
      </c>
      <c r="AG4501">
        <v>3</v>
      </c>
      <c r="AI4501" t="s">
        <v>52</v>
      </c>
      <c r="AJ4501" t="s">
        <v>52</v>
      </c>
      <c r="AK4501" t="s">
        <v>52</v>
      </c>
      <c r="AL4501" t="str">
        <f>HYPERLINK("https://i.ytimg.com/vi/pYnnbEtQHe4/maxresdefault.jpg")</f>
        <v>https://i.ytimg.com/vi/pYnnbEtQHe4/maxresdefault.jpg</v>
      </c>
      <c r="AM4501" t="s">
        <v>52</v>
      </c>
      <c r="AN4501" t="s">
        <v>53</v>
      </c>
    </row>
    <row r="4502" spans="1:40">
      <c r="A4502" t="s">
        <v>13057</v>
      </c>
      <c r="B4502" t="s">
        <v>8829</v>
      </c>
      <c r="C4502" t="s">
        <v>13700</v>
      </c>
      <c r="D4502" t="s">
        <v>52</v>
      </c>
      <c r="E4502" t="s">
        <v>13701</v>
      </c>
      <c r="F4502" t="s">
        <v>45</v>
      </c>
      <c r="G4502" t="str">
        <f>HYPERLINK("https://twitter.com/782493648290254849/status/1142602075475365895")</f>
        <v>https://twitter.com/782493648290254849/status/1142602075475365895</v>
      </c>
      <c r="H4502" t="s">
        <v>46</v>
      </c>
      <c r="I4502" t="s">
        <v>13702</v>
      </c>
      <c r="J4502" t="str">
        <f>HYPERLINK("http://twitter.com/Carlosskanksss")</f>
        <v>http://twitter.com/Carlosskanksss</v>
      </c>
      <c r="K4502">
        <v>51</v>
      </c>
      <c r="L4502" t="s">
        <v>48</v>
      </c>
      <c r="N4502" t="s">
        <v>65</v>
      </c>
      <c r="R4502" t="s">
        <v>60</v>
      </c>
      <c r="W4502">
        <v>2</v>
      </c>
      <c r="X4502">
        <v>2</v>
      </c>
      <c r="AE4502">
        <v>0</v>
      </c>
      <c r="AF4502">
        <v>1</v>
      </c>
      <c r="AM4502" t="s">
        <v>52</v>
      </c>
      <c r="AN4502" t="s">
        <v>53</v>
      </c>
    </row>
    <row r="4503" spans="1:40">
      <c r="A4503" t="s">
        <v>13057</v>
      </c>
      <c r="B4503" t="s">
        <v>8829</v>
      </c>
      <c r="C4503" t="s">
        <v>13623</v>
      </c>
      <c r="D4503" t="s">
        <v>52</v>
      </c>
      <c r="E4503" t="s">
        <v>13703</v>
      </c>
      <c r="F4503" t="s">
        <v>45</v>
      </c>
      <c r="G4503" t="str">
        <f>HYPERLINK("https://www.instagram.com/p/BzCJHnyBOkt")</f>
        <v>https://www.instagram.com/p/BzCJHnyBOkt</v>
      </c>
      <c r="H4503" t="s">
        <v>46</v>
      </c>
      <c r="I4503" t="s">
        <v>13704</v>
      </c>
      <c r="J4503" t="str">
        <f>HYPERLINK("http://instagram.com/loki_the_acd")</f>
        <v>http://instagram.com/loki_the_acd</v>
      </c>
      <c r="K4503">
        <v>126</v>
      </c>
      <c r="N4503" t="s">
        <v>59</v>
      </c>
      <c r="O4503" t="s">
        <v>13704</v>
      </c>
      <c r="P4503" t="str">
        <f>HYPERLINK("http://instagram.com/loki_the_acd")</f>
        <v>http://instagram.com/loki_the_acd</v>
      </c>
      <c r="Q4503">
        <v>126</v>
      </c>
      <c r="R4503" t="s">
        <v>60</v>
      </c>
      <c r="S4503" t="s">
        <v>51</v>
      </c>
      <c r="T4503" t="s">
        <v>173</v>
      </c>
      <c r="U4503" t="s">
        <v>9423</v>
      </c>
      <c r="W4503">
        <v>39</v>
      </c>
      <c r="X4503">
        <v>39</v>
      </c>
      <c r="AE4503">
        <v>2</v>
      </c>
      <c r="AI4503" t="s">
        <v>52</v>
      </c>
      <c r="AJ4503" t="s">
        <v>985</v>
      </c>
      <c r="AK4503" t="s">
        <v>52</v>
      </c>
      <c r="AL4503" t="str">
        <f>HYPERLINK("https://www.instagram.com/p/BzCJHnyBOkt/media/?size=l")</f>
        <v>https://www.instagram.com/p/BzCJHnyBOkt/media/?size=l</v>
      </c>
      <c r="AM4503" t="s">
        <v>52</v>
      </c>
      <c r="AN4503" t="s">
        <v>53</v>
      </c>
    </row>
    <row r="4504" spans="1:40">
      <c r="A4504" t="s">
        <v>13057</v>
      </c>
      <c r="B4504" t="s">
        <v>8838</v>
      </c>
      <c r="C4504" t="s">
        <v>13705</v>
      </c>
      <c r="D4504" t="s">
        <v>52</v>
      </c>
      <c r="E4504" t="s">
        <v>13706</v>
      </c>
      <c r="F4504" t="s">
        <v>45</v>
      </c>
      <c r="G4504" t="str">
        <f>HYPERLINK("https://twitter.com/3976500017/status/1142601552886214656")</f>
        <v>https://twitter.com/3976500017/status/1142601552886214656</v>
      </c>
      <c r="H4504" t="s">
        <v>46</v>
      </c>
      <c r="I4504" t="s">
        <v>1697</v>
      </c>
      <c r="J4504" t="str">
        <f>HYPERLINK("http://twitter.com/memerbot404")</f>
        <v>http://twitter.com/memerbot404</v>
      </c>
      <c r="K4504">
        <v>12</v>
      </c>
      <c r="L4504" t="s">
        <v>48</v>
      </c>
      <c r="N4504" t="s">
        <v>65</v>
      </c>
      <c r="R4504" t="s">
        <v>60</v>
      </c>
      <c r="S4504" t="s">
        <v>774</v>
      </c>
      <c r="W4504">
        <v>0</v>
      </c>
      <c r="X4504">
        <v>0</v>
      </c>
      <c r="AE4504">
        <v>0</v>
      </c>
      <c r="AF4504">
        <v>0</v>
      </c>
      <c r="AM4504" t="s">
        <v>52</v>
      </c>
      <c r="AN4504" t="s">
        <v>53</v>
      </c>
    </row>
    <row r="4505" spans="1:40">
      <c r="A4505" t="s">
        <v>13057</v>
      </c>
      <c r="B4505" t="s">
        <v>8838</v>
      </c>
      <c r="C4505" t="s">
        <v>13707</v>
      </c>
      <c r="D4505" t="s">
        <v>52</v>
      </c>
      <c r="E4505" t="s">
        <v>6744</v>
      </c>
      <c r="F4505" t="s">
        <v>131</v>
      </c>
      <c r="G4505" t="str">
        <f>HYPERLINK("https://twitter.com/822880614793826306/status/1142601502344785920")</f>
        <v>https://twitter.com/822880614793826306/status/1142601502344785920</v>
      </c>
      <c r="H4505" t="s">
        <v>46</v>
      </c>
      <c r="I4505" t="s">
        <v>13708</v>
      </c>
      <c r="J4505" t="str">
        <f>HYPERLINK("http://twitter.com/mark4char")</f>
        <v>http://twitter.com/mark4char</v>
      </c>
      <c r="K4505">
        <v>7360</v>
      </c>
      <c r="N4505" t="s">
        <v>65</v>
      </c>
      <c r="R4505" t="s">
        <v>60</v>
      </c>
      <c r="W4505">
        <v>0</v>
      </c>
      <c r="X4505">
        <v>0</v>
      </c>
      <c r="AE4505">
        <v>0</v>
      </c>
      <c r="AI4505" t="s">
        <v>52</v>
      </c>
      <c r="AJ4505" t="s">
        <v>52</v>
      </c>
      <c r="AK4505" t="s">
        <v>2782</v>
      </c>
      <c r="AL4505" t="str">
        <f>HYPERLINK("https://pbs.twimg.com/media/D9ry2iBXkAA00_i.jpg")</f>
        <v>https://pbs.twimg.com/media/D9ry2iBXkAA00_i.jpg</v>
      </c>
      <c r="AM4505" t="s">
        <v>52</v>
      </c>
      <c r="AN4505" t="s">
        <v>53</v>
      </c>
    </row>
    <row r="4506" spans="1:40">
      <c r="A4506" t="s">
        <v>13057</v>
      </c>
      <c r="B4506" t="s">
        <v>13709</v>
      </c>
      <c r="C4506" t="s">
        <v>13707</v>
      </c>
      <c r="D4506" t="s">
        <v>52</v>
      </c>
      <c r="E4506" t="s">
        <v>526</v>
      </c>
      <c r="F4506" t="s">
        <v>131</v>
      </c>
      <c r="G4506" t="str">
        <f>HYPERLINK("https://twitter.com/3869540714/status/1142601335600230401")</f>
        <v>https://twitter.com/3869540714/status/1142601335600230401</v>
      </c>
      <c r="H4506" t="s">
        <v>46</v>
      </c>
      <c r="I4506" t="s">
        <v>13710</v>
      </c>
      <c r="J4506" t="str">
        <f>HYPERLINK("http://twitter.com/JcCherry13")</f>
        <v>http://twitter.com/JcCherry13</v>
      </c>
      <c r="K4506">
        <v>1976</v>
      </c>
      <c r="N4506" t="s">
        <v>65</v>
      </c>
      <c r="R4506" t="s">
        <v>60</v>
      </c>
      <c r="S4506" t="s">
        <v>51</v>
      </c>
      <c r="T4506" t="s">
        <v>380</v>
      </c>
      <c r="U4506" t="s">
        <v>380</v>
      </c>
      <c r="W4506">
        <v>0</v>
      </c>
      <c r="X4506">
        <v>0</v>
      </c>
      <c r="AE4506">
        <v>0</v>
      </c>
      <c r="AI4506" t="s">
        <v>108</v>
      </c>
      <c r="AJ4506" t="s">
        <v>52</v>
      </c>
      <c r="AK4506" t="s">
        <v>52</v>
      </c>
      <c r="AL4506" t="str">
        <f>HYPERLINK("https://pbs.twimg.com/ext_tw_video_thumb/1141360066962100224/pu/img/5_tGc4hLFQwcD07b.jpg")</f>
        <v>https://pbs.twimg.com/ext_tw_video_thumb/1141360066962100224/pu/img/5_tGc4hLFQwcD07b.jpg</v>
      </c>
      <c r="AM4506" t="s">
        <v>52</v>
      </c>
      <c r="AN4506" t="s">
        <v>53</v>
      </c>
    </row>
    <row r="4507" spans="1:40">
      <c r="A4507" t="s">
        <v>13057</v>
      </c>
      <c r="B4507" t="s">
        <v>13709</v>
      </c>
      <c r="C4507" t="s">
        <v>13688</v>
      </c>
      <c r="D4507" t="s">
        <v>52</v>
      </c>
      <c r="E4507" t="s">
        <v>13711</v>
      </c>
      <c r="F4507" t="s">
        <v>45</v>
      </c>
      <c r="G4507" t="str">
        <f>HYPERLINK("https://www.instagram.com/p/BzCIt3Sgewx")</f>
        <v>https://www.instagram.com/p/BzCIt3Sgewx</v>
      </c>
      <c r="H4507" t="s">
        <v>215</v>
      </c>
      <c r="I4507" t="s">
        <v>108</v>
      </c>
      <c r="J4507" t="str">
        <f>HYPERLINK("http://instagram.com/doritos_chipz")</f>
        <v>http://instagram.com/doritos_chipz</v>
      </c>
      <c r="K4507">
        <v>0</v>
      </c>
      <c r="N4507" t="s">
        <v>59</v>
      </c>
      <c r="O4507" t="s">
        <v>108</v>
      </c>
      <c r="P4507" t="str">
        <f>HYPERLINK("http://instagram.com/doritos_chipz")</f>
        <v>http://instagram.com/doritos_chipz</v>
      </c>
      <c r="Q4507">
        <v>0</v>
      </c>
      <c r="R4507" t="s">
        <v>60</v>
      </c>
      <c r="W4507">
        <v>9</v>
      </c>
      <c r="X4507">
        <v>9</v>
      </c>
      <c r="AE4507">
        <v>0</v>
      </c>
      <c r="AI4507" t="s">
        <v>52</v>
      </c>
      <c r="AJ4507" t="s">
        <v>13712</v>
      </c>
      <c r="AK4507" t="s">
        <v>7251</v>
      </c>
      <c r="AL4507" t="str">
        <f>HYPERLINK("https://www.instagram.com/p/BzCIt3Sgewx/media/?size=l")</f>
        <v>https://www.instagram.com/p/BzCIt3Sgewx/media/?size=l</v>
      </c>
      <c r="AM4507" t="s">
        <v>52</v>
      </c>
      <c r="AN4507" t="s">
        <v>53</v>
      </c>
    </row>
    <row r="4508" spans="1:40">
      <c r="A4508" t="s">
        <v>13057</v>
      </c>
      <c r="B4508" t="s">
        <v>13713</v>
      </c>
      <c r="C4508" t="s">
        <v>13714</v>
      </c>
      <c r="D4508" t="s">
        <v>52</v>
      </c>
      <c r="E4508" t="s">
        <v>13715</v>
      </c>
      <c r="F4508" t="s">
        <v>131</v>
      </c>
      <c r="G4508" t="str">
        <f>HYPERLINK("https://twitter.com/1109250918430769152/status/1142601131404779520")</f>
        <v>https://twitter.com/1109250918430769152/status/1142601131404779520</v>
      </c>
      <c r="H4508" t="s">
        <v>46</v>
      </c>
      <c r="I4508" t="s">
        <v>13716</v>
      </c>
      <c r="J4508" t="str">
        <f>HYPERLINK("http://twitter.com/SilverBarrette")</f>
        <v>http://twitter.com/SilverBarrette</v>
      </c>
      <c r="K4508">
        <v>17</v>
      </c>
      <c r="L4508" t="s">
        <v>48</v>
      </c>
      <c r="N4508" t="s">
        <v>65</v>
      </c>
      <c r="R4508" t="s">
        <v>60</v>
      </c>
      <c r="S4508" t="s">
        <v>7590</v>
      </c>
      <c r="T4508" t="s">
        <v>13717</v>
      </c>
      <c r="U4508" t="s">
        <v>13717</v>
      </c>
      <c r="W4508">
        <v>0</v>
      </c>
      <c r="X4508">
        <v>0</v>
      </c>
      <c r="AE4508">
        <v>0</v>
      </c>
      <c r="AI4508" t="s">
        <v>52</v>
      </c>
      <c r="AJ4508" t="s">
        <v>458</v>
      </c>
      <c r="AK4508" t="s">
        <v>300</v>
      </c>
      <c r="AL4508" t="str">
        <f>HYPERLINK("https://pbs.twimg.com/ext_tw_video_thumb/1142401408446210048/pu/img/Mgry0t7mUaIeK4jV.jpg")</f>
        <v>https://pbs.twimg.com/ext_tw_video_thumb/1142401408446210048/pu/img/Mgry0t7mUaIeK4jV.jpg</v>
      </c>
      <c r="AM4508" t="s">
        <v>52</v>
      </c>
      <c r="AN4508" t="s">
        <v>53</v>
      </c>
    </row>
    <row r="4509" spans="1:40">
      <c r="A4509" t="s">
        <v>13057</v>
      </c>
      <c r="B4509" t="s">
        <v>13713</v>
      </c>
      <c r="C4509" t="s">
        <v>13718</v>
      </c>
      <c r="D4509" t="s">
        <v>52</v>
      </c>
      <c r="E4509" t="s">
        <v>13719</v>
      </c>
      <c r="F4509" t="s">
        <v>45</v>
      </c>
      <c r="G4509" t="str">
        <f>HYPERLINK("https://www.instagram.com/p/BzCIrHuHWKI")</f>
        <v>https://www.instagram.com/p/BzCIrHuHWKI</v>
      </c>
      <c r="H4509" t="s">
        <v>46</v>
      </c>
      <c r="I4509" t="s">
        <v>13720</v>
      </c>
      <c r="J4509" t="str">
        <f>HYPERLINK("http://instagram.com/dannyray2002")</f>
        <v>http://instagram.com/dannyray2002</v>
      </c>
      <c r="K4509">
        <v>37</v>
      </c>
      <c r="N4509" t="s">
        <v>59</v>
      </c>
      <c r="O4509" t="s">
        <v>13720</v>
      </c>
      <c r="P4509" t="str">
        <f>HYPERLINK("http://instagram.com/dannyray2002")</f>
        <v>http://instagram.com/dannyray2002</v>
      </c>
      <c r="Q4509">
        <v>37</v>
      </c>
      <c r="R4509" t="s">
        <v>60</v>
      </c>
      <c r="W4509">
        <v>2</v>
      </c>
      <c r="X4509">
        <v>2</v>
      </c>
      <c r="AE4509">
        <v>0</v>
      </c>
      <c r="AG4509">
        <v>21</v>
      </c>
      <c r="AI4509" t="s">
        <v>52</v>
      </c>
      <c r="AJ4509" t="s">
        <v>703</v>
      </c>
      <c r="AK4509" t="s">
        <v>52</v>
      </c>
      <c r="AL4509" t="str">
        <f>HYPERLINK("https://www.instagram.com/p/BzCIrHuHWKI/media/?size=l")</f>
        <v>https://www.instagram.com/p/BzCIrHuHWKI/media/?size=l</v>
      </c>
      <c r="AM4509" t="s">
        <v>52</v>
      </c>
      <c r="AN4509" t="s">
        <v>53</v>
      </c>
    </row>
    <row r="4510" spans="1:40">
      <c r="A4510" t="s">
        <v>13057</v>
      </c>
      <c r="B4510" t="s">
        <v>13713</v>
      </c>
      <c r="C4510" t="s">
        <v>7003</v>
      </c>
      <c r="D4510" t="s">
        <v>13115</v>
      </c>
      <c r="E4510" t="s">
        <v>13721</v>
      </c>
      <c r="F4510" t="s">
        <v>45</v>
      </c>
      <c r="G4510" t="str">
        <f>HYPERLINK("https://www.reddit.com/r/RoastMe/comments/c3tt11/finishing_in_last_place_in_my_fantasy_league/?sort=new#thing_t1_ert73au")</f>
        <v>https://www.reddit.com/r/RoastMe/comments/c3tt11/finishing_in_last_place_in_my_fantasy_league/?sort=new#thing_t1_ert73au</v>
      </c>
      <c r="H4510" t="s">
        <v>46</v>
      </c>
      <c r="I4510" t="s">
        <v>13722</v>
      </c>
      <c r="J4510" t="str">
        <f>HYPERLINK("https://www.reddit.com/r/RoastMe/comments/c3tt11/finishing_in_last_place_in_my_fantasy_league/?sort=new#thing_t1_ert73au")</f>
        <v>https://www.reddit.com/r/RoastMe/comments/c3tt11/finishing_in_last_place_in_my_fantasy_league/?sort=new#thing_t1_ert73au</v>
      </c>
      <c r="N4510" t="s">
        <v>545</v>
      </c>
      <c r="O4510" t="s">
        <v>13118</v>
      </c>
      <c r="P4510" t="str">
        <f>HYPERLINK("https://www.reddit.com/r/RoastMe/")</f>
        <v>https://www.reddit.com/r/RoastMe/</v>
      </c>
      <c r="R4510" t="s">
        <v>516</v>
      </c>
      <c r="S4510" t="s">
        <v>51</v>
      </c>
      <c r="AM4510" t="s">
        <v>52</v>
      </c>
      <c r="AN4510" t="s">
        <v>53</v>
      </c>
    </row>
    <row r="4511" spans="1:40">
      <c r="A4511" t="s">
        <v>13057</v>
      </c>
      <c r="B4511" t="s">
        <v>8854</v>
      </c>
      <c r="C4511" t="s">
        <v>13705</v>
      </c>
      <c r="D4511" t="s">
        <v>52</v>
      </c>
      <c r="E4511" t="s">
        <v>4514</v>
      </c>
      <c r="F4511" t="s">
        <v>71</v>
      </c>
      <c r="G4511" t="str">
        <f>HYPERLINK("https://twitter.com/1085325605065830400/status/1142600639169437696")</f>
        <v>https://twitter.com/1085325605065830400/status/1142600639169437696</v>
      </c>
      <c r="H4511" t="s">
        <v>46</v>
      </c>
      <c r="I4511" t="s">
        <v>13723</v>
      </c>
      <c r="J4511" t="str">
        <f>HYPERLINK("http://twitter.com/arthxnath")</f>
        <v>http://twitter.com/arthxnath</v>
      </c>
      <c r="K4511">
        <v>165</v>
      </c>
      <c r="L4511" t="s">
        <v>48</v>
      </c>
      <c r="N4511" t="s">
        <v>65</v>
      </c>
      <c r="R4511" t="s">
        <v>60</v>
      </c>
      <c r="S4511" t="s">
        <v>5220</v>
      </c>
      <c r="T4511" t="s">
        <v>13724</v>
      </c>
      <c r="U4511" t="s">
        <v>13725</v>
      </c>
      <c r="W4511">
        <v>0</v>
      </c>
      <c r="X4511">
        <v>0</v>
      </c>
      <c r="AE4511">
        <v>0</v>
      </c>
      <c r="AF4511">
        <v>0</v>
      </c>
      <c r="AI4511" t="s">
        <v>108</v>
      </c>
      <c r="AJ4511" t="s">
        <v>52</v>
      </c>
      <c r="AK4511" t="s">
        <v>52</v>
      </c>
      <c r="AL4511" t="str">
        <f>HYPERLINK("https://pbs.twimg.com/tweet_video_thumb/D9hvNNzXUAATAS3.jpg")</f>
        <v>https://pbs.twimg.com/tweet_video_thumb/D9hvNNzXUAATAS3.jpg</v>
      </c>
      <c r="AM4511" t="s">
        <v>52</v>
      </c>
      <c r="AN4511" t="s">
        <v>53</v>
      </c>
    </row>
    <row r="4512" spans="1:40">
      <c r="A4512" t="s">
        <v>13057</v>
      </c>
      <c r="B4512" t="s">
        <v>8854</v>
      </c>
      <c r="C4512" t="s">
        <v>13707</v>
      </c>
      <c r="D4512" t="s">
        <v>52</v>
      </c>
      <c r="E4512" t="s">
        <v>13726</v>
      </c>
      <c r="F4512" t="s">
        <v>45</v>
      </c>
      <c r="G4512" t="str">
        <f>HYPERLINK("https://www.instagram.com/p/BzCIai4AubU")</f>
        <v>https://www.instagram.com/p/BzCIai4AubU</v>
      </c>
      <c r="H4512" t="s">
        <v>46</v>
      </c>
      <c r="I4512" t="s">
        <v>13727</v>
      </c>
      <c r="J4512" t="str">
        <f>HYPERLINK("http://instagram.com/cez_mar")</f>
        <v>http://instagram.com/cez_mar</v>
      </c>
      <c r="K4512">
        <v>51</v>
      </c>
      <c r="N4512" t="s">
        <v>59</v>
      </c>
      <c r="O4512" t="s">
        <v>13727</v>
      </c>
      <c r="P4512" t="str">
        <f>HYPERLINK("http://instagram.com/cez_mar")</f>
        <v>http://instagram.com/cez_mar</v>
      </c>
      <c r="Q4512">
        <v>51</v>
      </c>
      <c r="R4512" t="s">
        <v>60</v>
      </c>
      <c r="W4512">
        <v>2</v>
      </c>
      <c r="X4512">
        <v>2</v>
      </c>
      <c r="AE4512">
        <v>0</v>
      </c>
      <c r="AG4512">
        <v>2</v>
      </c>
      <c r="AI4512" t="s">
        <v>52</v>
      </c>
      <c r="AJ4512" t="s">
        <v>52</v>
      </c>
      <c r="AK4512" t="s">
        <v>52</v>
      </c>
      <c r="AL4512" t="str">
        <f>HYPERLINK("https://www.instagram.com/p/BzCIai4AubU/media/?size=l")</f>
        <v>https://www.instagram.com/p/BzCIai4AubU/media/?size=l</v>
      </c>
      <c r="AM4512" t="s">
        <v>52</v>
      </c>
      <c r="AN4512" t="s">
        <v>53</v>
      </c>
    </row>
    <row r="4513" spans="1:40">
      <c r="A4513" t="s">
        <v>13057</v>
      </c>
      <c r="B4513" t="s">
        <v>3126</v>
      </c>
      <c r="C4513" t="s">
        <v>13728</v>
      </c>
      <c r="D4513" t="s">
        <v>52</v>
      </c>
      <c r="E4513" t="s">
        <v>4514</v>
      </c>
      <c r="F4513" t="s">
        <v>71</v>
      </c>
      <c r="G4513" t="str">
        <f>HYPERLINK("https://twitter.com/332395248/status/1142600401507762176")</f>
        <v>https://twitter.com/332395248/status/1142600401507762176</v>
      </c>
      <c r="H4513" t="s">
        <v>46</v>
      </c>
      <c r="I4513" t="s">
        <v>13729</v>
      </c>
      <c r="J4513" t="str">
        <f>HYPERLINK("http://twitter.com/AlfredoGroR")</f>
        <v>http://twitter.com/AlfredoGroR</v>
      </c>
      <c r="K4513">
        <v>355</v>
      </c>
      <c r="L4513" t="s">
        <v>48</v>
      </c>
      <c r="N4513" t="s">
        <v>65</v>
      </c>
      <c r="R4513" t="s">
        <v>60</v>
      </c>
      <c r="S4513" t="s">
        <v>437</v>
      </c>
      <c r="T4513" t="s">
        <v>4994</v>
      </c>
      <c r="U4513" t="s">
        <v>1532</v>
      </c>
      <c r="W4513">
        <v>0</v>
      </c>
      <c r="X4513">
        <v>0</v>
      </c>
      <c r="AE4513">
        <v>0</v>
      </c>
      <c r="AF4513">
        <v>0</v>
      </c>
      <c r="AI4513" t="s">
        <v>108</v>
      </c>
      <c r="AJ4513" t="s">
        <v>52</v>
      </c>
      <c r="AK4513" t="s">
        <v>52</v>
      </c>
      <c r="AL4513" t="str">
        <f>HYPERLINK("https://pbs.twimg.com/tweet_video_thumb/D9hvNNzXUAATAS3.jpg")</f>
        <v>https://pbs.twimg.com/tweet_video_thumb/D9hvNNzXUAATAS3.jpg</v>
      </c>
      <c r="AM4513" t="s">
        <v>52</v>
      </c>
      <c r="AN4513" t="s">
        <v>53</v>
      </c>
    </row>
    <row r="4514" spans="1:40">
      <c r="A4514" t="s">
        <v>13057</v>
      </c>
      <c r="B4514" t="s">
        <v>3126</v>
      </c>
      <c r="C4514" t="s">
        <v>13730</v>
      </c>
      <c r="D4514" t="s">
        <v>13731</v>
      </c>
      <c r="E4514" t="s">
        <v>13732</v>
      </c>
      <c r="F4514" t="s">
        <v>45</v>
      </c>
      <c r="G4514" t="str">
        <f>HYPERLINK("https://cleantechnica.com/2019/06/22/the-eight-accessories-every-ebiker-needs")</f>
        <v>https://cleantechnica.com/2019/06/22/the-eight-accessories-every-ebiker-needs</v>
      </c>
      <c r="H4514" t="s">
        <v>46</v>
      </c>
      <c r="I4514" t="s">
        <v>13733</v>
      </c>
      <c r="J4514" t="str">
        <f>HYPERLINK("https://cleantechnica.com/2019/06/22/the-eight-accessories-every-ebiker-needs/")</f>
        <v>https://cleantechnica.com/2019/06/22/the-eight-accessories-every-ebiker-needs/</v>
      </c>
      <c r="N4514" t="s">
        <v>13734</v>
      </c>
      <c r="R4514" t="s">
        <v>357</v>
      </c>
      <c r="S4514" t="s">
        <v>51</v>
      </c>
      <c r="AI4514" t="s">
        <v>52</v>
      </c>
      <c r="AJ4514" t="s">
        <v>13735</v>
      </c>
      <c r="AK4514" t="s">
        <v>5465</v>
      </c>
      <c r="AL4514" t="str">
        <f>HYPERLINK("https://cleantechnica.com/files/2019/05/rayvolt-cruiser-beachin-building-riders-helmets.jpg")</f>
        <v>https://cleantechnica.com/files/2019/05/rayvolt-cruiser-beachin-building-riders-helmets.jpg</v>
      </c>
      <c r="AM4514" t="s">
        <v>52</v>
      </c>
      <c r="AN4514" t="s">
        <v>53</v>
      </c>
    </row>
    <row r="4515" spans="1:40">
      <c r="A4515" t="s">
        <v>13057</v>
      </c>
      <c r="B4515" t="s">
        <v>8883</v>
      </c>
      <c r="C4515" t="s">
        <v>13736</v>
      </c>
      <c r="D4515" t="s">
        <v>52</v>
      </c>
      <c r="E4515" t="s">
        <v>13737</v>
      </c>
      <c r="F4515" t="s">
        <v>95</v>
      </c>
      <c r="G4515" t="str">
        <f>HYPERLINK("https://twitter.com/708810315002085376/status/1142599765663682560")</f>
        <v>https://twitter.com/708810315002085376/status/1142599765663682560</v>
      </c>
      <c r="H4515" t="s">
        <v>215</v>
      </c>
      <c r="I4515" t="s">
        <v>13738</v>
      </c>
      <c r="J4515" t="str">
        <f>HYPERLINK("http://twitter.com/demetrioreyes13")</f>
        <v>http://twitter.com/demetrioreyes13</v>
      </c>
      <c r="K4515">
        <v>66</v>
      </c>
      <c r="L4515" t="s">
        <v>48</v>
      </c>
      <c r="N4515" t="s">
        <v>65</v>
      </c>
      <c r="R4515" t="s">
        <v>60</v>
      </c>
      <c r="W4515">
        <v>0</v>
      </c>
      <c r="X4515">
        <v>0</v>
      </c>
      <c r="AE4515">
        <v>0</v>
      </c>
      <c r="AF4515">
        <v>0</v>
      </c>
      <c r="AM4515" t="s">
        <v>52</v>
      </c>
      <c r="AN4515" t="s">
        <v>53</v>
      </c>
    </row>
    <row r="4516" spans="1:40">
      <c r="A4516" t="s">
        <v>13057</v>
      </c>
      <c r="B4516" t="s">
        <v>8883</v>
      </c>
      <c r="C4516" t="s">
        <v>13736</v>
      </c>
      <c r="D4516" t="s">
        <v>52</v>
      </c>
      <c r="E4516" t="s">
        <v>13739</v>
      </c>
      <c r="F4516" t="s">
        <v>71</v>
      </c>
      <c r="G4516" t="str">
        <f>HYPERLINK("https://twitter.com/1026147948533567488/status/1142599759888375808")</f>
        <v>https://twitter.com/1026147948533567488/status/1142599759888375808</v>
      </c>
      <c r="H4516" t="s">
        <v>46</v>
      </c>
      <c r="I4516" t="s">
        <v>13740</v>
      </c>
      <c r="J4516" t="str">
        <f>HYPERLINK("http://twitter.com/blowespos")</f>
        <v>http://twitter.com/blowespos</v>
      </c>
      <c r="K4516">
        <v>516</v>
      </c>
      <c r="N4516" t="s">
        <v>65</v>
      </c>
      <c r="R4516" t="s">
        <v>60</v>
      </c>
      <c r="W4516">
        <v>0</v>
      </c>
      <c r="X4516">
        <v>0</v>
      </c>
      <c r="AE4516">
        <v>0</v>
      </c>
      <c r="AF4516">
        <v>1</v>
      </c>
      <c r="AI4516" t="s">
        <v>108</v>
      </c>
      <c r="AJ4516" t="s">
        <v>1182</v>
      </c>
      <c r="AK4516" t="s">
        <v>52</v>
      </c>
      <c r="AL4516" t="str">
        <f>HYPERLINK("https://pbs.twimg.com/media/D9tPJcrXoAAuJyr.jpg")</f>
        <v>https://pbs.twimg.com/media/D9tPJcrXoAAuJyr.jpg</v>
      </c>
      <c r="AM4516" t="s">
        <v>52</v>
      </c>
      <c r="AN4516" t="s">
        <v>53</v>
      </c>
    </row>
    <row r="4517" spans="1:40">
      <c r="A4517" t="s">
        <v>13057</v>
      </c>
      <c r="B4517" t="s">
        <v>8885</v>
      </c>
      <c r="C4517" t="s">
        <v>13714</v>
      </c>
      <c r="D4517" t="s">
        <v>13741</v>
      </c>
      <c r="E4517" t="s">
        <v>13742</v>
      </c>
      <c r="F4517" t="s">
        <v>45</v>
      </c>
      <c r="G4517" t="str">
        <f>HYPERLINK("https://www.youtube.com/watch?v=LM7TB5WyXBY")</f>
        <v>https://www.youtube.com/watch?v=LM7TB5WyXBY</v>
      </c>
      <c r="H4517" t="s">
        <v>46</v>
      </c>
      <c r="I4517" t="s">
        <v>13743</v>
      </c>
      <c r="J4517" t="str">
        <f>HYPERLINK("https://www.youtube.com/channel/UCsCwGd1_lRCkKuQOVXIlh5A")</f>
        <v>https://www.youtube.com/channel/UCsCwGd1_lRCkKuQOVXIlh5A</v>
      </c>
      <c r="K4517">
        <v>14</v>
      </c>
      <c r="N4517" t="s">
        <v>116</v>
      </c>
      <c r="O4517" t="s">
        <v>13743</v>
      </c>
      <c r="P4517" t="str">
        <f>HYPERLINK("https://www.youtube.com/channel/UCsCwGd1_lRCkKuQOVXIlh5A")</f>
        <v>https://www.youtube.com/channel/UCsCwGd1_lRCkKuQOVXIlh5A</v>
      </c>
      <c r="Q4517">
        <v>14</v>
      </c>
      <c r="R4517" t="s">
        <v>60</v>
      </c>
      <c r="W4517">
        <v>1</v>
      </c>
      <c r="X4517">
        <v>1</v>
      </c>
      <c r="AD4517">
        <v>0</v>
      </c>
      <c r="AE4517">
        <v>0</v>
      </c>
      <c r="AG4517">
        <v>7</v>
      </c>
      <c r="AI4517" t="s">
        <v>52</v>
      </c>
      <c r="AJ4517" t="s">
        <v>52</v>
      </c>
      <c r="AK4517" t="s">
        <v>52</v>
      </c>
      <c r="AL4517" t="str">
        <f>HYPERLINK("https://i.ytimg.com/vi/LM7TB5WyXBY/maxresdefault.jpg")</f>
        <v>https://i.ytimg.com/vi/LM7TB5WyXBY/maxresdefault.jpg</v>
      </c>
      <c r="AM4517" t="s">
        <v>52</v>
      </c>
      <c r="AN4517" t="s">
        <v>53</v>
      </c>
    </row>
    <row r="4518" spans="1:40">
      <c r="A4518" t="s">
        <v>13057</v>
      </c>
      <c r="B4518" t="s">
        <v>8885</v>
      </c>
      <c r="C4518" t="s">
        <v>13736</v>
      </c>
      <c r="D4518" t="s">
        <v>52</v>
      </c>
      <c r="E4518" t="s">
        <v>13744</v>
      </c>
      <c r="F4518" t="s">
        <v>131</v>
      </c>
      <c r="G4518" t="str">
        <f>HYPERLINK("https://twitter.com/731584153163071488/status/1142599473845211137")</f>
        <v>https://twitter.com/731584153163071488/status/1142599473845211137</v>
      </c>
      <c r="H4518" t="s">
        <v>46</v>
      </c>
      <c r="I4518" t="s">
        <v>13745</v>
      </c>
      <c r="J4518" t="str">
        <f>HYPERLINK("http://twitter.com/kerrydickerso11")</f>
        <v>http://twitter.com/kerrydickerso11</v>
      </c>
      <c r="K4518">
        <v>1237</v>
      </c>
      <c r="N4518" t="s">
        <v>65</v>
      </c>
      <c r="R4518" t="s">
        <v>60</v>
      </c>
      <c r="S4518" t="s">
        <v>51</v>
      </c>
      <c r="T4518" t="s">
        <v>73</v>
      </c>
      <c r="W4518">
        <v>0</v>
      </c>
      <c r="X4518">
        <v>0</v>
      </c>
      <c r="AE4518">
        <v>0</v>
      </c>
      <c r="AM4518" t="s">
        <v>52</v>
      </c>
      <c r="AN4518" t="s">
        <v>53</v>
      </c>
    </row>
    <row r="4519" spans="1:40">
      <c r="A4519" t="s">
        <v>13057</v>
      </c>
      <c r="B4519" t="s">
        <v>8885</v>
      </c>
      <c r="C4519" t="s">
        <v>13746</v>
      </c>
      <c r="D4519" t="s">
        <v>52</v>
      </c>
      <c r="E4519" t="s">
        <v>13747</v>
      </c>
      <c r="F4519" t="s">
        <v>45</v>
      </c>
      <c r="G4519" t="str">
        <f>HYPERLINK("https://twitter.com/23275272/status/1142599463585886214")</f>
        <v>https://twitter.com/23275272/status/1142599463585886214</v>
      </c>
      <c r="H4519" t="s">
        <v>46</v>
      </c>
      <c r="I4519" t="s">
        <v>13748</v>
      </c>
      <c r="J4519" t="str">
        <f>HYPERLINK("http://twitter.com/bombasticl0ve")</f>
        <v>http://twitter.com/bombasticl0ve</v>
      </c>
      <c r="K4519">
        <v>1062</v>
      </c>
      <c r="N4519" t="s">
        <v>65</v>
      </c>
      <c r="R4519" t="s">
        <v>60</v>
      </c>
      <c r="W4519">
        <v>0</v>
      </c>
      <c r="X4519">
        <v>0</v>
      </c>
      <c r="AE4519">
        <v>0</v>
      </c>
      <c r="AF4519">
        <v>0</v>
      </c>
      <c r="AM4519" t="s">
        <v>52</v>
      </c>
      <c r="AN4519" t="s">
        <v>53</v>
      </c>
    </row>
    <row r="4520" spans="1:40">
      <c r="A4520" t="s">
        <v>13057</v>
      </c>
      <c r="B4520" t="s">
        <v>3137</v>
      </c>
      <c r="C4520" t="s">
        <v>13728</v>
      </c>
      <c r="D4520" t="s">
        <v>52</v>
      </c>
      <c r="E4520" t="s">
        <v>13749</v>
      </c>
      <c r="F4520" t="s">
        <v>45</v>
      </c>
      <c r="G4520" t="str">
        <f>HYPERLINK("https://www.instagram.com/p/BzCHwuAltZG")</f>
        <v>https://www.instagram.com/p/BzCHwuAltZG</v>
      </c>
      <c r="H4520" t="s">
        <v>46</v>
      </c>
      <c r="I4520" t="s">
        <v>13750</v>
      </c>
      <c r="J4520" t="str">
        <f>HYPERLINK("http://instagram.com/instacars02")</f>
        <v>http://instagram.com/instacars02</v>
      </c>
      <c r="K4520">
        <v>1864</v>
      </c>
      <c r="N4520" t="s">
        <v>59</v>
      </c>
      <c r="O4520" t="s">
        <v>13750</v>
      </c>
      <c r="P4520" t="str">
        <f>HYPERLINK("http://instagram.com/instacars02")</f>
        <v>http://instagram.com/instacars02</v>
      </c>
      <c r="Q4520">
        <v>1864</v>
      </c>
      <c r="R4520" t="s">
        <v>60</v>
      </c>
      <c r="W4520">
        <v>35</v>
      </c>
      <c r="X4520">
        <v>35</v>
      </c>
      <c r="AE4520">
        <v>2</v>
      </c>
      <c r="AG4520">
        <v>80</v>
      </c>
      <c r="AI4520" t="s">
        <v>52</v>
      </c>
      <c r="AJ4520" t="s">
        <v>121</v>
      </c>
      <c r="AK4520" t="s">
        <v>13751</v>
      </c>
      <c r="AL4520" t="str">
        <f>HYPERLINK("https://www.instagram.com/p/BzCHwuAltZG/media/?size=l")</f>
        <v>https://www.instagram.com/p/BzCHwuAltZG/media/?size=l</v>
      </c>
      <c r="AM4520" t="s">
        <v>52</v>
      </c>
      <c r="AN4520" t="s">
        <v>53</v>
      </c>
    </row>
    <row r="4521" spans="1:40">
      <c r="A4521" t="s">
        <v>13057</v>
      </c>
      <c r="B4521" t="s">
        <v>8900</v>
      </c>
      <c r="C4521" t="s">
        <v>13752</v>
      </c>
      <c r="D4521" t="s">
        <v>52</v>
      </c>
      <c r="E4521" t="s">
        <v>13753</v>
      </c>
      <c r="F4521" t="s">
        <v>45</v>
      </c>
      <c r="G4521" t="str">
        <f>HYPERLINK("https://www.instagram.com/p/BzCHk4hln4T")</f>
        <v>https://www.instagram.com/p/BzCHk4hln4T</v>
      </c>
      <c r="H4521" t="s">
        <v>46</v>
      </c>
      <c r="I4521" t="s">
        <v>13754</v>
      </c>
      <c r="J4521" t="str">
        <f>HYPERLINK("http://instagram.com/heygorman")</f>
        <v>http://instagram.com/heygorman</v>
      </c>
      <c r="K4521">
        <v>2900</v>
      </c>
      <c r="L4521" t="s">
        <v>48</v>
      </c>
      <c r="N4521" t="s">
        <v>59</v>
      </c>
      <c r="O4521" t="s">
        <v>13754</v>
      </c>
      <c r="P4521" t="str">
        <f>HYPERLINK("http://instagram.com/heygorman")</f>
        <v>http://instagram.com/heygorman</v>
      </c>
      <c r="Q4521">
        <v>2900</v>
      </c>
      <c r="R4521" t="s">
        <v>60</v>
      </c>
      <c r="S4521" t="s">
        <v>51</v>
      </c>
      <c r="T4521" t="s">
        <v>738</v>
      </c>
      <c r="U4521" t="s">
        <v>9575</v>
      </c>
      <c r="W4521">
        <v>29</v>
      </c>
      <c r="X4521">
        <v>29</v>
      </c>
      <c r="AE4521">
        <v>10</v>
      </c>
      <c r="AI4521" t="s">
        <v>52</v>
      </c>
      <c r="AJ4521" t="s">
        <v>13755</v>
      </c>
      <c r="AK4521" t="s">
        <v>52</v>
      </c>
      <c r="AL4521" t="str">
        <f>HYPERLINK("https://www.instagram.com/p/BzCHk4hln4T/media/?size=l")</f>
        <v>https://www.instagram.com/p/BzCHk4hln4T/media/?size=l</v>
      </c>
      <c r="AM4521" t="s">
        <v>52</v>
      </c>
      <c r="AN4521" t="s">
        <v>53</v>
      </c>
    </row>
    <row r="4522" spans="1:40">
      <c r="A4522" t="s">
        <v>13057</v>
      </c>
      <c r="B4522" t="s">
        <v>8900</v>
      </c>
      <c r="C4522" t="s">
        <v>13756</v>
      </c>
      <c r="D4522" t="s">
        <v>52</v>
      </c>
      <c r="E4522" t="s">
        <v>13757</v>
      </c>
      <c r="F4522" t="s">
        <v>45</v>
      </c>
      <c r="G4522" t="str">
        <f>HYPERLINK("https://www.facebook.com/526976424148394/posts/1204388139740549")</f>
        <v>https://www.facebook.com/526976424148394/posts/1204388139740549</v>
      </c>
      <c r="H4522" t="s">
        <v>46</v>
      </c>
      <c r="I4522" t="s">
        <v>13758</v>
      </c>
      <c r="J4522" t="str">
        <f>HYPERLINK("https://www.facebook.com/526976424148394")</f>
        <v>https://www.facebook.com/526976424148394</v>
      </c>
      <c r="K4522">
        <v>108081</v>
      </c>
      <c r="L4522" t="s">
        <v>651</v>
      </c>
      <c r="N4522" t="s">
        <v>1792</v>
      </c>
      <c r="O4522" t="s">
        <v>13758</v>
      </c>
      <c r="P4522" t="str">
        <f>HYPERLINK("https://www.facebook.com/526976424148394")</f>
        <v>https://www.facebook.com/526976424148394</v>
      </c>
      <c r="Q4522">
        <v>108081</v>
      </c>
      <c r="R4522" t="s">
        <v>60</v>
      </c>
      <c r="W4522">
        <v>10</v>
      </c>
      <c r="X4522">
        <v>9</v>
      </c>
      <c r="Y4522">
        <v>1</v>
      </c>
      <c r="Z4522">
        <v>0</v>
      </c>
      <c r="AA4522">
        <v>0</v>
      </c>
      <c r="AB4522">
        <v>0</v>
      </c>
      <c r="AC4522">
        <v>0</v>
      </c>
      <c r="AE4522">
        <v>0</v>
      </c>
      <c r="AF4522">
        <v>22</v>
      </c>
      <c r="AI4522" t="s">
        <v>52</v>
      </c>
      <c r="AJ4522" t="s">
        <v>4412</v>
      </c>
      <c r="AK4522" t="s">
        <v>52</v>
      </c>
      <c r="AL4522" t="str">
        <f>HYPERLINK("https://scontent.xx.fbcdn.net/v/t1.0-9/s720x720/65306567_1204388013073895_6170335263668043776_n.jpg?_nc_cat=103&amp;_nc_oc=AQkFYjH5HK8KwSdHLvaGsuokl9LdMt2p2qPS3jthz-_ryfunc_RW9wrBAwGuRr-3Hng&amp;_nc_ht=scontent.xx&amp;oh=b99a26dce7e4e7bc9ca2465f38c86c12&amp;oe=5DC2FC17")</f>
        <v>https://scontent.xx.fbcdn.net/v/t1.0-9/s720x720/65306567_1204388013073895_6170335263668043776_n.jpg?_nc_cat=103&amp;_nc_oc=AQkFYjH5HK8KwSdHLvaGsuokl9LdMt2p2qPS3jthz-_ryfunc_RW9wrBAwGuRr-3Hng&amp;_nc_ht=scontent.xx&amp;oh=b99a26dce7e4e7bc9ca2465f38c86c12&amp;oe=5DC2FC17</v>
      </c>
      <c r="AM4522" t="s">
        <v>52</v>
      </c>
      <c r="AN4522" t="s">
        <v>53</v>
      </c>
    </row>
    <row r="4523" spans="1:40">
      <c r="A4523" t="s">
        <v>13057</v>
      </c>
      <c r="B4523" t="s">
        <v>3147</v>
      </c>
      <c r="C4523" t="s">
        <v>13759</v>
      </c>
      <c r="D4523" t="s">
        <v>52</v>
      </c>
      <c r="E4523" t="s">
        <v>13760</v>
      </c>
      <c r="F4523" t="s">
        <v>45</v>
      </c>
      <c r="G4523" t="str">
        <f>HYPERLINK("https://twitter.com/473367258/status/1142598482215051264")</f>
        <v>https://twitter.com/473367258/status/1142598482215051264</v>
      </c>
      <c r="H4523" t="s">
        <v>46</v>
      </c>
      <c r="I4523" t="s">
        <v>13761</v>
      </c>
      <c r="J4523" t="str">
        <f>HYPERLINK("http://twitter.com/ReyesFamily4")</f>
        <v>http://twitter.com/ReyesFamily4</v>
      </c>
      <c r="K4523">
        <v>1</v>
      </c>
      <c r="N4523" t="s">
        <v>65</v>
      </c>
      <c r="R4523" t="s">
        <v>60</v>
      </c>
      <c r="S4523" t="s">
        <v>51</v>
      </c>
      <c r="W4523">
        <v>3</v>
      </c>
      <c r="X4523">
        <v>3</v>
      </c>
      <c r="AE4523">
        <v>0</v>
      </c>
      <c r="AF4523">
        <v>0</v>
      </c>
      <c r="AI4523" t="s">
        <v>52</v>
      </c>
      <c r="AJ4523" t="s">
        <v>4798</v>
      </c>
      <c r="AK4523" t="s">
        <v>52</v>
      </c>
      <c r="AL4523" t="str">
        <f>HYPERLINK("https://pbs.twimg.com/media/D9tTQzYVUAALFHz.jpg")</f>
        <v>https://pbs.twimg.com/media/D9tTQzYVUAALFHz.jpg</v>
      </c>
      <c r="AM4523" t="s">
        <v>52</v>
      </c>
      <c r="AN4523" t="s">
        <v>53</v>
      </c>
    </row>
    <row r="4524" spans="1:40">
      <c r="A4524" t="s">
        <v>13057</v>
      </c>
      <c r="B4524" t="s">
        <v>3147</v>
      </c>
      <c r="C4524" t="s">
        <v>13759</v>
      </c>
      <c r="D4524" t="s">
        <v>52</v>
      </c>
      <c r="E4524" t="s">
        <v>13573</v>
      </c>
      <c r="F4524" t="s">
        <v>45</v>
      </c>
      <c r="G4524" t="str">
        <f>HYPERLINK("https://twitter.com/855503693663404033/status/1142598471234588672")</f>
        <v>https://twitter.com/855503693663404033/status/1142598471234588672</v>
      </c>
      <c r="H4524" t="s">
        <v>46</v>
      </c>
      <c r="I4524" t="s">
        <v>13762</v>
      </c>
      <c r="J4524" t="str">
        <f>HYPERLINK("http://twitter.com/octoberIove")</f>
        <v>http://twitter.com/octoberIove</v>
      </c>
      <c r="K4524">
        <v>1841</v>
      </c>
      <c r="L4524" t="s">
        <v>48</v>
      </c>
      <c r="N4524" t="s">
        <v>65</v>
      </c>
      <c r="R4524" t="s">
        <v>60</v>
      </c>
      <c r="W4524">
        <v>30</v>
      </c>
      <c r="X4524">
        <v>30</v>
      </c>
      <c r="AE4524">
        <v>0</v>
      </c>
      <c r="AF4524">
        <v>4</v>
      </c>
      <c r="AM4524" t="s">
        <v>52</v>
      </c>
      <c r="AN4524" t="s">
        <v>53</v>
      </c>
    </row>
    <row r="4525" spans="1:40">
      <c r="A4525" t="s">
        <v>13057</v>
      </c>
      <c r="B4525" t="s">
        <v>3151</v>
      </c>
      <c r="C4525" t="s">
        <v>13759</v>
      </c>
      <c r="D4525" t="s">
        <v>52</v>
      </c>
      <c r="E4525" t="s">
        <v>13763</v>
      </c>
      <c r="F4525" t="s">
        <v>131</v>
      </c>
      <c r="G4525" t="str">
        <f>HYPERLINK("https://twitter.com/133640788/status/1142598359170965504")</f>
        <v>https://twitter.com/133640788/status/1142598359170965504</v>
      </c>
      <c r="H4525" t="s">
        <v>46</v>
      </c>
      <c r="I4525" t="s">
        <v>13764</v>
      </c>
      <c r="J4525" t="str">
        <f>HYPERLINK("http://twitter.com/dad_chips")</f>
        <v>http://twitter.com/dad_chips</v>
      </c>
      <c r="K4525">
        <v>1025</v>
      </c>
      <c r="L4525" t="s">
        <v>48</v>
      </c>
      <c r="N4525" t="s">
        <v>65</v>
      </c>
      <c r="R4525" t="s">
        <v>60</v>
      </c>
      <c r="S4525" t="s">
        <v>51</v>
      </c>
      <c r="T4525" t="s">
        <v>73</v>
      </c>
      <c r="U4525" t="s">
        <v>13765</v>
      </c>
      <c r="W4525">
        <v>0</v>
      </c>
      <c r="X4525">
        <v>0</v>
      </c>
      <c r="AE4525">
        <v>0</v>
      </c>
      <c r="AM4525" t="s">
        <v>52</v>
      </c>
      <c r="AN4525" t="s">
        <v>53</v>
      </c>
    </row>
    <row r="4526" spans="1:40">
      <c r="A4526" t="s">
        <v>13057</v>
      </c>
      <c r="B4526" t="s">
        <v>3151</v>
      </c>
      <c r="C4526" t="s">
        <v>13766</v>
      </c>
      <c r="D4526" t="s">
        <v>52</v>
      </c>
      <c r="E4526" t="s">
        <v>13767</v>
      </c>
      <c r="F4526" t="s">
        <v>45</v>
      </c>
      <c r="G4526" t="str">
        <f>HYPERLINK("https://www.instagram.com/p/BzCHZPDA5X6")</f>
        <v>https://www.instagram.com/p/BzCHZPDA5X6</v>
      </c>
      <c r="H4526" t="s">
        <v>46</v>
      </c>
      <c r="I4526" t="s">
        <v>13768</v>
      </c>
      <c r="J4526" t="str">
        <f>HYPERLINK("http://instagram.com/hollandersxtomholland")</f>
        <v>http://instagram.com/hollandersxtomholland</v>
      </c>
      <c r="K4526">
        <v>1239</v>
      </c>
      <c r="N4526" t="s">
        <v>59</v>
      </c>
      <c r="O4526" t="s">
        <v>13768</v>
      </c>
      <c r="P4526" t="str">
        <f>HYPERLINK("http://instagram.com/hollandersxtomholland")</f>
        <v>http://instagram.com/hollandersxtomholland</v>
      </c>
      <c r="Q4526">
        <v>1239</v>
      </c>
      <c r="R4526" t="s">
        <v>60</v>
      </c>
      <c r="W4526">
        <v>50</v>
      </c>
      <c r="X4526">
        <v>50</v>
      </c>
      <c r="AE4526">
        <v>0</v>
      </c>
      <c r="AI4526" t="s">
        <v>108</v>
      </c>
      <c r="AJ4526" t="s">
        <v>52</v>
      </c>
      <c r="AK4526" t="s">
        <v>52</v>
      </c>
      <c r="AL4526" t="str">
        <f>HYPERLINK("https://www.instagram.com/p/BzCHZPDA5X6/media/?size=l")</f>
        <v>https://www.instagram.com/p/BzCHZPDA5X6/media/?size=l</v>
      </c>
      <c r="AM4526" t="s">
        <v>52</v>
      </c>
      <c r="AN4526" t="s">
        <v>53</v>
      </c>
    </row>
    <row r="4527" spans="1:40">
      <c r="A4527" t="s">
        <v>13057</v>
      </c>
      <c r="B4527" t="s">
        <v>3151</v>
      </c>
      <c r="C4527" t="s">
        <v>13766</v>
      </c>
      <c r="D4527" t="s">
        <v>52</v>
      </c>
      <c r="E4527" t="s">
        <v>13769</v>
      </c>
      <c r="F4527" t="s">
        <v>45</v>
      </c>
      <c r="G4527" t="str">
        <f>HYPERLINK("https://www.instagram.com/p/BzCHW6IlAc2")</f>
        <v>https://www.instagram.com/p/BzCHW6IlAc2</v>
      </c>
      <c r="H4527" t="s">
        <v>46</v>
      </c>
      <c r="I4527" t="s">
        <v>13770</v>
      </c>
      <c r="J4527" t="str">
        <f>HYPERLINK("http://instagram.com/reado4729")</f>
        <v>http://instagram.com/reado4729</v>
      </c>
      <c r="K4527">
        <v>203</v>
      </c>
      <c r="L4527" t="s">
        <v>48</v>
      </c>
      <c r="N4527" t="s">
        <v>59</v>
      </c>
      <c r="O4527" t="s">
        <v>13770</v>
      </c>
      <c r="P4527" t="str">
        <f>HYPERLINK("http://instagram.com/reado4729")</f>
        <v>http://instagram.com/reado4729</v>
      </c>
      <c r="Q4527">
        <v>203</v>
      </c>
      <c r="R4527" t="s">
        <v>60</v>
      </c>
      <c r="S4527" t="s">
        <v>444</v>
      </c>
      <c r="T4527" t="s">
        <v>3183</v>
      </c>
      <c r="U4527" t="s">
        <v>13771</v>
      </c>
      <c r="W4527">
        <v>21</v>
      </c>
      <c r="X4527">
        <v>21</v>
      </c>
      <c r="AE4527">
        <v>1</v>
      </c>
      <c r="AI4527" t="s">
        <v>108</v>
      </c>
      <c r="AJ4527" t="s">
        <v>233</v>
      </c>
      <c r="AK4527" t="s">
        <v>52</v>
      </c>
      <c r="AL4527" t="str">
        <f>HYPERLINK("https://www.instagram.com/p/BzCHW6IlAc2/media/?size=l")</f>
        <v>https://www.instagram.com/p/BzCHW6IlAc2/media/?size=l</v>
      </c>
      <c r="AM4527" t="s">
        <v>52</v>
      </c>
      <c r="AN4527" t="s">
        <v>53</v>
      </c>
    </row>
    <row r="4528" spans="1:40">
      <c r="A4528" t="s">
        <v>13057</v>
      </c>
      <c r="B4528" t="s">
        <v>3151</v>
      </c>
      <c r="C4528" t="s">
        <v>13772</v>
      </c>
      <c r="D4528" t="s">
        <v>52</v>
      </c>
      <c r="E4528" t="s">
        <v>13773</v>
      </c>
      <c r="F4528" t="s">
        <v>45</v>
      </c>
      <c r="G4528" t="str">
        <f>HYPERLINK("https://www.facebook.com/124030312734/posts/10156019469692735")</f>
        <v>https://www.facebook.com/124030312734/posts/10156019469692735</v>
      </c>
      <c r="H4528" t="s">
        <v>46</v>
      </c>
      <c r="I4528" t="s">
        <v>13774</v>
      </c>
      <c r="J4528" t="str">
        <f>HYPERLINK("https://www.facebook.com/124030312734")</f>
        <v>https://www.facebook.com/124030312734</v>
      </c>
      <c r="K4528">
        <v>9966</v>
      </c>
      <c r="L4528" t="s">
        <v>651</v>
      </c>
      <c r="N4528" t="s">
        <v>1792</v>
      </c>
      <c r="O4528" t="s">
        <v>13774</v>
      </c>
      <c r="P4528" t="str">
        <f>HYPERLINK("https://www.facebook.com/124030312734")</f>
        <v>https://www.facebook.com/124030312734</v>
      </c>
      <c r="Q4528">
        <v>9966</v>
      </c>
      <c r="R4528" t="s">
        <v>60</v>
      </c>
      <c r="W4528">
        <v>6</v>
      </c>
      <c r="X4528">
        <v>5</v>
      </c>
      <c r="Y4528">
        <v>1</v>
      </c>
      <c r="Z4528">
        <v>0</v>
      </c>
      <c r="AA4528">
        <v>0</v>
      </c>
      <c r="AB4528">
        <v>0</v>
      </c>
      <c r="AC4528">
        <v>0</v>
      </c>
      <c r="AE4528">
        <v>0</v>
      </c>
      <c r="AF4528">
        <v>5</v>
      </c>
      <c r="AI4528" t="s">
        <v>108</v>
      </c>
      <c r="AJ4528" t="s">
        <v>52</v>
      </c>
      <c r="AK4528" t="s">
        <v>52</v>
      </c>
      <c r="AL4528" t="str">
        <f>HYPERLINK("https://hips.hearstapps.com/hmg-prod.s3.amazonaws.com/images/indeximage-template-doritospickle-1532978645.jpg?crop=1xw:1xh;center,top&amp;resize=1200:*")</f>
        <v>https://hips.hearstapps.com/hmg-prod.s3.amazonaws.com/images/indeximage-template-doritospickle-1532978645.jpg?crop=1xw:1xh;center,top&amp;resize=1200:*</v>
      </c>
      <c r="AM4528" t="s">
        <v>52</v>
      </c>
      <c r="AN4528" t="s">
        <v>53</v>
      </c>
    </row>
    <row r="4529" spans="1:40">
      <c r="A4529" t="s">
        <v>13057</v>
      </c>
      <c r="B4529" t="s">
        <v>3160</v>
      </c>
      <c r="C4529" t="s">
        <v>13775</v>
      </c>
      <c r="D4529" t="s">
        <v>52</v>
      </c>
      <c r="E4529" t="s">
        <v>13776</v>
      </c>
      <c r="F4529" t="s">
        <v>71</v>
      </c>
      <c r="G4529" t="str">
        <f>HYPERLINK("https://twitter.com/722772954/status/1142598054303981573")</f>
        <v>https://twitter.com/722772954/status/1142598054303981573</v>
      </c>
      <c r="H4529" t="s">
        <v>46</v>
      </c>
      <c r="I4529" t="s">
        <v>13777</v>
      </c>
      <c r="J4529" t="str">
        <f>HYPERLINK("http://twitter.com/HotShot______")</f>
        <v>http://twitter.com/HotShot______</v>
      </c>
      <c r="K4529">
        <v>1594</v>
      </c>
      <c r="N4529" t="s">
        <v>65</v>
      </c>
      <c r="R4529" t="s">
        <v>60</v>
      </c>
      <c r="S4529" t="s">
        <v>51</v>
      </c>
      <c r="T4529" t="s">
        <v>84</v>
      </c>
      <c r="U4529" t="s">
        <v>85</v>
      </c>
      <c r="W4529">
        <v>0</v>
      </c>
      <c r="X4529">
        <v>0</v>
      </c>
      <c r="AE4529">
        <v>2</v>
      </c>
      <c r="AF4529">
        <v>0</v>
      </c>
      <c r="AM4529" t="s">
        <v>52</v>
      </c>
      <c r="AN4529" t="s">
        <v>53</v>
      </c>
    </row>
    <row r="4530" spans="1:40">
      <c r="A4530" t="s">
        <v>13057</v>
      </c>
      <c r="B4530" t="s">
        <v>8936</v>
      </c>
      <c r="C4530" t="s">
        <v>7003</v>
      </c>
      <c r="D4530" t="s">
        <v>13778</v>
      </c>
      <c r="E4530" t="s">
        <v>13779</v>
      </c>
      <c r="F4530" t="s">
        <v>45</v>
      </c>
      <c r="G4530" t="str">
        <f>HYPERLINK("http://www.sometimesfoodie.com/2019/06/oh-fudge-its-back-milky-way-fudge.html")</f>
        <v>http://www.sometimesfoodie.com/2019/06/oh-fudge-its-back-milky-way-fudge.html</v>
      </c>
      <c r="H4530" t="s">
        <v>46</v>
      </c>
      <c r="I4530" t="s">
        <v>13780</v>
      </c>
      <c r="J4530" t="str">
        <f>HYPERLINK("http://www.sometimesfoodie.com/2019/06/oh-fudge-its-back-milky-way-fudge.html")</f>
        <v>http://www.sometimesfoodie.com/2019/06/oh-fudge-its-back-milky-way-fudge.html</v>
      </c>
      <c r="N4530" t="s">
        <v>13781</v>
      </c>
      <c r="R4530" t="s">
        <v>50</v>
      </c>
      <c r="S4530" t="s">
        <v>51</v>
      </c>
      <c r="AM4530" t="s">
        <v>52</v>
      </c>
      <c r="AN4530" t="s">
        <v>53</v>
      </c>
    </row>
    <row r="4531" spans="1:40">
      <c r="A4531" t="s">
        <v>13057</v>
      </c>
      <c r="B4531" t="s">
        <v>8936</v>
      </c>
      <c r="C4531" t="s">
        <v>13782</v>
      </c>
      <c r="D4531" t="s">
        <v>52</v>
      </c>
      <c r="E4531" t="s">
        <v>13783</v>
      </c>
      <c r="F4531" t="s">
        <v>45</v>
      </c>
      <c r="G4531" t="str">
        <f>HYPERLINK("https://www.instagram.com/p/BzCHHWSnSoI")</f>
        <v>https://www.instagram.com/p/BzCHHWSnSoI</v>
      </c>
      <c r="H4531" t="s">
        <v>46</v>
      </c>
      <c r="I4531" t="s">
        <v>13784</v>
      </c>
      <c r="J4531" t="str">
        <f>HYPERLINK("http://instagram.com/wristcheck88")</f>
        <v>http://instagram.com/wristcheck88</v>
      </c>
      <c r="K4531">
        <v>259</v>
      </c>
      <c r="N4531" t="s">
        <v>59</v>
      </c>
      <c r="O4531" t="s">
        <v>13784</v>
      </c>
      <c r="P4531" t="str">
        <f>HYPERLINK("http://instagram.com/wristcheck88")</f>
        <v>http://instagram.com/wristcheck88</v>
      </c>
      <c r="Q4531">
        <v>259</v>
      </c>
      <c r="R4531" t="s">
        <v>60</v>
      </c>
      <c r="W4531">
        <v>37</v>
      </c>
      <c r="X4531">
        <v>37</v>
      </c>
      <c r="AE4531">
        <v>0</v>
      </c>
      <c r="AI4531" t="s">
        <v>108</v>
      </c>
      <c r="AJ4531" t="s">
        <v>13785</v>
      </c>
      <c r="AK4531" t="s">
        <v>52</v>
      </c>
      <c r="AL4531" t="str">
        <f>HYPERLINK("https://www.instagram.com/p/BzCHHWSnSoI/media/?size=l")</f>
        <v>https://www.instagram.com/p/BzCHHWSnSoI/media/?size=l</v>
      </c>
      <c r="AM4531" t="s">
        <v>52</v>
      </c>
      <c r="AN4531" t="s">
        <v>53</v>
      </c>
    </row>
    <row r="4532" spans="1:40">
      <c r="A4532" t="s">
        <v>13057</v>
      </c>
      <c r="B4532" t="s">
        <v>3166</v>
      </c>
      <c r="C4532" t="s">
        <v>13688</v>
      </c>
      <c r="D4532" t="s">
        <v>52</v>
      </c>
      <c r="E4532" t="s">
        <v>13786</v>
      </c>
      <c r="F4532" t="s">
        <v>45</v>
      </c>
      <c r="G4532" t="str">
        <f>HYPERLINK("https://www.instagram.com/p/BzCHDv6JgRg")</f>
        <v>https://www.instagram.com/p/BzCHDv6JgRg</v>
      </c>
      <c r="H4532" t="s">
        <v>215</v>
      </c>
      <c r="I4532" t="s">
        <v>13787</v>
      </c>
      <c r="J4532" t="str">
        <f>HYPERLINK("http://instagram.com/javiertrevi")</f>
        <v>http://instagram.com/javiertrevi</v>
      </c>
      <c r="K4532">
        <v>664</v>
      </c>
      <c r="L4532" t="s">
        <v>48</v>
      </c>
      <c r="N4532" t="s">
        <v>59</v>
      </c>
      <c r="O4532" t="s">
        <v>13787</v>
      </c>
      <c r="P4532" t="str">
        <f>HYPERLINK("http://instagram.com/javiertrevi")</f>
        <v>http://instagram.com/javiertrevi</v>
      </c>
      <c r="Q4532">
        <v>664</v>
      </c>
      <c r="R4532" t="s">
        <v>60</v>
      </c>
      <c r="W4532">
        <v>8</v>
      </c>
      <c r="X4532">
        <v>8</v>
      </c>
      <c r="AE4532">
        <v>0</v>
      </c>
      <c r="AI4532" t="s">
        <v>108</v>
      </c>
      <c r="AJ4532" t="s">
        <v>52</v>
      </c>
      <c r="AK4532" t="s">
        <v>52</v>
      </c>
      <c r="AL4532" t="str">
        <f>HYPERLINK("https://www.instagram.com/p/BzCHDv6JgRg/media/?size=l")</f>
        <v>https://www.instagram.com/p/BzCHDv6JgRg/media/?size=l</v>
      </c>
      <c r="AM4532" t="s">
        <v>52</v>
      </c>
      <c r="AN4532" t="s">
        <v>53</v>
      </c>
    </row>
    <row r="4533" spans="1:40">
      <c r="A4533" t="s">
        <v>13057</v>
      </c>
      <c r="B4533" t="s">
        <v>3166</v>
      </c>
      <c r="C4533" t="s">
        <v>13788</v>
      </c>
      <c r="D4533" t="s">
        <v>52</v>
      </c>
      <c r="E4533" t="s">
        <v>13763</v>
      </c>
      <c r="F4533" t="s">
        <v>45</v>
      </c>
      <c r="G4533" t="str">
        <f>HYPERLINK("https://twitter.com/123954416/status/1142597431470841857")</f>
        <v>https://twitter.com/123954416/status/1142597431470841857</v>
      </c>
      <c r="H4533" t="s">
        <v>46</v>
      </c>
      <c r="I4533" t="s">
        <v>13789</v>
      </c>
      <c r="J4533" t="str">
        <f>HYPERLINK("http://twitter.com/KimmyMonte")</f>
        <v>http://twitter.com/KimmyMonte</v>
      </c>
      <c r="K4533">
        <v>21831</v>
      </c>
      <c r="N4533" t="s">
        <v>65</v>
      </c>
      <c r="R4533" t="s">
        <v>60</v>
      </c>
      <c r="S4533" t="s">
        <v>51</v>
      </c>
      <c r="T4533" t="s">
        <v>380</v>
      </c>
      <c r="U4533" t="s">
        <v>380</v>
      </c>
      <c r="W4533">
        <v>0</v>
      </c>
      <c r="X4533">
        <v>0</v>
      </c>
      <c r="AE4533">
        <v>0</v>
      </c>
      <c r="AF4533">
        <v>0</v>
      </c>
      <c r="AM4533" t="s">
        <v>52</v>
      </c>
      <c r="AN4533" t="s">
        <v>53</v>
      </c>
    </row>
    <row r="4534" spans="1:40">
      <c r="A4534" t="s">
        <v>13057</v>
      </c>
      <c r="B4534" t="s">
        <v>3166</v>
      </c>
      <c r="C4534" t="s">
        <v>7003</v>
      </c>
      <c r="D4534" t="s">
        <v>13790</v>
      </c>
      <c r="E4534" t="s">
        <v>13791</v>
      </c>
      <c r="F4534" t="s">
        <v>45</v>
      </c>
      <c r="G4534" t="str">
        <f>HYPERLINK("http://www.philropost.com/chip-doritos.html")</f>
        <v>http://www.philropost.com/chip-doritos.html</v>
      </c>
      <c r="H4534" t="s">
        <v>46</v>
      </c>
      <c r="N4534" t="s">
        <v>7552</v>
      </c>
      <c r="R4534" t="s">
        <v>50</v>
      </c>
      <c r="S4534" t="s">
        <v>51</v>
      </c>
      <c r="AM4534" t="s">
        <v>52</v>
      </c>
      <c r="AN4534" t="s">
        <v>53</v>
      </c>
    </row>
    <row r="4535" spans="1:40">
      <c r="A4535" t="s">
        <v>13057</v>
      </c>
      <c r="B4535" t="s">
        <v>3169</v>
      </c>
      <c r="C4535" t="s">
        <v>13792</v>
      </c>
      <c r="D4535" t="s">
        <v>52</v>
      </c>
      <c r="E4535" t="s">
        <v>13760</v>
      </c>
      <c r="F4535" t="s">
        <v>45</v>
      </c>
      <c r="G4535" t="str">
        <f>HYPERLINK("https://twitter.com/473367258/status/1142597312595648512")</f>
        <v>https://twitter.com/473367258/status/1142597312595648512</v>
      </c>
      <c r="H4535" t="s">
        <v>46</v>
      </c>
      <c r="I4535" t="s">
        <v>13761</v>
      </c>
      <c r="J4535" t="str">
        <f>HYPERLINK("http://twitter.com/ReyesFamily4")</f>
        <v>http://twitter.com/ReyesFamily4</v>
      </c>
      <c r="K4535">
        <v>1</v>
      </c>
      <c r="N4535" t="s">
        <v>65</v>
      </c>
      <c r="R4535" t="s">
        <v>60</v>
      </c>
      <c r="S4535" t="s">
        <v>51</v>
      </c>
      <c r="W4535">
        <v>0</v>
      </c>
      <c r="X4535">
        <v>0</v>
      </c>
      <c r="AE4535">
        <v>0</v>
      </c>
      <c r="AF4535">
        <v>0</v>
      </c>
      <c r="AM4535" t="s">
        <v>52</v>
      </c>
      <c r="AN4535" t="s">
        <v>53</v>
      </c>
    </row>
    <row r="4536" spans="1:40">
      <c r="A4536" t="s">
        <v>13057</v>
      </c>
      <c r="B4536" t="s">
        <v>3173</v>
      </c>
      <c r="C4536" t="s">
        <v>13793</v>
      </c>
      <c r="D4536" t="s">
        <v>52</v>
      </c>
      <c r="E4536" t="s">
        <v>13794</v>
      </c>
      <c r="F4536" t="s">
        <v>45</v>
      </c>
      <c r="G4536" t="str">
        <f>HYPERLINK("https://twitter.com/832714785263230977/status/1142597040960081921")</f>
        <v>https://twitter.com/832714785263230977/status/1142597040960081921</v>
      </c>
      <c r="H4536" t="s">
        <v>46</v>
      </c>
      <c r="I4536" t="s">
        <v>13795</v>
      </c>
      <c r="J4536" t="str">
        <f>HYPERLINK("http://twitter.com/LewdBoggs")</f>
        <v>http://twitter.com/LewdBoggs</v>
      </c>
      <c r="K4536">
        <v>11</v>
      </c>
      <c r="N4536" t="s">
        <v>65</v>
      </c>
      <c r="R4536" t="s">
        <v>60</v>
      </c>
      <c r="W4536">
        <v>0</v>
      </c>
      <c r="X4536">
        <v>0</v>
      </c>
      <c r="AE4536">
        <v>0</v>
      </c>
      <c r="AF4536">
        <v>0</v>
      </c>
      <c r="AM4536" t="s">
        <v>52</v>
      </c>
      <c r="AN4536" t="s">
        <v>53</v>
      </c>
    </row>
    <row r="4537" spans="1:40">
      <c r="A4537" t="s">
        <v>13057</v>
      </c>
      <c r="B4537" t="s">
        <v>3173</v>
      </c>
      <c r="C4537" t="s">
        <v>13766</v>
      </c>
      <c r="D4537" t="s">
        <v>52</v>
      </c>
      <c r="E4537" t="s">
        <v>13796</v>
      </c>
      <c r="F4537" t="s">
        <v>95</v>
      </c>
      <c r="G4537" t="str">
        <f>HYPERLINK("https://twitter.com/190319252/status/1142597008873730049")</f>
        <v>https://twitter.com/190319252/status/1142597008873730049</v>
      </c>
      <c r="H4537" t="s">
        <v>46</v>
      </c>
      <c r="I4537" t="s">
        <v>13797</v>
      </c>
      <c r="J4537" t="str">
        <f>HYPERLINK("http://twitter.com/Zeejay10")</f>
        <v>http://twitter.com/Zeejay10</v>
      </c>
      <c r="K4537">
        <v>30</v>
      </c>
      <c r="N4537" t="s">
        <v>65</v>
      </c>
      <c r="R4537" t="s">
        <v>60</v>
      </c>
      <c r="S4537" t="s">
        <v>51</v>
      </c>
      <c r="T4537" t="s">
        <v>490</v>
      </c>
      <c r="U4537" t="s">
        <v>13798</v>
      </c>
      <c r="W4537">
        <v>0</v>
      </c>
      <c r="X4537">
        <v>0</v>
      </c>
      <c r="AE4537">
        <v>0</v>
      </c>
      <c r="AF4537">
        <v>0</v>
      </c>
      <c r="AM4537" t="s">
        <v>52</v>
      </c>
      <c r="AN4537" t="s">
        <v>53</v>
      </c>
    </row>
    <row r="4538" spans="1:40">
      <c r="A4538" t="s">
        <v>13057</v>
      </c>
      <c r="B4538" t="s">
        <v>13799</v>
      </c>
      <c r="C4538" t="s">
        <v>13788</v>
      </c>
      <c r="D4538" t="s">
        <v>52</v>
      </c>
      <c r="E4538" t="s">
        <v>13800</v>
      </c>
      <c r="F4538" t="s">
        <v>131</v>
      </c>
      <c r="G4538" t="str">
        <f>HYPERLINK("https://twitter.com/3025857591/status/1142596801947742208")</f>
        <v>https://twitter.com/3025857591/status/1142596801947742208</v>
      </c>
      <c r="H4538" t="s">
        <v>46</v>
      </c>
      <c r="I4538" t="s">
        <v>13801</v>
      </c>
      <c r="J4538" t="str">
        <f>HYPERLINK("http://twitter.com/DJwhoknew888")</f>
        <v>http://twitter.com/DJwhoknew888</v>
      </c>
      <c r="K4538">
        <v>3059</v>
      </c>
      <c r="N4538" t="s">
        <v>65</v>
      </c>
      <c r="R4538" t="s">
        <v>60</v>
      </c>
      <c r="S4538" t="s">
        <v>97</v>
      </c>
      <c r="T4538" t="s">
        <v>177</v>
      </c>
      <c r="U4538" t="s">
        <v>395</v>
      </c>
      <c r="W4538">
        <v>0</v>
      </c>
      <c r="X4538">
        <v>0</v>
      </c>
      <c r="AE4538">
        <v>0</v>
      </c>
      <c r="AM4538" t="s">
        <v>52</v>
      </c>
      <c r="AN4538" t="s">
        <v>53</v>
      </c>
    </row>
    <row r="4539" spans="1:40">
      <c r="A4539" t="s">
        <v>13057</v>
      </c>
      <c r="B4539" t="s">
        <v>13799</v>
      </c>
      <c r="C4539" t="s">
        <v>7006</v>
      </c>
      <c r="D4539" t="s">
        <v>13802</v>
      </c>
      <c r="E4539" t="s">
        <v>13803</v>
      </c>
      <c r="F4539" t="s">
        <v>45</v>
      </c>
      <c r="G4539" t="str">
        <f>HYPERLINK("http://www.nucc.news/index.php/blog/227376/grooming-a-bichon-frise-for-dog-shows")</f>
        <v>http://www.nucc.news/index.php/blog/227376/grooming-a-bichon-frise-for-dog-shows</v>
      </c>
      <c r="H4539" t="s">
        <v>46</v>
      </c>
      <c r="I4539" t="s">
        <v>13804</v>
      </c>
      <c r="J4539" t="str">
        <f>HYPERLINK("http://www.nucc.news/index.php/blog/227376/grooming-a-bichon-frise-for-dog-shows/")</f>
        <v>http://www.nucc.news/index.php/blog/227376/grooming-a-bichon-frise-for-dog-shows/</v>
      </c>
      <c r="N4539" t="s">
        <v>13805</v>
      </c>
      <c r="R4539" t="s">
        <v>50</v>
      </c>
      <c r="S4539" t="s">
        <v>51</v>
      </c>
      <c r="AM4539" t="s">
        <v>52</v>
      </c>
      <c r="AN4539" t="s">
        <v>53</v>
      </c>
    </row>
    <row r="4540" spans="1:40">
      <c r="A4540" t="s">
        <v>13057</v>
      </c>
      <c r="B4540" t="s">
        <v>13799</v>
      </c>
      <c r="C4540" t="s">
        <v>13806</v>
      </c>
      <c r="D4540" t="s">
        <v>13807</v>
      </c>
      <c r="E4540" t="s">
        <v>13808</v>
      </c>
      <c r="F4540" t="s">
        <v>45</v>
      </c>
      <c r="G4540" t="str">
        <f>HYPERLINK("https://www.reddit.com/r/Showerthoughts/comments/c3n5n8/in_a_world_of_over_eight_billion_people_there_is/?sort=new#thing_t1_ert5thw")</f>
        <v>https://www.reddit.com/r/Showerthoughts/comments/c3n5n8/in_a_world_of_over_eight_billion_people_there_is/?sort=new#thing_t1_ert5thw</v>
      </c>
      <c r="H4540" t="s">
        <v>46</v>
      </c>
      <c r="I4540" t="s">
        <v>13809</v>
      </c>
      <c r="J4540" t="str">
        <f>HYPERLINK("https://www.reddit.com/r/Showerthoughts/comments/c3n5n8/in_a_world_of_over_eight_billion_people_there_is/?sort=new#thing_t1_ert5thw")</f>
        <v>https://www.reddit.com/r/Showerthoughts/comments/c3n5n8/in_a_world_of_over_eight_billion_people_there_is/?sort=new#thing_t1_ert5thw</v>
      </c>
      <c r="N4540" t="s">
        <v>545</v>
      </c>
      <c r="O4540" t="s">
        <v>7819</v>
      </c>
      <c r="P4540" t="str">
        <f>HYPERLINK("https://www.reddit.com/r/suspiciouslyspecific/")</f>
        <v>https://www.reddit.com/r/suspiciouslyspecific/</v>
      </c>
      <c r="R4540" t="s">
        <v>516</v>
      </c>
      <c r="S4540" t="s">
        <v>51</v>
      </c>
      <c r="AM4540" t="s">
        <v>52</v>
      </c>
      <c r="AN4540" t="s">
        <v>53</v>
      </c>
    </row>
    <row r="4541" spans="1:40">
      <c r="A4541" t="s">
        <v>13057</v>
      </c>
      <c r="B4541" t="s">
        <v>3180</v>
      </c>
      <c r="C4541" t="s">
        <v>13810</v>
      </c>
      <c r="D4541" t="s">
        <v>52</v>
      </c>
      <c r="E4541" t="s">
        <v>11221</v>
      </c>
      <c r="F4541" t="s">
        <v>71</v>
      </c>
      <c r="G4541" t="str">
        <f>HYPERLINK("https://twitter.com/300029096/status/1142596404033904641")</f>
        <v>https://twitter.com/300029096/status/1142596404033904641</v>
      </c>
      <c r="H4541" t="s">
        <v>46</v>
      </c>
      <c r="I4541" t="s">
        <v>13811</v>
      </c>
      <c r="J4541" t="str">
        <f>HYPERLINK("http://twitter.com/RidelRio")</f>
        <v>http://twitter.com/RidelRio</v>
      </c>
      <c r="K4541">
        <v>2320</v>
      </c>
      <c r="N4541" t="s">
        <v>65</v>
      </c>
      <c r="R4541" t="s">
        <v>60</v>
      </c>
      <c r="S4541" t="s">
        <v>387</v>
      </c>
      <c r="T4541" t="s">
        <v>2981</v>
      </c>
      <c r="U4541" t="s">
        <v>7015</v>
      </c>
      <c r="W4541">
        <v>0</v>
      </c>
      <c r="X4541">
        <v>0</v>
      </c>
      <c r="AE4541">
        <v>0</v>
      </c>
      <c r="AF4541">
        <v>0</v>
      </c>
      <c r="AM4541" t="s">
        <v>52</v>
      </c>
      <c r="AN4541" t="s">
        <v>53</v>
      </c>
    </row>
    <row r="4542" spans="1:40">
      <c r="A4542" t="s">
        <v>13057</v>
      </c>
      <c r="B4542" t="s">
        <v>3189</v>
      </c>
      <c r="C4542" t="s">
        <v>13792</v>
      </c>
      <c r="D4542" t="s">
        <v>52</v>
      </c>
      <c r="E4542" t="s">
        <v>526</v>
      </c>
      <c r="F4542" t="s">
        <v>131</v>
      </c>
      <c r="G4542" t="str">
        <f>HYPERLINK("https://twitter.com/1188110318/status/1142596234470940674")</f>
        <v>https://twitter.com/1188110318/status/1142596234470940674</v>
      </c>
      <c r="H4542" t="s">
        <v>46</v>
      </c>
      <c r="I4542" t="s">
        <v>13812</v>
      </c>
      <c r="J4542" t="str">
        <f>HYPERLINK("http://twitter.com/okamiraven1319")</f>
        <v>http://twitter.com/okamiraven1319</v>
      </c>
      <c r="K4542">
        <v>1955</v>
      </c>
      <c r="N4542" t="s">
        <v>65</v>
      </c>
      <c r="R4542" t="s">
        <v>60</v>
      </c>
      <c r="S4542" t="s">
        <v>437</v>
      </c>
      <c r="T4542" t="s">
        <v>528</v>
      </c>
      <c r="U4542" t="s">
        <v>529</v>
      </c>
      <c r="W4542">
        <v>0</v>
      </c>
      <c r="X4542">
        <v>0</v>
      </c>
      <c r="AE4542">
        <v>0</v>
      </c>
      <c r="AI4542" t="s">
        <v>108</v>
      </c>
      <c r="AJ4542" t="s">
        <v>52</v>
      </c>
      <c r="AK4542" t="s">
        <v>52</v>
      </c>
      <c r="AL4542" t="str">
        <f>HYPERLINK("https://pbs.twimg.com/ext_tw_video_thumb/1141360066962100224/pu/img/5_tGc4hLFQwcD07b.jpg")</f>
        <v>https://pbs.twimg.com/ext_tw_video_thumb/1141360066962100224/pu/img/5_tGc4hLFQwcD07b.jpg</v>
      </c>
      <c r="AM4542" t="s">
        <v>52</v>
      </c>
      <c r="AN4542" t="s">
        <v>53</v>
      </c>
    </row>
    <row r="4543" spans="1:40">
      <c r="A4543" t="s">
        <v>13057</v>
      </c>
      <c r="B4543" t="s">
        <v>3193</v>
      </c>
      <c r="C4543" t="s">
        <v>13810</v>
      </c>
      <c r="D4543" t="s">
        <v>52</v>
      </c>
      <c r="E4543" t="s">
        <v>13813</v>
      </c>
      <c r="F4543" t="s">
        <v>95</v>
      </c>
      <c r="G4543" t="str">
        <f>HYPERLINK("https://twitter.com/979571622/status/1142596106569695232")</f>
        <v>https://twitter.com/979571622/status/1142596106569695232</v>
      </c>
      <c r="H4543" t="s">
        <v>46</v>
      </c>
      <c r="I4543" t="s">
        <v>13814</v>
      </c>
      <c r="J4543" t="str">
        <f>HYPERLINK("http://twitter.com/DZeggelaar")</f>
        <v>http://twitter.com/DZeggelaar</v>
      </c>
      <c r="K4543">
        <v>110</v>
      </c>
      <c r="N4543" t="s">
        <v>65</v>
      </c>
      <c r="R4543" t="s">
        <v>60</v>
      </c>
      <c r="S4543" t="s">
        <v>156</v>
      </c>
      <c r="T4543" t="s">
        <v>7299</v>
      </c>
      <c r="U4543" t="s">
        <v>13815</v>
      </c>
      <c r="W4543">
        <v>0</v>
      </c>
      <c r="X4543">
        <v>0</v>
      </c>
      <c r="AE4543">
        <v>0</v>
      </c>
      <c r="AF4543">
        <v>0</v>
      </c>
      <c r="AM4543" t="s">
        <v>52</v>
      </c>
      <c r="AN4543" t="s">
        <v>53</v>
      </c>
    </row>
    <row r="4544" spans="1:40">
      <c r="A4544" t="s">
        <v>13057</v>
      </c>
      <c r="B4544" t="s">
        <v>3200</v>
      </c>
      <c r="C4544" t="s">
        <v>13810</v>
      </c>
      <c r="D4544" t="s">
        <v>52</v>
      </c>
      <c r="E4544" t="s">
        <v>13816</v>
      </c>
      <c r="F4544" t="s">
        <v>45</v>
      </c>
      <c r="G4544" t="str">
        <f>HYPERLINK("https://www.instagram.com/p/BzCGTx4p8pr")</f>
        <v>https://www.instagram.com/p/BzCGTx4p8pr</v>
      </c>
      <c r="H4544" t="s">
        <v>46</v>
      </c>
      <c r="I4544" t="s">
        <v>13817</v>
      </c>
      <c r="J4544" t="str">
        <f>HYPERLINK("http://instagram.com/iron_klok")</f>
        <v>http://instagram.com/iron_klok</v>
      </c>
      <c r="K4544">
        <v>44</v>
      </c>
      <c r="L4544" t="s">
        <v>48</v>
      </c>
      <c r="N4544" t="s">
        <v>59</v>
      </c>
      <c r="O4544" t="s">
        <v>13817</v>
      </c>
      <c r="P4544" t="str">
        <f>HYPERLINK("http://instagram.com/iron_klok")</f>
        <v>http://instagram.com/iron_klok</v>
      </c>
      <c r="Q4544">
        <v>44</v>
      </c>
      <c r="R4544" t="s">
        <v>60</v>
      </c>
      <c r="W4544">
        <v>4</v>
      </c>
      <c r="X4544">
        <v>4</v>
      </c>
      <c r="AE4544">
        <v>0</v>
      </c>
      <c r="AI4544" t="s">
        <v>52</v>
      </c>
      <c r="AJ4544" t="s">
        <v>13818</v>
      </c>
      <c r="AK4544" t="s">
        <v>52</v>
      </c>
      <c r="AL4544" t="str">
        <f>HYPERLINK("https://www.instagram.com/p/BzCGTx4p8pr/media/?size=l")</f>
        <v>https://www.instagram.com/p/BzCGTx4p8pr/media/?size=l</v>
      </c>
      <c r="AM4544" t="s">
        <v>52</v>
      </c>
      <c r="AN4544" t="s">
        <v>53</v>
      </c>
    </row>
    <row r="4545" spans="1:40">
      <c r="A4545" t="s">
        <v>13057</v>
      </c>
      <c r="B4545" t="s">
        <v>13819</v>
      </c>
      <c r="C4545" t="s">
        <v>13810</v>
      </c>
      <c r="D4545" t="s">
        <v>52</v>
      </c>
      <c r="E4545" t="s">
        <v>13820</v>
      </c>
      <c r="F4545" t="s">
        <v>71</v>
      </c>
      <c r="G4545" t="str">
        <f>HYPERLINK("https://twitter.com/348797527/status/1142595369462689793")</f>
        <v>https://twitter.com/348797527/status/1142595369462689793</v>
      </c>
      <c r="H4545" t="s">
        <v>46</v>
      </c>
      <c r="I4545" t="s">
        <v>13821</v>
      </c>
      <c r="J4545" t="str">
        <f>HYPERLINK("http://twitter.com/Sean8UrSon")</f>
        <v>http://twitter.com/Sean8UrSon</v>
      </c>
      <c r="K4545">
        <v>142</v>
      </c>
      <c r="L4545" t="s">
        <v>48</v>
      </c>
      <c r="N4545" t="s">
        <v>65</v>
      </c>
      <c r="R4545" t="s">
        <v>60</v>
      </c>
      <c r="S4545" t="s">
        <v>51</v>
      </c>
      <c r="T4545" t="s">
        <v>173</v>
      </c>
      <c r="U4545" t="s">
        <v>1214</v>
      </c>
      <c r="W4545">
        <v>1</v>
      </c>
      <c r="X4545">
        <v>1</v>
      </c>
      <c r="AE4545">
        <v>0</v>
      </c>
      <c r="AF4545">
        <v>0</v>
      </c>
      <c r="AI4545" t="s">
        <v>108</v>
      </c>
      <c r="AJ4545" t="s">
        <v>52</v>
      </c>
      <c r="AK4545" t="s">
        <v>52</v>
      </c>
      <c r="AL4545" t="str">
        <f>HYPERLINK("https://pbs.twimg.com/tweet_video_thumb/D9hvNNzXUAATAS3.jpg")</f>
        <v>https://pbs.twimg.com/tweet_video_thumb/D9hvNNzXUAATAS3.jpg</v>
      </c>
      <c r="AM4545" t="s">
        <v>52</v>
      </c>
      <c r="AN4545" t="s">
        <v>53</v>
      </c>
    </row>
    <row r="4546" spans="1:40">
      <c r="A4546" t="s">
        <v>13057</v>
      </c>
      <c r="B4546" t="s">
        <v>13819</v>
      </c>
      <c r="C4546" t="s">
        <v>13822</v>
      </c>
      <c r="D4546" t="s">
        <v>52</v>
      </c>
      <c r="E4546" t="s">
        <v>13823</v>
      </c>
      <c r="F4546" t="s">
        <v>95</v>
      </c>
      <c r="G4546" t="str">
        <f>HYPERLINK("https://twitter.com/1121263963/status/1142595307143880704")</f>
        <v>https://twitter.com/1121263963/status/1142595307143880704</v>
      </c>
      <c r="H4546" t="s">
        <v>46</v>
      </c>
      <c r="I4546" t="s">
        <v>13824</v>
      </c>
      <c r="J4546" t="str">
        <f>HYPERLINK("http://twitter.com/What_Up_Rob")</f>
        <v>http://twitter.com/What_Up_Rob</v>
      </c>
      <c r="K4546">
        <v>183</v>
      </c>
      <c r="L4546" t="s">
        <v>48</v>
      </c>
      <c r="N4546" t="s">
        <v>65</v>
      </c>
      <c r="R4546" t="s">
        <v>60</v>
      </c>
      <c r="W4546">
        <v>0</v>
      </c>
      <c r="X4546">
        <v>0</v>
      </c>
      <c r="AE4546">
        <v>0</v>
      </c>
      <c r="AF4546">
        <v>0</v>
      </c>
      <c r="AM4546" t="s">
        <v>52</v>
      </c>
      <c r="AN4546" t="s">
        <v>53</v>
      </c>
    </row>
    <row r="4547" spans="1:40">
      <c r="A4547" t="s">
        <v>13057</v>
      </c>
      <c r="B4547" t="s">
        <v>3209</v>
      </c>
      <c r="C4547" t="s">
        <v>13825</v>
      </c>
      <c r="D4547" t="s">
        <v>52</v>
      </c>
      <c r="E4547" t="s">
        <v>13826</v>
      </c>
      <c r="F4547" t="s">
        <v>45</v>
      </c>
      <c r="G4547" t="str">
        <f>HYPERLINK("https://twitter.com/1339943622/status/1142594721967235072")</f>
        <v>https://twitter.com/1339943622/status/1142594721967235072</v>
      </c>
      <c r="H4547" t="s">
        <v>46</v>
      </c>
      <c r="I4547" t="s">
        <v>13827</v>
      </c>
      <c r="J4547" t="str">
        <f>HYPERLINK("http://twitter.com/deadkili")</f>
        <v>http://twitter.com/deadkili</v>
      </c>
      <c r="K4547">
        <v>1799</v>
      </c>
      <c r="L4547" t="s">
        <v>58</v>
      </c>
      <c r="N4547" t="s">
        <v>65</v>
      </c>
      <c r="R4547" t="s">
        <v>60</v>
      </c>
      <c r="S4547" t="s">
        <v>51</v>
      </c>
      <c r="W4547">
        <v>0</v>
      </c>
      <c r="X4547">
        <v>0</v>
      </c>
      <c r="AE4547">
        <v>0</v>
      </c>
      <c r="AF4547">
        <v>0</v>
      </c>
      <c r="AM4547" t="s">
        <v>52</v>
      </c>
      <c r="AN4547" t="s">
        <v>53</v>
      </c>
    </row>
    <row r="4548" spans="1:40">
      <c r="A4548" t="s">
        <v>13057</v>
      </c>
      <c r="B4548" t="s">
        <v>3212</v>
      </c>
      <c r="C4548" t="s">
        <v>13828</v>
      </c>
      <c r="D4548" t="s">
        <v>52</v>
      </c>
      <c r="E4548" t="s">
        <v>13829</v>
      </c>
      <c r="F4548" t="s">
        <v>71</v>
      </c>
      <c r="G4548" t="str">
        <f>HYPERLINK("https://twitter.com/1123812506835791873/status/1142594534498557953")</f>
        <v>https://twitter.com/1123812506835791873/status/1142594534498557953</v>
      </c>
      <c r="H4548" t="s">
        <v>46</v>
      </c>
      <c r="I4548" t="s">
        <v>2282</v>
      </c>
      <c r="J4548" t="str">
        <f>HYPERLINK("http://twitter.com/PhantomAoi")</f>
        <v>http://twitter.com/PhantomAoi</v>
      </c>
      <c r="K4548">
        <v>92</v>
      </c>
      <c r="N4548" t="s">
        <v>65</v>
      </c>
      <c r="R4548" t="s">
        <v>60</v>
      </c>
      <c r="S4548" t="s">
        <v>1071</v>
      </c>
      <c r="T4548" t="s">
        <v>3751</v>
      </c>
      <c r="U4548" t="s">
        <v>3752</v>
      </c>
      <c r="W4548">
        <v>0</v>
      </c>
      <c r="X4548">
        <v>0</v>
      </c>
      <c r="AE4548">
        <v>0</v>
      </c>
      <c r="AF4548">
        <v>0</v>
      </c>
      <c r="AM4548" t="s">
        <v>52</v>
      </c>
      <c r="AN4548" t="s">
        <v>53</v>
      </c>
    </row>
    <row r="4549" spans="1:40">
      <c r="A4549" t="s">
        <v>13057</v>
      </c>
      <c r="B4549" t="s">
        <v>3212</v>
      </c>
      <c r="C4549" t="s">
        <v>13828</v>
      </c>
      <c r="D4549" t="s">
        <v>52</v>
      </c>
      <c r="E4549" t="s">
        <v>9023</v>
      </c>
      <c r="F4549" t="s">
        <v>131</v>
      </c>
      <c r="G4549" t="str">
        <f>HYPERLINK("https://twitter.com/734767739626266624/status/1142594505905967104")</f>
        <v>https://twitter.com/734767739626266624/status/1142594505905967104</v>
      </c>
      <c r="H4549" t="s">
        <v>46</v>
      </c>
      <c r="I4549" t="s">
        <v>52</v>
      </c>
      <c r="J4549" t="str">
        <f>HYPERLINK("http://twitter.com/intoyoulali")</f>
        <v>http://twitter.com/intoyoulali</v>
      </c>
      <c r="K4549">
        <v>1236</v>
      </c>
      <c r="N4549" t="s">
        <v>65</v>
      </c>
      <c r="R4549" t="s">
        <v>60</v>
      </c>
      <c r="S4549" t="s">
        <v>3036</v>
      </c>
      <c r="T4549" t="s">
        <v>11934</v>
      </c>
      <c r="U4549" t="s">
        <v>13830</v>
      </c>
      <c r="W4549">
        <v>0</v>
      </c>
      <c r="X4549">
        <v>0</v>
      </c>
      <c r="AE4549">
        <v>0</v>
      </c>
      <c r="AI4549" t="s">
        <v>108</v>
      </c>
      <c r="AJ4549" t="s">
        <v>1182</v>
      </c>
      <c r="AK4549" t="s">
        <v>52</v>
      </c>
      <c r="AL4549" t="str">
        <f>HYPERLINK("https://pbs.twimg.com/media/D9tPJcrXoAAuJyr.jpg")</f>
        <v>https://pbs.twimg.com/media/D9tPJcrXoAAuJyr.jpg</v>
      </c>
      <c r="AM4549" t="s">
        <v>52</v>
      </c>
      <c r="AN4549" t="s">
        <v>53</v>
      </c>
    </row>
    <row r="4550" spans="1:40">
      <c r="A4550" t="s">
        <v>13057</v>
      </c>
      <c r="B4550" t="s">
        <v>3212</v>
      </c>
      <c r="C4550" t="s">
        <v>8682</v>
      </c>
      <c r="D4550" t="s">
        <v>52</v>
      </c>
      <c r="E4550" t="s">
        <v>13831</v>
      </c>
      <c r="F4550" t="s">
        <v>45</v>
      </c>
      <c r="G4550" t="str">
        <f>HYPERLINK("https://www.facebook.com/188474128551091/posts/434409977290837")</f>
        <v>https://www.facebook.com/188474128551091/posts/434409977290837</v>
      </c>
      <c r="H4550" t="s">
        <v>215</v>
      </c>
      <c r="I4550" t="s">
        <v>13832</v>
      </c>
      <c r="J4550" t="str">
        <f>HYPERLINK("https://www.facebook.com/188474128551091")</f>
        <v>https://www.facebook.com/188474128551091</v>
      </c>
      <c r="K4550">
        <v>34115</v>
      </c>
      <c r="L4550" t="s">
        <v>651</v>
      </c>
      <c r="N4550" t="s">
        <v>1792</v>
      </c>
      <c r="O4550" t="s">
        <v>13832</v>
      </c>
      <c r="P4550" t="str">
        <f>HYPERLINK("https://www.facebook.com/188474128551091")</f>
        <v>https://www.facebook.com/188474128551091</v>
      </c>
      <c r="Q4550">
        <v>34115</v>
      </c>
      <c r="R4550" t="s">
        <v>60</v>
      </c>
      <c r="W4550">
        <v>225</v>
      </c>
      <c r="X4550">
        <v>62</v>
      </c>
      <c r="Y4550">
        <v>163</v>
      </c>
      <c r="Z4550">
        <v>0</v>
      </c>
      <c r="AA4550">
        <v>0</v>
      </c>
      <c r="AB4550">
        <v>0</v>
      </c>
      <c r="AC4550">
        <v>0</v>
      </c>
      <c r="AE4550">
        <v>3</v>
      </c>
      <c r="AF4550">
        <v>109</v>
      </c>
      <c r="AI4550" t="s">
        <v>52</v>
      </c>
      <c r="AJ4550" t="s">
        <v>458</v>
      </c>
      <c r="AK4550" t="s">
        <v>110</v>
      </c>
      <c r="AL4550" t="str">
        <f>HYPERLINK("https://scontent.xx.fbcdn.net/v/t1.0-9/s720x720/64275192_319218812308589_7414243494367068160_n.jpg?_nc_cat=107&amp;_nc_oc=AQlEYunVxPMKCKlIJpFZFq61KZ9fju8si0Zpfo9qwaAi3IlQVo1qowMK4HaC1H_lVp8&amp;_nc_ht=scontent.xx&amp;oh=eed3ad287e94d88b2dafcf1b0a7e2690&amp;oe=5DBC000F")</f>
        <v>https://scontent.xx.fbcdn.net/v/t1.0-9/s720x720/64275192_319218812308589_7414243494367068160_n.jpg?_nc_cat=107&amp;_nc_oc=AQlEYunVxPMKCKlIJpFZFq61KZ9fju8si0Zpfo9qwaAi3IlQVo1qowMK4HaC1H_lVp8&amp;_nc_ht=scontent.xx&amp;oh=eed3ad287e94d88b2dafcf1b0a7e2690&amp;oe=5DBC000F</v>
      </c>
      <c r="AM4550" t="s">
        <v>52</v>
      </c>
      <c r="AN4550" t="s">
        <v>53</v>
      </c>
    </row>
    <row r="4551" spans="1:40">
      <c r="A4551" t="s">
        <v>13057</v>
      </c>
      <c r="B4551" t="s">
        <v>8997</v>
      </c>
      <c r="C4551" t="s">
        <v>13833</v>
      </c>
      <c r="D4551" t="s">
        <v>52</v>
      </c>
      <c r="E4551" t="s">
        <v>11221</v>
      </c>
      <c r="F4551" t="s">
        <v>71</v>
      </c>
      <c r="G4551" t="str">
        <f>HYPERLINK("https://twitter.com/181403890/status/1142593833848528896")</f>
        <v>https://twitter.com/181403890/status/1142593833848528896</v>
      </c>
      <c r="H4551" t="s">
        <v>46</v>
      </c>
      <c r="I4551" t="s">
        <v>13834</v>
      </c>
      <c r="J4551" t="str">
        <f>HYPERLINK("http://twitter.com/MACDADDYKOBAE")</f>
        <v>http://twitter.com/MACDADDYKOBAE</v>
      </c>
      <c r="K4551">
        <v>243</v>
      </c>
      <c r="L4551" t="s">
        <v>48</v>
      </c>
      <c r="N4551" t="s">
        <v>65</v>
      </c>
      <c r="R4551" t="s">
        <v>60</v>
      </c>
      <c r="S4551" t="s">
        <v>51</v>
      </c>
      <c r="T4551" t="s">
        <v>738</v>
      </c>
      <c r="W4551">
        <v>2</v>
      </c>
      <c r="X4551">
        <v>2</v>
      </c>
      <c r="AE4551">
        <v>1</v>
      </c>
      <c r="AF4551">
        <v>2</v>
      </c>
      <c r="AM4551" t="s">
        <v>52</v>
      </c>
      <c r="AN4551" t="s">
        <v>53</v>
      </c>
    </row>
    <row r="4552" spans="1:40">
      <c r="A4552" t="s">
        <v>13057</v>
      </c>
      <c r="B4552" t="s">
        <v>8997</v>
      </c>
      <c r="C4552" t="s">
        <v>10933</v>
      </c>
      <c r="D4552" t="s">
        <v>13835</v>
      </c>
      <c r="E4552" t="s">
        <v>13836</v>
      </c>
      <c r="F4552" t="s">
        <v>45</v>
      </c>
      <c r="G4552" t="str">
        <f>HYPERLINK("https://mayfieldrecorder.com/2019/06/22/pepsico-inc-pep-shares-bought-by-macguire-cheswick-tuttle-investment-counsel-llc.html")</f>
        <v>https://mayfieldrecorder.com/2019/06/22/pepsico-inc-pep-shares-bought-by-macguire-cheswick-tuttle-investment-counsel-llc.html</v>
      </c>
      <c r="H4552" t="s">
        <v>91</v>
      </c>
      <c r="I4552" t="s">
        <v>6039</v>
      </c>
      <c r="J4552" t="str">
        <f>HYPERLINK("https://mayfieldrecorder.com/2019/06/22/pepsico-inc-pep-shares-bought-by-macguire-cheswick-tuttle-investment-counsel-llc.html")</f>
        <v>https://mayfieldrecorder.com/2019/06/22/pepsico-inc-pep-shares-bought-by-macguire-cheswick-tuttle-investment-counsel-llc.html</v>
      </c>
      <c r="L4552" t="s">
        <v>58</v>
      </c>
      <c r="N4552" t="s">
        <v>356</v>
      </c>
      <c r="R4552" t="s">
        <v>357</v>
      </c>
      <c r="S4552" t="s">
        <v>51</v>
      </c>
      <c r="AM4552" t="s">
        <v>52</v>
      </c>
      <c r="AN4552" t="s">
        <v>53</v>
      </c>
    </row>
    <row r="4553" spans="1:40">
      <c r="A4553" t="s">
        <v>13057</v>
      </c>
      <c r="B4553" t="s">
        <v>8997</v>
      </c>
      <c r="C4553" t="s">
        <v>10933</v>
      </c>
      <c r="D4553" t="s">
        <v>13837</v>
      </c>
      <c r="E4553" t="s">
        <v>13838</v>
      </c>
      <c r="F4553" t="s">
        <v>45</v>
      </c>
      <c r="G4553" t="str">
        <f>HYPERLINK("https://mayfieldrecorder.com/2019/06/22/ropes-wealth-advisors-llc-trims-position-in-pepsico-inc-pep.html")</f>
        <v>https://mayfieldrecorder.com/2019/06/22/ropes-wealth-advisors-llc-trims-position-in-pepsico-inc-pep.html</v>
      </c>
      <c r="H4553" t="s">
        <v>91</v>
      </c>
      <c r="I4553" t="s">
        <v>6039</v>
      </c>
      <c r="J4553" t="str">
        <f>HYPERLINK("https://mayfieldrecorder.com/2019/06/22/ropes-wealth-advisors-llc-trims-position-in-pepsico-inc-pep.html")</f>
        <v>https://mayfieldrecorder.com/2019/06/22/ropes-wealth-advisors-llc-trims-position-in-pepsico-inc-pep.html</v>
      </c>
      <c r="L4553" t="s">
        <v>58</v>
      </c>
      <c r="N4553" t="s">
        <v>356</v>
      </c>
      <c r="R4553" t="s">
        <v>357</v>
      </c>
      <c r="S4553" t="s">
        <v>51</v>
      </c>
      <c r="AM4553" t="s">
        <v>52</v>
      </c>
      <c r="AN4553" t="s">
        <v>53</v>
      </c>
    </row>
    <row r="4554" spans="1:40">
      <c r="A4554" t="s">
        <v>13057</v>
      </c>
      <c r="B4554" t="s">
        <v>8997</v>
      </c>
      <c r="C4554" t="s">
        <v>10933</v>
      </c>
      <c r="D4554" t="s">
        <v>13839</v>
      </c>
      <c r="E4554" t="s">
        <v>13840</v>
      </c>
      <c r="F4554" t="s">
        <v>45</v>
      </c>
      <c r="G4554" t="str">
        <f>HYPERLINK("https://mayfieldrecorder.com/2019/06/22/highstreet-asset-management-inc-acquires-2001-shares-of-pepsico-inc-pep.html")</f>
        <v>https://mayfieldrecorder.com/2019/06/22/highstreet-asset-management-inc-acquires-2001-shares-of-pepsico-inc-pep.html</v>
      </c>
      <c r="H4554" t="s">
        <v>91</v>
      </c>
      <c r="I4554" t="s">
        <v>355</v>
      </c>
      <c r="J4554" t="str">
        <f>HYPERLINK("https://mayfieldrecorder.com/2019/06/22/highstreet-asset-management-inc-acquires-2001-shares-of-pepsico-inc-pep.html")</f>
        <v>https://mayfieldrecorder.com/2019/06/22/highstreet-asset-management-inc-acquires-2001-shares-of-pepsico-inc-pep.html</v>
      </c>
      <c r="L4554" t="s">
        <v>48</v>
      </c>
      <c r="N4554" t="s">
        <v>356</v>
      </c>
      <c r="R4554" t="s">
        <v>357</v>
      </c>
      <c r="S4554" t="s">
        <v>51</v>
      </c>
      <c r="AM4554" t="s">
        <v>52</v>
      </c>
      <c r="AN4554" t="s">
        <v>53</v>
      </c>
    </row>
    <row r="4555" spans="1:40">
      <c r="A4555" t="s">
        <v>13057</v>
      </c>
      <c r="B4555" t="s">
        <v>3233</v>
      </c>
      <c r="C4555" t="s">
        <v>10933</v>
      </c>
      <c r="D4555" t="s">
        <v>13841</v>
      </c>
      <c r="E4555" t="s">
        <v>13842</v>
      </c>
      <c r="F4555" t="s">
        <v>45</v>
      </c>
      <c r="G4555" t="str">
        <f>HYPERLINK("https://techknowbits.com/2019/06/22/linscomb-williams-inc-sells-1245-shares-of-pepsico-inc-pep.html")</f>
        <v>https://techknowbits.com/2019/06/22/linscomb-williams-inc-sells-1245-shares-of-pepsico-inc-pep.html</v>
      </c>
      <c r="H4555" t="s">
        <v>46</v>
      </c>
      <c r="I4555" t="s">
        <v>4950</v>
      </c>
      <c r="J4555" t="str">
        <f>HYPERLINK("https://techknowbits.com/2019/06/22/linscomb-williams-inc-sells-1245-shares-of-pepsico-inc-pep.html")</f>
        <v>https://techknowbits.com/2019/06/22/linscomb-williams-inc-sells-1245-shares-of-pepsico-inc-pep.html</v>
      </c>
      <c r="N4555" t="s">
        <v>49</v>
      </c>
      <c r="R4555" t="s">
        <v>50</v>
      </c>
      <c r="S4555" t="s">
        <v>51</v>
      </c>
      <c r="AM4555" t="s">
        <v>52</v>
      </c>
      <c r="AN4555" t="s">
        <v>53</v>
      </c>
    </row>
    <row r="4556" spans="1:40">
      <c r="A4556" t="s">
        <v>13057</v>
      </c>
      <c r="B4556" t="s">
        <v>3233</v>
      </c>
      <c r="C4556" t="s">
        <v>10933</v>
      </c>
      <c r="D4556" t="s">
        <v>13843</v>
      </c>
      <c r="E4556" t="s">
        <v>13844</v>
      </c>
      <c r="F4556" t="s">
        <v>45</v>
      </c>
      <c r="G4556" t="str">
        <f>HYPERLINK("https://techknowbits.com/2019/06/22/pepsico-inc-pep-holdings-reduced-by-foyston-gordon-payne-inc.html")</f>
        <v>https://techknowbits.com/2019/06/22/pepsico-inc-pep-holdings-reduced-by-foyston-gordon-payne-inc.html</v>
      </c>
      <c r="H4556" t="s">
        <v>91</v>
      </c>
      <c r="I4556" t="s">
        <v>8289</v>
      </c>
      <c r="J4556" t="str">
        <f>HYPERLINK("https://techknowbits.com/2019/06/22/pepsico-inc-pep-holdings-reduced-by-foyston-gordon-payne-inc.html")</f>
        <v>https://techknowbits.com/2019/06/22/pepsico-inc-pep-holdings-reduced-by-foyston-gordon-payne-inc.html</v>
      </c>
      <c r="N4556" t="s">
        <v>49</v>
      </c>
      <c r="R4556" t="s">
        <v>50</v>
      </c>
      <c r="S4556" t="s">
        <v>51</v>
      </c>
      <c r="AM4556" t="s">
        <v>52</v>
      </c>
      <c r="AN4556" t="s">
        <v>53</v>
      </c>
    </row>
    <row r="4557" spans="1:40">
      <c r="A4557" t="s">
        <v>13057</v>
      </c>
      <c r="B4557" t="s">
        <v>9010</v>
      </c>
      <c r="C4557" t="s">
        <v>13845</v>
      </c>
      <c r="D4557" t="s">
        <v>52</v>
      </c>
      <c r="E4557" t="s">
        <v>1411</v>
      </c>
      <c r="F4557" t="s">
        <v>131</v>
      </c>
      <c r="G4557" t="str">
        <f>HYPERLINK("https://twitter.com/839242409716379652/status/1142593068547399680")</f>
        <v>https://twitter.com/839242409716379652/status/1142593068547399680</v>
      </c>
      <c r="H4557" t="s">
        <v>46</v>
      </c>
      <c r="I4557" t="s">
        <v>52</v>
      </c>
      <c r="J4557" t="str">
        <f>HYPERLINK("http://twitter.com/CH3RRYKlSSES")</f>
        <v>http://twitter.com/CH3RRYKlSSES</v>
      </c>
      <c r="K4557">
        <v>309</v>
      </c>
      <c r="N4557" t="s">
        <v>65</v>
      </c>
      <c r="R4557" t="s">
        <v>60</v>
      </c>
      <c r="S4557" t="s">
        <v>1592</v>
      </c>
      <c r="T4557" t="s">
        <v>11687</v>
      </c>
      <c r="U4557" t="s">
        <v>13846</v>
      </c>
      <c r="W4557">
        <v>0</v>
      </c>
      <c r="X4557">
        <v>0</v>
      </c>
      <c r="AE4557">
        <v>0</v>
      </c>
      <c r="AM4557" t="s">
        <v>52</v>
      </c>
      <c r="AN4557" t="s">
        <v>53</v>
      </c>
    </row>
    <row r="4558" spans="1:40">
      <c r="A4558" t="s">
        <v>13057</v>
      </c>
      <c r="B4558" t="s">
        <v>9010</v>
      </c>
      <c r="C4558" t="s">
        <v>13845</v>
      </c>
      <c r="D4558" t="s">
        <v>52</v>
      </c>
      <c r="E4558" t="s">
        <v>13847</v>
      </c>
      <c r="F4558" t="s">
        <v>95</v>
      </c>
      <c r="G4558" t="str">
        <f>HYPERLINK("https://twitter.com/1139289229454913536/status/1142593057524801538")</f>
        <v>https://twitter.com/1139289229454913536/status/1142593057524801538</v>
      </c>
      <c r="H4558" t="s">
        <v>46</v>
      </c>
      <c r="I4558" t="s">
        <v>13848</v>
      </c>
      <c r="J4558" t="str">
        <f>HYPERLINK("http://twitter.com/beary_coco")</f>
        <v>http://twitter.com/beary_coco</v>
      </c>
      <c r="K4558">
        <v>6</v>
      </c>
      <c r="N4558" t="s">
        <v>65</v>
      </c>
      <c r="R4558" t="s">
        <v>60</v>
      </c>
      <c r="W4558">
        <v>0</v>
      </c>
      <c r="X4558">
        <v>0</v>
      </c>
      <c r="AE4558">
        <v>0</v>
      </c>
      <c r="AF4558">
        <v>0</v>
      </c>
      <c r="AM4558" t="s">
        <v>52</v>
      </c>
      <c r="AN4558" t="s">
        <v>53</v>
      </c>
    </row>
    <row r="4559" spans="1:40">
      <c r="A4559" t="s">
        <v>13057</v>
      </c>
      <c r="B4559" t="s">
        <v>9010</v>
      </c>
      <c r="C4559" t="s">
        <v>13849</v>
      </c>
      <c r="D4559" t="s">
        <v>52</v>
      </c>
      <c r="E4559" t="s">
        <v>13850</v>
      </c>
      <c r="F4559" t="s">
        <v>45</v>
      </c>
      <c r="G4559" t="str">
        <f>HYPERLINK("https://twitter.com/1250659880/status/1142592953849982977")</f>
        <v>https://twitter.com/1250659880/status/1142592953849982977</v>
      </c>
      <c r="H4559" t="s">
        <v>91</v>
      </c>
      <c r="I4559" t="s">
        <v>13851</v>
      </c>
      <c r="J4559" t="str">
        <f>HYPERLINK("http://twitter.com/4bidden_kiss")</f>
        <v>http://twitter.com/4bidden_kiss</v>
      </c>
      <c r="K4559">
        <v>80</v>
      </c>
      <c r="N4559" t="s">
        <v>65</v>
      </c>
      <c r="R4559" t="s">
        <v>60</v>
      </c>
      <c r="W4559">
        <v>0</v>
      </c>
      <c r="X4559">
        <v>0</v>
      </c>
      <c r="AE4559">
        <v>0</v>
      </c>
      <c r="AF4559">
        <v>0</v>
      </c>
      <c r="AI4559" t="s">
        <v>108</v>
      </c>
      <c r="AJ4559" t="s">
        <v>12543</v>
      </c>
      <c r="AK4559" t="s">
        <v>52</v>
      </c>
      <c r="AL4559" t="str">
        <f>HYPERLINK("https://pbs.twimg.com/media/D9tONxMXUAAczu3.jpg")</f>
        <v>https://pbs.twimg.com/media/D9tONxMXUAAczu3.jpg</v>
      </c>
      <c r="AM4559" t="s">
        <v>52</v>
      </c>
      <c r="AN4559" t="s">
        <v>53</v>
      </c>
    </row>
    <row r="4560" spans="1:40">
      <c r="A4560" t="s">
        <v>13057</v>
      </c>
      <c r="B4560" t="s">
        <v>9015</v>
      </c>
      <c r="C4560" t="s">
        <v>13852</v>
      </c>
      <c r="D4560" t="s">
        <v>52</v>
      </c>
      <c r="E4560" t="s">
        <v>13853</v>
      </c>
      <c r="F4560" t="s">
        <v>71</v>
      </c>
      <c r="G4560" t="str">
        <f>HYPERLINK("https://twitter.com/1216934126/status/1142592834387808257")</f>
        <v>https://twitter.com/1216934126/status/1142592834387808257</v>
      </c>
      <c r="H4560" t="s">
        <v>46</v>
      </c>
      <c r="I4560" t="s">
        <v>13854</v>
      </c>
      <c r="J4560" t="str">
        <f>HYPERLINK("http://twitter.com/BielLexOfficial")</f>
        <v>http://twitter.com/BielLexOfficial</v>
      </c>
      <c r="K4560">
        <v>136</v>
      </c>
      <c r="L4560" t="s">
        <v>48</v>
      </c>
      <c r="N4560" t="s">
        <v>65</v>
      </c>
      <c r="R4560" t="s">
        <v>60</v>
      </c>
      <c r="W4560">
        <v>0</v>
      </c>
      <c r="X4560">
        <v>0</v>
      </c>
      <c r="AE4560">
        <v>0</v>
      </c>
      <c r="AF4560">
        <v>0</v>
      </c>
      <c r="AM4560" t="s">
        <v>52</v>
      </c>
      <c r="AN4560" t="s">
        <v>53</v>
      </c>
    </row>
    <row r="4561" spans="1:40">
      <c r="A4561" t="s">
        <v>13057</v>
      </c>
      <c r="B4561" t="s">
        <v>9015</v>
      </c>
      <c r="C4561" t="s">
        <v>13849</v>
      </c>
      <c r="D4561" t="s">
        <v>52</v>
      </c>
      <c r="E4561" t="s">
        <v>13855</v>
      </c>
      <c r="F4561" t="s">
        <v>45</v>
      </c>
      <c r="G4561" t="str">
        <f>HYPERLINK("https://twitter.com/880990252680327168/status/1142592803383533568")</f>
        <v>https://twitter.com/880990252680327168/status/1142592803383533568</v>
      </c>
      <c r="H4561" t="s">
        <v>215</v>
      </c>
      <c r="I4561" t="s">
        <v>13856</v>
      </c>
      <c r="J4561" t="str">
        <f>HYPERLINK("http://twitter.com/ThreAllTakenGDI")</f>
        <v>http://twitter.com/ThreAllTakenGDI</v>
      </c>
      <c r="K4561">
        <v>7</v>
      </c>
      <c r="N4561" t="s">
        <v>65</v>
      </c>
      <c r="R4561" t="s">
        <v>60</v>
      </c>
      <c r="S4561" t="s">
        <v>51</v>
      </c>
      <c r="T4561" t="s">
        <v>2923</v>
      </c>
      <c r="U4561" t="s">
        <v>3623</v>
      </c>
      <c r="W4561">
        <v>0</v>
      </c>
      <c r="X4561">
        <v>0</v>
      </c>
      <c r="AE4561">
        <v>0</v>
      </c>
      <c r="AF4561">
        <v>0</v>
      </c>
      <c r="AM4561" t="s">
        <v>52</v>
      </c>
      <c r="AN4561" t="s">
        <v>53</v>
      </c>
    </row>
    <row r="4562" spans="1:40">
      <c r="A4562" t="s">
        <v>13057</v>
      </c>
      <c r="B4562" t="s">
        <v>3255</v>
      </c>
      <c r="C4562" t="s">
        <v>13857</v>
      </c>
      <c r="D4562" t="s">
        <v>52</v>
      </c>
      <c r="E4562" t="s">
        <v>13858</v>
      </c>
      <c r="F4562" t="s">
        <v>71</v>
      </c>
      <c r="G4562" t="str">
        <f>HYPERLINK("https://twitter.com/1136134127718195202/status/1142591856796217345")</f>
        <v>https://twitter.com/1136134127718195202/status/1142591856796217345</v>
      </c>
      <c r="H4562" t="s">
        <v>46</v>
      </c>
      <c r="I4562" t="s">
        <v>13859</v>
      </c>
      <c r="J4562" t="str">
        <f>HYPERLINK("http://twitter.com/HaraldMagnusson")</f>
        <v>http://twitter.com/HaraldMagnusson</v>
      </c>
      <c r="K4562">
        <v>46</v>
      </c>
      <c r="L4562" t="s">
        <v>48</v>
      </c>
      <c r="N4562" t="s">
        <v>65</v>
      </c>
      <c r="R4562" t="s">
        <v>60</v>
      </c>
      <c r="W4562">
        <v>0</v>
      </c>
      <c r="X4562">
        <v>0</v>
      </c>
      <c r="AE4562">
        <v>1</v>
      </c>
      <c r="AF4562">
        <v>0</v>
      </c>
      <c r="AM4562" t="s">
        <v>52</v>
      </c>
      <c r="AN4562" t="s">
        <v>53</v>
      </c>
    </row>
    <row r="4563" spans="1:40">
      <c r="A4563" t="s">
        <v>13057</v>
      </c>
      <c r="B4563" t="s">
        <v>9042</v>
      </c>
      <c r="C4563" t="s">
        <v>13857</v>
      </c>
      <c r="D4563" t="s">
        <v>52</v>
      </c>
      <c r="E4563" t="s">
        <v>13860</v>
      </c>
      <c r="F4563" t="s">
        <v>131</v>
      </c>
      <c r="G4563" t="str">
        <f>HYPERLINK("https://twitter.com/2924784223/status/1142591491958857728")</f>
        <v>https://twitter.com/2924784223/status/1142591491958857728</v>
      </c>
      <c r="H4563" t="s">
        <v>91</v>
      </c>
      <c r="I4563" t="s">
        <v>13861</v>
      </c>
      <c r="J4563" t="str">
        <f>HYPERLINK("http://twitter.com/isthisapigeon")</f>
        <v>http://twitter.com/isthisapigeon</v>
      </c>
      <c r="K4563">
        <v>250</v>
      </c>
      <c r="N4563" t="s">
        <v>65</v>
      </c>
      <c r="R4563" t="s">
        <v>60</v>
      </c>
      <c r="W4563">
        <v>0</v>
      </c>
      <c r="X4563">
        <v>0</v>
      </c>
      <c r="AE4563">
        <v>0</v>
      </c>
      <c r="AM4563" t="s">
        <v>52</v>
      </c>
      <c r="AN4563" t="s">
        <v>53</v>
      </c>
    </row>
    <row r="4564" spans="1:40">
      <c r="A4564" t="s">
        <v>13057</v>
      </c>
      <c r="B4564" t="s">
        <v>9042</v>
      </c>
      <c r="C4564" t="s">
        <v>13862</v>
      </c>
      <c r="D4564" t="s">
        <v>52</v>
      </c>
      <c r="E4564" t="s">
        <v>13863</v>
      </c>
      <c r="F4564" t="s">
        <v>45</v>
      </c>
      <c r="G4564" t="str">
        <f>HYPERLINK("https://twitter.com/1131632120/status/1142591459624914950")</f>
        <v>https://twitter.com/1131632120/status/1142591459624914950</v>
      </c>
      <c r="H4564" t="s">
        <v>46</v>
      </c>
      <c r="I4564" t="s">
        <v>13864</v>
      </c>
      <c r="J4564" t="str">
        <f>HYPERLINK("http://twitter.com/B0B_oh")</f>
        <v>http://twitter.com/B0B_oh</v>
      </c>
      <c r="K4564">
        <v>94</v>
      </c>
      <c r="N4564" t="s">
        <v>65</v>
      </c>
      <c r="R4564" t="s">
        <v>60</v>
      </c>
      <c r="S4564" t="s">
        <v>51</v>
      </c>
      <c r="T4564" t="s">
        <v>678</v>
      </c>
      <c r="U4564" t="s">
        <v>2798</v>
      </c>
      <c r="W4564">
        <v>0</v>
      </c>
      <c r="X4564">
        <v>0</v>
      </c>
      <c r="AE4564">
        <v>0</v>
      </c>
      <c r="AF4564">
        <v>0</v>
      </c>
      <c r="AM4564" t="s">
        <v>52</v>
      </c>
      <c r="AN4564" t="s">
        <v>53</v>
      </c>
    </row>
    <row r="4565" spans="1:40">
      <c r="A4565" t="s">
        <v>13057</v>
      </c>
      <c r="B4565" t="s">
        <v>9042</v>
      </c>
      <c r="C4565" t="s">
        <v>13862</v>
      </c>
      <c r="D4565" t="s">
        <v>52</v>
      </c>
      <c r="E4565" t="s">
        <v>13865</v>
      </c>
      <c r="F4565" t="s">
        <v>45</v>
      </c>
      <c r="G4565" t="str">
        <f>HYPERLINK("https://twitter.com/286255372/status/1142591452498845698")</f>
        <v>https://twitter.com/286255372/status/1142591452498845698</v>
      </c>
      <c r="H4565" t="s">
        <v>46</v>
      </c>
      <c r="I4565" t="s">
        <v>13866</v>
      </c>
      <c r="J4565" t="str">
        <f>HYPERLINK("http://twitter.com/Skizoider")</f>
        <v>http://twitter.com/Skizoider</v>
      </c>
      <c r="K4565">
        <v>317</v>
      </c>
      <c r="N4565" t="s">
        <v>65</v>
      </c>
      <c r="R4565" t="s">
        <v>60</v>
      </c>
      <c r="W4565">
        <v>0</v>
      </c>
      <c r="X4565">
        <v>0</v>
      </c>
      <c r="AE4565">
        <v>0</v>
      </c>
      <c r="AF4565">
        <v>0</v>
      </c>
      <c r="AM4565" t="s">
        <v>52</v>
      </c>
      <c r="AN4565" t="s">
        <v>53</v>
      </c>
    </row>
    <row r="4566" spans="1:40">
      <c r="A4566" t="s">
        <v>13057</v>
      </c>
      <c r="B4566" t="s">
        <v>9042</v>
      </c>
      <c r="C4566" t="s">
        <v>13867</v>
      </c>
      <c r="D4566" t="s">
        <v>52</v>
      </c>
      <c r="E4566" t="s">
        <v>9857</v>
      </c>
      <c r="F4566" t="s">
        <v>95</v>
      </c>
      <c r="G4566" t="str">
        <f>HYPERLINK("https://twitter.com/73642523/status/1142591399768072192")</f>
        <v>https://twitter.com/73642523/status/1142591399768072192</v>
      </c>
      <c r="H4566" t="s">
        <v>46</v>
      </c>
      <c r="I4566" t="s">
        <v>13028</v>
      </c>
      <c r="J4566" t="str">
        <f>HYPERLINK("http://twitter.com/DarthContinent")</f>
        <v>http://twitter.com/DarthContinent</v>
      </c>
      <c r="K4566">
        <v>4893</v>
      </c>
      <c r="N4566" t="s">
        <v>65</v>
      </c>
      <c r="R4566" t="s">
        <v>60</v>
      </c>
      <c r="S4566" t="s">
        <v>51</v>
      </c>
      <c r="T4566" t="s">
        <v>73</v>
      </c>
      <c r="W4566">
        <v>11</v>
      </c>
      <c r="X4566">
        <v>11</v>
      </c>
      <c r="AE4566">
        <v>1</v>
      </c>
      <c r="AF4566">
        <v>3</v>
      </c>
      <c r="AI4566" t="s">
        <v>52</v>
      </c>
      <c r="AJ4566" t="s">
        <v>9858</v>
      </c>
      <c r="AK4566" t="s">
        <v>9859</v>
      </c>
      <c r="AL4566" t="str">
        <f>HYPERLINK("https://pbs.twimg.com/tweet_video_thumb/D9tMNmiWkAAYn5I.jpg")</f>
        <v>https://pbs.twimg.com/tweet_video_thumb/D9tMNmiWkAAYn5I.jpg</v>
      </c>
      <c r="AM4566" t="s">
        <v>52</v>
      </c>
      <c r="AN4566" t="s">
        <v>53</v>
      </c>
    </row>
    <row r="4567" spans="1:40">
      <c r="A4567" t="s">
        <v>13057</v>
      </c>
      <c r="B4567" t="s">
        <v>9042</v>
      </c>
      <c r="C4567" t="s">
        <v>13867</v>
      </c>
      <c r="D4567" t="s">
        <v>52</v>
      </c>
      <c r="E4567" t="s">
        <v>13868</v>
      </c>
      <c r="F4567" t="s">
        <v>95</v>
      </c>
      <c r="G4567" t="str">
        <f>HYPERLINK("https://twitter.com/73393387/status/1142591380608307200")</f>
        <v>https://twitter.com/73393387/status/1142591380608307200</v>
      </c>
      <c r="H4567" t="s">
        <v>46</v>
      </c>
      <c r="I4567" t="s">
        <v>13869</v>
      </c>
      <c r="J4567" t="str">
        <f>HYPERLINK("http://twitter.com/Timberati")</f>
        <v>http://twitter.com/Timberati</v>
      </c>
      <c r="K4567">
        <v>2249</v>
      </c>
      <c r="N4567" t="s">
        <v>65</v>
      </c>
      <c r="R4567" t="s">
        <v>60</v>
      </c>
      <c r="S4567" t="s">
        <v>51</v>
      </c>
      <c r="T4567" t="s">
        <v>173</v>
      </c>
      <c r="U4567" t="s">
        <v>10385</v>
      </c>
      <c r="W4567">
        <v>1</v>
      </c>
      <c r="X4567">
        <v>1</v>
      </c>
      <c r="AE4567">
        <v>2</v>
      </c>
      <c r="AF4567">
        <v>0</v>
      </c>
      <c r="AM4567" t="s">
        <v>52</v>
      </c>
      <c r="AN4567" t="s">
        <v>53</v>
      </c>
    </row>
    <row r="4568" spans="1:40">
      <c r="A4568" t="s">
        <v>13057</v>
      </c>
      <c r="B4568" t="s">
        <v>3268</v>
      </c>
      <c r="C4568" t="s">
        <v>13870</v>
      </c>
      <c r="D4568" t="s">
        <v>52</v>
      </c>
      <c r="E4568" t="s">
        <v>13871</v>
      </c>
      <c r="F4568" t="s">
        <v>45</v>
      </c>
      <c r="G4568" t="str">
        <f>HYPERLINK("https://twitter.com/838630363/status/1142591168267468801")</f>
        <v>https://twitter.com/838630363/status/1142591168267468801</v>
      </c>
      <c r="H4568" t="s">
        <v>46</v>
      </c>
      <c r="I4568" t="s">
        <v>13872</v>
      </c>
      <c r="J4568" t="str">
        <f>HYPERLINK("http://twitter.com/STARBANNGGAA")</f>
        <v>http://twitter.com/STARBANNGGAA</v>
      </c>
      <c r="K4568">
        <v>979</v>
      </c>
      <c r="N4568" t="s">
        <v>65</v>
      </c>
      <c r="R4568" t="s">
        <v>60</v>
      </c>
      <c r="W4568">
        <v>0</v>
      </c>
      <c r="X4568">
        <v>0</v>
      </c>
      <c r="AE4568">
        <v>1</v>
      </c>
      <c r="AF4568">
        <v>0</v>
      </c>
      <c r="AM4568" t="s">
        <v>52</v>
      </c>
      <c r="AN4568" t="s">
        <v>53</v>
      </c>
    </row>
    <row r="4569" spans="1:40">
      <c r="A4569" t="s">
        <v>13057</v>
      </c>
      <c r="B4569" t="s">
        <v>3268</v>
      </c>
      <c r="C4569" t="s">
        <v>12089</v>
      </c>
      <c r="D4569" t="s">
        <v>52</v>
      </c>
      <c r="E4569" t="s">
        <v>13873</v>
      </c>
      <c r="F4569" t="s">
        <v>45</v>
      </c>
      <c r="G4569" t="str">
        <f>HYPERLINK("https://www.instagram.com/p/BzCEKPip7NZ")</f>
        <v>https://www.instagram.com/p/BzCEKPip7NZ</v>
      </c>
      <c r="H4569" t="s">
        <v>215</v>
      </c>
      <c r="I4569" t="s">
        <v>13874</v>
      </c>
      <c r="J4569" t="str">
        <f>HYPERLINK("http://instagram.com/tlotz7")</f>
        <v>http://instagram.com/tlotz7</v>
      </c>
      <c r="K4569">
        <v>466</v>
      </c>
      <c r="L4569" t="s">
        <v>58</v>
      </c>
      <c r="N4569" t="s">
        <v>59</v>
      </c>
      <c r="O4569" t="s">
        <v>13874</v>
      </c>
      <c r="P4569" t="str">
        <f>HYPERLINK("http://instagram.com/tlotz7")</f>
        <v>http://instagram.com/tlotz7</v>
      </c>
      <c r="Q4569">
        <v>466</v>
      </c>
      <c r="R4569" t="s">
        <v>60</v>
      </c>
      <c r="W4569">
        <v>12</v>
      </c>
      <c r="X4569">
        <v>12</v>
      </c>
      <c r="AE4569">
        <v>0</v>
      </c>
      <c r="AI4569" t="s">
        <v>2529</v>
      </c>
      <c r="AJ4569" t="s">
        <v>13875</v>
      </c>
      <c r="AK4569" t="s">
        <v>13876</v>
      </c>
      <c r="AL4569" t="str">
        <f>HYPERLINK("https://www.instagram.com/p/BzCEKPip7NZ/media/?size=l")</f>
        <v>https://www.instagram.com/p/BzCEKPip7NZ/media/?size=l</v>
      </c>
      <c r="AM4569" t="s">
        <v>52</v>
      </c>
      <c r="AN4569" t="s">
        <v>53</v>
      </c>
    </row>
    <row r="4570" spans="1:40">
      <c r="A4570" t="s">
        <v>13057</v>
      </c>
      <c r="B4570" t="s">
        <v>9050</v>
      </c>
      <c r="C4570" t="s">
        <v>13852</v>
      </c>
      <c r="D4570" t="s">
        <v>52</v>
      </c>
      <c r="E4570" t="s">
        <v>13877</v>
      </c>
      <c r="F4570" t="s">
        <v>45</v>
      </c>
      <c r="G4570" t="str">
        <f>HYPERLINK("https://www.instagram.com/p/BzCEAivBcLd")</f>
        <v>https://www.instagram.com/p/BzCEAivBcLd</v>
      </c>
      <c r="H4570" t="s">
        <v>46</v>
      </c>
      <c r="I4570" t="s">
        <v>13878</v>
      </c>
      <c r="J4570" t="str">
        <f>HYPERLINK("http://instagram.com/loueatsfood")</f>
        <v>http://instagram.com/loueatsfood</v>
      </c>
      <c r="K4570">
        <v>258</v>
      </c>
      <c r="N4570" t="s">
        <v>59</v>
      </c>
      <c r="O4570" t="s">
        <v>13878</v>
      </c>
      <c r="P4570" t="str">
        <f>HYPERLINK("http://instagram.com/loueatsfood")</f>
        <v>http://instagram.com/loueatsfood</v>
      </c>
      <c r="Q4570">
        <v>258</v>
      </c>
      <c r="R4570" t="s">
        <v>60</v>
      </c>
      <c r="S4570" t="s">
        <v>51</v>
      </c>
      <c r="T4570" t="s">
        <v>2923</v>
      </c>
      <c r="U4570" t="s">
        <v>13879</v>
      </c>
      <c r="W4570">
        <v>7</v>
      </c>
      <c r="X4570">
        <v>7</v>
      </c>
      <c r="AE4570">
        <v>1</v>
      </c>
      <c r="AI4570" t="s">
        <v>52</v>
      </c>
      <c r="AJ4570" t="s">
        <v>765</v>
      </c>
      <c r="AK4570" t="s">
        <v>52</v>
      </c>
      <c r="AL4570" t="str">
        <f>HYPERLINK("https://www.instagram.com/p/BzCEAivBcLd/media/?size=l")</f>
        <v>https://www.instagram.com/p/BzCEAivBcLd/media/?size=l</v>
      </c>
      <c r="AM4570" t="s">
        <v>52</v>
      </c>
      <c r="AN4570" t="s">
        <v>53</v>
      </c>
    </row>
    <row r="4571" spans="1:40">
      <c r="A4571" t="s">
        <v>13057</v>
      </c>
      <c r="B4571" t="s">
        <v>3277</v>
      </c>
      <c r="C4571" t="s">
        <v>13870</v>
      </c>
      <c r="D4571" t="s">
        <v>52</v>
      </c>
      <c r="E4571" t="s">
        <v>13880</v>
      </c>
      <c r="F4571" t="s">
        <v>45</v>
      </c>
      <c r="G4571" t="str">
        <f>HYPERLINK("https://www.instagram.com/p/BzCD3NFn-F2")</f>
        <v>https://www.instagram.com/p/BzCD3NFn-F2</v>
      </c>
      <c r="H4571" t="s">
        <v>46</v>
      </c>
      <c r="I4571" t="s">
        <v>13881</v>
      </c>
      <c r="J4571" t="str">
        <f>HYPERLINK("http://instagram.com/k.t.zero")</f>
        <v>http://instagram.com/k.t.zero</v>
      </c>
      <c r="K4571">
        <v>84</v>
      </c>
      <c r="N4571" t="s">
        <v>59</v>
      </c>
      <c r="O4571" t="s">
        <v>13881</v>
      </c>
      <c r="P4571" t="str">
        <f>HYPERLINK("http://instagram.com/k.t.zero")</f>
        <v>http://instagram.com/k.t.zero</v>
      </c>
      <c r="Q4571">
        <v>84</v>
      </c>
      <c r="R4571" t="s">
        <v>60</v>
      </c>
      <c r="W4571">
        <v>25</v>
      </c>
      <c r="X4571">
        <v>25</v>
      </c>
      <c r="AE4571">
        <v>0</v>
      </c>
      <c r="AI4571" t="s">
        <v>52</v>
      </c>
      <c r="AJ4571" t="s">
        <v>121</v>
      </c>
      <c r="AK4571" t="s">
        <v>13882</v>
      </c>
      <c r="AL4571" t="str">
        <f>HYPERLINK("https://www.instagram.com/p/BzCD3NFn-F2/media/?size=l")</f>
        <v>https://www.instagram.com/p/BzCD3NFn-F2/media/?size=l</v>
      </c>
      <c r="AM4571" t="s">
        <v>52</v>
      </c>
      <c r="AN4571" t="s">
        <v>53</v>
      </c>
    </row>
    <row r="4572" spans="1:40">
      <c r="A4572" t="s">
        <v>13057</v>
      </c>
      <c r="B4572" t="s">
        <v>3277</v>
      </c>
      <c r="C4572" t="s">
        <v>13883</v>
      </c>
      <c r="D4572" t="s">
        <v>52</v>
      </c>
      <c r="E4572" t="s">
        <v>4514</v>
      </c>
      <c r="F4572" t="s">
        <v>71</v>
      </c>
      <c r="G4572" t="str">
        <f>HYPERLINK("https://twitter.com/51103292/status/1142590435610845185")</f>
        <v>https://twitter.com/51103292/status/1142590435610845185</v>
      </c>
      <c r="H4572" t="s">
        <v>46</v>
      </c>
      <c r="I4572" t="s">
        <v>13884</v>
      </c>
      <c r="J4572" t="str">
        <f>HYPERLINK("http://twitter.com/dangercats")</f>
        <v>http://twitter.com/dangercats</v>
      </c>
      <c r="K4572">
        <v>53</v>
      </c>
      <c r="L4572" t="s">
        <v>48</v>
      </c>
      <c r="N4572" t="s">
        <v>65</v>
      </c>
      <c r="R4572" t="s">
        <v>60</v>
      </c>
      <c r="S4572" t="s">
        <v>51</v>
      </c>
      <c r="T4572" t="s">
        <v>84</v>
      </c>
      <c r="U4572" t="s">
        <v>85</v>
      </c>
      <c r="W4572">
        <v>0</v>
      </c>
      <c r="X4572">
        <v>0</v>
      </c>
      <c r="AE4572">
        <v>0</v>
      </c>
      <c r="AF4572">
        <v>0</v>
      </c>
      <c r="AI4572" t="s">
        <v>108</v>
      </c>
      <c r="AJ4572" t="s">
        <v>52</v>
      </c>
      <c r="AK4572" t="s">
        <v>52</v>
      </c>
      <c r="AL4572" t="str">
        <f>HYPERLINK("https://pbs.twimg.com/tweet_video_thumb/D9hvNNzXUAATAS3.jpg")</f>
        <v>https://pbs.twimg.com/tweet_video_thumb/D9hvNNzXUAATAS3.jpg</v>
      </c>
      <c r="AM4572" t="s">
        <v>52</v>
      </c>
      <c r="AN4572" t="s">
        <v>53</v>
      </c>
    </row>
    <row r="4573" spans="1:40">
      <c r="A4573" t="s">
        <v>13057</v>
      </c>
      <c r="B4573" t="s">
        <v>3277</v>
      </c>
      <c r="C4573" t="s">
        <v>13867</v>
      </c>
      <c r="D4573" t="s">
        <v>52</v>
      </c>
      <c r="E4573" t="s">
        <v>13885</v>
      </c>
      <c r="F4573" t="s">
        <v>45</v>
      </c>
      <c r="G4573" t="str">
        <f>HYPERLINK("https://twitter.com/395083354/status/1142590345735278593")</f>
        <v>https://twitter.com/395083354/status/1142590345735278593</v>
      </c>
      <c r="H4573" t="s">
        <v>46</v>
      </c>
      <c r="I4573" t="s">
        <v>13886</v>
      </c>
      <c r="J4573" t="str">
        <f>HYPERLINK("http://twitter.com/Kennyy_T")</f>
        <v>http://twitter.com/Kennyy_T</v>
      </c>
      <c r="K4573">
        <v>1399</v>
      </c>
      <c r="N4573" t="s">
        <v>65</v>
      </c>
      <c r="R4573" t="s">
        <v>60</v>
      </c>
      <c r="S4573" t="s">
        <v>51</v>
      </c>
      <c r="W4573">
        <v>2</v>
      </c>
      <c r="X4573">
        <v>2</v>
      </c>
      <c r="AE4573">
        <v>1</v>
      </c>
      <c r="AF4573">
        <v>0</v>
      </c>
      <c r="AM4573" t="s">
        <v>52</v>
      </c>
      <c r="AN4573" t="s">
        <v>53</v>
      </c>
    </row>
    <row r="4574" spans="1:40">
      <c r="A4574" t="s">
        <v>13057</v>
      </c>
      <c r="B4574" t="s">
        <v>13887</v>
      </c>
      <c r="C4574" t="s">
        <v>12097</v>
      </c>
      <c r="D4574" t="s">
        <v>52</v>
      </c>
      <c r="E4574" t="s">
        <v>13888</v>
      </c>
      <c r="F4574" t="s">
        <v>45</v>
      </c>
      <c r="G4574" t="str">
        <f>HYPERLINK("https://www.instagram.com/p/BzCDuPBAuGd")</f>
        <v>https://www.instagram.com/p/BzCDuPBAuGd</v>
      </c>
      <c r="H4574" t="s">
        <v>46</v>
      </c>
      <c r="I4574" t="s">
        <v>13889</v>
      </c>
      <c r="J4574" t="str">
        <f>HYPERLINK("http://instagram.com/solrhaf")</f>
        <v>http://instagram.com/solrhaf</v>
      </c>
      <c r="K4574">
        <v>852</v>
      </c>
      <c r="N4574" t="s">
        <v>59</v>
      </c>
      <c r="O4574" t="s">
        <v>13889</v>
      </c>
      <c r="P4574" t="str">
        <f>HYPERLINK("http://instagram.com/solrhaf")</f>
        <v>http://instagram.com/solrhaf</v>
      </c>
      <c r="Q4574">
        <v>852</v>
      </c>
      <c r="R4574" t="s">
        <v>60</v>
      </c>
      <c r="W4574">
        <v>244</v>
      </c>
      <c r="X4574">
        <v>244</v>
      </c>
      <c r="AE4574">
        <v>17</v>
      </c>
      <c r="AI4574" t="s">
        <v>108</v>
      </c>
      <c r="AJ4574" t="s">
        <v>52</v>
      </c>
      <c r="AK4574" t="s">
        <v>52</v>
      </c>
      <c r="AL4574" t="str">
        <f>HYPERLINK("https://www.instagram.com/p/BzCDuPBAuGd/media/?size=l")</f>
        <v>https://www.instagram.com/p/BzCDuPBAuGd/media/?size=l</v>
      </c>
      <c r="AM4574" t="s">
        <v>52</v>
      </c>
      <c r="AN4574" t="s">
        <v>53</v>
      </c>
    </row>
    <row r="4575" spans="1:40">
      <c r="A4575" t="s">
        <v>13057</v>
      </c>
      <c r="B4575" t="s">
        <v>13887</v>
      </c>
      <c r="C4575" t="s">
        <v>12100</v>
      </c>
      <c r="D4575" t="s">
        <v>52</v>
      </c>
      <c r="E4575" t="s">
        <v>13890</v>
      </c>
      <c r="F4575" t="s">
        <v>45</v>
      </c>
      <c r="G4575" t="str">
        <f>HYPERLINK("https://www.instagram.com/p/BzCDuIrHkUj")</f>
        <v>https://www.instagram.com/p/BzCDuIrHkUj</v>
      </c>
      <c r="H4575" t="s">
        <v>46</v>
      </c>
      <c r="I4575" t="s">
        <v>12145</v>
      </c>
      <c r="J4575" t="str">
        <f>HYPERLINK("http://instagram.com/nichesforlife")</f>
        <v>http://instagram.com/nichesforlife</v>
      </c>
      <c r="K4575">
        <v>787</v>
      </c>
      <c r="N4575" t="s">
        <v>59</v>
      </c>
      <c r="O4575" t="s">
        <v>12145</v>
      </c>
      <c r="P4575" t="str">
        <f>HYPERLINK("http://instagram.com/nichesforlife")</f>
        <v>http://instagram.com/nichesforlife</v>
      </c>
      <c r="Q4575">
        <v>787</v>
      </c>
      <c r="R4575" t="s">
        <v>60</v>
      </c>
      <c r="W4575">
        <v>35</v>
      </c>
      <c r="X4575">
        <v>35</v>
      </c>
      <c r="AE4575">
        <v>5</v>
      </c>
      <c r="AI4575" t="s">
        <v>108</v>
      </c>
      <c r="AJ4575" t="s">
        <v>659</v>
      </c>
      <c r="AK4575" t="s">
        <v>52</v>
      </c>
      <c r="AL4575" t="str">
        <f>HYPERLINK("https://www.instagram.com/p/BzCDuIrHkUj/media/?size=l")</f>
        <v>https://www.instagram.com/p/BzCDuIrHkUj/media/?size=l</v>
      </c>
      <c r="AM4575" t="s">
        <v>52</v>
      </c>
      <c r="AN4575" t="s">
        <v>53</v>
      </c>
    </row>
    <row r="4576" spans="1:40">
      <c r="A4576" t="s">
        <v>13057</v>
      </c>
      <c r="B4576" t="s">
        <v>13891</v>
      </c>
      <c r="C4576" t="s">
        <v>13892</v>
      </c>
      <c r="D4576" t="s">
        <v>52</v>
      </c>
      <c r="E4576" t="s">
        <v>13893</v>
      </c>
      <c r="F4576" t="s">
        <v>45</v>
      </c>
      <c r="G4576" t="str">
        <f>HYPERLINK("https://twitter.com/1026686802009182209/status/1142589840103485442")</f>
        <v>https://twitter.com/1026686802009182209/status/1142589840103485442</v>
      </c>
      <c r="H4576" t="s">
        <v>46</v>
      </c>
      <c r="I4576" t="s">
        <v>13894</v>
      </c>
      <c r="J4576" t="str">
        <f>HYPERLINK("http://twitter.com/qventin3")</f>
        <v>http://twitter.com/qventin3</v>
      </c>
      <c r="K4576">
        <v>393</v>
      </c>
      <c r="N4576" t="s">
        <v>65</v>
      </c>
      <c r="R4576" t="s">
        <v>60</v>
      </c>
      <c r="S4576" t="s">
        <v>51</v>
      </c>
      <c r="T4576" t="s">
        <v>851</v>
      </c>
      <c r="U4576" t="s">
        <v>13895</v>
      </c>
      <c r="W4576">
        <v>0</v>
      </c>
      <c r="X4576">
        <v>0</v>
      </c>
      <c r="AE4576">
        <v>1</v>
      </c>
      <c r="AF4576">
        <v>0</v>
      </c>
      <c r="AM4576" t="s">
        <v>52</v>
      </c>
      <c r="AN4576" t="s">
        <v>53</v>
      </c>
    </row>
    <row r="4577" spans="1:40">
      <c r="A4577" t="s">
        <v>13057</v>
      </c>
      <c r="B4577" t="s">
        <v>3294</v>
      </c>
      <c r="C4577" t="s">
        <v>13896</v>
      </c>
      <c r="D4577" t="s">
        <v>52</v>
      </c>
      <c r="E4577" t="s">
        <v>13897</v>
      </c>
      <c r="F4577" t="s">
        <v>45</v>
      </c>
      <c r="G4577" t="str">
        <f>HYPERLINK("https://www.instagram.com/p/BzCDidIJSq4")</f>
        <v>https://www.instagram.com/p/BzCDidIJSq4</v>
      </c>
      <c r="H4577" t="s">
        <v>46</v>
      </c>
      <c r="I4577" t="s">
        <v>3375</v>
      </c>
      <c r="J4577" t="str">
        <f>HYPERLINK("http://instagram.com/los_doritos_de_los_bts_")</f>
        <v>http://instagram.com/los_doritos_de_los_bts_</v>
      </c>
      <c r="K4577">
        <v>0</v>
      </c>
      <c r="N4577" t="s">
        <v>59</v>
      </c>
      <c r="O4577" t="s">
        <v>3375</v>
      </c>
      <c r="P4577" t="str">
        <f>HYPERLINK("http://instagram.com/los_doritos_de_los_bts_")</f>
        <v>http://instagram.com/los_doritos_de_los_bts_</v>
      </c>
      <c r="Q4577">
        <v>0</v>
      </c>
      <c r="R4577" t="s">
        <v>60</v>
      </c>
      <c r="S4577" t="s">
        <v>51</v>
      </c>
      <c r="T4577" t="s">
        <v>173</v>
      </c>
      <c r="U4577" t="s">
        <v>13898</v>
      </c>
      <c r="W4577">
        <v>1</v>
      </c>
      <c r="X4577">
        <v>1</v>
      </c>
      <c r="AE4577">
        <v>0</v>
      </c>
      <c r="AI4577" t="s">
        <v>52</v>
      </c>
      <c r="AJ4577" t="s">
        <v>2277</v>
      </c>
      <c r="AK4577" t="s">
        <v>52</v>
      </c>
      <c r="AL4577" t="str">
        <f>HYPERLINK("https://www.instagram.com/p/BzCDidIJSq4/media/?size=l")</f>
        <v>https://www.instagram.com/p/BzCDidIJSq4/media/?size=l</v>
      </c>
      <c r="AM4577" t="s">
        <v>52</v>
      </c>
      <c r="AN4577" t="s">
        <v>53</v>
      </c>
    </row>
    <row r="4578" spans="1:40">
      <c r="A4578" t="s">
        <v>13057</v>
      </c>
      <c r="B4578" t="s">
        <v>3294</v>
      </c>
      <c r="C4578" t="s">
        <v>13899</v>
      </c>
      <c r="D4578" t="s">
        <v>52</v>
      </c>
      <c r="E4578" t="s">
        <v>13900</v>
      </c>
      <c r="F4578" t="s">
        <v>95</v>
      </c>
      <c r="G4578" t="str">
        <f>HYPERLINK("https://twitter.com/988805783189053442/status/1142589738555236353")</f>
        <v>https://twitter.com/988805783189053442/status/1142589738555236353</v>
      </c>
      <c r="H4578" t="s">
        <v>46</v>
      </c>
      <c r="I4578" t="s">
        <v>13901</v>
      </c>
      <c r="J4578" t="str">
        <f>HYPERLINK("http://twitter.com/Jamesro80437535")</f>
        <v>http://twitter.com/Jamesro80437535</v>
      </c>
      <c r="K4578">
        <v>18</v>
      </c>
      <c r="L4578" t="s">
        <v>48</v>
      </c>
      <c r="N4578" t="s">
        <v>65</v>
      </c>
      <c r="R4578" t="s">
        <v>60</v>
      </c>
      <c r="W4578">
        <v>2</v>
      </c>
      <c r="X4578">
        <v>2</v>
      </c>
      <c r="AE4578">
        <v>0</v>
      </c>
      <c r="AF4578">
        <v>0</v>
      </c>
      <c r="AM4578" t="s">
        <v>52</v>
      </c>
      <c r="AN4578" t="s">
        <v>53</v>
      </c>
    </row>
    <row r="4579" spans="1:40">
      <c r="A4579" t="s">
        <v>13057</v>
      </c>
      <c r="B4579" t="s">
        <v>3294</v>
      </c>
      <c r="C4579" t="s">
        <v>12128</v>
      </c>
      <c r="D4579" t="s">
        <v>52</v>
      </c>
      <c r="E4579" t="s">
        <v>13902</v>
      </c>
      <c r="F4579" t="s">
        <v>45</v>
      </c>
      <c r="G4579" t="str">
        <f>HYPERLINK("https://www.instagram.com/p/BzCDgsFh1Rp")</f>
        <v>https://www.instagram.com/p/BzCDgsFh1Rp</v>
      </c>
      <c r="H4579" t="s">
        <v>46</v>
      </c>
      <c r="I4579" t="s">
        <v>3773</v>
      </c>
      <c r="J4579" t="str">
        <f>HYPERLINK("http://instagram.com/insecurehousewife")</f>
        <v>http://instagram.com/insecurehousewife</v>
      </c>
      <c r="K4579">
        <v>518</v>
      </c>
      <c r="L4579" t="s">
        <v>58</v>
      </c>
      <c r="N4579" t="s">
        <v>59</v>
      </c>
      <c r="O4579" t="s">
        <v>3773</v>
      </c>
      <c r="P4579" t="str">
        <f>HYPERLINK("http://instagram.com/insecurehousewife")</f>
        <v>http://instagram.com/insecurehousewife</v>
      </c>
      <c r="Q4579">
        <v>518</v>
      </c>
      <c r="R4579" t="s">
        <v>60</v>
      </c>
      <c r="W4579">
        <v>18</v>
      </c>
      <c r="X4579">
        <v>18</v>
      </c>
      <c r="AE4579">
        <v>0</v>
      </c>
      <c r="AI4579" t="s">
        <v>108</v>
      </c>
      <c r="AJ4579" t="s">
        <v>1901</v>
      </c>
      <c r="AK4579" t="s">
        <v>52</v>
      </c>
      <c r="AL4579" t="str">
        <f>HYPERLINK("https://www.instagram.com/p/BzCDgsFh1Rp/media/?size=l")</f>
        <v>https://www.instagram.com/p/BzCDgsFh1Rp/media/?size=l</v>
      </c>
      <c r="AM4579" t="s">
        <v>52</v>
      </c>
      <c r="AN4579" t="s">
        <v>53</v>
      </c>
    </row>
    <row r="4580" spans="1:40">
      <c r="A4580" t="s">
        <v>13057</v>
      </c>
      <c r="B4580" t="s">
        <v>3300</v>
      </c>
      <c r="C4580" t="s">
        <v>7046</v>
      </c>
      <c r="D4580" t="s">
        <v>13903</v>
      </c>
      <c r="E4580" t="s">
        <v>13904</v>
      </c>
      <c r="F4580" t="s">
        <v>45</v>
      </c>
      <c r="G4580" t="str">
        <f>HYPERLINK("http://www.godlikeproductions.com/forum1/message4070377/pg1")</f>
        <v>http://www.godlikeproductions.com/forum1/message4070377/pg1</v>
      </c>
      <c r="H4580" t="s">
        <v>46</v>
      </c>
      <c r="N4580" t="s">
        <v>13905</v>
      </c>
      <c r="O4580" t="s">
        <v>13906</v>
      </c>
      <c r="P4580" t="str">
        <f>HYPERLINK("http://www.godlikeproductions.com/feeds/forums/1")</f>
        <v>http://www.godlikeproductions.com/feeds/forums/1</v>
      </c>
      <c r="R4580" t="s">
        <v>516</v>
      </c>
      <c r="S4580" t="s">
        <v>51</v>
      </c>
      <c r="AM4580" t="s">
        <v>52</v>
      </c>
      <c r="AN4580" t="s">
        <v>53</v>
      </c>
    </row>
    <row r="4581" spans="1:40">
      <c r="A4581" t="s">
        <v>13057</v>
      </c>
      <c r="B4581" t="s">
        <v>3304</v>
      </c>
      <c r="C4581" t="s">
        <v>10933</v>
      </c>
      <c r="D4581" t="s">
        <v>13907</v>
      </c>
      <c r="E4581" t="s">
        <v>13908</v>
      </c>
      <c r="F4581" t="s">
        <v>45</v>
      </c>
      <c r="G4581" t="str">
        <f>HYPERLINK("http://www.philropost.com/cheez-it-crusted-chicken.html")</f>
        <v>http://www.philropost.com/cheez-it-crusted-chicken.html</v>
      </c>
      <c r="H4581" t="s">
        <v>46</v>
      </c>
      <c r="N4581" t="s">
        <v>7552</v>
      </c>
      <c r="R4581" t="s">
        <v>50</v>
      </c>
      <c r="S4581" t="s">
        <v>51</v>
      </c>
      <c r="AM4581" t="s">
        <v>52</v>
      </c>
      <c r="AN4581" t="s">
        <v>53</v>
      </c>
    </row>
    <row r="4582" spans="1:40">
      <c r="A4582" t="s">
        <v>13057</v>
      </c>
      <c r="B4582" t="s">
        <v>3308</v>
      </c>
      <c r="C4582" t="s">
        <v>13909</v>
      </c>
      <c r="D4582" t="s">
        <v>52</v>
      </c>
      <c r="E4582" t="s">
        <v>13910</v>
      </c>
      <c r="F4582" t="s">
        <v>71</v>
      </c>
      <c r="G4582" t="str">
        <f>HYPERLINK("https://twitter.com/26211263/status/1142588664784007169")</f>
        <v>https://twitter.com/26211263/status/1142588664784007169</v>
      </c>
      <c r="H4582" t="s">
        <v>46</v>
      </c>
      <c r="I4582" t="s">
        <v>13911</v>
      </c>
      <c r="J4582" t="str">
        <f>HYPERLINK("http://twitter.com/tlak06")</f>
        <v>http://twitter.com/tlak06</v>
      </c>
      <c r="K4582">
        <v>16</v>
      </c>
      <c r="L4582" t="s">
        <v>48</v>
      </c>
      <c r="N4582" t="s">
        <v>65</v>
      </c>
      <c r="R4582" t="s">
        <v>60</v>
      </c>
      <c r="S4582" t="s">
        <v>51</v>
      </c>
      <c r="T4582" t="s">
        <v>3312</v>
      </c>
      <c r="W4582">
        <v>0</v>
      </c>
      <c r="X4582">
        <v>0</v>
      </c>
      <c r="AE4582">
        <v>0</v>
      </c>
      <c r="AF4582">
        <v>0</v>
      </c>
      <c r="AI4582" t="s">
        <v>108</v>
      </c>
      <c r="AJ4582" t="s">
        <v>52</v>
      </c>
      <c r="AK4582" t="s">
        <v>52</v>
      </c>
      <c r="AL4582" t="str">
        <f>HYPERLINK("https://pbs.twimg.com/tweet_video_thumb/D9hvNNzXUAATAS3.jpg")</f>
        <v>https://pbs.twimg.com/tweet_video_thumb/D9hvNNzXUAATAS3.jpg</v>
      </c>
      <c r="AM4582" t="s">
        <v>52</v>
      </c>
      <c r="AN4582" t="s">
        <v>53</v>
      </c>
    </row>
    <row r="4583" spans="1:40">
      <c r="A4583" t="s">
        <v>13057</v>
      </c>
      <c r="B4583" t="s">
        <v>3314</v>
      </c>
      <c r="C4583" t="s">
        <v>13909</v>
      </c>
      <c r="D4583" t="s">
        <v>52</v>
      </c>
      <c r="E4583" t="s">
        <v>13912</v>
      </c>
      <c r="F4583" t="s">
        <v>45</v>
      </c>
      <c r="G4583" t="str">
        <f>HYPERLINK("https://twitter.com/4746457475/status/1142588534441877504")</f>
        <v>https://twitter.com/4746457475/status/1142588534441877504</v>
      </c>
      <c r="H4583" t="s">
        <v>46</v>
      </c>
      <c r="I4583" t="s">
        <v>13913</v>
      </c>
      <c r="J4583" t="str">
        <f>HYPERLINK("http://twitter.com/Justm3t")</f>
        <v>http://twitter.com/Justm3t</v>
      </c>
      <c r="K4583">
        <v>40</v>
      </c>
      <c r="N4583" t="s">
        <v>65</v>
      </c>
      <c r="R4583" t="s">
        <v>60</v>
      </c>
      <c r="W4583">
        <v>1</v>
      </c>
      <c r="X4583">
        <v>1</v>
      </c>
      <c r="AE4583">
        <v>0</v>
      </c>
      <c r="AF4583">
        <v>0</v>
      </c>
      <c r="AM4583" t="s">
        <v>52</v>
      </c>
      <c r="AN4583" t="s">
        <v>53</v>
      </c>
    </row>
    <row r="4584" spans="1:40">
      <c r="A4584" t="s">
        <v>13057</v>
      </c>
      <c r="B4584" t="s">
        <v>3314</v>
      </c>
      <c r="C4584" t="s">
        <v>13909</v>
      </c>
      <c r="D4584" t="s">
        <v>52</v>
      </c>
      <c r="E4584" t="s">
        <v>13914</v>
      </c>
      <c r="F4584" t="s">
        <v>45</v>
      </c>
      <c r="G4584" t="str">
        <f>HYPERLINK("https://twitter.com/636634145/status/1142588516502790149")</f>
        <v>https://twitter.com/636634145/status/1142588516502790149</v>
      </c>
      <c r="H4584" t="s">
        <v>215</v>
      </c>
      <c r="I4584" t="s">
        <v>13915</v>
      </c>
      <c r="J4584" t="str">
        <f>HYPERLINK("http://twitter.com/paulaliendo_")</f>
        <v>http://twitter.com/paulaliendo_</v>
      </c>
      <c r="K4584">
        <v>145</v>
      </c>
      <c r="L4584" t="s">
        <v>58</v>
      </c>
      <c r="N4584" t="s">
        <v>65</v>
      </c>
      <c r="R4584" t="s">
        <v>60</v>
      </c>
      <c r="S4584" t="s">
        <v>701</v>
      </c>
      <c r="T4584" t="s">
        <v>2321</v>
      </c>
      <c r="U4584" t="s">
        <v>13916</v>
      </c>
      <c r="W4584">
        <v>0</v>
      </c>
      <c r="X4584">
        <v>0</v>
      </c>
      <c r="AE4584">
        <v>0</v>
      </c>
      <c r="AF4584">
        <v>0</v>
      </c>
      <c r="AM4584" t="s">
        <v>52</v>
      </c>
      <c r="AN4584" t="s">
        <v>53</v>
      </c>
    </row>
    <row r="4585" spans="1:40">
      <c r="A4585" t="s">
        <v>13057</v>
      </c>
      <c r="B4585" t="s">
        <v>3314</v>
      </c>
      <c r="C4585" t="s">
        <v>13917</v>
      </c>
      <c r="D4585" t="s">
        <v>52</v>
      </c>
      <c r="E4585" t="s">
        <v>13918</v>
      </c>
      <c r="F4585" t="s">
        <v>45</v>
      </c>
      <c r="G4585" t="str">
        <f>HYPERLINK("https://twitter.com/23527453/status/1142588404464529408")</f>
        <v>https://twitter.com/23527453/status/1142588404464529408</v>
      </c>
      <c r="H4585" t="s">
        <v>46</v>
      </c>
      <c r="I4585" t="s">
        <v>13919</v>
      </c>
      <c r="J4585" t="str">
        <f>HYPERLINK("http://twitter.com/VolSkins")</f>
        <v>http://twitter.com/VolSkins</v>
      </c>
      <c r="K4585">
        <v>563</v>
      </c>
      <c r="N4585" t="s">
        <v>65</v>
      </c>
      <c r="R4585" t="s">
        <v>60</v>
      </c>
      <c r="S4585" t="s">
        <v>51</v>
      </c>
      <c r="T4585" t="s">
        <v>497</v>
      </c>
      <c r="U4585" t="s">
        <v>498</v>
      </c>
      <c r="W4585">
        <v>1</v>
      </c>
      <c r="X4585">
        <v>1</v>
      </c>
      <c r="AE4585">
        <v>0</v>
      </c>
      <c r="AF4585">
        <v>0</v>
      </c>
      <c r="AM4585" t="s">
        <v>52</v>
      </c>
      <c r="AN4585" t="s">
        <v>53</v>
      </c>
    </row>
    <row r="4586" spans="1:40">
      <c r="A4586" t="s">
        <v>13057</v>
      </c>
      <c r="B4586" t="s">
        <v>3314</v>
      </c>
      <c r="C4586" t="s">
        <v>13920</v>
      </c>
      <c r="D4586" t="s">
        <v>52</v>
      </c>
      <c r="E4586" t="s">
        <v>11609</v>
      </c>
      <c r="F4586" t="s">
        <v>95</v>
      </c>
      <c r="G4586" t="str">
        <f>HYPERLINK("https://twitter.com/554480182/status/1142588368687157248")</f>
        <v>https://twitter.com/554480182/status/1142588368687157248</v>
      </c>
      <c r="H4586" t="s">
        <v>46</v>
      </c>
      <c r="I4586" t="s">
        <v>13921</v>
      </c>
      <c r="J4586" t="str">
        <f>HYPERLINK("http://twitter.com/chrisevans2019")</f>
        <v>http://twitter.com/chrisevans2019</v>
      </c>
      <c r="K4586">
        <v>483</v>
      </c>
      <c r="N4586" t="s">
        <v>65</v>
      </c>
      <c r="R4586" t="s">
        <v>60</v>
      </c>
      <c r="S4586" t="s">
        <v>13922</v>
      </c>
      <c r="W4586">
        <v>1</v>
      </c>
      <c r="X4586">
        <v>1</v>
      </c>
      <c r="AE4586">
        <v>0</v>
      </c>
      <c r="AF4586">
        <v>1</v>
      </c>
      <c r="AM4586" t="s">
        <v>52</v>
      </c>
      <c r="AN4586" t="s">
        <v>53</v>
      </c>
    </row>
    <row r="4587" spans="1:40">
      <c r="A4587" t="s">
        <v>13057</v>
      </c>
      <c r="B4587" t="s">
        <v>9089</v>
      </c>
      <c r="C4587" t="s">
        <v>13923</v>
      </c>
      <c r="D4587" t="s">
        <v>52</v>
      </c>
      <c r="E4587" t="s">
        <v>13924</v>
      </c>
      <c r="F4587" t="s">
        <v>95</v>
      </c>
      <c r="G4587" t="str">
        <f>HYPERLINK("https://twitter.com/785267712863772674/status/1142588229042020352")</f>
        <v>https://twitter.com/785267712863772674/status/1142588229042020352</v>
      </c>
      <c r="H4587" t="s">
        <v>46</v>
      </c>
      <c r="I4587" t="s">
        <v>13925</v>
      </c>
      <c r="J4587" t="str">
        <f>HYPERLINK("http://twitter.com/annryuji")</f>
        <v>http://twitter.com/annryuji</v>
      </c>
      <c r="K4587">
        <v>714</v>
      </c>
      <c r="N4587" t="s">
        <v>65</v>
      </c>
      <c r="R4587" t="s">
        <v>60</v>
      </c>
      <c r="W4587">
        <v>2</v>
      </c>
      <c r="X4587">
        <v>2</v>
      </c>
      <c r="AE4587">
        <v>0</v>
      </c>
      <c r="AF4587">
        <v>0</v>
      </c>
      <c r="AM4587" t="s">
        <v>52</v>
      </c>
      <c r="AN4587" t="s">
        <v>53</v>
      </c>
    </row>
    <row r="4588" spans="1:40">
      <c r="A4588" t="s">
        <v>13057</v>
      </c>
      <c r="B4588" t="s">
        <v>3318</v>
      </c>
      <c r="C4588" t="s">
        <v>13926</v>
      </c>
      <c r="D4588" t="s">
        <v>52</v>
      </c>
      <c r="E4588" t="s">
        <v>4514</v>
      </c>
      <c r="F4588" t="s">
        <v>71</v>
      </c>
      <c r="G4588" t="str">
        <f>HYPERLINK("https://twitter.com/123235169/status/1142587915224010752")</f>
        <v>https://twitter.com/123235169/status/1142587915224010752</v>
      </c>
      <c r="H4588" t="s">
        <v>46</v>
      </c>
      <c r="I4588" t="s">
        <v>13927</v>
      </c>
      <c r="J4588" t="str">
        <f>HYPERLINK("http://twitter.com/aco_trick")</f>
        <v>http://twitter.com/aco_trick</v>
      </c>
      <c r="K4588">
        <v>62</v>
      </c>
      <c r="L4588" t="s">
        <v>48</v>
      </c>
      <c r="N4588" t="s">
        <v>65</v>
      </c>
      <c r="R4588" t="s">
        <v>60</v>
      </c>
      <c r="S4588" t="s">
        <v>2226</v>
      </c>
      <c r="T4588" t="s">
        <v>3823</v>
      </c>
      <c r="U4588" t="s">
        <v>3824</v>
      </c>
      <c r="W4588">
        <v>0</v>
      </c>
      <c r="X4588">
        <v>0</v>
      </c>
      <c r="AE4588">
        <v>0</v>
      </c>
      <c r="AF4588">
        <v>0</v>
      </c>
      <c r="AI4588" t="s">
        <v>108</v>
      </c>
      <c r="AJ4588" t="s">
        <v>52</v>
      </c>
      <c r="AK4588" t="s">
        <v>52</v>
      </c>
      <c r="AL4588" t="str">
        <f>HYPERLINK("https://pbs.twimg.com/tweet_video_thumb/D9hvNNzXUAATAS3.jpg")</f>
        <v>https://pbs.twimg.com/tweet_video_thumb/D9hvNNzXUAATAS3.jpg</v>
      </c>
      <c r="AM4588" t="s">
        <v>52</v>
      </c>
      <c r="AN4588" t="s">
        <v>53</v>
      </c>
    </row>
    <row r="4589" spans="1:40">
      <c r="A4589" t="s">
        <v>13057</v>
      </c>
      <c r="B4589" t="s">
        <v>9097</v>
      </c>
      <c r="C4589" t="s">
        <v>13923</v>
      </c>
      <c r="D4589" t="s">
        <v>52</v>
      </c>
      <c r="E4589" t="s">
        <v>13928</v>
      </c>
      <c r="F4589" t="s">
        <v>95</v>
      </c>
      <c r="G4589" t="str">
        <f>HYPERLINK("https://twitter.com/915719280108425217/status/1142587723808673792")</f>
        <v>https://twitter.com/915719280108425217/status/1142587723808673792</v>
      </c>
      <c r="H4589" t="s">
        <v>46</v>
      </c>
      <c r="I4589" t="s">
        <v>13929</v>
      </c>
      <c r="J4589" t="str">
        <f>HYPERLINK("http://twitter.com/Gabecorrea305")</f>
        <v>http://twitter.com/Gabecorrea305</v>
      </c>
      <c r="K4589">
        <v>0</v>
      </c>
      <c r="L4589" t="s">
        <v>48</v>
      </c>
      <c r="N4589" t="s">
        <v>65</v>
      </c>
      <c r="R4589" t="s">
        <v>60</v>
      </c>
      <c r="W4589">
        <v>0</v>
      </c>
      <c r="X4589">
        <v>0</v>
      </c>
      <c r="AE4589">
        <v>0</v>
      </c>
      <c r="AF4589">
        <v>0</v>
      </c>
      <c r="AM4589" t="s">
        <v>52</v>
      </c>
      <c r="AN4589" t="s">
        <v>53</v>
      </c>
    </row>
    <row r="4590" spans="1:40">
      <c r="A4590" t="s">
        <v>13057</v>
      </c>
      <c r="B4590" t="s">
        <v>9097</v>
      </c>
      <c r="C4590" t="s">
        <v>13923</v>
      </c>
      <c r="D4590" t="s">
        <v>13930</v>
      </c>
      <c r="E4590" t="s">
        <v>13931</v>
      </c>
      <c r="F4590" t="s">
        <v>45</v>
      </c>
      <c r="G4590" t="str">
        <f>HYPERLINK("https://www.youtube.com/watch?v=wyctzzNaV4E")</f>
        <v>https://www.youtube.com/watch?v=wyctzzNaV4E</v>
      </c>
      <c r="H4590" t="s">
        <v>46</v>
      </c>
      <c r="I4590" t="s">
        <v>13932</v>
      </c>
      <c r="J4590" t="str">
        <f>HYPERLINK("https://www.youtube.com/channel/UCwuqd7DDQvX47JumM7twc4Q")</f>
        <v>https://www.youtube.com/channel/UCwuqd7DDQvX47JumM7twc4Q</v>
      </c>
      <c r="K4590">
        <v>542</v>
      </c>
      <c r="N4590" t="s">
        <v>116</v>
      </c>
      <c r="O4590" t="s">
        <v>13932</v>
      </c>
      <c r="P4590" t="str">
        <f>HYPERLINK("https://www.youtube.com/channel/UCwuqd7DDQvX47JumM7twc4Q")</f>
        <v>https://www.youtube.com/channel/UCwuqd7DDQvX47JumM7twc4Q</v>
      </c>
      <c r="Q4590">
        <v>542</v>
      </c>
      <c r="R4590" t="s">
        <v>60</v>
      </c>
      <c r="W4590">
        <v>0</v>
      </c>
      <c r="X4590">
        <v>0</v>
      </c>
      <c r="AD4590">
        <v>0</v>
      </c>
      <c r="AE4590">
        <v>2</v>
      </c>
      <c r="AG4590">
        <v>39</v>
      </c>
      <c r="AI4590" t="s">
        <v>52</v>
      </c>
      <c r="AJ4590" t="s">
        <v>458</v>
      </c>
      <c r="AK4590" t="s">
        <v>52</v>
      </c>
      <c r="AL4590" t="str">
        <f>HYPERLINK("https://i.ytimg.com/vi/wyctzzNaV4E/sddefault.jpg")</f>
        <v>https://i.ytimg.com/vi/wyctzzNaV4E/sddefault.jpg</v>
      </c>
      <c r="AM4590" t="s">
        <v>52</v>
      </c>
      <c r="AN4590" t="s">
        <v>53</v>
      </c>
    </row>
    <row r="4591" spans="1:40">
      <c r="A4591" t="s">
        <v>13057</v>
      </c>
      <c r="B4591" t="s">
        <v>3322</v>
      </c>
      <c r="C4591" t="s">
        <v>13933</v>
      </c>
      <c r="D4591" t="s">
        <v>52</v>
      </c>
      <c r="E4591" t="s">
        <v>13934</v>
      </c>
      <c r="F4591" t="s">
        <v>45</v>
      </c>
      <c r="G4591" t="str">
        <f>HYPERLINK("https://www.instagram.com/p/BzCCf-2nP2H")</f>
        <v>https://www.instagram.com/p/BzCCf-2nP2H</v>
      </c>
      <c r="H4591" t="s">
        <v>46</v>
      </c>
      <c r="I4591" t="s">
        <v>13881</v>
      </c>
      <c r="J4591" t="str">
        <f>HYPERLINK("http://instagram.com/k.t.zero")</f>
        <v>http://instagram.com/k.t.zero</v>
      </c>
      <c r="K4591">
        <v>84</v>
      </c>
      <c r="N4591" t="s">
        <v>59</v>
      </c>
      <c r="O4591" t="s">
        <v>13881</v>
      </c>
      <c r="P4591" t="str">
        <f>HYPERLINK("http://instagram.com/k.t.zero")</f>
        <v>http://instagram.com/k.t.zero</v>
      </c>
      <c r="Q4591">
        <v>84</v>
      </c>
      <c r="R4591" t="s">
        <v>60</v>
      </c>
      <c r="W4591">
        <v>0</v>
      </c>
      <c r="X4591">
        <v>0</v>
      </c>
      <c r="AE4591">
        <v>0</v>
      </c>
      <c r="AI4591" t="s">
        <v>52</v>
      </c>
      <c r="AJ4591" t="s">
        <v>121</v>
      </c>
      <c r="AK4591" t="s">
        <v>13882</v>
      </c>
      <c r="AL4591" t="str">
        <f>HYPERLINK("https://www.instagram.com/p/BzCCf-2nP2H/media/?size=l")</f>
        <v>https://www.instagram.com/p/BzCCf-2nP2H/media/?size=l</v>
      </c>
      <c r="AM4591" t="s">
        <v>52</v>
      </c>
      <c r="AN4591" t="s">
        <v>53</v>
      </c>
    </row>
    <row r="4592" spans="1:40">
      <c r="A4592" t="s">
        <v>13057</v>
      </c>
      <c r="B4592" t="s">
        <v>3322</v>
      </c>
      <c r="C4592" t="s">
        <v>13933</v>
      </c>
      <c r="D4592" t="s">
        <v>52</v>
      </c>
      <c r="E4592" t="s">
        <v>13935</v>
      </c>
      <c r="F4592" t="s">
        <v>45</v>
      </c>
      <c r="G4592" t="str">
        <f>HYPERLINK("https://twitter.com/785267712863772674/status/1142587474478358528")</f>
        <v>https://twitter.com/785267712863772674/status/1142587474478358528</v>
      </c>
      <c r="H4592" t="s">
        <v>46</v>
      </c>
      <c r="I4592" t="s">
        <v>13925</v>
      </c>
      <c r="J4592" t="str">
        <f>HYPERLINK("http://twitter.com/annryuji")</f>
        <v>http://twitter.com/annryuji</v>
      </c>
      <c r="K4592">
        <v>714</v>
      </c>
      <c r="N4592" t="s">
        <v>65</v>
      </c>
      <c r="R4592" t="s">
        <v>60</v>
      </c>
      <c r="W4592">
        <v>1</v>
      </c>
      <c r="X4592">
        <v>1</v>
      </c>
      <c r="AE4592">
        <v>1</v>
      </c>
      <c r="AF4592">
        <v>0</v>
      </c>
      <c r="AM4592" t="s">
        <v>52</v>
      </c>
      <c r="AN4592" t="s">
        <v>53</v>
      </c>
    </row>
    <row r="4593" spans="1:40">
      <c r="A4593" t="s">
        <v>13057</v>
      </c>
      <c r="B4593" t="s">
        <v>3322</v>
      </c>
      <c r="C4593" t="s">
        <v>13936</v>
      </c>
      <c r="D4593" t="s">
        <v>52</v>
      </c>
      <c r="E4593" t="s">
        <v>13937</v>
      </c>
      <c r="F4593" t="s">
        <v>71</v>
      </c>
      <c r="G4593" t="str">
        <f>HYPERLINK("https://twitter.com/145874917/status/1142587412436135936")</f>
        <v>https://twitter.com/145874917/status/1142587412436135936</v>
      </c>
      <c r="H4593" t="s">
        <v>46</v>
      </c>
      <c r="I4593" t="s">
        <v>13938</v>
      </c>
      <c r="J4593" t="str">
        <f>HYPERLINK("http://twitter.com/titangal65")</f>
        <v>http://twitter.com/titangal65</v>
      </c>
      <c r="K4593">
        <v>3935</v>
      </c>
      <c r="N4593" t="s">
        <v>65</v>
      </c>
      <c r="R4593" t="s">
        <v>60</v>
      </c>
      <c r="S4593" t="s">
        <v>51</v>
      </c>
      <c r="T4593" t="s">
        <v>73</v>
      </c>
      <c r="U4593" t="s">
        <v>13939</v>
      </c>
      <c r="W4593">
        <v>0</v>
      </c>
      <c r="X4593">
        <v>0</v>
      </c>
      <c r="AE4593">
        <v>0</v>
      </c>
      <c r="AF4593">
        <v>0</v>
      </c>
      <c r="AI4593" t="s">
        <v>108</v>
      </c>
      <c r="AJ4593" t="s">
        <v>52</v>
      </c>
      <c r="AK4593" t="s">
        <v>52</v>
      </c>
      <c r="AL4593" t="str">
        <f>HYPERLINK("https://pbs.twimg.com/tweet_video_thumb/D9hvNNzXUAATAS3.jpg")</f>
        <v>https://pbs.twimg.com/tweet_video_thumb/D9hvNNzXUAATAS3.jpg</v>
      </c>
      <c r="AM4593" t="s">
        <v>52</v>
      </c>
      <c r="AN4593" t="s">
        <v>53</v>
      </c>
    </row>
    <row r="4594" spans="1:40">
      <c r="A4594" t="s">
        <v>13057</v>
      </c>
      <c r="B4594" t="s">
        <v>3322</v>
      </c>
      <c r="C4594" t="s">
        <v>13936</v>
      </c>
      <c r="D4594" t="s">
        <v>52</v>
      </c>
      <c r="E4594" t="s">
        <v>13940</v>
      </c>
      <c r="F4594" t="s">
        <v>95</v>
      </c>
      <c r="G4594" t="str">
        <f>HYPERLINK("https://twitter.com/237470802/status/1142587397609336834")</f>
        <v>https://twitter.com/237470802/status/1142587397609336834</v>
      </c>
      <c r="H4594" t="s">
        <v>46</v>
      </c>
      <c r="I4594" t="s">
        <v>13941</v>
      </c>
      <c r="J4594" t="str">
        <f>HYPERLINK("http://twitter.com/RyanMathewDvdsn")</f>
        <v>http://twitter.com/RyanMathewDvdsn</v>
      </c>
      <c r="K4594">
        <v>103</v>
      </c>
      <c r="L4594" t="s">
        <v>48</v>
      </c>
      <c r="N4594" t="s">
        <v>65</v>
      </c>
      <c r="R4594" t="s">
        <v>60</v>
      </c>
      <c r="W4594">
        <v>1</v>
      </c>
      <c r="X4594">
        <v>1</v>
      </c>
      <c r="AE4594">
        <v>0</v>
      </c>
      <c r="AF4594">
        <v>0</v>
      </c>
      <c r="AM4594" t="s">
        <v>52</v>
      </c>
      <c r="AN4594" t="s">
        <v>53</v>
      </c>
    </row>
    <row r="4595" spans="1:40">
      <c r="A4595" t="s">
        <v>13057</v>
      </c>
      <c r="B4595" t="s">
        <v>3353</v>
      </c>
      <c r="C4595" t="s">
        <v>13942</v>
      </c>
      <c r="D4595" t="s">
        <v>52</v>
      </c>
      <c r="E4595" t="s">
        <v>13943</v>
      </c>
      <c r="F4595" t="s">
        <v>45</v>
      </c>
      <c r="G4595" t="str">
        <f>HYPERLINK("https://www.instagram.com/p/BzCCEAGhgNq")</f>
        <v>https://www.instagram.com/p/BzCCEAGhgNq</v>
      </c>
      <c r="H4595" t="s">
        <v>46</v>
      </c>
      <c r="I4595" t="s">
        <v>13944</v>
      </c>
      <c r="J4595" t="str">
        <f>HYPERLINK("http://instagram.com/losingitwithsass")</f>
        <v>http://instagram.com/losingitwithsass</v>
      </c>
      <c r="K4595">
        <v>5657</v>
      </c>
      <c r="N4595" t="s">
        <v>59</v>
      </c>
      <c r="O4595" t="s">
        <v>13944</v>
      </c>
      <c r="P4595" t="str">
        <f>HYPERLINK("http://instagram.com/losingitwithsass")</f>
        <v>http://instagram.com/losingitwithsass</v>
      </c>
      <c r="Q4595">
        <v>5657</v>
      </c>
      <c r="R4595" t="s">
        <v>60</v>
      </c>
      <c r="W4595">
        <v>41</v>
      </c>
      <c r="X4595">
        <v>41</v>
      </c>
      <c r="AE4595">
        <v>0</v>
      </c>
      <c r="AI4595" t="s">
        <v>52</v>
      </c>
      <c r="AJ4595" t="s">
        <v>13945</v>
      </c>
      <c r="AK4595" t="s">
        <v>52</v>
      </c>
      <c r="AL4595" t="str">
        <f>HYPERLINK("https://www.instagram.com/p/BzCCEAGhgNq/media/?size=l")</f>
        <v>https://www.instagram.com/p/BzCCEAGhgNq/media/?size=l</v>
      </c>
      <c r="AM4595" t="s">
        <v>52</v>
      </c>
      <c r="AN4595" t="s">
        <v>53</v>
      </c>
    </row>
    <row r="4596" spans="1:40">
      <c r="A4596" t="s">
        <v>13057</v>
      </c>
      <c r="B4596" t="s">
        <v>13946</v>
      </c>
      <c r="C4596" t="s">
        <v>13947</v>
      </c>
      <c r="D4596" t="s">
        <v>13948</v>
      </c>
      <c r="E4596" t="s">
        <v>13949</v>
      </c>
      <c r="F4596" t="s">
        <v>45</v>
      </c>
      <c r="G4596" t="str">
        <f>HYPERLINK("https://www.youtube.com/watch?v=GYfJsPmbUe4")</f>
        <v>https://www.youtube.com/watch?v=GYfJsPmbUe4</v>
      </c>
      <c r="H4596" t="s">
        <v>46</v>
      </c>
      <c r="I4596" t="s">
        <v>13950</v>
      </c>
      <c r="J4596" t="str">
        <f>HYPERLINK("https://www.youtube.com/channel/UCQ1eOX6eoDxD_1lNWFoAmxw")</f>
        <v>https://www.youtube.com/channel/UCQ1eOX6eoDxD_1lNWFoAmxw</v>
      </c>
      <c r="K4596">
        <v>1</v>
      </c>
      <c r="N4596" t="s">
        <v>116</v>
      </c>
      <c r="O4596" t="s">
        <v>13950</v>
      </c>
      <c r="P4596" t="str">
        <f>HYPERLINK("https://www.youtube.com/channel/UCQ1eOX6eoDxD_1lNWFoAmxw")</f>
        <v>https://www.youtube.com/channel/UCQ1eOX6eoDxD_1lNWFoAmxw</v>
      </c>
      <c r="Q4596">
        <v>1</v>
      </c>
      <c r="R4596" t="s">
        <v>60</v>
      </c>
      <c r="W4596">
        <v>2</v>
      </c>
      <c r="X4596">
        <v>2</v>
      </c>
      <c r="AD4596">
        <v>0</v>
      </c>
      <c r="AE4596">
        <v>0</v>
      </c>
      <c r="AG4596">
        <v>8</v>
      </c>
      <c r="AI4596" t="s">
        <v>108</v>
      </c>
      <c r="AJ4596" t="s">
        <v>52</v>
      </c>
      <c r="AK4596" t="s">
        <v>52</v>
      </c>
      <c r="AL4596" t="str">
        <f>HYPERLINK("https://i.ytimg.com/vi/GYfJsPmbUe4/hqdefault.jpg")</f>
        <v>https://i.ytimg.com/vi/GYfJsPmbUe4/hqdefault.jpg</v>
      </c>
      <c r="AM4596" t="s">
        <v>52</v>
      </c>
      <c r="AN4596" t="s">
        <v>53</v>
      </c>
    </row>
    <row r="4597" spans="1:40">
      <c r="A4597" t="s">
        <v>13057</v>
      </c>
      <c r="B4597" t="s">
        <v>13946</v>
      </c>
      <c r="C4597" t="s">
        <v>13936</v>
      </c>
      <c r="D4597" t="s">
        <v>52</v>
      </c>
      <c r="E4597" t="s">
        <v>4514</v>
      </c>
      <c r="F4597" t="s">
        <v>71</v>
      </c>
      <c r="G4597" t="str">
        <f>HYPERLINK("https://twitter.com/832069437809254400/status/1142585896400609280")</f>
        <v>https://twitter.com/832069437809254400/status/1142585896400609280</v>
      </c>
      <c r="H4597" t="s">
        <v>46</v>
      </c>
      <c r="I4597" t="s">
        <v>13951</v>
      </c>
      <c r="J4597" t="str">
        <f>HYPERLINK("http://twitter.com/jiatianl_")</f>
        <v>http://twitter.com/jiatianl_</v>
      </c>
      <c r="K4597">
        <v>126</v>
      </c>
      <c r="N4597" t="s">
        <v>65</v>
      </c>
      <c r="R4597" t="s">
        <v>60</v>
      </c>
      <c r="W4597">
        <v>0</v>
      </c>
      <c r="X4597">
        <v>0</v>
      </c>
      <c r="AE4597">
        <v>0</v>
      </c>
      <c r="AF4597">
        <v>0</v>
      </c>
      <c r="AI4597" t="s">
        <v>108</v>
      </c>
      <c r="AJ4597" t="s">
        <v>52</v>
      </c>
      <c r="AK4597" t="s">
        <v>52</v>
      </c>
      <c r="AL4597" t="str">
        <f>HYPERLINK("https://pbs.twimg.com/tweet_video_thumb/D9hvNNzXUAATAS3.jpg")</f>
        <v>https://pbs.twimg.com/tweet_video_thumb/D9hvNNzXUAATAS3.jpg</v>
      </c>
      <c r="AM4597" t="s">
        <v>52</v>
      </c>
      <c r="AN4597" t="s">
        <v>53</v>
      </c>
    </row>
    <row r="4598" spans="1:40">
      <c r="A4598" t="s">
        <v>13057</v>
      </c>
      <c r="B4598" t="s">
        <v>13946</v>
      </c>
      <c r="C4598" t="s">
        <v>13952</v>
      </c>
      <c r="D4598" t="s">
        <v>52</v>
      </c>
      <c r="E4598" t="s">
        <v>13953</v>
      </c>
      <c r="F4598" t="s">
        <v>95</v>
      </c>
      <c r="G4598" t="str">
        <f>HYPERLINK("https://twitter.com/1116777191755456515/status/1142585823776399360")</f>
        <v>https://twitter.com/1116777191755456515/status/1142585823776399360</v>
      </c>
      <c r="H4598" t="s">
        <v>46</v>
      </c>
      <c r="I4598" t="s">
        <v>13954</v>
      </c>
      <c r="J4598" t="str">
        <f>HYPERLINK("http://twitter.com/Israeru1")</f>
        <v>http://twitter.com/Israeru1</v>
      </c>
      <c r="K4598">
        <v>255</v>
      </c>
      <c r="N4598" t="s">
        <v>65</v>
      </c>
      <c r="R4598" t="s">
        <v>60</v>
      </c>
      <c r="W4598">
        <v>0</v>
      </c>
      <c r="X4598">
        <v>0</v>
      </c>
      <c r="AE4598">
        <v>0</v>
      </c>
      <c r="AF4598">
        <v>0</v>
      </c>
      <c r="AM4598" t="s">
        <v>52</v>
      </c>
      <c r="AN4598" t="s">
        <v>53</v>
      </c>
    </row>
    <row r="4599" spans="1:40">
      <c r="A4599" t="s">
        <v>13057</v>
      </c>
      <c r="B4599" t="s">
        <v>3377</v>
      </c>
      <c r="C4599" t="s">
        <v>13955</v>
      </c>
      <c r="D4599" t="s">
        <v>52</v>
      </c>
      <c r="E4599" t="s">
        <v>13956</v>
      </c>
      <c r="F4599" t="s">
        <v>71</v>
      </c>
      <c r="G4599" t="str">
        <f>HYPERLINK("https://twitter.com/339388068/status/1142585547816361984")</f>
        <v>https://twitter.com/339388068/status/1142585547816361984</v>
      </c>
      <c r="H4599" t="s">
        <v>46</v>
      </c>
      <c r="I4599" t="s">
        <v>13957</v>
      </c>
      <c r="J4599" t="str">
        <f>HYPERLINK("http://twitter.com/NikkiKC79")</f>
        <v>http://twitter.com/NikkiKC79</v>
      </c>
      <c r="K4599">
        <v>1037</v>
      </c>
      <c r="N4599" t="s">
        <v>65</v>
      </c>
      <c r="R4599" t="s">
        <v>60</v>
      </c>
      <c r="S4599" t="s">
        <v>51</v>
      </c>
      <c r="T4599" t="s">
        <v>2200</v>
      </c>
      <c r="U4599" t="s">
        <v>13958</v>
      </c>
      <c r="W4599">
        <v>0</v>
      </c>
      <c r="X4599">
        <v>0</v>
      </c>
      <c r="AE4599">
        <v>0</v>
      </c>
      <c r="AF4599">
        <v>0</v>
      </c>
      <c r="AI4599" t="s">
        <v>108</v>
      </c>
      <c r="AJ4599" t="s">
        <v>52</v>
      </c>
      <c r="AK4599" t="s">
        <v>52</v>
      </c>
      <c r="AL4599" t="str">
        <f>HYPERLINK("https://pbs.twimg.com/tweet_video_thumb/D9hvNNzXUAATAS3.jpg")</f>
        <v>https://pbs.twimg.com/tweet_video_thumb/D9hvNNzXUAATAS3.jpg</v>
      </c>
      <c r="AM4599" t="s">
        <v>52</v>
      </c>
      <c r="AN4599" t="s">
        <v>53</v>
      </c>
    </row>
    <row r="4600" spans="1:40">
      <c r="A4600" t="s">
        <v>13057</v>
      </c>
      <c r="B4600" t="s">
        <v>3377</v>
      </c>
      <c r="C4600" t="s">
        <v>13959</v>
      </c>
      <c r="D4600" t="s">
        <v>52</v>
      </c>
      <c r="E4600" t="s">
        <v>13960</v>
      </c>
      <c r="F4600" t="s">
        <v>45</v>
      </c>
      <c r="G4600" t="str">
        <f>HYPERLINK("https://twitter.com/3461271869/status/1142585316341092352")</f>
        <v>https://twitter.com/3461271869/status/1142585316341092352</v>
      </c>
      <c r="H4600" t="s">
        <v>46</v>
      </c>
      <c r="I4600" t="s">
        <v>13961</v>
      </c>
      <c r="J4600" t="str">
        <f>HYPERLINK("http://twitter.com/alexroy___")</f>
        <v>http://twitter.com/alexroy___</v>
      </c>
      <c r="K4600">
        <v>41</v>
      </c>
      <c r="N4600" t="s">
        <v>65</v>
      </c>
      <c r="R4600" t="s">
        <v>60</v>
      </c>
      <c r="W4600">
        <v>4</v>
      </c>
      <c r="X4600">
        <v>4</v>
      </c>
      <c r="AE4600">
        <v>0</v>
      </c>
      <c r="AF4600">
        <v>0</v>
      </c>
      <c r="AI4600" t="s">
        <v>52</v>
      </c>
      <c r="AJ4600" t="s">
        <v>52</v>
      </c>
      <c r="AK4600" t="s">
        <v>52</v>
      </c>
      <c r="AL4600" t="str">
        <f>HYPERLINK("https://pbs.twimg.com/media/D9tG6vSX4AAqNC-.jpg")</f>
        <v>https://pbs.twimg.com/media/D9tG6vSX4AAqNC-.jpg</v>
      </c>
      <c r="AM4600" t="s">
        <v>52</v>
      </c>
      <c r="AN4600" t="s">
        <v>53</v>
      </c>
    </row>
    <row r="4601" spans="1:40">
      <c r="A4601" t="s">
        <v>13057</v>
      </c>
      <c r="B4601" t="s">
        <v>9130</v>
      </c>
      <c r="C4601" t="s">
        <v>13962</v>
      </c>
      <c r="D4601" t="s">
        <v>52</v>
      </c>
      <c r="E4601" t="s">
        <v>13963</v>
      </c>
      <c r="F4601" t="s">
        <v>45</v>
      </c>
      <c r="G4601" t="str">
        <f>HYPERLINK("https://twitter.com/2497842880/status/1142584948106440709")</f>
        <v>https://twitter.com/2497842880/status/1142584948106440709</v>
      </c>
      <c r="H4601" t="s">
        <v>46</v>
      </c>
      <c r="I4601" t="s">
        <v>13964</v>
      </c>
      <c r="J4601" t="str">
        <f>HYPERLINK("http://twitter.com/s1mple3sp0ng3")</f>
        <v>http://twitter.com/s1mple3sp0ng3</v>
      </c>
      <c r="K4601">
        <v>36</v>
      </c>
      <c r="N4601" t="s">
        <v>65</v>
      </c>
      <c r="R4601" t="s">
        <v>60</v>
      </c>
      <c r="S4601" t="s">
        <v>51</v>
      </c>
      <c r="T4601" t="s">
        <v>1657</v>
      </c>
      <c r="U4601" t="s">
        <v>13965</v>
      </c>
      <c r="W4601">
        <v>0</v>
      </c>
      <c r="X4601">
        <v>0</v>
      </c>
      <c r="AE4601">
        <v>0</v>
      </c>
      <c r="AF4601">
        <v>0</v>
      </c>
      <c r="AM4601" t="s">
        <v>52</v>
      </c>
      <c r="AN4601" t="s">
        <v>53</v>
      </c>
    </row>
    <row r="4602" spans="1:40">
      <c r="A4602" t="s">
        <v>13057</v>
      </c>
      <c r="B4602" t="s">
        <v>3393</v>
      </c>
      <c r="C4602" t="s">
        <v>13917</v>
      </c>
      <c r="D4602" t="s">
        <v>52</v>
      </c>
      <c r="E4602" t="s">
        <v>13966</v>
      </c>
      <c r="F4602" t="s">
        <v>45</v>
      </c>
      <c r="G4602" t="str">
        <f>HYPERLINK("https://www.instagram.com/p/BzCBLKFo_li")</f>
        <v>https://www.instagram.com/p/BzCBLKFo_li</v>
      </c>
      <c r="H4602" t="s">
        <v>46</v>
      </c>
      <c r="I4602" t="s">
        <v>13967</v>
      </c>
      <c r="J4602" t="str">
        <f>HYPERLINK("http://instagram.com/franziskasfoodieswithviolett")</f>
        <v>http://instagram.com/franziskasfoodieswithviolett</v>
      </c>
      <c r="K4602">
        <v>0</v>
      </c>
      <c r="L4602" t="s">
        <v>651</v>
      </c>
      <c r="N4602" t="s">
        <v>59</v>
      </c>
      <c r="O4602" t="s">
        <v>13967</v>
      </c>
      <c r="P4602" t="str">
        <f>HYPERLINK("http://instagram.com/franziskasfoodieswithviolett")</f>
        <v>http://instagram.com/franziskasfoodieswithviolett</v>
      </c>
      <c r="Q4602">
        <v>0</v>
      </c>
      <c r="R4602" t="s">
        <v>60</v>
      </c>
      <c r="S4602" t="s">
        <v>51</v>
      </c>
      <c r="T4602" t="s">
        <v>84</v>
      </c>
      <c r="U4602" t="s">
        <v>85</v>
      </c>
      <c r="W4602">
        <v>1</v>
      </c>
      <c r="X4602">
        <v>1</v>
      </c>
      <c r="AE4602">
        <v>3</v>
      </c>
      <c r="AI4602" t="s">
        <v>52</v>
      </c>
      <c r="AJ4602" t="s">
        <v>303</v>
      </c>
      <c r="AK4602" t="s">
        <v>52</v>
      </c>
      <c r="AL4602" t="str">
        <f>HYPERLINK("https://www.instagram.com/p/BzCBLKFo_li/media/?size=l")</f>
        <v>https://www.instagram.com/p/BzCBLKFo_li/media/?size=l</v>
      </c>
      <c r="AM4602" t="s">
        <v>52</v>
      </c>
      <c r="AN4602" t="s">
        <v>53</v>
      </c>
    </row>
    <row r="4603" spans="1:40">
      <c r="A4603" t="s">
        <v>13057</v>
      </c>
      <c r="B4603" t="s">
        <v>3398</v>
      </c>
      <c r="C4603" t="s">
        <v>12123</v>
      </c>
      <c r="D4603" t="s">
        <v>52</v>
      </c>
      <c r="E4603" t="s">
        <v>13968</v>
      </c>
      <c r="F4603" t="s">
        <v>45</v>
      </c>
      <c r="G4603" t="str">
        <f>HYPERLINK("https://www.instagram.com/p/BzCBFoRHzTd")</f>
        <v>https://www.instagram.com/p/BzCBFoRHzTd</v>
      </c>
      <c r="H4603" t="s">
        <v>46</v>
      </c>
      <c r="I4603" t="s">
        <v>13969</v>
      </c>
      <c r="J4603" t="str">
        <f>HYPERLINK("http://instagram.com/morenaud")</f>
        <v>http://instagram.com/morenaud</v>
      </c>
      <c r="K4603">
        <v>443</v>
      </c>
      <c r="L4603" t="s">
        <v>58</v>
      </c>
      <c r="N4603" t="s">
        <v>59</v>
      </c>
      <c r="O4603" t="s">
        <v>13969</v>
      </c>
      <c r="P4603" t="str">
        <f>HYPERLINK("http://instagram.com/morenaud")</f>
        <v>http://instagram.com/morenaud</v>
      </c>
      <c r="Q4603">
        <v>443</v>
      </c>
      <c r="R4603" t="s">
        <v>60</v>
      </c>
      <c r="S4603" t="s">
        <v>444</v>
      </c>
      <c r="T4603" t="s">
        <v>1062</v>
      </c>
      <c r="U4603" t="s">
        <v>13970</v>
      </c>
      <c r="W4603">
        <v>26</v>
      </c>
      <c r="X4603">
        <v>26</v>
      </c>
      <c r="AE4603">
        <v>0</v>
      </c>
      <c r="AI4603" t="s">
        <v>2529</v>
      </c>
      <c r="AJ4603" t="s">
        <v>13971</v>
      </c>
      <c r="AK4603" t="s">
        <v>612</v>
      </c>
      <c r="AL4603" t="str">
        <f>HYPERLINK("https://www.instagram.com/p/BzCBFoRHzTd/media/?size=l")</f>
        <v>https://www.instagram.com/p/BzCBFoRHzTd/media/?size=l</v>
      </c>
      <c r="AM4603" t="s">
        <v>52</v>
      </c>
      <c r="AN4603" t="s">
        <v>53</v>
      </c>
    </row>
    <row r="4604" spans="1:40">
      <c r="A4604" t="s">
        <v>13057</v>
      </c>
      <c r="B4604" t="s">
        <v>3398</v>
      </c>
      <c r="C4604" t="s">
        <v>13962</v>
      </c>
      <c r="D4604" t="s">
        <v>52</v>
      </c>
      <c r="E4604" t="s">
        <v>13972</v>
      </c>
      <c r="F4604" t="s">
        <v>45</v>
      </c>
      <c r="G4604" t="str">
        <f>HYPERLINK("https://twitter.com/16475214/status/1142584342167711747")</f>
        <v>https://twitter.com/16475214/status/1142584342167711747</v>
      </c>
      <c r="H4604" t="s">
        <v>46</v>
      </c>
      <c r="I4604" t="s">
        <v>13973</v>
      </c>
      <c r="J4604" t="str">
        <f>HYPERLINK("http://twitter.com/Nerd_Shark69")</f>
        <v>http://twitter.com/Nerd_Shark69</v>
      </c>
      <c r="K4604">
        <v>152</v>
      </c>
      <c r="N4604" t="s">
        <v>65</v>
      </c>
      <c r="R4604" t="s">
        <v>60</v>
      </c>
      <c r="S4604" t="s">
        <v>774</v>
      </c>
      <c r="T4604" t="s">
        <v>13974</v>
      </c>
      <c r="W4604">
        <v>1</v>
      </c>
      <c r="X4604">
        <v>1</v>
      </c>
      <c r="AE4604">
        <v>1</v>
      </c>
      <c r="AF4604">
        <v>0</v>
      </c>
      <c r="AM4604" t="s">
        <v>52</v>
      </c>
      <c r="AN4604" t="s">
        <v>53</v>
      </c>
    </row>
    <row r="4605" spans="1:40">
      <c r="A4605" t="s">
        <v>13057</v>
      </c>
      <c r="B4605" t="s">
        <v>9154</v>
      </c>
      <c r="C4605" t="s">
        <v>13962</v>
      </c>
      <c r="D4605" t="s">
        <v>52</v>
      </c>
      <c r="E4605" t="s">
        <v>13975</v>
      </c>
      <c r="F4605" t="s">
        <v>95</v>
      </c>
      <c r="G4605" t="str">
        <f>HYPERLINK("https://twitter.com/21951240/status/1142584208419950592")</f>
        <v>https://twitter.com/21951240/status/1142584208419950592</v>
      </c>
      <c r="H4605" t="s">
        <v>46</v>
      </c>
      <c r="I4605" t="s">
        <v>13976</v>
      </c>
      <c r="J4605" t="str">
        <f>HYPERLINK("http://twitter.com/Chazperin")</f>
        <v>http://twitter.com/Chazperin</v>
      </c>
      <c r="K4605">
        <v>663</v>
      </c>
      <c r="L4605" t="s">
        <v>48</v>
      </c>
      <c r="N4605" t="s">
        <v>65</v>
      </c>
      <c r="R4605" t="s">
        <v>60</v>
      </c>
      <c r="S4605" t="s">
        <v>1034</v>
      </c>
      <c r="U4605" t="s">
        <v>4177</v>
      </c>
      <c r="W4605">
        <v>1</v>
      </c>
      <c r="X4605">
        <v>1</v>
      </c>
      <c r="AE4605">
        <v>0</v>
      </c>
      <c r="AF4605">
        <v>0</v>
      </c>
      <c r="AM4605" t="s">
        <v>52</v>
      </c>
      <c r="AN4605" t="s">
        <v>53</v>
      </c>
    </row>
    <row r="4606" spans="1:40">
      <c r="A4606" t="s">
        <v>13057</v>
      </c>
      <c r="B4606" t="s">
        <v>9154</v>
      </c>
      <c r="C4606" t="s">
        <v>13977</v>
      </c>
      <c r="D4606" t="s">
        <v>52</v>
      </c>
      <c r="E4606" t="s">
        <v>13978</v>
      </c>
      <c r="F4606" t="s">
        <v>45</v>
      </c>
      <c r="G4606" t="str">
        <f>HYPERLINK("https://twitter.com/2322207225/status/1142584050219196421")</f>
        <v>https://twitter.com/2322207225/status/1142584050219196421</v>
      </c>
      <c r="H4606" t="s">
        <v>46</v>
      </c>
      <c r="I4606" t="s">
        <v>13979</v>
      </c>
      <c r="J4606" t="str">
        <f>HYPERLINK("http://twitter.com/WBlizters")</f>
        <v>http://twitter.com/WBlizters</v>
      </c>
      <c r="K4606">
        <v>480</v>
      </c>
      <c r="N4606" t="s">
        <v>65</v>
      </c>
      <c r="R4606" t="s">
        <v>60</v>
      </c>
      <c r="S4606" t="s">
        <v>3121</v>
      </c>
      <c r="T4606" t="s">
        <v>3122</v>
      </c>
      <c r="U4606" t="s">
        <v>3123</v>
      </c>
      <c r="W4606">
        <v>0</v>
      </c>
      <c r="X4606">
        <v>0</v>
      </c>
      <c r="AE4606">
        <v>0</v>
      </c>
      <c r="AF4606">
        <v>0</v>
      </c>
      <c r="AI4606" t="s">
        <v>52</v>
      </c>
      <c r="AJ4606" t="s">
        <v>52</v>
      </c>
      <c r="AK4606" t="s">
        <v>52</v>
      </c>
      <c r="AL4606" t="str">
        <f>HYPERLINK("https://pbs.twimg.com/media/D9tGISmXUAEqlsE.jpg")</f>
        <v>https://pbs.twimg.com/media/D9tGISmXUAEqlsE.jpg</v>
      </c>
      <c r="AM4606" t="s">
        <v>52</v>
      </c>
      <c r="AN4606" t="s">
        <v>53</v>
      </c>
    </row>
    <row r="4607" spans="1:40">
      <c r="A4607" t="s">
        <v>13057</v>
      </c>
      <c r="B4607" t="s">
        <v>3413</v>
      </c>
      <c r="C4607" t="s">
        <v>13457</v>
      </c>
      <c r="D4607" t="s">
        <v>108</v>
      </c>
      <c r="E4607" t="s">
        <v>13980</v>
      </c>
      <c r="F4607" t="s">
        <v>45</v>
      </c>
      <c r="G4607" t="str">
        <f>HYPERLINK("https://www.youtube.com/watch?v=tixAx9i0Sag")</f>
        <v>https://www.youtube.com/watch?v=tixAx9i0Sag</v>
      </c>
      <c r="H4607" t="s">
        <v>46</v>
      </c>
      <c r="I4607" t="s">
        <v>13981</v>
      </c>
      <c r="J4607" t="str">
        <f>HYPERLINK("https://www.youtube.com/channel/UCqkzro4-j7BIhPaN4ixwlhQ")</f>
        <v>https://www.youtube.com/channel/UCqkzro4-j7BIhPaN4ixwlhQ</v>
      </c>
      <c r="K4607">
        <v>2</v>
      </c>
      <c r="N4607" t="s">
        <v>116</v>
      </c>
      <c r="O4607" t="s">
        <v>13981</v>
      </c>
      <c r="P4607" t="str">
        <f>HYPERLINK("https://www.youtube.com/channel/UCqkzro4-j7BIhPaN4ixwlhQ")</f>
        <v>https://www.youtube.com/channel/UCqkzro4-j7BIhPaN4ixwlhQ</v>
      </c>
      <c r="Q4607">
        <v>2</v>
      </c>
      <c r="R4607" t="s">
        <v>60</v>
      </c>
      <c r="W4607">
        <v>0</v>
      </c>
      <c r="X4607">
        <v>0</v>
      </c>
      <c r="AD4607">
        <v>0</v>
      </c>
      <c r="AE4607">
        <v>0</v>
      </c>
      <c r="AG4607">
        <v>2</v>
      </c>
      <c r="AI4607" t="s">
        <v>52</v>
      </c>
      <c r="AJ4607" t="s">
        <v>13982</v>
      </c>
      <c r="AK4607" t="s">
        <v>2468</v>
      </c>
      <c r="AL4607" t="str">
        <f>HYPERLINK("https://i.ytimg.com/vi/tixAx9i0Sag/maxresdefault.jpg")</f>
        <v>https://i.ytimg.com/vi/tixAx9i0Sag/maxresdefault.jpg</v>
      </c>
      <c r="AM4607" t="s">
        <v>52</v>
      </c>
      <c r="AN4607" t="s">
        <v>53</v>
      </c>
    </row>
    <row r="4608" spans="1:40">
      <c r="A4608" t="s">
        <v>13057</v>
      </c>
      <c r="B4608" t="s">
        <v>3413</v>
      </c>
      <c r="C4608" t="s">
        <v>13983</v>
      </c>
      <c r="D4608" t="s">
        <v>52</v>
      </c>
      <c r="E4608" t="s">
        <v>13984</v>
      </c>
      <c r="F4608" t="s">
        <v>95</v>
      </c>
      <c r="G4608" t="str">
        <f>HYPERLINK("https://twitter.com/767756725558579200/status/1142583601155977216")</f>
        <v>https://twitter.com/767756725558579200/status/1142583601155977216</v>
      </c>
      <c r="H4608" t="s">
        <v>46</v>
      </c>
      <c r="I4608" t="s">
        <v>13985</v>
      </c>
      <c r="J4608" t="str">
        <f>HYPERLINK("http://twitter.com/kung_fu_naim")</f>
        <v>http://twitter.com/kung_fu_naim</v>
      </c>
      <c r="K4608">
        <v>112</v>
      </c>
      <c r="N4608" t="s">
        <v>65</v>
      </c>
      <c r="R4608" t="s">
        <v>60</v>
      </c>
      <c r="S4608" t="s">
        <v>387</v>
      </c>
      <c r="T4608" t="s">
        <v>388</v>
      </c>
      <c r="U4608" t="s">
        <v>13986</v>
      </c>
      <c r="W4608">
        <v>0</v>
      </c>
      <c r="X4608">
        <v>0</v>
      </c>
      <c r="AE4608">
        <v>2</v>
      </c>
      <c r="AF4608">
        <v>0</v>
      </c>
      <c r="AM4608" t="s">
        <v>52</v>
      </c>
      <c r="AN4608" t="s">
        <v>53</v>
      </c>
    </row>
    <row r="4609" spans="1:40">
      <c r="A4609" t="s">
        <v>13057</v>
      </c>
      <c r="B4609" t="s">
        <v>3419</v>
      </c>
      <c r="C4609" t="s">
        <v>13987</v>
      </c>
      <c r="D4609" t="s">
        <v>13988</v>
      </c>
      <c r="E4609" t="s">
        <v>13989</v>
      </c>
      <c r="F4609" t="s">
        <v>45</v>
      </c>
      <c r="G4609" t="str">
        <f>HYPERLINK("http://www.fanpop.com/clubs/windwakerguy430/articles/271372/title/seans-spectacular-saturday-stories-episode-59-part-1-2")</f>
        <v>http://www.fanpop.com/clubs/windwakerguy430/articles/271372/title/seans-spectacular-saturday-stories-episode-59-part-1-2</v>
      </c>
      <c r="H4609" t="s">
        <v>46</v>
      </c>
      <c r="I4609" t="s">
        <v>13990</v>
      </c>
      <c r="J4609" t="str">
        <f>HYPERLINK("http://www.fanpop.com")</f>
        <v>http://www.fanpop.com</v>
      </c>
      <c r="N4609" t="s">
        <v>13991</v>
      </c>
      <c r="R4609" t="s">
        <v>357</v>
      </c>
      <c r="S4609" t="s">
        <v>51</v>
      </c>
      <c r="AM4609" t="s">
        <v>52</v>
      </c>
      <c r="AN4609" t="s">
        <v>53</v>
      </c>
    </row>
    <row r="4610" spans="1:40">
      <c r="A4610" t="s">
        <v>13057</v>
      </c>
      <c r="B4610" t="s">
        <v>3419</v>
      </c>
      <c r="C4610" t="s">
        <v>13992</v>
      </c>
      <c r="D4610" t="s">
        <v>52</v>
      </c>
      <c r="E4610" t="s">
        <v>276</v>
      </c>
      <c r="F4610" t="s">
        <v>131</v>
      </c>
      <c r="G4610" t="str">
        <f>HYPERLINK("https://twitter.com/711446800150843392/status/1142583098107785217")</f>
        <v>https://twitter.com/711446800150843392/status/1142583098107785217</v>
      </c>
      <c r="H4610" t="s">
        <v>46</v>
      </c>
      <c r="I4610" t="s">
        <v>13993</v>
      </c>
      <c r="J4610" t="str">
        <f>HYPERLINK("http://twitter.com/queen_12345678")</f>
        <v>http://twitter.com/queen_12345678</v>
      </c>
      <c r="K4610">
        <v>416</v>
      </c>
      <c r="N4610" t="s">
        <v>65</v>
      </c>
      <c r="R4610" t="s">
        <v>60</v>
      </c>
      <c r="W4610">
        <v>0</v>
      </c>
      <c r="X4610">
        <v>0</v>
      </c>
      <c r="AE4610">
        <v>0</v>
      </c>
      <c r="AI4610" t="s">
        <v>108</v>
      </c>
      <c r="AJ4610" t="s">
        <v>52</v>
      </c>
      <c r="AK4610" t="s">
        <v>52</v>
      </c>
      <c r="AL4610" t="str">
        <f>HYPERLINK("https://pbs.twimg.com/tweet_video_thumb/D9hvNNzXUAATAS3.jpg")</f>
        <v>https://pbs.twimg.com/tweet_video_thumb/D9hvNNzXUAATAS3.jpg</v>
      </c>
      <c r="AM4610" t="s">
        <v>52</v>
      </c>
      <c r="AN4610" t="s">
        <v>53</v>
      </c>
    </row>
    <row r="4611" spans="1:40">
      <c r="A4611" t="s">
        <v>13057</v>
      </c>
      <c r="B4611" t="s">
        <v>3419</v>
      </c>
      <c r="C4611" t="s">
        <v>6991</v>
      </c>
      <c r="D4611" t="s">
        <v>13994</v>
      </c>
      <c r="E4611" t="s">
        <v>13995</v>
      </c>
      <c r="F4611" t="s">
        <v>45</v>
      </c>
      <c r="G4611" t="str">
        <f>HYPERLINK("https://yourdailygiveaway.com/frito-lay-cheesy-mix-variety-pack-40-count-6")</f>
        <v>https://yourdailygiveaway.com/frito-lay-cheesy-mix-variety-pack-40-count-6</v>
      </c>
      <c r="H4611" t="s">
        <v>46</v>
      </c>
      <c r="N4611" t="s">
        <v>13996</v>
      </c>
      <c r="R4611" t="s">
        <v>357</v>
      </c>
      <c r="S4611" t="s">
        <v>51</v>
      </c>
      <c r="AM4611" t="s">
        <v>52</v>
      </c>
      <c r="AN4611" t="s">
        <v>53</v>
      </c>
    </row>
    <row r="4612" spans="1:40">
      <c r="A4612" t="s">
        <v>13057</v>
      </c>
      <c r="B4612" t="s">
        <v>3419</v>
      </c>
      <c r="C4612" t="s">
        <v>7019</v>
      </c>
      <c r="D4612" t="s">
        <v>13997</v>
      </c>
      <c r="E4612" t="s">
        <v>13998</v>
      </c>
      <c r="F4612" t="s">
        <v>45</v>
      </c>
      <c r="G4612" t="str">
        <f>HYPERLINK("https://www.buzzfeed.com/br/raechilling/teste-sabores-de-sorvete-estranhos-status-relacionamento?utm_source=dynamic&amp;utm_campaign=bfsharetwitter&amp;quiz_result=121892073_363324863")</f>
        <v>https://www.buzzfeed.com/br/raechilling/teste-sabores-de-sorvete-estranhos-status-relacionamento?utm_source=dynamic&amp;utm_campaign=bfsharetwitter&amp;quiz_result=121892073_363324863</v>
      </c>
      <c r="H4612" t="s">
        <v>46</v>
      </c>
      <c r="I4612" t="s">
        <v>13999</v>
      </c>
      <c r="J4612" t="str">
        <f>HYPERLINK("https://www.buzzfeed.com/br/raechilling/teste-sabores-de-sorvete-estranhos-status-relacionamento?utm_source=dynamic&amp;utm_campaign=bfsharetwitter&amp;quiz_result=121892073_363324863")</f>
        <v>https://www.buzzfeed.com/br/raechilling/teste-sabores-de-sorvete-estranhos-status-relacionamento?utm_source=dynamic&amp;utm_campaign=bfsharetwitter&amp;quiz_result=121892073_363324863</v>
      </c>
      <c r="N4612" t="s">
        <v>14000</v>
      </c>
      <c r="R4612" t="s">
        <v>357</v>
      </c>
      <c r="S4612" t="s">
        <v>51</v>
      </c>
      <c r="AM4612" t="s">
        <v>52</v>
      </c>
      <c r="AN4612" t="s">
        <v>53</v>
      </c>
    </row>
    <row r="4613" spans="1:40">
      <c r="A4613" t="s">
        <v>13057</v>
      </c>
      <c r="B4613" t="s">
        <v>3419</v>
      </c>
      <c r="C4613" t="s">
        <v>14001</v>
      </c>
      <c r="D4613" t="s">
        <v>14002</v>
      </c>
      <c r="E4613" t="s">
        <v>14003</v>
      </c>
      <c r="F4613" t="s">
        <v>45</v>
      </c>
      <c r="G4613" t="str">
        <f>HYPERLINK("https://forthemommas.com/store-deals/target/target-deals-coupon-matchups-06-23-06-29")</f>
        <v>https://forthemommas.com/store-deals/target/target-deals-coupon-matchups-06-23-06-29</v>
      </c>
      <c r="H4613" t="s">
        <v>46</v>
      </c>
      <c r="I4613" t="s">
        <v>11706</v>
      </c>
      <c r="J4613" t="str">
        <f>HYPERLINK("https://forthemommas.com/store-deals/target/target-deals-coupon-matchups-06-23-06-29")</f>
        <v>https://forthemommas.com/store-deals/target/target-deals-coupon-matchups-06-23-06-29</v>
      </c>
      <c r="N4613" t="s">
        <v>11706</v>
      </c>
      <c r="R4613" t="s">
        <v>50</v>
      </c>
      <c r="S4613" t="s">
        <v>51</v>
      </c>
      <c r="AM4613" t="s">
        <v>52</v>
      </c>
      <c r="AN4613" t="s">
        <v>53</v>
      </c>
    </row>
    <row r="4614" spans="1:40">
      <c r="A4614" t="s">
        <v>13057</v>
      </c>
      <c r="B4614" t="s">
        <v>9179</v>
      </c>
      <c r="C4614" t="s">
        <v>13977</v>
      </c>
      <c r="D4614" t="s">
        <v>52</v>
      </c>
      <c r="E4614" t="s">
        <v>4514</v>
      </c>
      <c r="F4614" t="s">
        <v>71</v>
      </c>
      <c r="G4614" t="str">
        <f>HYPERLINK("https://twitter.com/523912004/status/1142582943208136710")</f>
        <v>https://twitter.com/523912004/status/1142582943208136710</v>
      </c>
      <c r="H4614" t="s">
        <v>46</v>
      </c>
      <c r="I4614" t="s">
        <v>14004</v>
      </c>
      <c r="J4614" t="str">
        <f>HYPERLINK("http://twitter.com/HawkeyeJane")</f>
        <v>http://twitter.com/HawkeyeJane</v>
      </c>
      <c r="K4614">
        <v>287</v>
      </c>
      <c r="L4614" t="s">
        <v>58</v>
      </c>
      <c r="N4614" t="s">
        <v>65</v>
      </c>
      <c r="R4614" t="s">
        <v>60</v>
      </c>
      <c r="S4614" t="s">
        <v>51</v>
      </c>
      <c r="T4614" t="s">
        <v>84</v>
      </c>
      <c r="U4614" t="s">
        <v>85</v>
      </c>
      <c r="W4614">
        <v>0</v>
      </c>
      <c r="X4614">
        <v>0</v>
      </c>
      <c r="AE4614">
        <v>0</v>
      </c>
      <c r="AF4614">
        <v>0</v>
      </c>
      <c r="AI4614" t="s">
        <v>108</v>
      </c>
      <c r="AJ4614" t="s">
        <v>52</v>
      </c>
      <c r="AK4614" t="s">
        <v>52</v>
      </c>
      <c r="AL4614" t="str">
        <f>HYPERLINK("https://pbs.twimg.com/tweet_video_thumb/D9hvNNzXUAATAS3.jpg")</f>
        <v>https://pbs.twimg.com/tweet_video_thumb/D9hvNNzXUAATAS3.jpg</v>
      </c>
      <c r="AM4614" t="s">
        <v>52</v>
      </c>
      <c r="AN4614" t="s">
        <v>53</v>
      </c>
    </row>
    <row r="4615" spans="1:40">
      <c r="A4615" t="s">
        <v>13057</v>
      </c>
      <c r="B4615" t="s">
        <v>3430</v>
      </c>
      <c r="C4615" t="s">
        <v>14005</v>
      </c>
      <c r="D4615" t="s">
        <v>52</v>
      </c>
      <c r="E4615" t="s">
        <v>14006</v>
      </c>
      <c r="F4615" t="s">
        <v>45</v>
      </c>
      <c r="G4615" t="str">
        <f>HYPERLINK("https://twitter.com/1914444595/status/1142582677549142016")</f>
        <v>https://twitter.com/1914444595/status/1142582677549142016</v>
      </c>
      <c r="H4615" t="s">
        <v>46</v>
      </c>
      <c r="I4615" t="s">
        <v>14007</v>
      </c>
      <c r="J4615" t="str">
        <f>HYPERLINK("http://twitter.com/TMOTS2099")</f>
        <v>http://twitter.com/TMOTS2099</v>
      </c>
      <c r="K4615">
        <v>92</v>
      </c>
      <c r="L4615" t="s">
        <v>48</v>
      </c>
      <c r="N4615" t="s">
        <v>65</v>
      </c>
      <c r="R4615" t="s">
        <v>60</v>
      </c>
      <c r="W4615">
        <v>0</v>
      </c>
      <c r="X4615">
        <v>0</v>
      </c>
      <c r="AE4615">
        <v>0</v>
      </c>
      <c r="AF4615">
        <v>0</v>
      </c>
      <c r="AI4615" t="s">
        <v>52</v>
      </c>
      <c r="AJ4615" t="s">
        <v>52</v>
      </c>
      <c r="AK4615" t="s">
        <v>52</v>
      </c>
      <c r="AL4615" t="str">
        <f>HYPERLINK("https://pbs.twimg.com/tweet_video_thumb/D9tE4MYU8AA7QDU.jpg")</f>
        <v>https://pbs.twimg.com/tweet_video_thumb/D9tE4MYU8AA7QDU.jpg</v>
      </c>
      <c r="AM4615" t="s">
        <v>52</v>
      </c>
      <c r="AN4615" t="s">
        <v>53</v>
      </c>
    </row>
    <row r="4616" spans="1:40">
      <c r="A4616" t="s">
        <v>13057</v>
      </c>
      <c r="B4616" t="s">
        <v>3430</v>
      </c>
      <c r="C4616" t="s">
        <v>14008</v>
      </c>
      <c r="D4616" t="s">
        <v>52</v>
      </c>
      <c r="E4616" t="s">
        <v>276</v>
      </c>
      <c r="F4616" t="s">
        <v>131</v>
      </c>
      <c r="G4616" t="str">
        <f>HYPERLINK("https://twitter.com/2418461048/status/1142582655822643200")</f>
        <v>https://twitter.com/2418461048/status/1142582655822643200</v>
      </c>
      <c r="H4616" t="s">
        <v>46</v>
      </c>
      <c r="I4616" t="s">
        <v>1213</v>
      </c>
      <c r="J4616" t="str">
        <f>HYPERLINK("http://twitter.com/ChloePared")</f>
        <v>http://twitter.com/ChloePared</v>
      </c>
      <c r="K4616">
        <v>167</v>
      </c>
      <c r="N4616" t="s">
        <v>65</v>
      </c>
      <c r="R4616" t="s">
        <v>60</v>
      </c>
      <c r="W4616">
        <v>0</v>
      </c>
      <c r="X4616">
        <v>0</v>
      </c>
      <c r="AE4616">
        <v>0</v>
      </c>
      <c r="AI4616" t="s">
        <v>108</v>
      </c>
      <c r="AJ4616" t="s">
        <v>52</v>
      </c>
      <c r="AK4616" t="s">
        <v>52</v>
      </c>
      <c r="AL4616" t="str">
        <f>HYPERLINK("https://pbs.twimg.com/tweet_video_thumb/D9hvNNzXUAATAS3.jpg")</f>
        <v>https://pbs.twimg.com/tweet_video_thumb/D9hvNNzXUAATAS3.jpg</v>
      </c>
      <c r="AM4616" t="s">
        <v>52</v>
      </c>
      <c r="AN4616" t="s">
        <v>53</v>
      </c>
    </row>
    <row r="4617" spans="1:40">
      <c r="A4617" t="s">
        <v>13057</v>
      </c>
      <c r="B4617" t="s">
        <v>3430</v>
      </c>
      <c r="C4617" t="s">
        <v>14009</v>
      </c>
      <c r="D4617" t="s">
        <v>52</v>
      </c>
      <c r="E4617" t="s">
        <v>14010</v>
      </c>
      <c r="F4617" t="s">
        <v>45</v>
      </c>
      <c r="G4617" t="str">
        <f>HYPERLINK("https://twitter.com/130827352/status/1142582630292041728")</f>
        <v>https://twitter.com/130827352/status/1142582630292041728</v>
      </c>
      <c r="H4617" t="s">
        <v>46</v>
      </c>
      <c r="I4617" t="s">
        <v>14011</v>
      </c>
      <c r="J4617" t="str">
        <f>HYPERLINK("http://twitter.com/Gavaldivia")</f>
        <v>http://twitter.com/Gavaldivia</v>
      </c>
      <c r="K4617">
        <v>1264</v>
      </c>
      <c r="N4617" t="s">
        <v>65</v>
      </c>
      <c r="R4617" t="s">
        <v>60</v>
      </c>
      <c r="S4617" t="s">
        <v>2118</v>
      </c>
      <c r="T4617" t="s">
        <v>9504</v>
      </c>
      <c r="U4617" t="s">
        <v>9504</v>
      </c>
      <c r="W4617">
        <v>0</v>
      </c>
      <c r="X4617">
        <v>0</v>
      </c>
      <c r="AE4617">
        <v>2</v>
      </c>
      <c r="AF4617">
        <v>0</v>
      </c>
      <c r="AI4617" t="s">
        <v>108</v>
      </c>
      <c r="AJ4617" t="s">
        <v>52</v>
      </c>
      <c r="AK4617" t="s">
        <v>52</v>
      </c>
      <c r="AL4617" t="str">
        <f>HYPERLINK("https://pbs.twimg.com/media/D9tE0dkWwAEgMOY.jpg")</f>
        <v>https://pbs.twimg.com/media/D9tE0dkWwAEgMOY.jpg</v>
      </c>
      <c r="AM4617" t="s">
        <v>52</v>
      </c>
      <c r="AN4617" t="s">
        <v>53</v>
      </c>
    </row>
    <row r="4618" spans="1:40">
      <c r="A4618" t="s">
        <v>13057</v>
      </c>
      <c r="B4618" t="s">
        <v>3430</v>
      </c>
      <c r="C4618" t="s">
        <v>14012</v>
      </c>
      <c r="D4618" t="s">
        <v>52</v>
      </c>
      <c r="E4618" t="s">
        <v>4514</v>
      </c>
      <c r="F4618" t="s">
        <v>71</v>
      </c>
      <c r="G4618" t="str">
        <f>HYPERLINK("https://twitter.com/981677355562348547/status/1142582572918235136")</f>
        <v>https://twitter.com/981677355562348547/status/1142582572918235136</v>
      </c>
      <c r="H4618" t="s">
        <v>46</v>
      </c>
      <c r="I4618" t="s">
        <v>14013</v>
      </c>
      <c r="J4618" t="str">
        <f>HYPERLINK("http://twitter.com/VeroGzz19")</f>
        <v>http://twitter.com/VeroGzz19</v>
      </c>
      <c r="K4618">
        <v>47</v>
      </c>
      <c r="N4618" t="s">
        <v>65</v>
      </c>
      <c r="R4618" t="s">
        <v>60</v>
      </c>
      <c r="S4618" t="s">
        <v>437</v>
      </c>
      <c r="T4618" t="s">
        <v>4994</v>
      </c>
      <c r="U4618" t="s">
        <v>1532</v>
      </c>
      <c r="W4618">
        <v>0</v>
      </c>
      <c r="X4618">
        <v>0</v>
      </c>
      <c r="AE4618">
        <v>0</v>
      </c>
      <c r="AF4618">
        <v>0</v>
      </c>
      <c r="AI4618" t="s">
        <v>108</v>
      </c>
      <c r="AJ4618" t="s">
        <v>52</v>
      </c>
      <c r="AK4618" t="s">
        <v>52</v>
      </c>
      <c r="AL4618" t="str">
        <f>HYPERLINK("https://pbs.twimg.com/tweet_video_thumb/D9hvNNzXUAATAS3.jpg")</f>
        <v>https://pbs.twimg.com/tweet_video_thumb/D9hvNNzXUAATAS3.jpg</v>
      </c>
      <c r="AM4618" t="s">
        <v>52</v>
      </c>
      <c r="AN4618" t="s">
        <v>53</v>
      </c>
    </row>
    <row r="4619" spans="1:40">
      <c r="A4619" t="s">
        <v>13057</v>
      </c>
      <c r="B4619" t="s">
        <v>3437</v>
      </c>
      <c r="C4619" t="s">
        <v>14014</v>
      </c>
      <c r="D4619" t="s">
        <v>52</v>
      </c>
      <c r="E4619" t="s">
        <v>14015</v>
      </c>
      <c r="F4619" t="s">
        <v>45</v>
      </c>
      <c r="G4619" t="str">
        <f>HYPERLINK("https://www.instagram.com/p/BzCAMhWjLpB")</f>
        <v>https://www.instagram.com/p/BzCAMhWjLpB</v>
      </c>
      <c r="H4619" t="s">
        <v>46</v>
      </c>
      <c r="I4619" t="s">
        <v>13636</v>
      </c>
      <c r="J4619" t="str">
        <f>HYPERLINK("http://instagram.com/authorjanae_marie5")</f>
        <v>http://instagram.com/authorjanae_marie5</v>
      </c>
      <c r="K4619">
        <v>543</v>
      </c>
      <c r="N4619" t="s">
        <v>59</v>
      </c>
      <c r="O4619" t="s">
        <v>13636</v>
      </c>
      <c r="P4619" t="str">
        <f>HYPERLINK("http://instagram.com/authorjanae_marie5")</f>
        <v>http://instagram.com/authorjanae_marie5</v>
      </c>
      <c r="Q4619">
        <v>543</v>
      </c>
      <c r="R4619" t="s">
        <v>60</v>
      </c>
      <c r="W4619">
        <v>4</v>
      </c>
      <c r="X4619">
        <v>4</v>
      </c>
      <c r="AE4619">
        <v>0</v>
      </c>
      <c r="AI4619" t="s">
        <v>108</v>
      </c>
      <c r="AJ4619" t="s">
        <v>52</v>
      </c>
      <c r="AK4619" t="s">
        <v>52</v>
      </c>
      <c r="AL4619" t="str">
        <f>HYPERLINK("https://www.instagram.com/p/BzCAMhWjLpB/media/?size=l")</f>
        <v>https://www.instagram.com/p/BzCAMhWjLpB/media/?size=l</v>
      </c>
      <c r="AM4619" t="s">
        <v>52</v>
      </c>
      <c r="AN4619" t="s">
        <v>53</v>
      </c>
    </row>
    <row r="4620" spans="1:40">
      <c r="A4620" t="s">
        <v>13057</v>
      </c>
      <c r="B4620" t="s">
        <v>9208</v>
      </c>
      <c r="C4620" t="s">
        <v>13917</v>
      </c>
      <c r="D4620" t="s">
        <v>52</v>
      </c>
      <c r="E4620" t="s">
        <v>14016</v>
      </c>
      <c r="F4620" t="s">
        <v>45</v>
      </c>
      <c r="G4620" t="str">
        <f>HYPERLINK("https://www.instagram.com/p/BzB_9--A0An")</f>
        <v>https://www.instagram.com/p/BzB_9--A0An</v>
      </c>
      <c r="H4620" t="s">
        <v>46</v>
      </c>
      <c r="I4620" t="s">
        <v>14017</v>
      </c>
      <c r="J4620" t="str">
        <f>HYPERLINK("http://instagram.com/laurengal53")</f>
        <v>http://instagram.com/laurengal53</v>
      </c>
      <c r="K4620">
        <v>398</v>
      </c>
      <c r="N4620" t="s">
        <v>59</v>
      </c>
      <c r="O4620" t="s">
        <v>14017</v>
      </c>
      <c r="P4620" t="str">
        <f>HYPERLINK("http://instagram.com/laurengal53")</f>
        <v>http://instagram.com/laurengal53</v>
      </c>
      <c r="Q4620">
        <v>398</v>
      </c>
      <c r="R4620" t="s">
        <v>60</v>
      </c>
      <c r="W4620">
        <v>49</v>
      </c>
      <c r="X4620">
        <v>49</v>
      </c>
      <c r="AE4620">
        <v>7</v>
      </c>
      <c r="AI4620" t="s">
        <v>108</v>
      </c>
      <c r="AJ4620" t="s">
        <v>2072</v>
      </c>
      <c r="AK4620" t="s">
        <v>52</v>
      </c>
      <c r="AL4620" t="str">
        <f>HYPERLINK("https://www.instagram.com/p/BzB_9--A0An/media/?size=l")</f>
        <v>https://www.instagram.com/p/BzB_9--A0An/media/?size=l</v>
      </c>
      <c r="AM4620" t="s">
        <v>52</v>
      </c>
      <c r="AN4620" t="s">
        <v>53</v>
      </c>
    </row>
    <row r="4621" spans="1:40">
      <c r="A4621" t="s">
        <v>13057</v>
      </c>
      <c r="B4621" t="s">
        <v>9208</v>
      </c>
      <c r="C4621" t="s">
        <v>14018</v>
      </c>
      <c r="D4621" t="s">
        <v>52</v>
      </c>
      <c r="E4621" t="s">
        <v>14019</v>
      </c>
      <c r="F4621" t="s">
        <v>71</v>
      </c>
      <c r="G4621" t="str">
        <f>HYPERLINK("https://twitter.com/4220775672/status/1142581801732325376")</f>
        <v>https://twitter.com/4220775672/status/1142581801732325376</v>
      </c>
      <c r="H4621" t="s">
        <v>46</v>
      </c>
      <c r="I4621" t="s">
        <v>14020</v>
      </c>
      <c r="J4621" t="str">
        <f>HYPERLINK("http://twitter.com/KarolineBlek")</f>
        <v>http://twitter.com/KarolineBlek</v>
      </c>
      <c r="K4621">
        <v>896</v>
      </c>
      <c r="N4621" t="s">
        <v>65</v>
      </c>
      <c r="R4621" t="s">
        <v>60</v>
      </c>
      <c r="S4621" t="s">
        <v>51</v>
      </c>
      <c r="T4621" t="s">
        <v>173</v>
      </c>
      <c r="U4621" t="s">
        <v>14021</v>
      </c>
      <c r="W4621">
        <v>2</v>
      </c>
      <c r="X4621">
        <v>2</v>
      </c>
      <c r="AE4621">
        <v>0</v>
      </c>
      <c r="AF4621">
        <v>0</v>
      </c>
      <c r="AM4621" t="s">
        <v>52</v>
      </c>
      <c r="AN4621" t="s">
        <v>53</v>
      </c>
    </row>
    <row r="4622" spans="1:40">
      <c r="A4622" t="s">
        <v>13057</v>
      </c>
      <c r="B4622" t="s">
        <v>9214</v>
      </c>
      <c r="C4622" t="s">
        <v>14008</v>
      </c>
      <c r="D4622" t="s">
        <v>52</v>
      </c>
      <c r="E4622" t="s">
        <v>14022</v>
      </c>
      <c r="F4622" t="s">
        <v>45</v>
      </c>
      <c r="G4622" t="str">
        <f>HYPERLINK("https://twitter.com/1119244241245540358/status/1142581428628205570")</f>
        <v>https://twitter.com/1119244241245540358/status/1142581428628205570</v>
      </c>
      <c r="H4622" t="s">
        <v>46</v>
      </c>
      <c r="I4622" t="s">
        <v>14023</v>
      </c>
      <c r="J4622" t="str">
        <f>HYPERLINK("http://twitter.com/Thoomy_espinosa")</f>
        <v>http://twitter.com/Thoomy_espinosa</v>
      </c>
      <c r="K4622">
        <v>49</v>
      </c>
      <c r="N4622" t="s">
        <v>65</v>
      </c>
      <c r="R4622" t="s">
        <v>60</v>
      </c>
      <c r="S4622" t="s">
        <v>701</v>
      </c>
      <c r="T4622" t="s">
        <v>2528</v>
      </c>
      <c r="U4622" t="s">
        <v>14024</v>
      </c>
      <c r="W4622">
        <v>2</v>
      </c>
      <c r="X4622">
        <v>2</v>
      </c>
      <c r="AE4622">
        <v>0</v>
      </c>
      <c r="AF4622">
        <v>0</v>
      </c>
      <c r="AM4622" t="s">
        <v>52</v>
      </c>
      <c r="AN4622" t="s">
        <v>53</v>
      </c>
    </row>
    <row r="4623" spans="1:40">
      <c r="A4623" t="s">
        <v>13057</v>
      </c>
      <c r="B4623" t="s">
        <v>3476</v>
      </c>
      <c r="C4623" t="s">
        <v>13977</v>
      </c>
      <c r="D4623" t="s">
        <v>14025</v>
      </c>
      <c r="E4623" t="s">
        <v>14026</v>
      </c>
      <c r="F4623" t="s">
        <v>45</v>
      </c>
      <c r="G4623" t="str">
        <f>HYPERLINK("https://www.youtube.com/watch?v=9gFbXK5HTNM")</f>
        <v>https://www.youtube.com/watch?v=9gFbXK5HTNM</v>
      </c>
      <c r="H4623" t="s">
        <v>46</v>
      </c>
      <c r="I4623" t="s">
        <v>14027</v>
      </c>
      <c r="J4623" t="str">
        <f>HYPERLINK("https://www.youtube.com/channel/UCPrwBPgf_xqWABl7HmN57ag")</f>
        <v>https://www.youtube.com/channel/UCPrwBPgf_xqWABl7HmN57ag</v>
      </c>
      <c r="K4623">
        <v>5</v>
      </c>
      <c r="N4623" t="s">
        <v>116</v>
      </c>
      <c r="O4623" t="s">
        <v>14027</v>
      </c>
      <c r="P4623" t="str">
        <f>HYPERLINK("https://www.youtube.com/channel/UCPrwBPgf_xqWABl7HmN57ag")</f>
        <v>https://www.youtube.com/channel/UCPrwBPgf_xqWABl7HmN57ag</v>
      </c>
      <c r="Q4623">
        <v>5</v>
      </c>
      <c r="R4623" t="s">
        <v>60</v>
      </c>
      <c r="W4623">
        <v>2</v>
      </c>
      <c r="X4623">
        <v>2</v>
      </c>
      <c r="AD4623">
        <v>0</v>
      </c>
      <c r="AE4623">
        <v>0</v>
      </c>
      <c r="AG4623">
        <v>17</v>
      </c>
      <c r="AI4623" t="s">
        <v>52</v>
      </c>
      <c r="AJ4623" t="s">
        <v>52</v>
      </c>
      <c r="AK4623" t="s">
        <v>4481</v>
      </c>
      <c r="AL4623" t="str">
        <f>HYPERLINK("https://i.ytimg.com/vi/9gFbXK5HTNM/sddefault.jpg")</f>
        <v>https://i.ytimg.com/vi/9gFbXK5HTNM/sddefault.jpg</v>
      </c>
      <c r="AM4623" t="s">
        <v>52</v>
      </c>
      <c r="AN4623" t="s">
        <v>53</v>
      </c>
    </row>
    <row r="4624" spans="1:40">
      <c r="A4624" t="s">
        <v>13057</v>
      </c>
      <c r="B4624" t="s">
        <v>3481</v>
      </c>
      <c r="C4624" t="s">
        <v>14028</v>
      </c>
      <c r="D4624" t="s">
        <v>52</v>
      </c>
      <c r="E4624" t="s">
        <v>4514</v>
      </c>
      <c r="F4624" t="s">
        <v>71</v>
      </c>
      <c r="G4624" t="str">
        <f>HYPERLINK("https://twitter.com/1044928646408896512/status/1142580999064211456")</f>
        <v>https://twitter.com/1044928646408896512/status/1142580999064211456</v>
      </c>
      <c r="H4624" t="s">
        <v>46</v>
      </c>
      <c r="I4624" t="s">
        <v>14029</v>
      </c>
      <c r="J4624" t="str">
        <f>HYPERLINK("http://twitter.com/pyryhalla")</f>
        <v>http://twitter.com/pyryhalla</v>
      </c>
      <c r="K4624">
        <v>41</v>
      </c>
      <c r="N4624" t="s">
        <v>65</v>
      </c>
      <c r="R4624" t="s">
        <v>60</v>
      </c>
      <c r="W4624">
        <v>0</v>
      </c>
      <c r="X4624">
        <v>0</v>
      </c>
      <c r="AE4624">
        <v>0</v>
      </c>
      <c r="AF4624">
        <v>0</v>
      </c>
      <c r="AI4624" t="s">
        <v>108</v>
      </c>
      <c r="AJ4624" t="s">
        <v>52</v>
      </c>
      <c r="AK4624" t="s">
        <v>52</v>
      </c>
      <c r="AL4624" t="str">
        <f>HYPERLINK("https://pbs.twimg.com/tweet_video_thumb/D9hvNNzXUAATAS3.jpg")</f>
        <v>https://pbs.twimg.com/tweet_video_thumb/D9hvNNzXUAATAS3.jpg</v>
      </c>
      <c r="AM4624" t="s">
        <v>52</v>
      </c>
      <c r="AN4624" t="s">
        <v>53</v>
      </c>
    </row>
    <row r="4625" spans="1:40">
      <c r="A4625" t="s">
        <v>13057</v>
      </c>
      <c r="B4625" t="s">
        <v>9229</v>
      </c>
      <c r="C4625" t="s">
        <v>14030</v>
      </c>
      <c r="D4625" t="s">
        <v>52</v>
      </c>
      <c r="E4625" t="s">
        <v>14031</v>
      </c>
      <c r="F4625" t="s">
        <v>95</v>
      </c>
      <c r="G4625" t="str">
        <f>HYPERLINK("https://twitter.com/977891469964005377/status/1142580725197225985")</f>
        <v>https://twitter.com/977891469964005377/status/1142580725197225985</v>
      </c>
      <c r="H4625" t="s">
        <v>46</v>
      </c>
      <c r="I4625" t="s">
        <v>14032</v>
      </c>
      <c r="J4625" t="str">
        <f>HYPERLINK("http://twitter.com/BubKebab")</f>
        <v>http://twitter.com/BubKebab</v>
      </c>
      <c r="K4625">
        <v>177</v>
      </c>
      <c r="N4625" t="s">
        <v>65</v>
      </c>
      <c r="R4625" t="s">
        <v>60</v>
      </c>
      <c r="W4625">
        <v>2</v>
      </c>
      <c r="X4625">
        <v>2</v>
      </c>
      <c r="AE4625">
        <v>0</v>
      </c>
      <c r="AF4625">
        <v>0</v>
      </c>
      <c r="AM4625" t="s">
        <v>52</v>
      </c>
      <c r="AN4625" t="s">
        <v>53</v>
      </c>
    </row>
    <row r="4626" spans="1:40">
      <c r="A4626" t="s">
        <v>13057</v>
      </c>
      <c r="B4626" t="s">
        <v>9229</v>
      </c>
      <c r="C4626" t="s">
        <v>14028</v>
      </c>
      <c r="D4626" t="s">
        <v>52</v>
      </c>
      <c r="E4626" t="s">
        <v>14033</v>
      </c>
      <c r="F4626" t="s">
        <v>45</v>
      </c>
      <c r="G4626" t="str">
        <f>HYPERLINK("https://www.instagram.com/p/BzB_ZVJACM9")</f>
        <v>https://www.instagram.com/p/BzB_ZVJACM9</v>
      </c>
      <c r="H4626" t="s">
        <v>46</v>
      </c>
      <c r="I4626" t="s">
        <v>14034</v>
      </c>
      <c r="J4626" t="str">
        <f>HYPERLINK("http://instagram.com/gee_ripple")</f>
        <v>http://instagram.com/gee_ripple</v>
      </c>
      <c r="K4626">
        <v>191</v>
      </c>
      <c r="L4626" t="s">
        <v>48</v>
      </c>
      <c r="N4626" t="s">
        <v>59</v>
      </c>
      <c r="O4626" t="s">
        <v>14034</v>
      </c>
      <c r="P4626" t="str">
        <f>HYPERLINK("http://instagram.com/gee_ripple")</f>
        <v>http://instagram.com/gee_ripple</v>
      </c>
      <c r="Q4626">
        <v>191</v>
      </c>
      <c r="R4626" t="s">
        <v>60</v>
      </c>
      <c r="W4626">
        <v>19</v>
      </c>
      <c r="X4626">
        <v>19</v>
      </c>
      <c r="AE4626">
        <v>2</v>
      </c>
      <c r="AI4626" t="s">
        <v>52</v>
      </c>
      <c r="AJ4626" t="s">
        <v>14035</v>
      </c>
      <c r="AK4626" t="s">
        <v>52</v>
      </c>
      <c r="AL4626" t="str">
        <f>HYPERLINK("https://www.instagram.com/p/BzB_ZVJACM9/media/?size=l")</f>
        <v>https://www.instagram.com/p/BzB_ZVJACM9/media/?size=l</v>
      </c>
      <c r="AM4626" t="s">
        <v>52</v>
      </c>
      <c r="AN4626" t="s">
        <v>53</v>
      </c>
    </row>
    <row r="4627" spans="1:40">
      <c r="A4627" t="s">
        <v>13057</v>
      </c>
      <c r="B4627" t="s">
        <v>9229</v>
      </c>
      <c r="C4627" t="s">
        <v>14008</v>
      </c>
      <c r="D4627" t="s">
        <v>14036</v>
      </c>
      <c r="E4627" t="s">
        <v>14037</v>
      </c>
      <c r="F4627" t="s">
        <v>45</v>
      </c>
      <c r="G4627" t="str">
        <f>HYPERLINK("https://www.youtube.com/watch?v=ttV0dydJ7r4")</f>
        <v>https://www.youtube.com/watch?v=ttV0dydJ7r4</v>
      </c>
      <c r="H4627" t="s">
        <v>46</v>
      </c>
      <c r="I4627" t="s">
        <v>14038</v>
      </c>
      <c r="J4627" t="str">
        <f>HYPERLINK("https://www.youtube.com/channel/UCfVG4cc6WZjCem_jVEYQ0EQ")</f>
        <v>https://www.youtube.com/channel/UCfVG4cc6WZjCem_jVEYQ0EQ</v>
      </c>
      <c r="K4627">
        <v>64</v>
      </c>
      <c r="N4627" t="s">
        <v>116</v>
      </c>
      <c r="O4627" t="s">
        <v>14038</v>
      </c>
      <c r="P4627" t="str">
        <f>HYPERLINK("https://www.youtube.com/channel/UCfVG4cc6WZjCem_jVEYQ0EQ")</f>
        <v>https://www.youtube.com/channel/UCfVG4cc6WZjCem_jVEYQ0EQ</v>
      </c>
      <c r="Q4627">
        <v>64</v>
      </c>
      <c r="R4627" t="s">
        <v>60</v>
      </c>
      <c r="S4627" t="s">
        <v>51</v>
      </c>
      <c r="W4627">
        <v>0</v>
      </c>
      <c r="X4627">
        <v>0</v>
      </c>
      <c r="AD4627">
        <v>0</v>
      </c>
      <c r="AE4627">
        <v>0</v>
      </c>
      <c r="AG4627">
        <v>4</v>
      </c>
      <c r="AI4627" t="s">
        <v>52</v>
      </c>
      <c r="AJ4627" t="s">
        <v>1182</v>
      </c>
      <c r="AK4627" t="s">
        <v>52</v>
      </c>
      <c r="AL4627" t="str">
        <f>HYPERLINK("https://i.ytimg.com/vi/ttV0dydJ7r4/maxresdefault.jpg")</f>
        <v>https://i.ytimg.com/vi/ttV0dydJ7r4/maxresdefault.jpg</v>
      </c>
      <c r="AM4627" t="s">
        <v>52</v>
      </c>
      <c r="AN4627" t="s">
        <v>53</v>
      </c>
    </row>
    <row r="4628" spans="1:40">
      <c r="A4628" t="s">
        <v>13057</v>
      </c>
      <c r="B4628" t="s">
        <v>9229</v>
      </c>
      <c r="C4628" t="s">
        <v>14039</v>
      </c>
      <c r="D4628" t="s">
        <v>52</v>
      </c>
      <c r="E4628" t="s">
        <v>14040</v>
      </c>
      <c r="F4628" t="s">
        <v>71</v>
      </c>
      <c r="G4628" t="str">
        <f>HYPERLINK("https://twitter.com/143683780/status/1142580599627997186")</f>
        <v>https://twitter.com/143683780/status/1142580599627997186</v>
      </c>
      <c r="H4628" t="s">
        <v>46</v>
      </c>
      <c r="I4628" t="s">
        <v>14041</v>
      </c>
      <c r="J4628" t="str">
        <f>HYPERLINK("http://twitter.com/DLA_91")</f>
        <v>http://twitter.com/DLA_91</v>
      </c>
      <c r="K4628">
        <v>212</v>
      </c>
      <c r="N4628" t="s">
        <v>65</v>
      </c>
      <c r="R4628" t="s">
        <v>60</v>
      </c>
      <c r="S4628" t="s">
        <v>872</v>
      </c>
      <c r="T4628" t="s">
        <v>12988</v>
      </c>
      <c r="U4628" t="s">
        <v>14042</v>
      </c>
      <c r="W4628">
        <v>0</v>
      </c>
      <c r="X4628">
        <v>0</v>
      </c>
      <c r="AE4628">
        <v>0</v>
      </c>
      <c r="AF4628">
        <v>0</v>
      </c>
      <c r="AM4628" t="s">
        <v>52</v>
      </c>
      <c r="AN4628" t="s">
        <v>53</v>
      </c>
    </row>
    <row r="4629" spans="1:40">
      <c r="A4629" t="s">
        <v>13057</v>
      </c>
      <c r="B4629" t="s">
        <v>3491</v>
      </c>
      <c r="C4629" t="s">
        <v>14043</v>
      </c>
      <c r="D4629" t="s">
        <v>52</v>
      </c>
      <c r="E4629" t="s">
        <v>13956</v>
      </c>
      <c r="F4629" t="s">
        <v>71</v>
      </c>
      <c r="G4629" t="str">
        <f>HYPERLINK("https://twitter.com/471810878/status/1142580263047892992")</f>
        <v>https://twitter.com/471810878/status/1142580263047892992</v>
      </c>
      <c r="H4629" t="s">
        <v>46</v>
      </c>
      <c r="I4629" t="s">
        <v>14044</v>
      </c>
      <c r="J4629" t="str">
        <f>HYPERLINK("http://twitter.com/MyTop5Comics")</f>
        <v>http://twitter.com/MyTop5Comics</v>
      </c>
      <c r="K4629">
        <v>1425</v>
      </c>
      <c r="N4629" t="s">
        <v>65</v>
      </c>
      <c r="R4629" t="s">
        <v>60</v>
      </c>
      <c r="S4629" t="s">
        <v>51</v>
      </c>
      <c r="T4629" t="s">
        <v>2200</v>
      </c>
      <c r="U4629" t="s">
        <v>14045</v>
      </c>
      <c r="W4629">
        <v>2</v>
      </c>
      <c r="X4629">
        <v>2</v>
      </c>
      <c r="AE4629">
        <v>0</v>
      </c>
      <c r="AF4629">
        <v>1</v>
      </c>
      <c r="AI4629" t="s">
        <v>108</v>
      </c>
      <c r="AJ4629" t="s">
        <v>52</v>
      </c>
      <c r="AK4629" t="s">
        <v>52</v>
      </c>
      <c r="AL4629" t="str">
        <f>HYPERLINK("https://pbs.twimg.com/tweet_video_thumb/D9hvNNzXUAATAS3.jpg")</f>
        <v>https://pbs.twimg.com/tweet_video_thumb/D9hvNNzXUAATAS3.jpg</v>
      </c>
      <c r="AM4629" t="s">
        <v>52</v>
      </c>
      <c r="AN4629" t="s">
        <v>53</v>
      </c>
    </row>
    <row r="4630" spans="1:40">
      <c r="A4630" t="s">
        <v>13057</v>
      </c>
      <c r="B4630" t="s">
        <v>3502</v>
      </c>
      <c r="C4630" t="s">
        <v>14046</v>
      </c>
      <c r="D4630" t="s">
        <v>52</v>
      </c>
      <c r="E4630" t="s">
        <v>14047</v>
      </c>
      <c r="F4630" t="s">
        <v>95</v>
      </c>
      <c r="G4630" t="str">
        <f>HYPERLINK("https://twitter.com/1118718088575369217/status/1142579953759899649")</f>
        <v>https://twitter.com/1118718088575369217/status/1142579953759899649</v>
      </c>
      <c r="H4630" t="s">
        <v>46</v>
      </c>
      <c r="I4630" t="s">
        <v>14048</v>
      </c>
      <c r="J4630" t="str">
        <f>HYPERLINK("http://twitter.com/guicapone")</f>
        <v>http://twitter.com/guicapone</v>
      </c>
      <c r="K4630">
        <v>73</v>
      </c>
      <c r="L4630" t="s">
        <v>48</v>
      </c>
      <c r="N4630" t="s">
        <v>65</v>
      </c>
      <c r="R4630" t="s">
        <v>60</v>
      </c>
      <c r="S4630" t="s">
        <v>432</v>
      </c>
      <c r="T4630" t="s">
        <v>433</v>
      </c>
      <c r="U4630" t="s">
        <v>8316</v>
      </c>
      <c r="W4630">
        <v>0</v>
      </c>
      <c r="X4630">
        <v>0</v>
      </c>
      <c r="AE4630">
        <v>1</v>
      </c>
      <c r="AF4630">
        <v>0</v>
      </c>
      <c r="AM4630" t="s">
        <v>52</v>
      </c>
      <c r="AN4630" t="s">
        <v>53</v>
      </c>
    </row>
    <row r="4631" spans="1:40">
      <c r="A4631" t="s">
        <v>13057</v>
      </c>
      <c r="B4631" t="s">
        <v>3502</v>
      </c>
      <c r="C4631" t="s">
        <v>14043</v>
      </c>
      <c r="D4631" t="s">
        <v>52</v>
      </c>
      <c r="E4631" t="s">
        <v>2796</v>
      </c>
      <c r="F4631" t="s">
        <v>45</v>
      </c>
      <c r="G4631" t="str">
        <f>HYPERLINK("https://twitter.com/2837751779/status/1142579867155935233")</f>
        <v>https://twitter.com/2837751779/status/1142579867155935233</v>
      </c>
      <c r="H4631" t="s">
        <v>46</v>
      </c>
      <c r="I4631" t="s">
        <v>14049</v>
      </c>
      <c r="J4631" t="str">
        <f>HYPERLINK("http://twitter.com/summerliliana10")</f>
        <v>http://twitter.com/summerliliana10</v>
      </c>
      <c r="K4631">
        <v>26</v>
      </c>
      <c r="L4631" t="s">
        <v>58</v>
      </c>
      <c r="N4631" t="s">
        <v>65</v>
      </c>
      <c r="R4631" t="s">
        <v>60</v>
      </c>
      <c r="S4631" t="s">
        <v>51</v>
      </c>
      <c r="T4631" t="s">
        <v>199</v>
      </c>
      <c r="W4631">
        <v>0</v>
      </c>
      <c r="X4631">
        <v>0</v>
      </c>
      <c r="AE4631">
        <v>0</v>
      </c>
      <c r="AF4631">
        <v>0</v>
      </c>
      <c r="AM4631" t="s">
        <v>52</v>
      </c>
      <c r="AN4631" t="s">
        <v>53</v>
      </c>
    </row>
    <row r="4632" spans="1:40">
      <c r="A4632" t="s">
        <v>13057</v>
      </c>
      <c r="B4632" t="s">
        <v>3502</v>
      </c>
      <c r="C4632" t="s">
        <v>14050</v>
      </c>
      <c r="D4632" t="s">
        <v>52</v>
      </c>
      <c r="E4632" t="s">
        <v>14051</v>
      </c>
      <c r="F4632" t="s">
        <v>45</v>
      </c>
      <c r="G4632" t="str">
        <f>HYPERLINK("https://twitter.com/211432137/status/1142579843852308480")</f>
        <v>https://twitter.com/211432137/status/1142579843852308480</v>
      </c>
      <c r="H4632" t="s">
        <v>46</v>
      </c>
      <c r="I4632" t="s">
        <v>52</v>
      </c>
      <c r="J4632" t="str">
        <f>HYPERLINK("http://twitter.com/PAUGHW")</f>
        <v>http://twitter.com/PAUGHW</v>
      </c>
      <c r="K4632">
        <v>346</v>
      </c>
      <c r="N4632" t="s">
        <v>65</v>
      </c>
      <c r="R4632" t="s">
        <v>60</v>
      </c>
      <c r="S4632" t="s">
        <v>51</v>
      </c>
      <c r="T4632" t="s">
        <v>380</v>
      </c>
      <c r="U4632" t="s">
        <v>380</v>
      </c>
      <c r="W4632">
        <v>9</v>
      </c>
      <c r="X4632">
        <v>9</v>
      </c>
      <c r="AE4632">
        <v>0</v>
      </c>
      <c r="AF4632">
        <v>0</v>
      </c>
      <c r="AM4632" t="s">
        <v>52</v>
      </c>
      <c r="AN4632" t="s">
        <v>53</v>
      </c>
    </row>
    <row r="4633" spans="1:40">
      <c r="A4633" t="s">
        <v>13057</v>
      </c>
      <c r="B4633" t="s">
        <v>9250</v>
      </c>
      <c r="C4633" t="s">
        <v>14052</v>
      </c>
      <c r="D4633" t="s">
        <v>52</v>
      </c>
      <c r="E4633" t="s">
        <v>4514</v>
      </c>
      <c r="F4633" t="s">
        <v>71</v>
      </c>
      <c r="G4633" t="str">
        <f>HYPERLINK("https://twitter.com/518059042/status/1142579762977812481")</f>
        <v>https://twitter.com/518059042/status/1142579762977812481</v>
      </c>
      <c r="H4633" t="s">
        <v>46</v>
      </c>
      <c r="I4633" t="s">
        <v>14053</v>
      </c>
      <c r="J4633" t="str">
        <f>HYPERLINK("http://twitter.com/THE_Breecher")</f>
        <v>http://twitter.com/THE_Breecher</v>
      </c>
      <c r="K4633">
        <v>238</v>
      </c>
      <c r="N4633" t="s">
        <v>65</v>
      </c>
      <c r="R4633" t="s">
        <v>60</v>
      </c>
      <c r="S4633" t="s">
        <v>444</v>
      </c>
      <c r="T4633" t="s">
        <v>10121</v>
      </c>
      <c r="U4633" t="s">
        <v>14054</v>
      </c>
      <c r="W4633">
        <v>0</v>
      </c>
      <c r="X4633">
        <v>0</v>
      </c>
      <c r="AE4633">
        <v>0</v>
      </c>
      <c r="AF4633">
        <v>0</v>
      </c>
      <c r="AI4633" t="s">
        <v>108</v>
      </c>
      <c r="AJ4633" t="s">
        <v>52</v>
      </c>
      <c r="AK4633" t="s">
        <v>52</v>
      </c>
      <c r="AL4633" t="str">
        <f>HYPERLINK("https://pbs.twimg.com/tweet_video_thumb/D9hvNNzXUAATAS3.jpg")</f>
        <v>https://pbs.twimg.com/tweet_video_thumb/D9hvNNzXUAATAS3.jpg</v>
      </c>
      <c r="AM4633" t="s">
        <v>52</v>
      </c>
      <c r="AN4633" t="s">
        <v>53</v>
      </c>
    </row>
    <row r="4634" spans="1:40">
      <c r="A4634" t="s">
        <v>13057</v>
      </c>
      <c r="B4634" t="s">
        <v>9250</v>
      </c>
      <c r="C4634" t="s">
        <v>14055</v>
      </c>
      <c r="D4634" t="s">
        <v>52</v>
      </c>
      <c r="E4634" t="s">
        <v>14056</v>
      </c>
      <c r="F4634" t="s">
        <v>71</v>
      </c>
      <c r="G4634" t="str">
        <f>HYPERLINK("https://twitter.com/971867828965068801/status/1142579562389409792")</f>
        <v>https://twitter.com/971867828965068801/status/1142579562389409792</v>
      </c>
      <c r="H4634" t="s">
        <v>46</v>
      </c>
      <c r="I4634" t="s">
        <v>14057</v>
      </c>
      <c r="J4634" t="str">
        <f>HYPERLINK("http://twitter.com/JAYYTW")</f>
        <v>http://twitter.com/JAYYTW</v>
      </c>
      <c r="K4634">
        <v>154</v>
      </c>
      <c r="N4634" t="s">
        <v>65</v>
      </c>
      <c r="R4634" t="s">
        <v>60</v>
      </c>
      <c r="S4634" t="s">
        <v>97</v>
      </c>
      <c r="T4634" t="s">
        <v>177</v>
      </c>
      <c r="U4634" t="s">
        <v>1559</v>
      </c>
      <c r="W4634">
        <v>1</v>
      </c>
      <c r="X4634">
        <v>1</v>
      </c>
      <c r="AE4634">
        <v>0</v>
      </c>
      <c r="AF4634">
        <v>0</v>
      </c>
      <c r="AI4634" t="s">
        <v>108</v>
      </c>
      <c r="AJ4634" t="s">
        <v>52</v>
      </c>
      <c r="AK4634" t="s">
        <v>52</v>
      </c>
      <c r="AL4634" t="str">
        <f>HYPERLINK("https://pbs.twimg.com/tweet_video_thumb/D9hvNNzXUAATAS3.jpg")</f>
        <v>https://pbs.twimg.com/tweet_video_thumb/D9hvNNzXUAATAS3.jpg</v>
      </c>
      <c r="AM4634" t="s">
        <v>52</v>
      </c>
      <c r="AN4634" t="s">
        <v>53</v>
      </c>
    </row>
    <row r="4635" spans="1:40">
      <c r="A4635" t="s">
        <v>13057</v>
      </c>
      <c r="B4635" t="s">
        <v>3505</v>
      </c>
      <c r="C4635" t="s">
        <v>14046</v>
      </c>
      <c r="D4635" t="s">
        <v>52</v>
      </c>
      <c r="E4635" t="s">
        <v>14058</v>
      </c>
      <c r="F4635" t="s">
        <v>95</v>
      </c>
      <c r="G4635" t="str">
        <f>HYPERLINK("https://twitter.com/143200472/status/1142579498744975366")</f>
        <v>https://twitter.com/143200472/status/1142579498744975366</v>
      </c>
      <c r="H4635" t="s">
        <v>46</v>
      </c>
      <c r="I4635" t="s">
        <v>14059</v>
      </c>
      <c r="J4635" t="str">
        <f>HYPERLINK("http://twitter.com/__ecinahs")</f>
        <v>http://twitter.com/__ecinahs</v>
      </c>
      <c r="K4635">
        <v>812</v>
      </c>
      <c r="N4635" t="s">
        <v>65</v>
      </c>
      <c r="R4635" t="s">
        <v>60</v>
      </c>
      <c r="W4635">
        <v>0</v>
      </c>
      <c r="X4635">
        <v>0</v>
      </c>
      <c r="AE4635">
        <v>1</v>
      </c>
      <c r="AF4635">
        <v>0</v>
      </c>
      <c r="AM4635" t="s">
        <v>52</v>
      </c>
      <c r="AN4635" t="s">
        <v>53</v>
      </c>
    </row>
    <row r="4636" spans="1:40">
      <c r="A4636" t="s">
        <v>13057</v>
      </c>
      <c r="B4636" t="s">
        <v>3505</v>
      </c>
      <c r="C4636" t="s">
        <v>14050</v>
      </c>
      <c r="D4636" t="s">
        <v>14060</v>
      </c>
      <c r="E4636" t="s">
        <v>14061</v>
      </c>
      <c r="F4636" t="s">
        <v>45</v>
      </c>
      <c r="G4636" t="str">
        <f>HYPERLINK("https://www.youtube.com/watch?v=zglGjfYk2Uw")</f>
        <v>https://www.youtube.com/watch?v=zglGjfYk2Uw</v>
      </c>
      <c r="H4636" t="s">
        <v>46</v>
      </c>
      <c r="I4636" t="s">
        <v>14062</v>
      </c>
      <c r="J4636" t="str">
        <f>HYPERLINK("https://www.youtube.com/channel/UCCN61GIEV9GEGmpW8sKrCkQ")</f>
        <v>https://www.youtube.com/channel/UCCN61GIEV9GEGmpW8sKrCkQ</v>
      </c>
      <c r="K4636">
        <v>9</v>
      </c>
      <c r="N4636" t="s">
        <v>116</v>
      </c>
      <c r="O4636" t="s">
        <v>14062</v>
      </c>
      <c r="P4636" t="str">
        <f>HYPERLINK("https://www.youtube.com/channel/UCCN61GIEV9GEGmpW8sKrCkQ")</f>
        <v>https://www.youtube.com/channel/UCCN61GIEV9GEGmpW8sKrCkQ</v>
      </c>
      <c r="Q4636">
        <v>9</v>
      </c>
      <c r="R4636" t="s">
        <v>60</v>
      </c>
      <c r="S4636" t="s">
        <v>51</v>
      </c>
      <c r="AE4636">
        <v>0</v>
      </c>
      <c r="AG4636">
        <v>3</v>
      </c>
      <c r="AI4636" t="s">
        <v>52</v>
      </c>
      <c r="AJ4636" t="s">
        <v>52</v>
      </c>
      <c r="AK4636" t="s">
        <v>52</v>
      </c>
      <c r="AL4636" t="str">
        <f>HYPERLINK("https://i.ytimg.com/vi/zglGjfYk2Uw/hqdefault.jpg")</f>
        <v>https://i.ytimg.com/vi/zglGjfYk2Uw/hqdefault.jpg</v>
      </c>
      <c r="AM4636" t="s">
        <v>52</v>
      </c>
      <c r="AN4636" t="s">
        <v>53</v>
      </c>
    </row>
    <row r="4637" spans="1:40">
      <c r="A4637" t="s">
        <v>13057</v>
      </c>
      <c r="B4637" t="s">
        <v>3505</v>
      </c>
      <c r="C4637" t="s">
        <v>14055</v>
      </c>
      <c r="D4637" t="s">
        <v>6638</v>
      </c>
      <c r="E4637" t="s">
        <v>6638</v>
      </c>
      <c r="F4637" t="s">
        <v>45</v>
      </c>
      <c r="G4637" t="str">
        <f>HYPERLINK("https://www.youtube.com/watch?v=B2JpFh_99K4")</f>
        <v>https://www.youtube.com/watch?v=B2JpFh_99K4</v>
      </c>
      <c r="H4637" t="s">
        <v>46</v>
      </c>
      <c r="I4637" t="s">
        <v>14063</v>
      </c>
      <c r="J4637" t="str">
        <f>HYPERLINK("https://www.youtube.com/channel/UCEMIibJLerItn3zamPdj0ew")</f>
        <v>https://www.youtube.com/channel/UCEMIibJLerItn3zamPdj0ew</v>
      </c>
      <c r="K4637">
        <v>1197</v>
      </c>
      <c r="N4637" t="s">
        <v>116</v>
      </c>
      <c r="O4637" t="s">
        <v>14063</v>
      </c>
      <c r="P4637" t="str">
        <f>HYPERLINK("https://www.youtube.com/channel/UCEMIibJLerItn3zamPdj0ew")</f>
        <v>https://www.youtube.com/channel/UCEMIibJLerItn3zamPdj0ew</v>
      </c>
      <c r="Q4637">
        <v>1197</v>
      </c>
      <c r="R4637" t="s">
        <v>60</v>
      </c>
      <c r="S4637" t="s">
        <v>51</v>
      </c>
      <c r="AE4637">
        <v>6</v>
      </c>
      <c r="AG4637">
        <v>547</v>
      </c>
      <c r="AI4637" t="s">
        <v>52</v>
      </c>
      <c r="AJ4637" t="s">
        <v>52</v>
      </c>
      <c r="AK4637" t="s">
        <v>52</v>
      </c>
      <c r="AL4637" t="str">
        <f>HYPERLINK("https://i.ytimg.com/vi/B2JpFh_99K4/sddefault.jpg")</f>
        <v>https://i.ytimg.com/vi/B2JpFh_99K4/sddefault.jpg</v>
      </c>
      <c r="AM4637" t="s">
        <v>52</v>
      </c>
      <c r="AN4637" t="s">
        <v>53</v>
      </c>
    </row>
    <row r="4638" spans="1:40">
      <c r="A4638" t="s">
        <v>13057</v>
      </c>
      <c r="B4638" t="s">
        <v>3512</v>
      </c>
      <c r="C4638" t="s">
        <v>14064</v>
      </c>
      <c r="D4638" t="s">
        <v>52</v>
      </c>
      <c r="E4638" t="s">
        <v>14065</v>
      </c>
      <c r="F4638" t="s">
        <v>95</v>
      </c>
      <c r="G4638" t="str">
        <f>HYPERLINK("https://twitter.com/45627422/status/1142579255219564544")</f>
        <v>https://twitter.com/45627422/status/1142579255219564544</v>
      </c>
      <c r="H4638" t="s">
        <v>215</v>
      </c>
      <c r="I4638" t="s">
        <v>9805</v>
      </c>
      <c r="J4638" t="str">
        <f>HYPERLINK("http://twitter.com/maruka214")</f>
        <v>http://twitter.com/maruka214</v>
      </c>
      <c r="K4638">
        <v>227</v>
      </c>
      <c r="N4638" t="s">
        <v>65</v>
      </c>
      <c r="R4638" t="s">
        <v>60</v>
      </c>
      <c r="S4638" t="s">
        <v>51</v>
      </c>
      <c r="T4638" t="s">
        <v>2729</v>
      </c>
      <c r="U4638" t="s">
        <v>14066</v>
      </c>
      <c r="W4638">
        <v>0</v>
      </c>
      <c r="X4638">
        <v>0</v>
      </c>
      <c r="AE4638">
        <v>0</v>
      </c>
      <c r="AF4638">
        <v>0</v>
      </c>
      <c r="AM4638" t="s">
        <v>52</v>
      </c>
      <c r="AN4638" t="s">
        <v>53</v>
      </c>
    </row>
    <row r="4639" spans="1:40">
      <c r="A4639" t="s">
        <v>13057</v>
      </c>
      <c r="B4639" t="s">
        <v>3512</v>
      </c>
      <c r="C4639" t="s">
        <v>14046</v>
      </c>
      <c r="D4639" t="s">
        <v>52</v>
      </c>
      <c r="E4639" t="s">
        <v>14067</v>
      </c>
      <c r="F4639" t="s">
        <v>45</v>
      </c>
      <c r="G4639" t="str">
        <f>HYPERLINK("https://twitter.com/2334074647/status/1142579177792708608")</f>
        <v>https://twitter.com/2334074647/status/1142579177792708608</v>
      </c>
      <c r="H4639" t="s">
        <v>46</v>
      </c>
      <c r="I4639" t="s">
        <v>14068</v>
      </c>
      <c r="J4639" t="str">
        <f>HYPERLINK("http://twitter.com/ConnorNoto29")</f>
        <v>http://twitter.com/ConnorNoto29</v>
      </c>
      <c r="K4639">
        <v>184</v>
      </c>
      <c r="N4639" t="s">
        <v>65</v>
      </c>
      <c r="R4639" t="s">
        <v>60</v>
      </c>
      <c r="W4639">
        <v>0</v>
      </c>
      <c r="X4639">
        <v>0</v>
      </c>
      <c r="AE4639">
        <v>0</v>
      </c>
      <c r="AF4639">
        <v>0</v>
      </c>
      <c r="AI4639" t="s">
        <v>108</v>
      </c>
      <c r="AJ4639" t="s">
        <v>52</v>
      </c>
      <c r="AK4639" t="s">
        <v>52</v>
      </c>
      <c r="AL4639" t="str">
        <f>HYPERLINK("https://pbs.twimg.com/ext_tw_video_thumb/1142578720680677376/pu/img/aTtGXsmmVkkH7Kcp.jpg")</f>
        <v>https://pbs.twimg.com/ext_tw_video_thumb/1142578720680677376/pu/img/aTtGXsmmVkkH7Kcp.jpg</v>
      </c>
      <c r="AM4639" t="s">
        <v>52</v>
      </c>
      <c r="AN4639" t="s">
        <v>53</v>
      </c>
    </row>
    <row r="4640" spans="1:40">
      <c r="A4640" t="s">
        <v>13057</v>
      </c>
      <c r="B4640" t="s">
        <v>9271</v>
      </c>
      <c r="C4640" t="s">
        <v>14069</v>
      </c>
      <c r="D4640" t="s">
        <v>14070</v>
      </c>
      <c r="E4640" t="s">
        <v>14071</v>
      </c>
      <c r="F4640" t="s">
        <v>95</v>
      </c>
      <c r="G4640" t="str">
        <f>HYPERLINK("https://www.youtube.com/watch?v=DS8hDqc_mx8&amp;lc=UgwgO5S9_kFjWbP2_4N4AaABAg")</f>
        <v>https://www.youtube.com/watch?v=DS8hDqc_mx8&amp;lc=UgwgO5S9_kFjWbP2_4N4AaABAg</v>
      </c>
      <c r="H4640" t="s">
        <v>46</v>
      </c>
      <c r="I4640" t="s">
        <v>14072</v>
      </c>
      <c r="J4640" t="str">
        <f>HYPERLINK("https://www.youtube.com/channel/UCSMAl4sGRn33043_ny2WeSQ")</f>
        <v>https://www.youtube.com/channel/UCSMAl4sGRn33043_ny2WeSQ</v>
      </c>
      <c r="K4640">
        <v>29</v>
      </c>
      <c r="N4640" t="s">
        <v>116</v>
      </c>
      <c r="O4640" t="s">
        <v>1928</v>
      </c>
      <c r="P4640" t="str">
        <f>HYPERLINK("https://www.youtube.com/channel/UChQDE32pfTG58LTSDhWpGVA")</f>
        <v>https://www.youtube.com/channel/UChQDE32pfTG58LTSDhWpGVA</v>
      </c>
      <c r="Q4640">
        <v>728461</v>
      </c>
      <c r="R4640" t="s">
        <v>60</v>
      </c>
      <c r="W4640">
        <v>0</v>
      </c>
      <c r="X4640">
        <v>0</v>
      </c>
      <c r="AE4640">
        <v>0</v>
      </c>
      <c r="AM4640" t="s">
        <v>52</v>
      </c>
      <c r="AN4640" t="s">
        <v>53</v>
      </c>
    </row>
    <row r="4641" spans="1:40">
      <c r="A4641" t="s">
        <v>13057</v>
      </c>
      <c r="B4641" t="s">
        <v>9271</v>
      </c>
      <c r="C4641" t="s">
        <v>14052</v>
      </c>
      <c r="D4641" t="s">
        <v>52</v>
      </c>
      <c r="E4641" t="s">
        <v>11685</v>
      </c>
      <c r="F4641" t="s">
        <v>131</v>
      </c>
      <c r="G4641" t="str">
        <f>HYPERLINK("https://twitter.com/745256053076418560/status/1142578812254920717")</f>
        <v>https://twitter.com/745256053076418560/status/1142578812254920717</v>
      </c>
      <c r="H4641" t="s">
        <v>46</v>
      </c>
      <c r="I4641" t="s">
        <v>14073</v>
      </c>
      <c r="J4641" t="str">
        <f>HYPERLINK("http://twitter.com/iaongher059")</f>
        <v>http://twitter.com/iaongher059</v>
      </c>
      <c r="K4641">
        <v>270</v>
      </c>
      <c r="N4641" t="s">
        <v>65</v>
      </c>
      <c r="R4641" t="s">
        <v>60</v>
      </c>
      <c r="W4641">
        <v>0</v>
      </c>
      <c r="X4641">
        <v>0</v>
      </c>
      <c r="AE4641">
        <v>0</v>
      </c>
      <c r="AM4641" t="s">
        <v>52</v>
      </c>
      <c r="AN4641" t="s">
        <v>53</v>
      </c>
    </row>
    <row r="4642" spans="1:40">
      <c r="A4642" t="s">
        <v>13057</v>
      </c>
      <c r="B4642" t="s">
        <v>9271</v>
      </c>
      <c r="C4642" t="s">
        <v>14074</v>
      </c>
      <c r="D4642" t="s">
        <v>52</v>
      </c>
      <c r="E4642" t="s">
        <v>14075</v>
      </c>
      <c r="F4642" t="s">
        <v>45</v>
      </c>
      <c r="G4642" t="str">
        <f>HYPERLINK("https://twitter.com/1020809975852040194/status/1142578781850361857")</f>
        <v>https://twitter.com/1020809975852040194/status/1142578781850361857</v>
      </c>
      <c r="H4642" t="s">
        <v>91</v>
      </c>
      <c r="I4642" t="s">
        <v>14076</v>
      </c>
      <c r="J4642" t="str">
        <f>HYPERLINK("http://twitter.com/MorwaldoIguana")</f>
        <v>http://twitter.com/MorwaldoIguana</v>
      </c>
      <c r="K4642">
        <v>157</v>
      </c>
      <c r="N4642" t="s">
        <v>65</v>
      </c>
      <c r="R4642" t="s">
        <v>60</v>
      </c>
      <c r="S4642" t="s">
        <v>437</v>
      </c>
      <c r="T4642" t="s">
        <v>528</v>
      </c>
      <c r="U4642" t="s">
        <v>529</v>
      </c>
      <c r="W4642">
        <v>5</v>
      </c>
      <c r="X4642">
        <v>5</v>
      </c>
      <c r="AE4642">
        <v>2</v>
      </c>
      <c r="AF4642">
        <v>0</v>
      </c>
      <c r="AM4642" t="s">
        <v>52</v>
      </c>
      <c r="AN4642" t="s">
        <v>53</v>
      </c>
    </row>
    <row r="4643" spans="1:40">
      <c r="A4643" t="s">
        <v>13057</v>
      </c>
      <c r="B4643" t="s">
        <v>9275</v>
      </c>
      <c r="C4643" t="s">
        <v>13917</v>
      </c>
      <c r="D4643" t="s">
        <v>52</v>
      </c>
      <c r="E4643" t="s">
        <v>14077</v>
      </c>
      <c r="F4643" t="s">
        <v>45</v>
      </c>
      <c r="G4643" t="str">
        <f>HYPERLINK("https://www.instagram.com/p/BzB-gdBhVYb")</f>
        <v>https://www.instagram.com/p/BzB-gdBhVYb</v>
      </c>
      <c r="H4643" t="s">
        <v>215</v>
      </c>
      <c r="I4643" t="s">
        <v>14078</v>
      </c>
      <c r="J4643" t="str">
        <f>HYPERLINK("http://instagram.com/realtomatohead")</f>
        <v>http://instagram.com/realtomatohead</v>
      </c>
      <c r="K4643">
        <v>0</v>
      </c>
      <c r="N4643" t="s">
        <v>59</v>
      </c>
      <c r="O4643" t="s">
        <v>14078</v>
      </c>
      <c r="P4643" t="str">
        <f>HYPERLINK("http://instagram.com/realtomatohead")</f>
        <v>http://instagram.com/realtomatohead</v>
      </c>
      <c r="Q4643">
        <v>0</v>
      </c>
      <c r="R4643" t="s">
        <v>60</v>
      </c>
      <c r="W4643">
        <v>0</v>
      </c>
      <c r="X4643">
        <v>0</v>
      </c>
      <c r="AE4643">
        <v>0</v>
      </c>
      <c r="AI4643" t="s">
        <v>108</v>
      </c>
      <c r="AJ4643" t="s">
        <v>52</v>
      </c>
      <c r="AK4643" t="s">
        <v>2986</v>
      </c>
      <c r="AL4643" t="str">
        <f>HYPERLINK("https://www.instagram.com/p/BzB-gdBhVYb/media/?size=l")</f>
        <v>https://www.instagram.com/p/BzB-gdBhVYb/media/?size=l</v>
      </c>
      <c r="AM4643" t="s">
        <v>52</v>
      </c>
      <c r="AN4643" t="s">
        <v>53</v>
      </c>
    </row>
    <row r="4644" spans="1:40">
      <c r="A4644" t="s">
        <v>13057</v>
      </c>
      <c r="B4644" t="s">
        <v>9275</v>
      </c>
      <c r="C4644" t="s">
        <v>7029</v>
      </c>
      <c r="D4644" t="s">
        <v>7315</v>
      </c>
      <c r="E4644" t="s">
        <v>7316</v>
      </c>
      <c r="F4644" t="s">
        <v>45</v>
      </c>
      <c r="G4644" t="str">
        <f>HYPERLINK("http://www.philropost.com/pictures-of-cheese-sticks.html")</f>
        <v>http://www.philropost.com/pictures-of-cheese-sticks.html</v>
      </c>
      <c r="H4644" t="s">
        <v>46</v>
      </c>
      <c r="N4644" t="s">
        <v>7552</v>
      </c>
      <c r="R4644" t="s">
        <v>50</v>
      </c>
      <c r="S4644" t="s">
        <v>51</v>
      </c>
      <c r="AM4644" t="s">
        <v>52</v>
      </c>
      <c r="AN4644" t="s">
        <v>53</v>
      </c>
    </row>
    <row r="4645" spans="1:40">
      <c r="A4645" t="s">
        <v>13057</v>
      </c>
      <c r="B4645" t="s">
        <v>9275</v>
      </c>
      <c r="C4645" t="s">
        <v>7029</v>
      </c>
      <c r="D4645" t="s">
        <v>1631</v>
      </c>
      <c r="E4645" t="s">
        <v>1632</v>
      </c>
      <c r="F4645" t="s">
        <v>45</v>
      </c>
      <c r="G4645" t="str">
        <f>HYPERLINK("http://www.philropost.com/taco-bell-post-falls.html")</f>
        <v>http://www.philropost.com/taco-bell-post-falls.html</v>
      </c>
      <c r="H4645" t="s">
        <v>46</v>
      </c>
      <c r="N4645" t="s">
        <v>7552</v>
      </c>
      <c r="R4645" t="s">
        <v>50</v>
      </c>
      <c r="S4645" t="s">
        <v>51</v>
      </c>
      <c r="AM4645" t="s">
        <v>52</v>
      </c>
      <c r="AN4645" t="s">
        <v>53</v>
      </c>
    </row>
    <row r="4646" spans="1:40">
      <c r="A4646" t="s">
        <v>13057</v>
      </c>
      <c r="B4646" t="s">
        <v>3520</v>
      </c>
      <c r="C4646" t="s">
        <v>7029</v>
      </c>
      <c r="D4646" t="s">
        <v>13140</v>
      </c>
      <c r="E4646" t="s">
        <v>13141</v>
      </c>
      <c r="F4646" t="s">
        <v>45</v>
      </c>
      <c r="G4646" t="str">
        <f>HYPERLINK("https://apkhook.com/dews-and-doritos.html")</f>
        <v>https://apkhook.com/dews-and-doritos.html</v>
      </c>
      <c r="H4646" t="s">
        <v>46</v>
      </c>
      <c r="N4646" t="s">
        <v>1633</v>
      </c>
      <c r="R4646" t="s">
        <v>50</v>
      </c>
      <c r="S4646" t="s">
        <v>51</v>
      </c>
      <c r="AM4646" t="s">
        <v>52</v>
      </c>
      <c r="AN4646" t="s">
        <v>53</v>
      </c>
    </row>
    <row r="4647" spans="1:40">
      <c r="A4647" t="s">
        <v>13057</v>
      </c>
      <c r="B4647" t="s">
        <v>3524</v>
      </c>
      <c r="C4647" t="s">
        <v>14069</v>
      </c>
      <c r="D4647" t="s">
        <v>14070</v>
      </c>
      <c r="E4647" t="s">
        <v>14079</v>
      </c>
      <c r="F4647" t="s">
        <v>95</v>
      </c>
      <c r="G4647" t="str">
        <f>HYPERLINK("https://www.youtube.com/watch?v=DS8hDqc_mx8&amp;lc=UgzVGdI82Vs-wNFpBIl4AaABAg")</f>
        <v>https://www.youtube.com/watch?v=DS8hDqc_mx8&amp;lc=UgzVGdI82Vs-wNFpBIl4AaABAg</v>
      </c>
      <c r="H4647" t="s">
        <v>46</v>
      </c>
      <c r="I4647" t="s">
        <v>14080</v>
      </c>
      <c r="J4647" t="str">
        <f>HYPERLINK("https://www.youtube.com/channel/UCaZqXMR_TEymWBm-M-__5kA")</f>
        <v>https://www.youtube.com/channel/UCaZqXMR_TEymWBm-M-__5kA</v>
      </c>
      <c r="K4647">
        <v>20</v>
      </c>
      <c r="N4647" t="s">
        <v>116</v>
      </c>
      <c r="O4647" t="s">
        <v>1928</v>
      </c>
      <c r="P4647" t="str">
        <f>HYPERLINK("https://www.youtube.com/channel/UChQDE32pfTG58LTSDhWpGVA")</f>
        <v>https://www.youtube.com/channel/UChQDE32pfTG58LTSDhWpGVA</v>
      </c>
      <c r="Q4647">
        <v>728461</v>
      </c>
      <c r="R4647" t="s">
        <v>60</v>
      </c>
      <c r="W4647">
        <v>0</v>
      </c>
      <c r="X4647">
        <v>0</v>
      </c>
      <c r="AE4647">
        <v>0</v>
      </c>
      <c r="AM4647" t="s">
        <v>52</v>
      </c>
      <c r="AN4647" t="s">
        <v>53</v>
      </c>
    </row>
    <row r="4648" spans="1:40">
      <c r="A4648" t="s">
        <v>13057</v>
      </c>
      <c r="B4648" t="s">
        <v>3524</v>
      </c>
      <c r="C4648" t="s">
        <v>14028</v>
      </c>
      <c r="D4648" t="s">
        <v>52</v>
      </c>
      <c r="E4648" t="s">
        <v>14081</v>
      </c>
      <c r="F4648" t="s">
        <v>45</v>
      </c>
      <c r="G4648" t="str">
        <f>HYPERLINK("https://www.instagram.com/p/BzB-ONIgYqN")</f>
        <v>https://www.instagram.com/p/BzB-ONIgYqN</v>
      </c>
      <c r="H4648" t="s">
        <v>46</v>
      </c>
      <c r="I4648" t="s">
        <v>14082</v>
      </c>
      <c r="J4648" t="str">
        <f>HYPERLINK("http://instagram.com/daesphotographer")</f>
        <v>http://instagram.com/daesphotographer</v>
      </c>
      <c r="K4648">
        <v>15824</v>
      </c>
      <c r="L4648" t="s">
        <v>48</v>
      </c>
      <c r="N4648" t="s">
        <v>59</v>
      </c>
      <c r="O4648" t="s">
        <v>14082</v>
      </c>
      <c r="P4648" t="str">
        <f>HYPERLINK("http://instagram.com/daesphotographer")</f>
        <v>http://instagram.com/daesphotographer</v>
      </c>
      <c r="Q4648">
        <v>15824</v>
      </c>
      <c r="R4648" t="s">
        <v>60</v>
      </c>
      <c r="S4648" t="s">
        <v>210</v>
      </c>
      <c r="T4648" t="s">
        <v>5802</v>
      </c>
      <c r="U4648" t="s">
        <v>14083</v>
      </c>
      <c r="W4648">
        <v>183</v>
      </c>
      <c r="X4648">
        <v>183</v>
      </c>
      <c r="AE4648">
        <v>3</v>
      </c>
      <c r="AI4648" t="s">
        <v>108</v>
      </c>
      <c r="AJ4648" t="s">
        <v>52</v>
      </c>
      <c r="AK4648" t="s">
        <v>4038</v>
      </c>
      <c r="AL4648" t="str">
        <f>HYPERLINK("https://www.instagram.com/p/BzB-ONIgYqN/media/?size=l")</f>
        <v>https://www.instagram.com/p/BzB-ONIgYqN/media/?size=l</v>
      </c>
      <c r="AM4648" t="s">
        <v>52</v>
      </c>
      <c r="AN4648" t="s">
        <v>53</v>
      </c>
    </row>
    <row r="4649" spans="1:40">
      <c r="A4649" t="s">
        <v>13057</v>
      </c>
      <c r="B4649" t="s">
        <v>3547</v>
      </c>
      <c r="C4649" t="s">
        <v>14084</v>
      </c>
      <c r="D4649" t="s">
        <v>52</v>
      </c>
      <c r="E4649" t="s">
        <v>14085</v>
      </c>
      <c r="F4649" t="s">
        <v>45</v>
      </c>
      <c r="G4649" t="str">
        <f>HYPERLINK("https://twitter.com/1914444595/status/1142577315605438464")</f>
        <v>https://twitter.com/1914444595/status/1142577315605438464</v>
      </c>
      <c r="H4649" t="s">
        <v>46</v>
      </c>
      <c r="I4649" t="s">
        <v>14007</v>
      </c>
      <c r="J4649" t="str">
        <f>HYPERLINK("http://twitter.com/TMOTS2099")</f>
        <v>http://twitter.com/TMOTS2099</v>
      </c>
      <c r="K4649">
        <v>92</v>
      </c>
      <c r="L4649" t="s">
        <v>48</v>
      </c>
      <c r="N4649" t="s">
        <v>65</v>
      </c>
      <c r="R4649" t="s">
        <v>60</v>
      </c>
      <c r="W4649">
        <v>0</v>
      </c>
      <c r="X4649">
        <v>0</v>
      </c>
      <c r="AE4649">
        <v>0</v>
      </c>
      <c r="AF4649">
        <v>0</v>
      </c>
      <c r="AI4649" t="s">
        <v>52</v>
      </c>
      <c r="AJ4649" t="s">
        <v>52</v>
      </c>
      <c r="AK4649" t="s">
        <v>52</v>
      </c>
      <c r="AL4649" t="str">
        <f>HYPERLINK("https://pbs.twimg.com/tweet_video_thumb/D9tAAofU4AAk07v.jpg")</f>
        <v>https://pbs.twimg.com/tweet_video_thumb/D9tAAofU4AAk07v.jpg</v>
      </c>
      <c r="AM4649" t="s">
        <v>52</v>
      </c>
      <c r="AN4649" t="s">
        <v>53</v>
      </c>
    </row>
    <row r="4650" spans="1:40">
      <c r="A4650" t="s">
        <v>13057</v>
      </c>
      <c r="B4650" t="s">
        <v>3547</v>
      </c>
      <c r="C4650" t="s">
        <v>14086</v>
      </c>
      <c r="D4650" t="s">
        <v>52</v>
      </c>
      <c r="E4650" t="s">
        <v>14087</v>
      </c>
      <c r="F4650" t="s">
        <v>131</v>
      </c>
      <c r="G4650" t="str">
        <f>HYPERLINK("https://twitter.com/509599766/status/1142577277064097792")</f>
        <v>https://twitter.com/509599766/status/1142577277064097792</v>
      </c>
      <c r="H4650" t="s">
        <v>46</v>
      </c>
      <c r="I4650" t="s">
        <v>14088</v>
      </c>
      <c r="J4650" t="str">
        <f>HYPERLINK("http://twitter.com/AnabellllC")</f>
        <v>http://twitter.com/AnabellllC</v>
      </c>
      <c r="K4650">
        <v>171</v>
      </c>
      <c r="N4650" t="s">
        <v>65</v>
      </c>
      <c r="R4650" t="s">
        <v>60</v>
      </c>
      <c r="W4650">
        <v>0</v>
      </c>
      <c r="X4650">
        <v>0</v>
      </c>
      <c r="AE4650">
        <v>0</v>
      </c>
      <c r="AM4650" t="s">
        <v>52</v>
      </c>
      <c r="AN4650" t="s">
        <v>53</v>
      </c>
    </row>
    <row r="4651" spans="1:40">
      <c r="A4651" t="s">
        <v>13057</v>
      </c>
      <c r="B4651" t="s">
        <v>3552</v>
      </c>
      <c r="C4651" t="s">
        <v>14086</v>
      </c>
      <c r="D4651" t="s">
        <v>52</v>
      </c>
      <c r="E4651" t="s">
        <v>14089</v>
      </c>
      <c r="F4651" t="s">
        <v>45</v>
      </c>
      <c r="G4651" t="str">
        <f>HYPERLINK("https://twitter.com/3291699279/status/1142577249583058944")</f>
        <v>https://twitter.com/3291699279/status/1142577249583058944</v>
      </c>
      <c r="H4651" t="s">
        <v>46</v>
      </c>
      <c r="I4651" t="s">
        <v>14090</v>
      </c>
      <c r="J4651" t="str">
        <f>HYPERLINK("http://twitter.com/Bychu4")</f>
        <v>http://twitter.com/Bychu4</v>
      </c>
      <c r="K4651">
        <v>324</v>
      </c>
      <c r="N4651" t="s">
        <v>65</v>
      </c>
      <c r="R4651" t="s">
        <v>60</v>
      </c>
      <c r="S4651" t="s">
        <v>701</v>
      </c>
      <c r="W4651">
        <v>2</v>
      </c>
      <c r="X4651">
        <v>2</v>
      </c>
      <c r="AE4651">
        <v>0</v>
      </c>
      <c r="AF4651">
        <v>0</v>
      </c>
      <c r="AM4651" t="s">
        <v>52</v>
      </c>
      <c r="AN4651" t="s">
        <v>53</v>
      </c>
    </row>
    <row r="4652" spans="1:40">
      <c r="A4652" t="s">
        <v>13057</v>
      </c>
      <c r="B4652" t="s">
        <v>3552</v>
      </c>
      <c r="C4652" t="s">
        <v>14091</v>
      </c>
      <c r="D4652" t="s">
        <v>52</v>
      </c>
      <c r="E4652" t="s">
        <v>14092</v>
      </c>
      <c r="F4652" t="s">
        <v>95</v>
      </c>
      <c r="G4652" t="str">
        <f>HYPERLINK("https://twitter.com/2815010325/status/1142577089423564800")</f>
        <v>https://twitter.com/2815010325/status/1142577089423564800</v>
      </c>
      <c r="H4652" t="s">
        <v>215</v>
      </c>
      <c r="I4652" t="s">
        <v>14093</v>
      </c>
      <c r="J4652" t="str">
        <f>HYPERLINK("http://twitter.com/JamieAkins5")</f>
        <v>http://twitter.com/JamieAkins5</v>
      </c>
      <c r="K4652">
        <v>1423</v>
      </c>
      <c r="N4652" t="s">
        <v>65</v>
      </c>
      <c r="R4652" t="s">
        <v>60</v>
      </c>
      <c r="S4652" t="s">
        <v>51</v>
      </c>
      <c r="T4652" t="s">
        <v>2923</v>
      </c>
      <c r="U4652" t="s">
        <v>14094</v>
      </c>
      <c r="W4652">
        <v>2</v>
      </c>
      <c r="X4652">
        <v>2</v>
      </c>
      <c r="AE4652">
        <v>0</v>
      </c>
      <c r="AF4652">
        <v>0</v>
      </c>
      <c r="AM4652" t="s">
        <v>52</v>
      </c>
      <c r="AN4652" t="s">
        <v>53</v>
      </c>
    </row>
    <row r="4653" spans="1:40">
      <c r="A4653" t="s">
        <v>13057</v>
      </c>
      <c r="B4653" t="s">
        <v>3564</v>
      </c>
      <c r="C4653" t="s">
        <v>14095</v>
      </c>
      <c r="D4653" t="s">
        <v>52</v>
      </c>
      <c r="E4653" t="s">
        <v>14096</v>
      </c>
      <c r="F4653" t="s">
        <v>95</v>
      </c>
      <c r="G4653" t="str">
        <f>HYPERLINK("https://twitter.com/967261395652923392/status/1142576881138581504")</f>
        <v>https://twitter.com/967261395652923392/status/1142576881138581504</v>
      </c>
      <c r="H4653" t="s">
        <v>46</v>
      </c>
      <c r="I4653" t="s">
        <v>14097</v>
      </c>
      <c r="J4653" t="str">
        <f>HYPERLINK("http://twitter.com/Roclogic")</f>
        <v>http://twitter.com/Roclogic</v>
      </c>
      <c r="K4653">
        <v>4501</v>
      </c>
      <c r="N4653" t="s">
        <v>65</v>
      </c>
      <c r="R4653" t="s">
        <v>60</v>
      </c>
      <c r="S4653" t="s">
        <v>51</v>
      </c>
      <c r="T4653" t="s">
        <v>2822</v>
      </c>
      <c r="U4653" t="s">
        <v>2522</v>
      </c>
      <c r="W4653">
        <v>2</v>
      </c>
      <c r="X4653">
        <v>2</v>
      </c>
      <c r="AE4653">
        <v>1</v>
      </c>
      <c r="AF4653">
        <v>0</v>
      </c>
      <c r="AM4653" t="s">
        <v>52</v>
      </c>
      <c r="AN4653" t="s">
        <v>53</v>
      </c>
    </row>
    <row r="4654" spans="1:40">
      <c r="A4654" t="s">
        <v>13057</v>
      </c>
      <c r="B4654" t="s">
        <v>3572</v>
      </c>
      <c r="C4654" t="s">
        <v>14098</v>
      </c>
      <c r="D4654" t="s">
        <v>52</v>
      </c>
      <c r="E4654" t="s">
        <v>870</v>
      </c>
      <c r="F4654" t="s">
        <v>45</v>
      </c>
      <c r="G4654" t="str">
        <f>HYPERLINK("https://twitter.com/1104309013498511360/status/1142576740688191488")</f>
        <v>https://twitter.com/1104309013498511360/status/1142576740688191488</v>
      </c>
      <c r="H4654" t="s">
        <v>46</v>
      </c>
      <c r="I4654" t="s">
        <v>52</v>
      </c>
      <c r="J4654" t="str">
        <f>HYPERLINK("http://twitter.com/ruining")</f>
        <v>http://twitter.com/ruining</v>
      </c>
      <c r="K4654">
        <v>98</v>
      </c>
      <c r="N4654" t="s">
        <v>65</v>
      </c>
      <c r="R4654" t="s">
        <v>60</v>
      </c>
      <c r="W4654">
        <v>8</v>
      </c>
      <c r="X4654">
        <v>8</v>
      </c>
      <c r="AE4654">
        <v>2</v>
      </c>
      <c r="AF4654">
        <v>0</v>
      </c>
      <c r="AM4654" t="s">
        <v>52</v>
      </c>
      <c r="AN4654" t="s">
        <v>53</v>
      </c>
    </row>
    <row r="4655" spans="1:40">
      <c r="A4655" t="s">
        <v>13057</v>
      </c>
      <c r="B4655" t="s">
        <v>3572</v>
      </c>
      <c r="C4655" t="s">
        <v>14098</v>
      </c>
      <c r="D4655" t="s">
        <v>52</v>
      </c>
      <c r="E4655" t="s">
        <v>14099</v>
      </c>
      <c r="F4655" t="s">
        <v>45</v>
      </c>
      <c r="G4655" t="str">
        <f>HYPERLINK("https://twitter.com/1078395850802515968/status/1142576670139924480")</f>
        <v>https://twitter.com/1078395850802515968/status/1142576670139924480</v>
      </c>
      <c r="H4655" t="s">
        <v>46</v>
      </c>
      <c r="I4655" t="s">
        <v>14100</v>
      </c>
      <c r="J4655" t="str">
        <f>HYPERLINK("http://twitter.com/SavageLavage")</f>
        <v>http://twitter.com/SavageLavage</v>
      </c>
      <c r="K4655">
        <v>204</v>
      </c>
      <c r="N4655" t="s">
        <v>65</v>
      </c>
      <c r="R4655" t="s">
        <v>60</v>
      </c>
      <c r="S4655" t="s">
        <v>1071</v>
      </c>
      <c r="T4655" t="s">
        <v>5971</v>
      </c>
      <c r="U4655" t="s">
        <v>6207</v>
      </c>
      <c r="W4655">
        <v>0</v>
      </c>
      <c r="X4655">
        <v>0</v>
      </c>
      <c r="AE4655">
        <v>0</v>
      </c>
      <c r="AF4655">
        <v>0</v>
      </c>
      <c r="AM4655" t="s">
        <v>52</v>
      </c>
      <c r="AN4655" t="s">
        <v>53</v>
      </c>
    </row>
    <row r="4656" spans="1:40">
      <c r="A4656" t="s">
        <v>13057</v>
      </c>
      <c r="B4656" t="s">
        <v>3588</v>
      </c>
      <c r="C4656" t="s">
        <v>14101</v>
      </c>
      <c r="D4656" t="s">
        <v>52</v>
      </c>
      <c r="E4656" t="s">
        <v>4514</v>
      </c>
      <c r="F4656" t="s">
        <v>71</v>
      </c>
      <c r="G4656" t="str">
        <f>HYPERLINK("https://twitter.com/1187493102/status/1142576498123010048")</f>
        <v>https://twitter.com/1187493102/status/1142576498123010048</v>
      </c>
      <c r="H4656" t="s">
        <v>46</v>
      </c>
      <c r="I4656" t="s">
        <v>14102</v>
      </c>
      <c r="J4656" t="str">
        <f>HYPERLINK("http://twitter.com/JadeKuroNeko")</f>
        <v>http://twitter.com/JadeKuroNeko</v>
      </c>
      <c r="K4656">
        <v>16</v>
      </c>
      <c r="N4656" t="s">
        <v>65</v>
      </c>
      <c r="R4656" t="s">
        <v>60</v>
      </c>
      <c r="S4656" t="s">
        <v>51</v>
      </c>
      <c r="T4656" t="s">
        <v>173</v>
      </c>
      <c r="W4656">
        <v>0</v>
      </c>
      <c r="X4656">
        <v>0</v>
      </c>
      <c r="AE4656">
        <v>0</v>
      </c>
      <c r="AF4656">
        <v>0</v>
      </c>
      <c r="AI4656" t="s">
        <v>108</v>
      </c>
      <c r="AJ4656" t="s">
        <v>52</v>
      </c>
      <c r="AK4656" t="s">
        <v>52</v>
      </c>
      <c r="AL4656" t="str">
        <f>HYPERLINK("https://pbs.twimg.com/tweet_video_thumb/D9hvNNzXUAATAS3.jpg")</f>
        <v>https://pbs.twimg.com/tweet_video_thumb/D9hvNNzXUAATAS3.jpg</v>
      </c>
      <c r="AM4656" t="s">
        <v>52</v>
      </c>
      <c r="AN4656" t="s">
        <v>53</v>
      </c>
    </row>
    <row r="4657" spans="1:40">
      <c r="A4657" t="s">
        <v>13057</v>
      </c>
      <c r="B4657" t="s">
        <v>3588</v>
      </c>
      <c r="C4657" t="s">
        <v>14103</v>
      </c>
      <c r="D4657" t="s">
        <v>52</v>
      </c>
      <c r="E4657" t="s">
        <v>14104</v>
      </c>
      <c r="F4657" t="s">
        <v>45</v>
      </c>
      <c r="G4657" t="str">
        <f>HYPERLINK("https://www.instagram.com/p/BzB9evgAJk-")</f>
        <v>https://www.instagram.com/p/BzB9evgAJk-</v>
      </c>
      <c r="H4657" t="s">
        <v>46</v>
      </c>
      <c r="I4657" t="s">
        <v>14105</v>
      </c>
      <c r="J4657" t="str">
        <f>HYPERLINK("http://instagram.com/squidwards_hoe")</f>
        <v>http://instagram.com/squidwards_hoe</v>
      </c>
      <c r="K4657">
        <v>0</v>
      </c>
      <c r="N4657" t="s">
        <v>59</v>
      </c>
      <c r="O4657" t="s">
        <v>14105</v>
      </c>
      <c r="P4657" t="str">
        <f>HYPERLINK("http://instagram.com/squidwards_hoe")</f>
        <v>http://instagram.com/squidwards_hoe</v>
      </c>
      <c r="Q4657">
        <v>0</v>
      </c>
      <c r="R4657" t="s">
        <v>60</v>
      </c>
      <c r="W4657">
        <v>6</v>
      </c>
      <c r="X4657">
        <v>6</v>
      </c>
      <c r="AE4657">
        <v>0</v>
      </c>
      <c r="AI4657" t="s">
        <v>52</v>
      </c>
      <c r="AJ4657" t="s">
        <v>52</v>
      </c>
      <c r="AK4657" t="s">
        <v>52</v>
      </c>
      <c r="AL4657" t="str">
        <f>HYPERLINK("https://www.instagram.com/p/BzB9evgAJk-/media/?size=l")</f>
        <v>https://www.instagram.com/p/BzB9evgAJk-/media/?size=l</v>
      </c>
      <c r="AM4657" t="s">
        <v>52</v>
      </c>
      <c r="AN4657" t="s">
        <v>53</v>
      </c>
    </row>
    <row r="4658" spans="1:40">
      <c r="A4658" t="s">
        <v>13057</v>
      </c>
      <c r="B4658" t="s">
        <v>3596</v>
      </c>
      <c r="C4658" t="s">
        <v>14091</v>
      </c>
      <c r="D4658" t="s">
        <v>52</v>
      </c>
      <c r="E4658" t="s">
        <v>4514</v>
      </c>
      <c r="F4658" t="s">
        <v>71</v>
      </c>
      <c r="G4658" t="str">
        <f>HYPERLINK("https://twitter.com/1138123324310134784/status/1142576116839772160")</f>
        <v>https://twitter.com/1138123324310134784/status/1142576116839772160</v>
      </c>
      <c r="H4658" t="s">
        <v>46</v>
      </c>
      <c r="I4658" t="s">
        <v>14106</v>
      </c>
      <c r="J4658" t="str">
        <f>HYPERLINK("http://twitter.com/TomHollandEspa1")</f>
        <v>http://twitter.com/TomHollandEspa1</v>
      </c>
      <c r="K4658">
        <v>6</v>
      </c>
      <c r="N4658" t="s">
        <v>65</v>
      </c>
      <c r="R4658" t="s">
        <v>60</v>
      </c>
      <c r="W4658">
        <v>0</v>
      </c>
      <c r="X4658">
        <v>0</v>
      </c>
      <c r="AE4658">
        <v>0</v>
      </c>
      <c r="AF4658">
        <v>0</v>
      </c>
      <c r="AI4658" t="s">
        <v>108</v>
      </c>
      <c r="AJ4658" t="s">
        <v>52</v>
      </c>
      <c r="AK4658" t="s">
        <v>52</v>
      </c>
      <c r="AL4658" t="str">
        <f>HYPERLINK("https://pbs.twimg.com/tweet_video_thumb/D9hvNNzXUAATAS3.jpg")</f>
        <v>https://pbs.twimg.com/tweet_video_thumb/D9hvNNzXUAATAS3.jpg</v>
      </c>
      <c r="AM4658" t="s">
        <v>52</v>
      </c>
      <c r="AN4658" t="s">
        <v>53</v>
      </c>
    </row>
    <row r="4659" spans="1:40">
      <c r="A4659" t="s">
        <v>13057</v>
      </c>
      <c r="B4659" t="s">
        <v>3600</v>
      </c>
      <c r="C4659" t="s">
        <v>14103</v>
      </c>
      <c r="D4659" t="s">
        <v>52</v>
      </c>
      <c r="E4659" t="s">
        <v>14107</v>
      </c>
      <c r="F4659" t="s">
        <v>45</v>
      </c>
      <c r="G4659" t="str">
        <f>HYPERLINK("https://www.instagram.com/p/BzB9P2SnihE")</f>
        <v>https://www.instagram.com/p/BzB9P2SnihE</v>
      </c>
      <c r="H4659" t="s">
        <v>46</v>
      </c>
      <c r="I4659" t="s">
        <v>14108</v>
      </c>
      <c r="J4659" t="str">
        <f>HYPERLINK("http://instagram.com/stripesracing")</f>
        <v>http://instagram.com/stripesracing</v>
      </c>
      <c r="K4659">
        <v>1339</v>
      </c>
      <c r="N4659" t="s">
        <v>59</v>
      </c>
      <c r="O4659" t="s">
        <v>14108</v>
      </c>
      <c r="P4659" t="str">
        <f>HYPERLINK("http://instagram.com/stripesracing")</f>
        <v>http://instagram.com/stripesracing</v>
      </c>
      <c r="Q4659">
        <v>1339</v>
      </c>
      <c r="R4659" t="s">
        <v>60</v>
      </c>
      <c r="W4659">
        <v>46</v>
      </c>
      <c r="X4659">
        <v>46</v>
      </c>
      <c r="AE4659">
        <v>3</v>
      </c>
      <c r="AI4659" t="s">
        <v>52</v>
      </c>
      <c r="AJ4659" t="s">
        <v>648</v>
      </c>
      <c r="AK4659" t="s">
        <v>14109</v>
      </c>
      <c r="AL4659" t="str">
        <f>HYPERLINK("https://www.instagram.com/p/BzB9P2SnihE/media/?size=l")</f>
        <v>https://www.instagram.com/p/BzB9P2SnihE/media/?size=l</v>
      </c>
      <c r="AM4659" t="s">
        <v>52</v>
      </c>
      <c r="AN4659" t="s">
        <v>53</v>
      </c>
    </row>
    <row r="4660" spans="1:40">
      <c r="A4660" t="s">
        <v>13057</v>
      </c>
      <c r="B4660" t="s">
        <v>3600</v>
      </c>
      <c r="C4660" t="s">
        <v>14101</v>
      </c>
      <c r="D4660" t="s">
        <v>52</v>
      </c>
      <c r="E4660" t="s">
        <v>14110</v>
      </c>
      <c r="F4660" t="s">
        <v>95</v>
      </c>
      <c r="G4660" t="str">
        <f>HYPERLINK("https://twitter.com/799283716191387648/status/1142575869518655488")</f>
        <v>https://twitter.com/799283716191387648/status/1142575869518655488</v>
      </c>
      <c r="H4660" t="s">
        <v>46</v>
      </c>
      <c r="I4660" t="s">
        <v>7109</v>
      </c>
      <c r="J4660" t="str">
        <f>HYPERLINK("http://twitter.com/longley_joe")</f>
        <v>http://twitter.com/longley_joe</v>
      </c>
      <c r="K4660">
        <v>137</v>
      </c>
      <c r="N4660" t="s">
        <v>65</v>
      </c>
      <c r="R4660" t="s">
        <v>60</v>
      </c>
      <c r="W4660">
        <v>0</v>
      </c>
      <c r="X4660">
        <v>0</v>
      </c>
      <c r="AE4660">
        <v>0</v>
      </c>
      <c r="AF4660">
        <v>0</v>
      </c>
      <c r="AM4660" t="s">
        <v>52</v>
      </c>
      <c r="AN4660" t="s">
        <v>53</v>
      </c>
    </row>
    <row r="4661" spans="1:40">
      <c r="A4661" t="s">
        <v>13057</v>
      </c>
      <c r="B4661" t="s">
        <v>3600</v>
      </c>
      <c r="C4661" t="s">
        <v>14111</v>
      </c>
      <c r="D4661" t="s">
        <v>52</v>
      </c>
      <c r="E4661" t="s">
        <v>14112</v>
      </c>
      <c r="F4661" t="s">
        <v>45</v>
      </c>
      <c r="G4661" t="str">
        <f>HYPERLINK("https://www.instagram.com/p/BzB9NgRBEf7")</f>
        <v>https://www.instagram.com/p/BzB9NgRBEf7</v>
      </c>
      <c r="H4661" t="s">
        <v>46</v>
      </c>
      <c r="I4661" t="s">
        <v>14113</v>
      </c>
      <c r="J4661" t="str">
        <f>HYPERLINK("http://instagram.com/doridotwill")</f>
        <v>http://instagram.com/doridotwill</v>
      </c>
      <c r="K4661">
        <v>535</v>
      </c>
      <c r="N4661" t="s">
        <v>59</v>
      </c>
      <c r="O4661" t="s">
        <v>14113</v>
      </c>
      <c r="P4661" t="str">
        <f>HYPERLINK("http://instagram.com/doridotwill")</f>
        <v>http://instagram.com/doridotwill</v>
      </c>
      <c r="Q4661">
        <v>535</v>
      </c>
      <c r="R4661" t="s">
        <v>60</v>
      </c>
      <c r="S4661" t="s">
        <v>51</v>
      </c>
      <c r="T4661" t="s">
        <v>3267</v>
      </c>
      <c r="U4661" t="s">
        <v>14114</v>
      </c>
      <c r="W4661">
        <v>13</v>
      </c>
      <c r="X4661">
        <v>13</v>
      </c>
      <c r="AE4661">
        <v>5</v>
      </c>
      <c r="AI4661" t="s">
        <v>52</v>
      </c>
      <c r="AJ4661" t="s">
        <v>52</v>
      </c>
      <c r="AK4661" t="s">
        <v>2782</v>
      </c>
      <c r="AL4661" t="str">
        <f>HYPERLINK("https://www.instagram.com/p/BzB9NgRBEf7/media/?size=l")</f>
        <v>https://www.instagram.com/p/BzB9NgRBEf7/media/?size=l</v>
      </c>
      <c r="AM4661" t="s">
        <v>52</v>
      </c>
      <c r="AN4661" t="s">
        <v>53</v>
      </c>
    </row>
    <row r="4662" spans="1:40">
      <c r="A4662" t="s">
        <v>13057</v>
      </c>
      <c r="B4662" t="s">
        <v>3600</v>
      </c>
      <c r="C4662" t="s">
        <v>14064</v>
      </c>
      <c r="D4662" t="s">
        <v>14115</v>
      </c>
      <c r="E4662" t="s">
        <v>14116</v>
      </c>
      <c r="F4662" t="s">
        <v>95</v>
      </c>
      <c r="G4662" t="str">
        <f>HYPERLINK("https://mtonews.com/nicki-minaj-is-legally-married-to-boyfriend-kenneth-petty#comment-4512461490")</f>
        <v>https://mtonews.com/nicki-minaj-is-legally-married-to-boyfriend-kenneth-petty#comment-4512461490</v>
      </c>
      <c r="H4662" t="s">
        <v>46</v>
      </c>
      <c r="I4662" t="s">
        <v>14117</v>
      </c>
      <c r="J4662" t="str">
        <f>HYPERLINK("https://disqus.com/by/TheReal_2BYTCHY/")</f>
        <v>https://disqus.com/by/TheReal_2BYTCHY/</v>
      </c>
      <c r="K4662">
        <v>87</v>
      </c>
      <c r="N4662" t="s">
        <v>6404</v>
      </c>
      <c r="O4662" t="s">
        <v>6405</v>
      </c>
      <c r="P4662" t="str">
        <f>HYPERLINK("https://disqus.com/home/forum/mtonews/")</f>
        <v>https://disqus.com/home/forum/mtonews/</v>
      </c>
      <c r="R4662" t="s">
        <v>50</v>
      </c>
      <c r="W4662">
        <v>0</v>
      </c>
      <c r="X4662">
        <v>0</v>
      </c>
      <c r="AM4662" t="s">
        <v>52</v>
      </c>
      <c r="AN4662" t="s">
        <v>53</v>
      </c>
    </row>
    <row r="4663" spans="1:40">
      <c r="A4663" t="s">
        <v>13057</v>
      </c>
      <c r="B4663" t="s">
        <v>3603</v>
      </c>
      <c r="C4663" t="s">
        <v>14118</v>
      </c>
      <c r="D4663" t="s">
        <v>52</v>
      </c>
      <c r="E4663" t="s">
        <v>14119</v>
      </c>
      <c r="F4663" t="s">
        <v>95</v>
      </c>
      <c r="G4663" t="str">
        <f>HYPERLINK("https://twitter.com/2581273354/status/1142575693533982720")</f>
        <v>https://twitter.com/2581273354/status/1142575693533982720</v>
      </c>
      <c r="H4663" t="s">
        <v>46</v>
      </c>
      <c r="I4663" t="s">
        <v>14120</v>
      </c>
      <c r="J4663" t="str">
        <f>HYPERLINK("http://twitter.com/ThePradaChild")</f>
        <v>http://twitter.com/ThePradaChild</v>
      </c>
      <c r="K4663">
        <v>2235</v>
      </c>
      <c r="N4663" t="s">
        <v>65</v>
      </c>
      <c r="R4663" t="s">
        <v>60</v>
      </c>
      <c r="W4663">
        <v>4</v>
      </c>
      <c r="X4663">
        <v>4</v>
      </c>
      <c r="AE4663">
        <v>0</v>
      </c>
      <c r="AF4663">
        <v>0</v>
      </c>
      <c r="AM4663" t="s">
        <v>52</v>
      </c>
      <c r="AN4663" t="s">
        <v>53</v>
      </c>
    </row>
    <row r="4664" spans="1:40">
      <c r="A4664" t="s">
        <v>13057</v>
      </c>
      <c r="B4664" t="s">
        <v>3603</v>
      </c>
      <c r="C4664" t="s">
        <v>14121</v>
      </c>
      <c r="D4664" t="s">
        <v>52</v>
      </c>
      <c r="E4664" t="s">
        <v>14122</v>
      </c>
      <c r="F4664" t="s">
        <v>95</v>
      </c>
      <c r="G4664" t="str">
        <f>HYPERLINK("https://twitter.com/4855976056/status/1142575513896202241")</f>
        <v>https://twitter.com/4855976056/status/1142575513896202241</v>
      </c>
      <c r="H4664" t="s">
        <v>46</v>
      </c>
      <c r="I4664" t="s">
        <v>14123</v>
      </c>
      <c r="J4664" t="str">
        <f>HYPERLINK("http://twitter.com/gabyantoniavera")</f>
        <v>http://twitter.com/gabyantoniavera</v>
      </c>
      <c r="K4664">
        <v>39</v>
      </c>
      <c r="N4664" t="s">
        <v>65</v>
      </c>
      <c r="R4664" t="s">
        <v>60</v>
      </c>
      <c r="S4664" t="s">
        <v>4293</v>
      </c>
      <c r="W4664">
        <v>0</v>
      </c>
      <c r="X4664">
        <v>0</v>
      </c>
      <c r="AE4664">
        <v>0</v>
      </c>
      <c r="AF4664">
        <v>0</v>
      </c>
      <c r="AM4664" t="s">
        <v>52</v>
      </c>
      <c r="AN4664" t="s">
        <v>53</v>
      </c>
    </row>
    <row r="4665" spans="1:40">
      <c r="A4665" t="s">
        <v>13057</v>
      </c>
      <c r="B4665" t="s">
        <v>3627</v>
      </c>
      <c r="C4665" t="s">
        <v>14124</v>
      </c>
      <c r="D4665" t="s">
        <v>52</v>
      </c>
      <c r="E4665" t="s">
        <v>4514</v>
      </c>
      <c r="F4665" t="s">
        <v>71</v>
      </c>
      <c r="G4665" t="str">
        <f>HYPERLINK("https://twitter.com/860101946090369026/status/1142574937749823490")</f>
        <v>https://twitter.com/860101946090369026/status/1142574937749823490</v>
      </c>
      <c r="H4665" t="s">
        <v>46</v>
      </c>
      <c r="I4665" t="s">
        <v>14125</v>
      </c>
      <c r="J4665" t="str">
        <f>HYPERLINK("http://twitter.com/BaymaClaudine")</f>
        <v>http://twitter.com/BaymaClaudine</v>
      </c>
      <c r="K4665">
        <v>21</v>
      </c>
      <c r="L4665" t="s">
        <v>58</v>
      </c>
      <c r="N4665" t="s">
        <v>65</v>
      </c>
      <c r="R4665" t="s">
        <v>60</v>
      </c>
      <c r="S4665" t="s">
        <v>432</v>
      </c>
      <c r="T4665" t="s">
        <v>433</v>
      </c>
      <c r="W4665">
        <v>0</v>
      </c>
      <c r="X4665">
        <v>0</v>
      </c>
      <c r="AE4665">
        <v>0</v>
      </c>
      <c r="AF4665">
        <v>0</v>
      </c>
      <c r="AI4665" t="s">
        <v>108</v>
      </c>
      <c r="AJ4665" t="s">
        <v>52</v>
      </c>
      <c r="AK4665" t="s">
        <v>52</v>
      </c>
      <c r="AL4665" t="str">
        <f>HYPERLINK("https://pbs.twimg.com/tweet_video_thumb/D9hvNNzXUAATAS3.jpg")</f>
        <v>https://pbs.twimg.com/tweet_video_thumb/D9hvNNzXUAATAS3.jpg</v>
      </c>
      <c r="AM4665" t="s">
        <v>52</v>
      </c>
      <c r="AN4665" t="s">
        <v>53</v>
      </c>
    </row>
    <row r="4666" spans="1:40">
      <c r="A4666" t="s">
        <v>13057</v>
      </c>
      <c r="B4666" t="s">
        <v>3627</v>
      </c>
      <c r="C4666" t="s">
        <v>14118</v>
      </c>
      <c r="D4666" t="s">
        <v>52</v>
      </c>
      <c r="E4666" t="s">
        <v>276</v>
      </c>
      <c r="F4666" t="s">
        <v>131</v>
      </c>
      <c r="G4666" t="str">
        <f>HYPERLINK("https://twitter.com/521504245/status/1142574911078223877")</f>
        <v>https://twitter.com/521504245/status/1142574911078223877</v>
      </c>
      <c r="H4666" t="s">
        <v>46</v>
      </c>
      <c r="I4666" t="s">
        <v>14126</v>
      </c>
      <c r="J4666" t="str">
        <f>HYPERLINK("http://twitter.com/Tyiesha__")</f>
        <v>http://twitter.com/Tyiesha__</v>
      </c>
      <c r="K4666">
        <v>5314</v>
      </c>
      <c r="N4666" t="s">
        <v>65</v>
      </c>
      <c r="R4666" t="s">
        <v>60</v>
      </c>
      <c r="S4666" t="s">
        <v>51</v>
      </c>
      <c r="T4666" t="s">
        <v>137</v>
      </c>
      <c r="U4666" t="s">
        <v>1015</v>
      </c>
      <c r="W4666">
        <v>0</v>
      </c>
      <c r="X4666">
        <v>0</v>
      </c>
      <c r="AE4666">
        <v>0</v>
      </c>
      <c r="AI4666" t="s">
        <v>108</v>
      </c>
      <c r="AJ4666" t="s">
        <v>52</v>
      </c>
      <c r="AK4666" t="s">
        <v>52</v>
      </c>
      <c r="AL4666" t="str">
        <f>HYPERLINK("https://pbs.twimg.com/tweet_video_thumb/D9hvNNzXUAATAS3.jpg")</f>
        <v>https://pbs.twimg.com/tweet_video_thumb/D9hvNNzXUAATAS3.jpg</v>
      </c>
      <c r="AM4666" t="s">
        <v>52</v>
      </c>
      <c r="AN4666" t="s">
        <v>53</v>
      </c>
    </row>
    <row r="4667" spans="1:40">
      <c r="A4667" t="s">
        <v>13057</v>
      </c>
      <c r="B4667" t="s">
        <v>3627</v>
      </c>
      <c r="C4667" t="s">
        <v>14124</v>
      </c>
      <c r="D4667" t="s">
        <v>52</v>
      </c>
      <c r="E4667" t="s">
        <v>4514</v>
      </c>
      <c r="F4667" t="s">
        <v>71</v>
      </c>
      <c r="G4667" t="str">
        <f>HYPERLINK("https://twitter.com/874619485491048448/status/1142574887749345280")</f>
        <v>https://twitter.com/874619485491048448/status/1142574887749345280</v>
      </c>
      <c r="H4667" t="s">
        <v>46</v>
      </c>
      <c r="I4667" t="s">
        <v>14127</v>
      </c>
      <c r="J4667" t="str">
        <f>HYPERLINK("http://twitter.com/merutarou1121")</f>
        <v>http://twitter.com/merutarou1121</v>
      </c>
      <c r="K4667">
        <v>4</v>
      </c>
      <c r="N4667" t="s">
        <v>65</v>
      </c>
      <c r="R4667" t="s">
        <v>60</v>
      </c>
      <c r="W4667">
        <v>0</v>
      </c>
      <c r="X4667">
        <v>0</v>
      </c>
      <c r="AE4667">
        <v>0</v>
      </c>
      <c r="AF4667">
        <v>0</v>
      </c>
      <c r="AI4667" t="s">
        <v>108</v>
      </c>
      <c r="AJ4667" t="s">
        <v>52</v>
      </c>
      <c r="AK4667" t="s">
        <v>52</v>
      </c>
      <c r="AL4667" t="str">
        <f>HYPERLINK("https://pbs.twimg.com/tweet_video_thumb/D9hvNNzXUAATAS3.jpg")</f>
        <v>https://pbs.twimg.com/tweet_video_thumb/D9hvNNzXUAATAS3.jpg</v>
      </c>
      <c r="AM4667" t="s">
        <v>52</v>
      </c>
      <c r="AN4667" t="s">
        <v>53</v>
      </c>
    </row>
    <row r="4668" spans="1:40">
      <c r="A4668" t="s">
        <v>13057</v>
      </c>
      <c r="B4668" t="s">
        <v>3627</v>
      </c>
      <c r="C4668" t="s">
        <v>14121</v>
      </c>
      <c r="D4668" t="s">
        <v>52</v>
      </c>
      <c r="E4668" t="s">
        <v>14128</v>
      </c>
      <c r="F4668" t="s">
        <v>71</v>
      </c>
      <c r="G4668" t="str">
        <f>HYPERLINK("https://twitter.com/3058756004/status/1142574737161445382")</f>
        <v>https://twitter.com/3058756004/status/1142574737161445382</v>
      </c>
      <c r="H4668" t="s">
        <v>46</v>
      </c>
      <c r="I4668" t="s">
        <v>14129</v>
      </c>
      <c r="J4668" t="str">
        <f>HYPERLINK("http://twitter.com/whoismarxs")</f>
        <v>http://twitter.com/whoismarxs</v>
      </c>
      <c r="K4668">
        <v>664</v>
      </c>
      <c r="L4668" t="s">
        <v>48</v>
      </c>
      <c r="N4668" t="s">
        <v>65</v>
      </c>
      <c r="R4668" t="s">
        <v>60</v>
      </c>
      <c r="S4668" t="s">
        <v>51</v>
      </c>
      <c r="T4668" t="s">
        <v>380</v>
      </c>
      <c r="U4668" t="s">
        <v>380</v>
      </c>
      <c r="W4668">
        <v>5</v>
      </c>
      <c r="X4668">
        <v>5</v>
      </c>
      <c r="AE4668">
        <v>1</v>
      </c>
      <c r="AF4668">
        <v>1</v>
      </c>
      <c r="AI4668" t="s">
        <v>52</v>
      </c>
      <c r="AJ4668" t="s">
        <v>1196</v>
      </c>
      <c r="AK4668" t="s">
        <v>52</v>
      </c>
      <c r="AL4668" t="str">
        <f>HYPERLINK("https://pbs.twimg.com/media/D9s7fLjXsAAtDW0.jpg")</f>
        <v>https://pbs.twimg.com/media/D9s7fLjXsAAtDW0.jpg</v>
      </c>
      <c r="AM4668" t="s">
        <v>52</v>
      </c>
      <c r="AN4668" t="s">
        <v>53</v>
      </c>
    </row>
    <row r="4669" spans="1:40">
      <c r="A4669" t="s">
        <v>13057</v>
      </c>
      <c r="B4669" t="s">
        <v>3632</v>
      </c>
      <c r="C4669" t="s">
        <v>14130</v>
      </c>
      <c r="D4669" t="s">
        <v>52</v>
      </c>
      <c r="E4669" t="s">
        <v>14131</v>
      </c>
      <c r="F4669" t="s">
        <v>131</v>
      </c>
      <c r="G4669" t="str">
        <f>HYPERLINK("https://twitter.com/1082655194305961985/status/1142574708589780992")</f>
        <v>https://twitter.com/1082655194305961985/status/1142574708589780992</v>
      </c>
      <c r="H4669" t="s">
        <v>46</v>
      </c>
      <c r="I4669" t="s">
        <v>14132</v>
      </c>
      <c r="J4669" t="str">
        <f>HYPERLINK("http://twitter.com/Bliixxify")</f>
        <v>http://twitter.com/Bliixxify</v>
      </c>
      <c r="K4669">
        <v>329</v>
      </c>
      <c r="N4669" t="s">
        <v>65</v>
      </c>
      <c r="R4669" t="s">
        <v>60</v>
      </c>
      <c r="S4669" t="s">
        <v>4114</v>
      </c>
      <c r="T4669" t="s">
        <v>14133</v>
      </c>
      <c r="U4669" t="s">
        <v>14134</v>
      </c>
      <c r="W4669">
        <v>0</v>
      </c>
      <c r="X4669">
        <v>0</v>
      </c>
      <c r="AE4669">
        <v>0</v>
      </c>
      <c r="AM4669" t="s">
        <v>52</v>
      </c>
      <c r="AN4669" t="s">
        <v>53</v>
      </c>
    </row>
    <row r="4670" spans="1:40">
      <c r="A4670" t="s">
        <v>13057</v>
      </c>
      <c r="B4670" t="s">
        <v>3632</v>
      </c>
      <c r="C4670" t="s">
        <v>14130</v>
      </c>
      <c r="D4670" t="s">
        <v>52</v>
      </c>
      <c r="E4670" t="s">
        <v>14135</v>
      </c>
      <c r="F4670" t="s">
        <v>131</v>
      </c>
      <c r="G4670" t="str">
        <f>HYPERLINK("https://twitter.com/2923186577/status/1142574691242184705")</f>
        <v>https://twitter.com/2923186577/status/1142574691242184705</v>
      </c>
      <c r="H4670" t="s">
        <v>46</v>
      </c>
      <c r="I4670" t="s">
        <v>14136</v>
      </c>
      <c r="J4670" t="str">
        <f>HYPERLINK("http://twitter.com/yazminzerpa1")</f>
        <v>http://twitter.com/yazminzerpa1</v>
      </c>
      <c r="K4670">
        <v>587</v>
      </c>
      <c r="N4670" t="s">
        <v>65</v>
      </c>
      <c r="R4670" t="s">
        <v>60</v>
      </c>
      <c r="W4670">
        <v>0</v>
      </c>
      <c r="X4670">
        <v>0</v>
      </c>
      <c r="AE4670">
        <v>0</v>
      </c>
      <c r="AM4670" t="s">
        <v>52</v>
      </c>
      <c r="AN4670" t="s">
        <v>53</v>
      </c>
    </row>
    <row r="4671" spans="1:40">
      <c r="A4671" t="s">
        <v>13057</v>
      </c>
      <c r="B4671" t="s">
        <v>3632</v>
      </c>
      <c r="C4671" t="s">
        <v>14137</v>
      </c>
      <c r="D4671" t="s">
        <v>52</v>
      </c>
      <c r="E4671" t="s">
        <v>14138</v>
      </c>
      <c r="F4671" t="s">
        <v>45</v>
      </c>
      <c r="G4671" t="str">
        <f>HYPERLINK("https://twitter.com/1113333352474468352/status/1142574627421446144")</f>
        <v>https://twitter.com/1113333352474468352/status/1142574627421446144</v>
      </c>
      <c r="H4671" t="s">
        <v>46</v>
      </c>
      <c r="I4671" t="s">
        <v>14139</v>
      </c>
      <c r="J4671" t="str">
        <f>HYPERLINK("http://twitter.com/tatymartinezx")</f>
        <v>http://twitter.com/tatymartinezx</v>
      </c>
      <c r="K4671">
        <v>45</v>
      </c>
      <c r="L4671" t="s">
        <v>58</v>
      </c>
      <c r="N4671" t="s">
        <v>65</v>
      </c>
      <c r="R4671" t="s">
        <v>60</v>
      </c>
      <c r="S4671" t="s">
        <v>51</v>
      </c>
      <c r="T4671" t="s">
        <v>173</v>
      </c>
      <c r="U4671" t="s">
        <v>14140</v>
      </c>
      <c r="W4671">
        <v>2</v>
      </c>
      <c r="X4671">
        <v>2</v>
      </c>
      <c r="AE4671">
        <v>2</v>
      </c>
      <c r="AF4671">
        <v>0</v>
      </c>
      <c r="AM4671" t="s">
        <v>52</v>
      </c>
      <c r="AN4671" t="s">
        <v>53</v>
      </c>
    </row>
    <row r="4672" spans="1:40">
      <c r="A4672" t="s">
        <v>13057</v>
      </c>
      <c r="B4672" t="s">
        <v>3640</v>
      </c>
      <c r="C4672" t="s">
        <v>14121</v>
      </c>
      <c r="D4672" t="s">
        <v>52</v>
      </c>
      <c r="E4672" t="s">
        <v>14141</v>
      </c>
      <c r="F4672" t="s">
        <v>45</v>
      </c>
      <c r="G4672" t="str">
        <f>HYPERLINK("https://www.instagram.com/p/BzB8krMHkMv")</f>
        <v>https://www.instagram.com/p/BzB8krMHkMv</v>
      </c>
      <c r="H4672" t="s">
        <v>46</v>
      </c>
      <c r="I4672" t="s">
        <v>14142</v>
      </c>
      <c r="J4672" t="str">
        <f>HYPERLINK("http://instagram.com/volumetricnz")</f>
        <v>http://instagram.com/volumetricnz</v>
      </c>
      <c r="K4672">
        <v>949</v>
      </c>
      <c r="N4672" t="s">
        <v>59</v>
      </c>
      <c r="O4672" t="s">
        <v>14142</v>
      </c>
      <c r="P4672" t="str">
        <f>HYPERLINK("http://instagram.com/volumetricnz")</f>
        <v>http://instagram.com/volumetricnz</v>
      </c>
      <c r="Q4672">
        <v>949</v>
      </c>
      <c r="R4672" t="s">
        <v>60</v>
      </c>
      <c r="S4672" t="s">
        <v>2226</v>
      </c>
      <c r="T4672" t="s">
        <v>14143</v>
      </c>
      <c r="U4672" t="s">
        <v>14144</v>
      </c>
      <c r="W4672">
        <v>176</v>
      </c>
      <c r="X4672">
        <v>176</v>
      </c>
      <c r="AE4672">
        <v>7</v>
      </c>
      <c r="AI4672" t="s">
        <v>52</v>
      </c>
      <c r="AJ4672" t="s">
        <v>52</v>
      </c>
      <c r="AK4672" t="s">
        <v>52</v>
      </c>
      <c r="AL4672" t="str">
        <f>HYPERLINK("https://www.instagram.com/p/BzB8krMHkMv/media/?size=l")</f>
        <v>https://www.instagram.com/p/BzB8krMHkMv/media/?size=l</v>
      </c>
      <c r="AM4672" t="s">
        <v>52</v>
      </c>
      <c r="AN4672" t="s">
        <v>53</v>
      </c>
    </row>
    <row r="4673" spans="1:40">
      <c r="A4673" t="s">
        <v>13057</v>
      </c>
      <c r="B4673" t="s">
        <v>3640</v>
      </c>
      <c r="C4673" t="s">
        <v>14145</v>
      </c>
      <c r="D4673" t="s">
        <v>52</v>
      </c>
      <c r="E4673" t="s">
        <v>14146</v>
      </c>
      <c r="F4673" t="s">
        <v>131</v>
      </c>
      <c r="G4673" t="str">
        <f>HYPERLINK("https://twitter.com/128063241/status/1142574317764562950")</f>
        <v>https://twitter.com/128063241/status/1142574317764562950</v>
      </c>
      <c r="H4673" t="s">
        <v>46</v>
      </c>
      <c r="I4673" t="s">
        <v>14147</v>
      </c>
      <c r="J4673" t="str">
        <f>HYPERLINK("http://twitter.com/clanclanyclan")</f>
        <v>http://twitter.com/clanclanyclan</v>
      </c>
      <c r="K4673">
        <v>66</v>
      </c>
      <c r="N4673" t="s">
        <v>65</v>
      </c>
      <c r="R4673" t="s">
        <v>60</v>
      </c>
      <c r="W4673">
        <v>0</v>
      </c>
      <c r="X4673">
        <v>0</v>
      </c>
      <c r="AE4673">
        <v>0</v>
      </c>
      <c r="AI4673" t="s">
        <v>108</v>
      </c>
      <c r="AJ4673" t="s">
        <v>52</v>
      </c>
      <c r="AK4673" t="s">
        <v>52</v>
      </c>
      <c r="AL4673" t="str">
        <f>HYPERLINK("https://pbs.twimg.com/media/D9sE5-LXUAA1AED.jpg")</f>
        <v>https://pbs.twimg.com/media/D9sE5-LXUAA1AED.jpg</v>
      </c>
      <c r="AM4673" t="s">
        <v>52</v>
      </c>
      <c r="AN4673" t="s">
        <v>53</v>
      </c>
    </row>
    <row r="4674" spans="1:40">
      <c r="A4674" t="s">
        <v>13057</v>
      </c>
      <c r="B4674" t="s">
        <v>3645</v>
      </c>
      <c r="C4674" t="s">
        <v>14145</v>
      </c>
      <c r="D4674" t="s">
        <v>52</v>
      </c>
      <c r="E4674" t="s">
        <v>12162</v>
      </c>
      <c r="F4674" t="s">
        <v>71</v>
      </c>
      <c r="G4674" t="str">
        <f>HYPERLINK("https://twitter.com/190678189/status/1142574186310832128")</f>
        <v>https://twitter.com/190678189/status/1142574186310832128</v>
      </c>
      <c r="H4674" t="s">
        <v>46</v>
      </c>
      <c r="I4674" t="s">
        <v>14148</v>
      </c>
      <c r="J4674" t="str">
        <f>HYPERLINK("http://twitter.com/JustineShikomba")</f>
        <v>http://twitter.com/JustineShikomba</v>
      </c>
      <c r="K4674">
        <v>1814</v>
      </c>
      <c r="N4674" t="s">
        <v>65</v>
      </c>
      <c r="R4674" t="s">
        <v>60</v>
      </c>
      <c r="S4674" t="s">
        <v>10829</v>
      </c>
      <c r="W4674">
        <v>0</v>
      </c>
      <c r="X4674">
        <v>0</v>
      </c>
      <c r="AE4674">
        <v>0</v>
      </c>
      <c r="AF4674">
        <v>0</v>
      </c>
      <c r="AI4674" t="s">
        <v>108</v>
      </c>
      <c r="AJ4674" t="s">
        <v>52</v>
      </c>
      <c r="AK4674" t="s">
        <v>52</v>
      </c>
      <c r="AL4674" t="str">
        <f>HYPERLINK("https://pbs.twimg.com/media/D9sAXHUX4AA6vJs.jpg")</f>
        <v>https://pbs.twimg.com/media/D9sAXHUX4AA6vJs.jpg</v>
      </c>
      <c r="AM4674" t="s">
        <v>52</v>
      </c>
      <c r="AN4674" t="s">
        <v>53</v>
      </c>
    </row>
    <row r="4675" spans="1:40">
      <c r="A4675" t="s">
        <v>13057</v>
      </c>
      <c r="B4675" t="s">
        <v>3645</v>
      </c>
      <c r="C4675" t="s">
        <v>14145</v>
      </c>
      <c r="D4675" t="s">
        <v>52</v>
      </c>
      <c r="E4675" t="s">
        <v>4514</v>
      </c>
      <c r="F4675" t="s">
        <v>71</v>
      </c>
      <c r="G4675" t="str">
        <f>HYPERLINK("https://twitter.com/910496430/status/1142573997395251201")</f>
        <v>https://twitter.com/910496430/status/1142573997395251201</v>
      </c>
      <c r="H4675" t="s">
        <v>46</v>
      </c>
      <c r="I4675" t="s">
        <v>14149</v>
      </c>
      <c r="J4675" t="str">
        <f>HYPERLINK("http://twitter.com/tomstanquackson")</f>
        <v>http://twitter.com/tomstanquackson</v>
      </c>
      <c r="K4675">
        <v>6409</v>
      </c>
      <c r="L4675" t="s">
        <v>58</v>
      </c>
      <c r="N4675" t="s">
        <v>65</v>
      </c>
      <c r="R4675" t="s">
        <v>60</v>
      </c>
      <c r="S4675" t="s">
        <v>1310</v>
      </c>
      <c r="T4675" t="s">
        <v>10344</v>
      </c>
      <c r="U4675" t="s">
        <v>11702</v>
      </c>
      <c r="W4675">
        <v>0</v>
      </c>
      <c r="X4675">
        <v>0</v>
      </c>
      <c r="AE4675">
        <v>0</v>
      </c>
      <c r="AF4675">
        <v>0</v>
      </c>
      <c r="AI4675" t="s">
        <v>108</v>
      </c>
      <c r="AJ4675" t="s">
        <v>52</v>
      </c>
      <c r="AK4675" t="s">
        <v>52</v>
      </c>
      <c r="AL4675" t="str">
        <f>HYPERLINK("https://pbs.twimg.com/tweet_video_thumb/D9hvNNzXUAATAS3.jpg")</f>
        <v>https://pbs.twimg.com/tweet_video_thumb/D9hvNNzXUAATAS3.jpg</v>
      </c>
      <c r="AM4675" t="s">
        <v>52</v>
      </c>
      <c r="AN4675" t="s">
        <v>53</v>
      </c>
    </row>
    <row r="4676" spans="1:40">
      <c r="A4676" t="s">
        <v>13057</v>
      </c>
      <c r="B4676" t="s">
        <v>3669</v>
      </c>
      <c r="C4676" t="s">
        <v>14150</v>
      </c>
      <c r="D4676" t="s">
        <v>52</v>
      </c>
      <c r="E4676" t="s">
        <v>276</v>
      </c>
      <c r="F4676" t="s">
        <v>131</v>
      </c>
      <c r="G4676" t="str">
        <f>HYPERLINK("https://twitter.com/1030902867085996034/status/1142573703949160448")</f>
        <v>https://twitter.com/1030902867085996034/status/1142573703949160448</v>
      </c>
      <c r="H4676" t="s">
        <v>46</v>
      </c>
      <c r="I4676" t="s">
        <v>14151</v>
      </c>
      <c r="J4676" t="str">
        <f>HYPERLINK("http://twitter.com/ndamnelwiwi3")</f>
        <v>http://twitter.com/ndamnelwiwi3</v>
      </c>
      <c r="K4676">
        <v>166</v>
      </c>
      <c r="N4676" t="s">
        <v>65</v>
      </c>
      <c r="R4676" t="s">
        <v>60</v>
      </c>
      <c r="S4676" t="s">
        <v>4293</v>
      </c>
      <c r="T4676" t="s">
        <v>14152</v>
      </c>
      <c r="U4676" t="s">
        <v>14153</v>
      </c>
      <c r="W4676">
        <v>0</v>
      </c>
      <c r="X4676">
        <v>0</v>
      </c>
      <c r="AE4676">
        <v>0</v>
      </c>
      <c r="AI4676" t="s">
        <v>108</v>
      </c>
      <c r="AJ4676" t="s">
        <v>52</v>
      </c>
      <c r="AK4676" t="s">
        <v>52</v>
      </c>
      <c r="AL4676" t="str">
        <f>HYPERLINK("https://pbs.twimg.com/tweet_video_thumb/D9hvNNzXUAATAS3.jpg")</f>
        <v>https://pbs.twimg.com/tweet_video_thumb/D9hvNNzXUAATAS3.jpg</v>
      </c>
      <c r="AM4676" t="s">
        <v>52</v>
      </c>
      <c r="AN4676" t="s">
        <v>53</v>
      </c>
    </row>
    <row r="4677" spans="1:40">
      <c r="A4677" t="s">
        <v>13057</v>
      </c>
      <c r="B4677" t="s">
        <v>9363</v>
      </c>
      <c r="C4677" t="s">
        <v>14154</v>
      </c>
      <c r="D4677" t="s">
        <v>52</v>
      </c>
      <c r="E4677" t="s">
        <v>14155</v>
      </c>
      <c r="F4677" t="s">
        <v>45</v>
      </c>
      <c r="G4677" t="str">
        <f>HYPERLINK("https://www.instagram.com/p/BzB8FTLnMJp")</f>
        <v>https://www.instagram.com/p/BzB8FTLnMJp</v>
      </c>
      <c r="H4677" t="s">
        <v>46</v>
      </c>
      <c r="I4677" t="s">
        <v>14156</v>
      </c>
      <c r="J4677" t="str">
        <f>HYPERLINK("http://instagram.com/kathymaynard2")</f>
        <v>http://instagram.com/kathymaynard2</v>
      </c>
      <c r="K4677">
        <v>725</v>
      </c>
      <c r="L4677" t="s">
        <v>58</v>
      </c>
      <c r="N4677" t="s">
        <v>59</v>
      </c>
      <c r="O4677" t="s">
        <v>14156</v>
      </c>
      <c r="P4677" t="str">
        <f>HYPERLINK("http://instagram.com/kathymaynard2")</f>
        <v>http://instagram.com/kathymaynard2</v>
      </c>
      <c r="Q4677">
        <v>725</v>
      </c>
      <c r="R4677" t="s">
        <v>60</v>
      </c>
      <c r="S4677" t="s">
        <v>432</v>
      </c>
      <c r="T4677" t="s">
        <v>433</v>
      </c>
      <c r="U4677" t="s">
        <v>14157</v>
      </c>
      <c r="W4677">
        <v>29</v>
      </c>
      <c r="X4677">
        <v>29</v>
      </c>
      <c r="AE4677">
        <v>2</v>
      </c>
      <c r="AI4677" t="s">
        <v>52</v>
      </c>
      <c r="AJ4677" t="s">
        <v>14158</v>
      </c>
      <c r="AK4677" t="s">
        <v>14159</v>
      </c>
      <c r="AL4677" t="str">
        <f>HYPERLINK("https://www.instagram.com/p/BzB8FTLnMJp/media/?size=l")</f>
        <v>https://www.instagram.com/p/BzB8FTLnMJp/media/?size=l</v>
      </c>
      <c r="AM4677" t="s">
        <v>52</v>
      </c>
      <c r="AN4677" t="s">
        <v>53</v>
      </c>
    </row>
    <row r="4678" spans="1:40">
      <c r="A4678" t="s">
        <v>13057</v>
      </c>
      <c r="B4678" t="s">
        <v>9363</v>
      </c>
      <c r="C4678" t="s">
        <v>14160</v>
      </c>
      <c r="D4678" t="s">
        <v>52</v>
      </c>
      <c r="E4678" t="s">
        <v>14161</v>
      </c>
      <c r="F4678" t="s">
        <v>95</v>
      </c>
      <c r="G4678" t="str">
        <f>HYPERLINK("https://twitter.com/44943186/status/1142573264075710464")</f>
        <v>https://twitter.com/44943186/status/1142573264075710464</v>
      </c>
      <c r="H4678" t="s">
        <v>46</v>
      </c>
      <c r="I4678" t="s">
        <v>14162</v>
      </c>
      <c r="J4678" t="str">
        <f>HYPERLINK("http://twitter.com/PageMackenzie92")</f>
        <v>http://twitter.com/PageMackenzie92</v>
      </c>
      <c r="K4678">
        <v>418</v>
      </c>
      <c r="N4678" t="s">
        <v>65</v>
      </c>
      <c r="R4678" t="s">
        <v>60</v>
      </c>
      <c r="S4678" t="s">
        <v>51</v>
      </c>
      <c r="T4678" t="s">
        <v>253</v>
      </c>
      <c r="U4678" t="s">
        <v>14163</v>
      </c>
      <c r="W4678">
        <v>3</v>
      </c>
      <c r="X4678">
        <v>3</v>
      </c>
      <c r="AE4678">
        <v>0</v>
      </c>
      <c r="AF4678">
        <v>0</v>
      </c>
      <c r="AM4678" t="s">
        <v>52</v>
      </c>
      <c r="AN4678" t="s">
        <v>53</v>
      </c>
    </row>
    <row r="4679" spans="1:40">
      <c r="A4679" t="s">
        <v>13057</v>
      </c>
      <c r="B4679" t="s">
        <v>9376</v>
      </c>
      <c r="C4679" t="s">
        <v>14164</v>
      </c>
      <c r="D4679" t="s">
        <v>52</v>
      </c>
      <c r="E4679" t="s">
        <v>4514</v>
      </c>
      <c r="F4679" t="s">
        <v>71</v>
      </c>
      <c r="G4679" t="str">
        <f>HYPERLINK("https://twitter.com/2472416268/status/1142573010357911552")</f>
        <v>https://twitter.com/2472416268/status/1142573010357911552</v>
      </c>
      <c r="H4679" t="s">
        <v>46</v>
      </c>
      <c r="I4679" t="s">
        <v>14165</v>
      </c>
      <c r="J4679" t="str">
        <f>HYPERLINK("http://twitter.com/_kCarly_")</f>
        <v>http://twitter.com/_kCarly_</v>
      </c>
      <c r="K4679">
        <v>656</v>
      </c>
      <c r="N4679" t="s">
        <v>65</v>
      </c>
      <c r="R4679" t="s">
        <v>60</v>
      </c>
      <c r="S4679" t="s">
        <v>1071</v>
      </c>
      <c r="T4679" t="s">
        <v>7055</v>
      </c>
      <c r="U4679" t="s">
        <v>7056</v>
      </c>
      <c r="W4679">
        <v>0</v>
      </c>
      <c r="X4679">
        <v>0</v>
      </c>
      <c r="AE4679">
        <v>0</v>
      </c>
      <c r="AF4679">
        <v>0</v>
      </c>
      <c r="AI4679" t="s">
        <v>108</v>
      </c>
      <c r="AJ4679" t="s">
        <v>52</v>
      </c>
      <c r="AK4679" t="s">
        <v>52</v>
      </c>
      <c r="AL4679" t="str">
        <f>HYPERLINK("https://pbs.twimg.com/tweet_video_thumb/D9hvNNzXUAATAS3.jpg")</f>
        <v>https://pbs.twimg.com/tweet_video_thumb/D9hvNNzXUAATAS3.jpg</v>
      </c>
      <c r="AM4679" t="s">
        <v>52</v>
      </c>
      <c r="AN4679" t="s">
        <v>53</v>
      </c>
    </row>
    <row r="4680" spans="1:40">
      <c r="A4680" t="s">
        <v>13057</v>
      </c>
      <c r="B4680" t="s">
        <v>3677</v>
      </c>
      <c r="C4680" t="s">
        <v>14166</v>
      </c>
      <c r="D4680" t="s">
        <v>52</v>
      </c>
      <c r="E4680" t="s">
        <v>276</v>
      </c>
      <c r="F4680" t="s">
        <v>131</v>
      </c>
      <c r="G4680" t="str">
        <f>HYPERLINK("https://twitter.com/3905748497/status/1142572786629693440")</f>
        <v>https://twitter.com/3905748497/status/1142572786629693440</v>
      </c>
      <c r="H4680" t="s">
        <v>46</v>
      </c>
      <c r="I4680" t="s">
        <v>14167</v>
      </c>
      <c r="J4680" t="str">
        <f>HYPERLINK("http://twitter.com/geogrey06010")</f>
        <v>http://twitter.com/geogrey06010</v>
      </c>
      <c r="K4680">
        <v>195</v>
      </c>
      <c r="N4680" t="s">
        <v>65</v>
      </c>
      <c r="R4680" t="s">
        <v>60</v>
      </c>
      <c r="S4680" t="s">
        <v>51</v>
      </c>
      <c r="T4680" t="s">
        <v>380</v>
      </c>
      <c r="U4680" t="s">
        <v>380</v>
      </c>
      <c r="W4680">
        <v>0</v>
      </c>
      <c r="X4680">
        <v>0</v>
      </c>
      <c r="AE4680">
        <v>0</v>
      </c>
      <c r="AI4680" t="s">
        <v>108</v>
      </c>
      <c r="AJ4680" t="s">
        <v>52</v>
      </c>
      <c r="AK4680" t="s">
        <v>52</v>
      </c>
      <c r="AL4680" t="str">
        <f>HYPERLINK("https://pbs.twimg.com/tweet_video_thumb/D9hvNNzXUAATAS3.jpg")</f>
        <v>https://pbs.twimg.com/tweet_video_thumb/D9hvNNzXUAATAS3.jpg</v>
      </c>
      <c r="AM4680" t="s">
        <v>52</v>
      </c>
      <c r="AN4680" t="s">
        <v>53</v>
      </c>
    </row>
    <row r="4681" spans="1:40">
      <c r="A4681" t="s">
        <v>13057</v>
      </c>
      <c r="B4681" t="s">
        <v>3697</v>
      </c>
      <c r="C4681" t="s">
        <v>13032</v>
      </c>
      <c r="D4681" t="s">
        <v>52</v>
      </c>
      <c r="E4681" t="s">
        <v>14168</v>
      </c>
      <c r="F4681" t="s">
        <v>45</v>
      </c>
      <c r="G4681" t="str">
        <f>HYPERLINK("https://www.facebook.com/886121061483621/posts/2331376060291440")</f>
        <v>https://www.facebook.com/886121061483621/posts/2331376060291440</v>
      </c>
      <c r="H4681" t="s">
        <v>46</v>
      </c>
      <c r="I4681" t="s">
        <v>14169</v>
      </c>
      <c r="J4681" t="str">
        <f>HYPERLINK("https://www.facebook.com/886121061483621")</f>
        <v>https://www.facebook.com/886121061483621</v>
      </c>
      <c r="K4681">
        <v>556162</v>
      </c>
      <c r="L4681" t="s">
        <v>651</v>
      </c>
      <c r="N4681" t="s">
        <v>1792</v>
      </c>
      <c r="O4681" t="s">
        <v>14169</v>
      </c>
      <c r="P4681" t="str">
        <f>HYPERLINK("https://www.facebook.com/886121061483621")</f>
        <v>https://www.facebook.com/886121061483621</v>
      </c>
      <c r="Q4681">
        <v>556162</v>
      </c>
      <c r="R4681" t="s">
        <v>60</v>
      </c>
      <c r="W4681">
        <v>11</v>
      </c>
      <c r="X4681">
        <v>10</v>
      </c>
      <c r="Y4681">
        <v>1</v>
      </c>
      <c r="Z4681">
        <v>0</v>
      </c>
      <c r="AA4681">
        <v>0</v>
      </c>
      <c r="AB4681">
        <v>0</v>
      </c>
      <c r="AC4681">
        <v>0</v>
      </c>
      <c r="AE4681">
        <v>5</v>
      </c>
      <c r="AF4681">
        <v>30</v>
      </c>
      <c r="AI4681" t="s">
        <v>108</v>
      </c>
      <c r="AJ4681" t="s">
        <v>2083</v>
      </c>
      <c r="AK4681" t="s">
        <v>52</v>
      </c>
      <c r="AL4681" t="str">
        <f>HYPERLINK("https://cdn6.whiskeyriff.com/wp-content/uploads/2019/06/Doritos-Pickle.jpg")</f>
        <v>https://cdn6.whiskeyriff.com/wp-content/uploads/2019/06/Doritos-Pickle.jpg</v>
      </c>
      <c r="AM4681" t="s">
        <v>52</v>
      </c>
      <c r="AN4681" t="s">
        <v>53</v>
      </c>
    </row>
    <row r="4682" spans="1:40">
      <c r="A4682" t="s">
        <v>13057</v>
      </c>
      <c r="B4682" t="s">
        <v>3697</v>
      </c>
      <c r="C4682" t="s">
        <v>14160</v>
      </c>
      <c r="D4682" t="s">
        <v>14170</v>
      </c>
      <c r="E4682" t="s">
        <v>14171</v>
      </c>
      <c r="F4682" t="s">
        <v>45</v>
      </c>
      <c r="G4682" t="str">
        <f>HYPERLINK("https://www.salon.com/2019/06/22/legal-weed-is-a-growing-danger-to-dogs_partner")</f>
        <v>https://www.salon.com/2019/06/22/legal-weed-is-a-growing-danger-to-dogs_partner</v>
      </c>
      <c r="H4682" t="s">
        <v>46</v>
      </c>
      <c r="I4682" t="s">
        <v>1280</v>
      </c>
      <c r="J4682" t="str">
        <f>HYPERLINK("https://www.salon.com/2019/06/22/legal-weed-is-a-growing-danger-to-dogs_partner/")</f>
        <v>https://www.salon.com/2019/06/22/legal-weed-is-a-growing-danger-to-dogs_partner/</v>
      </c>
      <c r="L4682" t="s">
        <v>58</v>
      </c>
      <c r="N4682" t="s">
        <v>14172</v>
      </c>
      <c r="R4682" t="s">
        <v>357</v>
      </c>
      <c r="S4682" t="s">
        <v>51</v>
      </c>
      <c r="AM4682" t="s">
        <v>52</v>
      </c>
      <c r="AN4682" t="s">
        <v>53</v>
      </c>
    </row>
    <row r="4683" spans="1:40">
      <c r="A4683" t="s">
        <v>13057</v>
      </c>
      <c r="B4683" t="s">
        <v>3697</v>
      </c>
      <c r="C4683" t="s">
        <v>14173</v>
      </c>
      <c r="D4683" t="s">
        <v>52</v>
      </c>
      <c r="E4683" t="s">
        <v>14174</v>
      </c>
      <c r="F4683" t="s">
        <v>45</v>
      </c>
      <c r="G4683" t="str">
        <f>HYPERLINK("https://www.facebook.com/752260148147624/posts/3049636495076633")</f>
        <v>https://www.facebook.com/752260148147624/posts/3049636495076633</v>
      </c>
      <c r="H4683" t="s">
        <v>46</v>
      </c>
      <c r="I4683" t="s">
        <v>14175</v>
      </c>
      <c r="J4683" t="str">
        <f>HYPERLINK("https://www.facebook.com/752260148147624")</f>
        <v>https://www.facebook.com/752260148147624</v>
      </c>
      <c r="K4683">
        <v>886916</v>
      </c>
      <c r="L4683" t="s">
        <v>651</v>
      </c>
      <c r="N4683" t="s">
        <v>1792</v>
      </c>
      <c r="O4683" t="s">
        <v>14175</v>
      </c>
      <c r="P4683" t="str">
        <f>HYPERLINK("https://www.facebook.com/752260148147624")</f>
        <v>https://www.facebook.com/752260148147624</v>
      </c>
      <c r="Q4683">
        <v>886916</v>
      </c>
      <c r="R4683" t="s">
        <v>60</v>
      </c>
      <c r="W4683">
        <v>164</v>
      </c>
      <c r="X4683">
        <v>122</v>
      </c>
      <c r="Y4683">
        <v>25</v>
      </c>
      <c r="Z4683">
        <v>1</v>
      </c>
      <c r="AA4683">
        <v>16</v>
      </c>
      <c r="AB4683">
        <v>0</v>
      </c>
      <c r="AC4683">
        <v>0</v>
      </c>
      <c r="AE4683">
        <v>46</v>
      </c>
      <c r="AF4683">
        <v>98</v>
      </c>
      <c r="AI4683" t="s">
        <v>108</v>
      </c>
      <c r="AJ4683" t="s">
        <v>2083</v>
      </c>
      <c r="AK4683" t="s">
        <v>52</v>
      </c>
      <c r="AL4683" t="str">
        <f>HYPERLINK("https://cdn6.whiskeyriff.com/wp-content/uploads/2019/06/Doritos-Pickle.jpg")</f>
        <v>https://cdn6.whiskeyriff.com/wp-content/uploads/2019/06/Doritos-Pickle.jpg</v>
      </c>
      <c r="AM4683" t="s">
        <v>52</v>
      </c>
      <c r="AN4683" t="s">
        <v>53</v>
      </c>
    </row>
    <row r="4684" spans="1:40">
      <c r="A4684" t="s">
        <v>13057</v>
      </c>
      <c r="B4684" t="s">
        <v>3701</v>
      </c>
      <c r="C4684" t="s">
        <v>14150</v>
      </c>
      <c r="D4684" t="s">
        <v>52</v>
      </c>
      <c r="E4684" t="s">
        <v>14176</v>
      </c>
      <c r="F4684" t="s">
        <v>45</v>
      </c>
      <c r="G4684" t="str">
        <f>HYPERLINK("https://twitter.com/803371182246555649/status/1142572124730810368")</f>
        <v>https://twitter.com/803371182246555649/status/1142572124730810368</v>
      </c>
      <c r="H4684" t="s">
        <v>46</v>
      </c>
      <c r="I4684" t="s">
        <v>14177</v>
      </c>
      <c r="J4684" t="str">
        <f>HYPERLINK("http://twitter.com/genisabores_bot")</f>
        <v>http://twitter.com/genisabores_bot</v>
      </c>
      <c r="K4684">
        <v>31</v>
      </c>
      <c r="N4684" t="s">
        <v>65</v>
      </c>
      <c r="R4684" t="s">
        <v>60</v>
      </c>
      <c r="W4684">
        <v>0</v>
      </c>
      <c r="X4684">
        <v>0</v>
      </c>
      <c r="AE4684">
        <v>0</v>
      </c>
      <c r="AF4684">
        <v>0</v>
      </c>
      <c r="AM4684" t="s">
        <v>52</v>
      </c>
      <c r="AN4684" t="s">
        <v>53</v>
      </c>
    </row>
    <row r="4685" spans="1:40">
      <c r="A4685" t="s">
        <v>13057</v>
      </c>
      <c r="B4685" t="s">
        <v>3701</v>
      </c>
      <c r="C4685" t="s">
        <v>14164</v>
      </c>
      <c r="D4685" t="s">
        <v>52</v>
      </c>
      <c r="E4685" t="s">
        <v>14178</v>
      </c>
      <c r="F4685" t="s">
        <v>71</v>
      </c>
      <c r="G4685" t="str">
        <f>HYPERLINK("https://twitter.com/4897698427/status/1142571994816212993")</f>
        <v>https://twitter.com/4897698427/status/1142571994816212993</v>
      </c>
      <c r="H4685" t="s">
        <v>46</v>
      </c>
      <c r="I4685" t="s">
        <v>14179</v>
      </c>
      <c r="J4685" t="str">
        <f>HYPERLINK("http://twitter.com/mo49alshaif")</f>
        <v>http://twitter.com/mo49alshaif</v>
      </c>
      <c r="K4685">
        <v>601</v>
      </c>
      <c r="N4685" t="s">
        <v>65</v>
      </c>
      <c r="R4685" t="s">
        <v>60</v>
      </c>
      <c r="S4685" t="s">
        <v>1592</v>
      </c>
      <c r="T4685" t="s">
        <v>11687</v>
      </c>
      <c r="U4685" t="s">
        <v>14180</v>
      </c>
      <c r="W4685">
        <v>4</v>
      </c>
      <c r="X4685">
        <v>4</v>
      </c>
      <c r="AE4685">
        <v>0</v>
      </c>
      <c r="AF4685">
        <v>2</v>
      </c>
      <c r="AI4685" t="s">
        <v>52</v>
      </c>
      <c r="AJ4685" t="s">
        <v>109</v>
      </c>
      <c r="AK4685" t="s">
        <v>110</v>
      </c>
      <c r="AL4685" t="str">
        <f>HYPERLINK("https://pbs.twimg.com/media/D9o_eMxXUAINoFp.jpg")</f>
        <v>https://pbs.twimg.com/media/D9o_eMxXUAINoFp.jpg</v>
      </c>
      <c r="AM4685" t="s">
        <v>52</v>
      </c>
      <c r="AN4685" t="s">
        <v>53</v>
      </c>
    </row>
    <row r="4686" spans="1:40">
      <c r="A4686" t="s">
        <v>13057</v>
      </c>
      <c r="B4686" t="s">
        <v>9390</v>
      </c>
      <c r="C4686" t="s">
        <v>14166</v>
      </c>
      <c r="D4686" t="s">
        <v>52</v>
      </c>
      <c r="E4686" t="s">
        <v>14181</v>
      </c>
      <c r="F4686" t="s">
        <v>45</v>
      </c>
      <c r="G4686" t="str">
        <f>HYPERLINK("https://www.instagram.com/p/BzB7bQYI0AJ")</f>
        <v>https://www.instagram.com/p/BzB7bQYI0AJ</v>
      </c>
      <c r="H4686" t="s">
        <v>46</v>
      </c>
      <c r="I4686" t="s">
        <v>14182</v>
      </c>
      <c r="J4686" t="str">
        <f>HYPERLINK("http://instagram.com/life_by_san")</f>
        <v>http://instagram.com/life_by_san</v>
      </c>
      <c r="K4686">
        <v>100</v>
      </c>
      <c r="N4686" t="s">
        <v>59</v>
      </c>
      <c r="O4686" t="s">
        <v>14182</v>
      </c>
      <c r="P4686" t="str">
        <f>HYPERLINK("http://instagram.com/life_by_san")</f>
        <v>http://instagram.com/life_by_san</v>
      </c>
      <c r="Q4686">
        <v>100</v>
      </c>
      <c r="R4686" t="s">
        <v>60</v>
      </c>
      <c r="S4686" t="s">
        <v>1524</v>
      </c>
      <c r="T4686" t="s">
        <v>1525</v>
      </c>
      <c r="U4686" t="s">
        <v>14183</v>
      </c>
      <c r="W4686">
        <v>24</v>
      </c>
      <c r="X4686">
        <v>24</v>
      </c>
      <c r="AE4686">
        <v>2</v>
      </c>
      <c r="AI4686" t="s">
        <v>788</v>
      </c>
      <c r="AJ4686" t="s">
        <v>14184</v>
      </c>
      <c r="AK4686" t="s">
        <v>52</v>
      </c>
      <c r="AL4686" t="str">
        <f>HYPERLINK("https://www.instagram.com/p/BzB7bQYI0AJ/media/?size=l")</f>
        <v>https://www.instagram.com/p/BzB7bQYI0AJ/media/?size=l</v>
      </c>
      <c r="AM4686" t="s">
        <v>52</v>
      </c>
      <c r="AN4686" t="s">
        <v>53</v>
      </c>
    </row>
    <row r="4687" spans="1:40">
      <c r="A4687" t="s">
        <v>13057</v>
      </c>
      <c r="B4687" t="s">
        <v>9390</v>
      </c>
      <c r="C4687" t="s">
        <v>14185</v>
      </c>
      <c r="D4687" t="s">
        <v>52</v>
      </c>
      <c r="E4687" t="s">
        <v>14186</v>
      </c>
      <c r="F4687" t="s">
        <v>131</v>
      </c>
      <c r="G4687" t="str">
        <f>HYPERLINK("https://twitter.com/17312166/status/1142571910645112832")</f>
        <v>https://twitter.com/17312166/status/1142571910645112832</v>
      </c>
      <c r="H4687" t="s">
        <v>46</v>
      </c>
      <c r="I4687" t="s">
        <v>14187</v>
      </c>
      <c r="J4687" t="str">
        <f>HYPERLINK("http://twitter.com/campfireburning")</f>
        <v>http://twitter.com/campfireburning</v>
      </c>
      <c r="K4687">
        <v>1061</v>
      </c>
      <c r="N4687" t="s">
        <v>65</v>
      </c>
      <c r="R4687" t="s">
        <v>60</v>
      </c>
      <c r="S4687" t="s">
        <v>51</v>
      </c>
      <c r="T4687" t="s">
        <v>2923</v>
      </c>
      <c r="W4687">
        <v>0</v>
      </c>
      <c r="X4687">
        <v>0</v>
      </c>
      <c r="AE4687">
        <v>0</v>
      </c>
      <c r="AM4687" t="s">
        <v>52</v>
      </c>
      <c r="AN4687" t="s">
        <v>53</v>
      </c>
    </row>
    <row r="4688" spans="1:40">
      <c r="A4688" t="s">
        <v>13057</v>
      </c>
      <c r="B4688" t="s">
        <v>9390</v>
      </c>
      <c r="C4688" t="s">
        <v>14188</v>
      </c>
      <c r="D4688" t="s">
        <v>52</v>
      </c>
      <c r="E4688" t="s">
        <v>14189</v>
      </c>
      <c r="F4688" t="s">
        <v>45</v>
      </c>
      <c r="G4688" t="str">
        <f>HYPERLINK("https://twitter.com/89311992/status/1142571843183927297")</f>
        <v>https://twitter.com/89311992/status/1142571843183927297</v>
      </c>
      <c r="H4688" t="s">
        <v>215</v>
      </c>
      <c r="I4688" t="s">
        <v>9889</v>
      </c>
      <c r="J4688" t="str">
        <f>HYPERLINK("http://twitter.com/htorswick")</f>
        <v>http://twitter.com/htorswick</v>
      </c>
      <c r="K4688">
        <v>224</v>
      </c>
      <c r="L4688" t="s">
        <v>58</v>
      </c>
      <c r="N4688" t="s">
        <v>65</v>
      </c>
      <c r="R4688" t="s">
        <v>60</v>
      </c>
      <c r="S4688" t="s">
        <v>51</v>
      </c>
      <c r="T4688" t="s">
        <v>380</v>
      </c>
      <c r="U4688" t="s">
        <v>380</v>
      </c>
      <c r="W4688">
        <v>0</v>
      </c>
      <c r="X4688">
        <v>0</v>
      </c>
      <c r="AE4688">
        <v>2</v>
      </c>
      <c r="AF4688">
        <v>0</v>
      </c>
      <c r="AI4688" t="s">
        <v>52</v>
      </c>
      <c r="AJ4688" t="s">
        <v>716</v>
      </c>
      <c r="AK4688" t="s">
        <v>52</v>
      </c>
      <c r="AL4688" t="str">
        <f>HYPERLINK("https://pbs.twimg.com/media/D9s7CBnW4AEy9oI.jpg")</f>
        <v>https://pbs.twimg.com/media/D9s7CBnW4AEy9oI.jpg</v>
      </c>
      <c r="AM4688" t="s">
        <v>52</v>
      </c>
      <c r="AN4688" t="s">
        <v>53</v>
      </c>
    </row>
    <row r="4689" spans="1:40">
      <c r="A4689" t="s">
        <v>13057</v>
      </c>
      <c r="B4689" t="s">
        <v>9390</v>
      </c>
      <c r="C4689" t="s">
        <v>14190</v>
      </c>
      <c r="D4689" t="s">
        <v>52</v>
      </c>
      <c r="E4689" t="s">
        <v>14191</v>
      </c>
      <c r="F4689" t="s">
        <v>95</v>
      </c>
      <c r="G4689" t="str">
        <f>HYPERLINK("https://twitter.com/336340040/status/1142571816143265792")</f>
        <v>https://twitter.com/336340040/status/1142571816143265792</v>
      </c>
      <c r="H4689" t="s">
        <v>46</v>
      </c>
      <c r="I4689" t="s">
        <v>14192</v>
      </c>
      <c r="J4689" t="str">
        <f>HYPERLINK("http://twitter.com/roonboxman")</f>
        <v>http://twitter.com/roonboxman</v>
      </c>
      <c r="K4689">
        <v>20</v>
      </c>
      <c r="L4689" t="s">
        <v>48</v>
      </c>
      <c r="N4689" t="s">
        <v>65</v>
      </c>
      <c r="R4689" t="s">
        <v>60</v>
      </c>
      <c r="W4689">
        <v>0</v>
      </c>
      <c r="X4689">
        <v>0</v>
      </c>
      <c r="AE4689">
        <v>0</v>
      </c>
      <c r="AF4689">
        <v>0</v>
      </c>
      <c r="AM4689" t="s">
        <v>52</v>
      </c>
      <c r="AN4689" t="s">
        <v>53</v>
      </c>
    </row>
    <row r="4690" spans="1:40">
      <c r="A4690" t="s">
        <v>13057</v>
      </c>
      <c r="B4690" t="s">
        <v>9390</v>
      </c>
      <c r="C4690" t="s">
        <v>14190</v>
      </c>
      <c r="D4690" t="s">
        <v>52</v>
      </c>
      <c r="E4690" t="s">
        <v>14193</v>
      </c>
      <c r="F4690" t="s">
        <v>95</v>
      </c>
      <c r="G4690" t="str">
        <f>HYPERLINK("https://twitter.com/761691286831263745/status/1142571793670184960")</f>
        <v>https://twitter.com/761691286831263745/status/1142571793670184960</v>
      </c>
      <c r="H4690" t="s">
        <v>46</v>
      </c>
      <c r="I4690" t="s">
        <v>14194</v>
      </c>
      <c r="J4690" t="str">
        <f>HYPERLINK("http://twitter.com/xxniamhjacxx")</f>
        <v>http://twitter.com/xxniamhjacxx</v>
      </c>
      <c r="K4690">
        <v>533</v>
      </c>
      <c r="N4690" t="s">
        <v>65</v>
      </c>
      <c r="R4690" t="s">
        <v>60</v>
      </c>
      <c r="S4690" t="s">
        <v>7989</v>
      </c>
      <c r="T4690" t="s">
        <v>7990</v>
      </c>
      <c r="U4690" t="s">
        <v>14195</v>
      </c>
      <c r="W4690">
        <v>0</v>
      </c>
      <c r="X4690">
        <v>0</v>
      </c>
      <c r="AE4690">
        <v>1</v>
      </c>
      <c r="AF4690">
        <v>0</v>
      </c>
      <c r="AI4690" t="s">
        <v>52</v>
      </c>
      <c r="AJ4690" t="s">
        <v>52</v>
      </c>
      <c r="AK4690" t="s">
        <v>2951</v>
      </c>
      <c r="AL4690" t="str">
        <f>HYPERLINK("https://pbs.twimg.com/ext_tw_video_thumb/1142571720768917504/pu/img/HgOmsa8LPRTa1Rbb.jpg")</f>
        <v>https://pbs.twimg.com/ext_tw_video_thumb/1142571720768917504/pu/img/HgOmsa8LPRTa1Rbb.jpg</v>
      </c>
      <c r="AM4690" t="s">
        <v>52</v>
      </c>
      <c r="AN4690" t="s">
        <v>53</v>
      </c>
    </row>
    <row r="4691" spans="1:40">
      <c r="A4691" t="s">
        <v>13057</v>
      </c>
      <c r="B4691" t="s">
        <v>3704</v>
      </c>
      <c r="C4691" t="s">
        <v>14196</v>
      </c>
      <c r="D4691" t="s">
        <v>52</v>
      </c>
      <c r="E4691" t="s">
        <v>14197</v>
      </c>
      <c r="F4691" t="s">
        <v>45</v>
      </c>
      <c r="G4691" t="str">
        <f>HYPERLINK("https://twitter.com/2676967318/status/1142571433417199616")</f>
        <v>https://twitter.com/2676967318/status/1142571433417199616</v>
      </c>
      <c r="H4691" t="s">
        <v>46</v>
      </c>
      <c r="I4691" t="s">
        <v>14198</v>
      </c>
      <c r="J4691" t="str">
        <f>HYPERLINK("http://twitter.com/lordmunion7")</f>
        <v>http://twitter.com/lordmunion7</v>
      </c>
      <c r="K4691">
        <v>18</v>
      </c>
      <c r="N4691" t="s">
        <v>65</v>
      </c>
      <c r="R4691" t="s">
        <v>60</v>
      </c>
      <c r="S4691" t="s">
        <v>7989</v>
      </c>
      <c r="W4691">
        <v>0</v>
      </c>
      <c r="X4691">
        <v>0</v>
      </c>
      <c r="AE4691">
        <v>0</v>
      </c>
      <c r="AF4691">
        <v>0</v>
      </c>
      <c r="AM4691" t="s">
        <v>52</v>
      </c>
      <c r="AN4691" t="s">
        <v>53</v>
      </c>
    </row>
    <row r="4692" spans="1:40">
      <c r="A4692" t="s">
        <v>13057</v>
      </c>
      <c r="B4692" t="s">
        <v>3709</v>
      </c>
      <c r="C4692" t="s">
        <v>14188</v>
      </c>
      <c r="D4692" t="s">
        <v>52</v>
      </c>
      <c r="E4692" t="s">
        <v>14199</v>
      </c>
      <c r="F4692" t="s">
        <v>71</v>
      </c>
      <c r="G4692" t="str">
        <f>HYPERLINK("https://twitter.com/722528103960961024/status/1142571025185427456")</f>
        <v>https://twitter.com/722528103960961024/status/1142571025185427456</v>
      </c>
      <c r="H4692" t="s">
        <v>46</v>
      </c>
      <c r="I4692" t="s">
        <v>14200</v>
      </c>
      <c r="J4692" t="str">
        <f>HYPERLINK("http://twitter.com/amusingghost")</f>
        <v>http://twitter.com/amusingghost</v>
      </c>
      <c r="K4692">
        <v>1218</v>
      </c>
      <c r="L4692" t="s">
        <v>58</v>
      </c>
      <c r="N4692" t="s">
        <v>65</v>
      </c>
      <c r="R4692" t="s">
        <v>60</v>
      </c>
      <c r="W4692">
        <v>0</v>
      </c>
      <c r="X4692">
        <v>0</v>
      </c>
      <c r="AE4692">
        <v>0</v>
      </c>
      <c r="AF4692">
        <v>0</v>
      </c>
      <c r="AI4692" t="s">
        <v>52</v>
      </c>
      <c r="AJ4692" t="s">
        <v>8100</v>
      </c>
      <c r="AK4692" t="s">
        <v>14201</v>
      </c>
      <c r="AL4692" t="str">
        <f>HYPERLINK("https://pbs.twimg.com/media/D9s5qqUUEAAz8Ik.jpg")</f>
        <v>https://pbs.twimg.com/media/D9s5qqUUEAAz8Ik.jpg</v>
      </c>
      <c r="AM4692" t="s">
        <v>52</v>
      </c>
      <c r="AN4692" t="s">
        <v>53</v>
      </c>
    </row>
    <row r="4693" spans="1:40">
      <c r="A4693" t="s">
        <v>13057</v>
      </c>
      <c r="B4693" t="s">
        <v>3709</v>
      </c>
      <c r="C4693" t="s">
        <v>14202</v>
      </c>
      <c r="D4693" t="s">
        <v>52</v>
      </c>
      <c r="E4693" t="s">
        <v>14203</v>
      </c>
      <c r="F4693" t="s">
        <v>71</v>
      </c>
      <c r="G4693" t="str">
        <f>HYPERLINK("https://twitter.com/865018148864512000/status/1142571009326948353")</f>
        <v>https://twitter.com/865018148864512000/status/1142571009326948353</v>
      </c>
      <c r="H4693" t="s">
        <v>46</v>
      </c>
      <c r="I4693" t="s">
        <v>14204</v>
      </c>
      <c r="J4693" t="str">
        <f>HYPERLINK("http://twitter.com/ofeelia1603")</f>
        <v>http://twitter.com/ofeelia1603</v>
      </c>
      <c r="K4693">
        <v>34</v>
      </c>
      <c r="N4693" t="s">
        <v>65</v>
      </c>
      <c r="R4693" t="s">
        <v>60</v>
      </c>
      <c r="W4693">
        <v>1</v>
      </c>
      <c r="X4693">
        <v>1</v>
      </c>
      <c r="AE4693">
        <v>0</v>
      </c>
      <c r="AF4693">
        <v>0</v>
      </c>
      <c r="AI4693" t="s">
        <v>108</v>
      </c>
      <c r="AJ4693" t="s">
        <v>52</v>
      </c>
      <c r="AK4693" t="s">
        <v>52</v>
      </c>
      <c r="AL4693" t="str">
        <f>HYPERLINK("https://pbs.twimg.com/tweet_video_thumb/D9hvNNzXUAATAS3.jpg")</f>
        <v>https://pbs.twimg.com/tweet_video_thumb/D9hvNNzXUAATAS3.jpg</v>
      </c>
      <c r="AM4693" t="s">
        <v>52</v>
      </c>
      <c r="AN4693" t="s">
        <v>53</v>
      </c>
    </row>
    <row r="4694" spans="1:40">
      <c r="A4694" t="s">
        <v>13057</v>
      </c>
      <c r="B4694" t="s">
        <v>9420</v>
      </c>
      <c r="C4694" t="s">
        <v>14205</v>
      </c>
      <c r="D4694" t="s">
        <v>52</v>
      </c>
      <c r="E4694" t="s">
        <v>14206</v>
      </c>
      <c r="F4694" t="s">
        <v>95</v>
      </c>
      <c r="G4694" t="str">
        <f>HYPERLINK("https://twitter.com/1110309845985644544/status/1142570911968714753")</f>
        <v>https://twitter.com/1110309845985644544/status/1142570911968714753</v>
      </c>
      <c r="H4694" t="s">
        <v>46</v>
      </c>
      <c r="I4694" t="s">
        <v>14207</v>
      </c>
      <c r="J4694" t="str">
        <f>HYPERLINK("http://twitter.com/Bigboi29706")</f>
        <v>http://twitter.com/Bigboi29706</v>
      </c>
      <c r="K4694">
        <v>92</v>
      </c>
      <c r="N4694" t="s">
        <v>65</v>
      </c>
      <c r="R4694" t="s">
        <v>60</v>
      </c>
      <c r="S4694" t="s">
        <v>51</v>
      </c>
      <c r="T4694" t="s">
        <v>253</v>
      </c>
      <c r="U4694" t="s">
        <v>14208</v>
      </c>
      <c r="W4694">
        <v>1</v>
      </c>
      <c r="X4694">
        <v>1</v>
      </c>
      <c r="AE4694">
        <v>0</v>
      </c>
      <c r="AF4694">
        <v>0</v>
      </c>
      <c r="AM4694" t="s">
        <v>52</v>
      </c>
      <c r="AN4694" t="s">
        <v>53</v>
      </c>
    </row>
    <row r="4695" spans="1:40">
      <c r="A4695" t="s">
        <v>13057</v>
      </c>
      <c r="B4695" t="s">
        <v>3720</v>
      </c>
      <c r="C4695" t="s">
        <v>14150</v>
      </c>
      <c r="D4695" t="s">
        <v>52</v>
      </c>
      <c r="E4695" t="s">
        <v>14209</v>
      </c>
      <c r="F4695" t="s">
        <v>45</v>
      </c>
      <c r="G4695" t="str">
        <f>HYPERLINK("https://www.instagram.com/p/BzB5sq1l9lQ")</f>
        <v>https://www.instagram.com/p/BzB5sq1l9lQ</v>
      </c>
      <c r="H4695" t="s">
        <v>46</v>
      </c>
      <c r="I4695" t="s">
        <v>14210</v>
      </c>
      <c r="J4695" t="str">
        <f>HYPERLINK("http://instagram.com/lilalexautomatic")</f>
        <v>http://instagram.com/lilalexautomatic</v>
      </c>
      <c r="K4695">
        <v>971</v>
      </c>
      <c r="N4695" t="s">
        <v>59</v>
      </c>
      <c r="O4695" t="s">
        <v>14210</v>
      </c>
      <c r="P4695" t="str">
        <f>HYPERLINK("http://instagram.com/lilalexautomatic")</f>
        <v>http://instagram.com/lilalexautomatic</v>
      </c>
      <c r="Q4695">
        <v>971</v>
      </c>
      <c r="R4695" t="s">
        <v>60</v>
      </c>
      <c r="W4695">
        <v>25</v>
      </c>
      <c r="X4695">
        <v>25</v>
      </c>
      <c r="AE4695">
        <v>7</v>
      </c>
      <c r="AG4695">
        <v>140</v>
      </c>
      <c r="AI4695" t="s">
        <v>52</v>
      </c>
      <c r="AJ4695" t="s">
        <v>2072</v>
      </c>
      <c r="AK4695" t="s">
        <v>52</v>
      </c>
      <c r="AL4695" t="str">
        <f>HYPERLINK("https://www.instagram.com/p/BzB5sq1l9lQ/media/?size=l")</f>
        <v>https://www.instagram.com/p/BzB5sq1l9lQ/media/?size=l</v>
      </c>
      <c r="AM4695" t="s">
        <v>52</v>
      </c>
      <c r="AN4695" t="s">
        <v>53</v>
      </c>
    </row>
    <row r="4696" spans="1:40">
      <c r="A4696" t="s">
        <v>13057</v>
      </c>
      <c r="B4696" t="s">
        <v>3720</v>
      </c>
      <c r="C4696" t="s">
        <v>14211</v>
      </c>
      <c r="D4696" t="s">
        <v>52</v>
      </c>
      <c r="E4696" t="s">
        <v>12374</v>
      </c>
      <c r="F4696" t="s">
        <v>131</v>
      </c>
      <c r="G4696" t="str">
        <f>HYPERLINK("https://twitter.com/2192557652/status/1142570174559739904")</f>
        <v>https://twitter.com/2192557652/status/1142570174559739904</v>
      </c>
      <c r="H4696" t="s">
        <v>46</v>
      </c>
      <c r="I4696" t="s">
        <v>14212</v>
      </c>
      <c r="J4696" t="str">
        <f>HYPERLINK("http://twitter.com/vyrongg")</f>
        <v>http://twitter.com/vyrongg</v>
      </c>
      <c r="K4696">
        <v>1838</v>
      </c>
      <c r="N4696" t="s">
        <v>65</v>
      </c>
      <c r="R4696" t="s">
        <v>60</v>
      </c>
      <c r="S4696" t="s">
        <v>2118</v>
      </c>
      <c r="T4696" t="s">
        <v>9504</v>
      </c>
      <c r="U4696" t="s">
        <v>9504</v>
      </c>
      <c r="W4696">
        <v>0</v>
      </c>
      <c r="X4696">
        <v>0</v>
      </c>
      <c r="AE4696">
        <v>0</v>
      </c>
      <c r="AI4696" t="s">
        <v>52</v>
      </c>
      <c r="AJ4696" t="s">
        <v>52</v>
      </c>
      <c r="AK4696" t="s">
        <v>52</v>
      </c>
      <c r="AL4696" t="str">
        <f>HYPERLINK("https://pbs.twimg.com/media/D9suxGFUYAA_wod.jpg")</f>
        <v>https://pbs.twimg.com/media/D9suxGFUYAA_wod.jpg</v>
      </c>
      <c r="AM4696" t="s">
        <v>52</v>
      </c>
      <c r="AN4696" t="s">
        <v>53</v>
      </c>
    </row>
    <row r="4697" spans="1:40">
      <c r="A4697" t="s">
        <v>13057</v>
      </c>
      <c r="B4697" t="s">
        <v>3720</v>
      </c>
      <c r="C4697" t="s">
        <v>14213</v>
      </c>
      <c r="D4697" t="s">
        <v>52</v>
      </c>
      <c r="E4697" t="s">
        <v>14214</v>
      </c>
      <c r="F4697" t="s">
        <v>45</v>
      </c>
      <c r="G4697" t="str">
        <f>HYPERLINK("https://twitter.com/1039879765/status/1142570139772227584")</f>
        <v>https://twitter.com/1039879765/status/1142570139772227584</v>
      </c>
      <c r="H4697" t="s">
        <v>46</v>
      </c>
      <c r="I4697" t="s">
        <v>14215</v>
      </c>
      <c r="J4697" t="str">
        <f>HYPERLINK("http://twitter.com/Amit8956")</f>
        <v>http://twitter.com/Amit8956</v>
      </c>
      <c r="K4697">
        <v>29</v>
      </c>
      <c r="N4697" t="s">
        <v>65</v>
      </c>
      <c r="R4697" t="s">
        <v>60</v>
      </c>
      <c r="S4697" t="s">
        <v>14216</v>
      </c>
      <c r="W4697">
        <v>0</v>
      </c>
      <c r="X4697">
        <v>0</v>
      </c>
      <c r="AE4697">
        <v>0</v>
      </c>
      <c r="AF4697">
        <v>0</v>
      </c>
      <c r="AM4697" t="s">
        <v>52</v>
      </c>
      <c r="AN4697" t="s">
        <v>53</v>
      </c>
    </row>
    <row r="4698" spans="1:40">
      <c r="A4698" t="s">
        <v>13057</v>
      </c>
      <c r="B4698" t="s">
        <v>3724</v>
      </c>
      <c r="C4698" t="s">
        <v>14217</v>
      </c>
      <c r="D4698" t="s">
        <v>52</v>
      </c>
      <c r="E4698" t="s">
        <v>14218</v>
      </c>
      <c r="F4698" t="s">
        <v>45</v>
      </c>
      <c r="G4698" t="str">
        <f>HYPERLINK("https://www.facebook.com/208992815893596/posts/2182143031911888")</f>
        <v>https://www.facebook.com/208992815893596/posts/2182143031911888</v>
      </c>
      <c r="H4698" t="s">
        <v>46</v>
      </c>
      <c r="I4698" t="s">
        <v>14219</v>
      </c>
      <c r="J4698" t="str">
        <f>HYPERLINK("https://www.facebook.com/208992815893596")</f>
        <v>https://www.facebook.com/208992815893596</v>
      </c>
      <c r="K4698">
        <v>738198</v>
      </c>
      <c r="L4698" t="s">
        <v>651</v>
      </c>
      <c r="N4698" t="s">
        <v>1792</v>
      </c>
      <c r="O4698" t="s">
        <v>14219</v>
      </c>
      <c r="P4698" t="str">
        <f>HYPERLINK("https://www.facebook.com/208992815893596")</f>
        <v>https://www.facebook.com/208992815893596</v>
      </c>
      <c r="Q4698">
        <v>738198</v>
      </c>
      <c r="R4698" t="s">
        <v>60</v>
      </c>
      <c r="S4698" t="s">
        <v>51</v>
      </c>
      <c r="W4698">
        <v>170</v>
      </c>
      <c r="X4698">
        <v>130</v>
      </c>
      <c r="Y4698">
        <v>36</v>
      </c>
      <c r="Z4698">
        <v>1</v>
      </c>
      <c r="AA4698">
        <v>3</v>
      </c>
      <c r="AB4698">
        <v>0</v>
      </c>
      <c r="AC4698">
        <v>0</v>
      </c>
      <c r="AE4698">
        <v>127</v>
      </c>
      <c r="AF4698">
        <v>57</v>
      </c>
      <c r="AI4698" t="s">
        <v>52</v>
      </c>
      <c r="AJ4698" t="s">
        <v>14220</v>
      </c>
      <c r="AK4698" t="s">
        <v>52</v>
      </c>
      <c r="AL4698" t="str">
        <f>HYPERLINK("https://scontent.xx.fbcdn.net/v/t15.5256-10/18339874_1349817351765445_4970204741263949824_n.jpg?_nc_cat=1&amp;_nc_ht=scontent.xx&amp;oh=f4eab0fd2d15de20dd4dcdb0b362a7df&amp;oe=5DC6DE0A")</f>
        <v>https://scontent.xx.fbcdn.net/v/t15.5256-10/18339874_1349817351765445_4970204741263949824_n.jpg?_nc_cat=1&amp;_nc_ht=scontent.xx&amp;oh=f4eab0fd2d15de20dd4dcdb0b362a7df&amp;oe=5DC6DE0A</v>
      </c>
      <c r="AM4698" t="s">
        <v>52</v>
      </c>
      <c r="AN4698" t="s">
        <v>53</v>
      </c>
    </row>
    <row r="4699" spans="1:40">
      <c r="A4699" t="s">
        <v>13057</v>
      </c>
      <c r="B4699" t="s">
        <v>14221</v>
      </c>
      <c r="C4699" t="s">
        <v>14222</v>
      </c>
      <c r="D4699" t="s">
        <v>52</v>
      </c>
      <c r="E4699" t="s">
        <v>14223</v>
      </c>
      <c r="F4699" t="s">
        <v>45</v>
      </c>
      <c r="G4699" t="str">
        <f>HYPERLINK("https://www.instagram.com/p/BzB6QH5nsNd")</f>
        <v>https://www.instagram.com/p/BzB6QH5nsNd</v>
      </c>
      <c r="H4699" t="s">
        <v>46</v>
      </c>
      <c r="I4699" t="s">
        <v>14224</v>
      </c>
      <c r="J4699" t="str">
        <f>HYPERLINK("http://instagram.com/sechane")</f>
        <v>http://instagram.com/sechane</v>
      </c>
      <c r="K4699">
        <v>1274</v>
      </c>
      <c r="N4699" t="s">
        <v>59</v>
      </c>
      <c r="O4699" t="s">
        <v>14224</v>
      </c>
      <c r="P4699" t="str">
        <f>HYPERLINK("http://instagram.com/sechane")</f>
        <v>http://instagram.com/sechane</v>
      </c>
      <c r="Q4699">
        <v>1274</v>
      </c>
      <c r="R4699" t="s">
        <v>60</v>
      </c>
      <c r="S4699" t="s">
        <v>51</v>
      </c>
      <c r="T4699" t="s">
        <v>14225</v>
      </c>
      <c r="U4699" t="s">
        <v>14226</v>
      </c>
      <c r="W4699">
        <v>16</v>
      </c>
      <c r="X4699">
        <v>16</v>
      </c>
      <c r="AE4699">
        <v>1</v>
      </c>
      <c r="AI4699" t="s">
        <v>52</v>
      </c>
      <c r="AJ4699" t="s">
        <v>14227</v>
      </c>
      <c r="AK4699" t="s">
        <v>52</v>
      </c>
      <c r="AL4699" t="str">
        <f>HYPERLINK("https://www.instagram.com/p/BzB6QH5nsNd/media/?size=l")</f>
        <v>https://www.instagram.com/p/BzB6QH5nsNd/media/?size=l</v>
      </c>
      <c r="AM4699" t="s">
        <v>52</v>
      </c>
      <c r="AN4699" t="s">
        <v>53</v>
      </c>
    </row>
    <row r="4700" spans="1:40">
      <c r="A4700" t="s">
        <v>13057</v>
      </c>
      <c r="B4700" t="s">
        <v>14221</v>
      </c>
      <c r="C4700" t="s">
        <v>14222</v>
      </c>
      <c r="D4700" t="s">
        <v>14228</v>
      </c>
      <c r="E4700" t="s">
        <v>14229</v>
      </c>
      <c r="F4700" t="s">
        <v>45</v>
      </c>
      <c r="G4700" t="str">
        <f>HYPERLINK("https://manofmany.com/lifestyle/fitness/jason-momoa-diet-workout-plan")</f>
        <v>https://manofmany.com/lifestyle/fitness/jason-momoa-diet-workout-plan</v>
      </c>
      <c r="H4700" t="s">
        <v>46</v>
      </c>
      <c r="I4700" t="s">
        <v>14230</v>
      </c>
      <c r="J4700" t="str">
        <f>HYPERLINK("https://manofmany.com/lifestyle/fitness/jason-momoa-diet-workout-plan")</f>
        <v>https://manofmany.com/lifestyle/fitness/jason-momoa-diet-workout-plan</v>
      </c>
      <c r="L4700" t="s">
        <v>48</v>
      </c>
      <c r="N4700" t="s">
        <v>14231</v>
      </c>
      <c r="R4700" t="s">
        <v>357</v>
      </c>
      <c r="S4700" t="s">
        <v>774</v>
      </c>
      <c r="AI4700" t="s">
        <v>52</v>
      </c>
      <c r="AJ4700" t="s">
        <v>52</v>
      </c>
      <c r="AK4700" t="s">
        <v>14232</v>
      </c>
      <c r="AL4700" t="str">
        <f>HYPERLINK("https://manofmany.com/wp-content/uploads/2019/06/Jason-Momoa-Aquaman-Diet-and-Workout-Plan-Jason-Mamoa-Acquaman-2.jpg")</f>
        <v>https://manofmany.com/wp-content/uploads/2019/06/Jason-Momoa-Aquaman-Diet-and-Workout-Plan-Jason-Mamoa-Acquaman-2.jpg</v>
      </c>
      <c r="AM4700" t="s">
        <v>52</v>
      </c>
      <c r="AN4700" t="s">
        <v>53</v>
      </c>
    </row>
    <row r="4701" spans="1:40">
      <c r="A4701" t="s">
        <v>13057</v>
      </c>
      <c r="B4701" t="s">
        <v>3738</v>
      </c>
      <c r="C4701" t="s">
        <v>14233</v>
      </c>
      <c r="D4701" t="s">
        <v>52</v>
      </c>
      <c r="E4701" t="s">
        <v>14234</v>
      </c>
      <c r="F4701" t="s">
        <v>131</v>
      </c>
      <c r="G4701" t="str">
        <f>HYPERLINK("https://twitter.com/1061605426754666496/status/1142569094585167873")</f>
        <v>https://twitter.com/1061605426754666496/status/1142569094585167873</v>
      </c>
      <c r="H4701" t="s">
        <v>46</v>
      </c>
      <c r="I4701" t="s">
        <v>14235</v>
      </c>
      <c r="J4701" t="str">
        <f>HYPERLINK("http://twitter.com/RemiliaScrlt")</f>
        <v>http://twitter.com/RemiliaScrlt</v>
      </c>
      <c r="K4701">
        <v>9</v>
      </c>
      <c r="N4701" t="s">
        <v>65</v>
      </c>
      <c r="R4701" t="s">
        <v>60</v>
      </c>
      <c r="W4701">
        <v>0</v>
      </c>
      <c r="X4701">
        <v>0</v>
      </c>
      <c r="AE4701">
        <v>0</v>
      </c>
      <c r="AI4701" t="s">
        <v>52</v>
      </c>
      <c r="AJ4701" t="s">
        <v>52</v>
      </c>
      <c r="AK4701" t="s">
        <v>341</v>
      </c>
      <c r="AL4701" t="str">
        <f>HYPERLINK("https://pbs.twimg.com/media/D9swKcJXoAA1wiU.jpg")</f>
        <v>https://pbs.twimg.com/media/D9swKcJXoAA1wiU.jpg</v>
      </c>
      <c r="AM4701" t="s">
        <v>52</v>
      </c>
      <c r="AN4701" t="s">
        <v>53</v>
      </c>
    </row>
    <row r="4702" spans="1:40">
      <c r="A4702" t="s">
        <v>13057</v>
      </c>
      <c r="B4702" t="s">
        <v>3738</v>
      </c>
      <c r="C4702" t="s">
        <v>14205</v>
      </c>
      <c r="D4702" t="s">
        <v>52</v>
      </c>
      <c r="E4702" t="s">
        <v>14236</v>
      </c>
      <c r="F4702" t="s">
        <v>71</v>
      </c>
      <c r="G4702" t="str">
        <f>HYPERLINK("https://twitter.com/416442276/status/1142568972946198530")</f>
        <v>https://twitter.com/416442276/status/1142568972946198530</v>
      </c>
      <c r="H4702" t="s">
        <v>46</v>
      </c>
      <c r="I4702" t="s">
        <v>14237</v>
      </c>
      <c r="J4702" t="str">
        <f>HYPERLINK("http://twitter.com/nxtivemelanism_")</f>
        <v>http://twitter.com/nxtivemelanism_</v>
      </c>
      <c r="K4702">
        <v>142179</v>
      </c>
      <c r="N4702" t="s">
        <v>65</v>
      </c>
      <c r="R4702" t="s">
        <v>60</v>
      </c>
      <c r="S4702" t="s">
        <v>387</v>
      </c>
      <c r="T4702" t="s">
        <v>388</v>
      </c>
      <c r="U4702" t="s">
        <v>3352</v>
      </c>
      <c r="W4702">
        <v>2</v>
      </c>
      <c r="X4702">
        <v>2</v>
      </c>
      <c r="AE4702">
        <v>0</v>
      </c>
      <c r="AF4702">
        <v>0</v>
      </c>
      <c r="AM4702" t="s">
        <v>52</v>
      </c>
      <c r="AN4702" t="s">
        <v>53</v>
      </c>
    </row>
    <row r="4703" spans="1:40">
      <c r="A4703" t="s">
        <v>13057</v>
      </c>
      <c r="B4703" t="s">
        <v>9451</v>
      </c>
      <c r="C4703" t="s">
        <v>14238</v>
      </c>
      <c r="D4703" t="s">
        <v>52</v>
      </c>
      <c r="E4703" t="s">
        <v>14239</v>
      </c>
      <c r="F4703" t="s">
        <v>71</v>
      </c>
      <c r="G4703" t="str">
        <f>HYPERLINK("https://twitter.com/1012306080/status/1142568917346316289")</f>
        <v>https://twitter.com/1012306080/status/1142568917346316289</v>
      </c>
      <c r="H4703" t="s">
        <v>46</v>
      </c>
      <c r="I4703" t="s">
        <v>14240</v>
      </c>
      <c r="J4703" t="str">
        <f>HYPERLINK("http://twitter.com/breeseeah")</f>
        <v>http://twitter.com/breeseeah</v>
      </c>
      <c r="K4703">
        <v>562</v>
      </c>
      <c r="N4703" t="s">
        <v>65</v>
      </c>
      <c r="R4703" t="s">
        <v>60</v>
      </c>
      <c r="S4703" t="s">
        <v>156</v>
      </c>
      <c r="W4703">
        <v>0</v>
      </c>
      <c r="X4703">
        <v>0</v>
      </c>
      <c r="AE4703">
        <v>0</v>
      </c>
      <c r="AF4703">
        <v>0</v>
      </c>
      <c r="AI4703" t="s">
        <v>52</v>
      </c>
      <c r="AJ4703" t="s">
        <v>3639</v>
      </c>
      <c r="AK4703" t="s">
        <v>238</v>
      </c>
      <c r="AL4703" t="str">
        <f>HYPERLINK("https://pbs.twimg.com/media/D9jR1g0UYAAm_F_.jpg")</f>
        <v>https://pbs.twimg.com/media/D9jR1g0UYAAm_F_.jpg</v>
      </c>
      <c r="AM4703" t="s">
        <v>52</v>
      </c>
      <c r="AN4703" t="s">
        <v>53</v>
      </c>
    </row>
    <row r="4704" spans="1:40">
      <c r="A4704" t="s">
        <v>13057</v>
      </c>
      <c r="B4704" t="s">
        <v>9451</v>
      </c>
      <c r="C4704" t="s">
        <v>14241</v>
      </c>
      <c r="D4704" t="s">
        <v>52</v>
      </c>
      <c r="E4704" t="s">
        <v>14242</v>
      </c>
      <c r="F4704" t="s">
        <v>45</v>
      </c>
      <c r="G4704" t="str">
        <f>HYPERLINK("https://www.instagram.com/p/BzB6AmshgLk")</f>
        <v>https://www.instagram.com/p/BzB6AmshgLk</v>
      </c>
      <c r="H4704" t="s">
        <v>46</v>
      </c>
      <c r="I4704" t="s">
        <v>14243</v>
      </c>
      <c r="J4704" t="str">
        <f>HYPERLINK("http://instagram.com/andreac.sw")</f>
        <v>http://instagram.com/andreac.sw</v>
      </c>
      <c r="K4704">
        <v>1067</v>
      </c>
      <c r="N4704" t="s">
        <v>59</v>
      </c>
      <c r="O4704" t="s">
        <v>14243</v>
      </c>
      <c r="P4704" t="str">
        <f>HYPERLINK("http://instagram.com/andreac.sw")</f>
        <v>http://instagram.com/andreac.sw</v>
      </c>
      <c r="Q4704">
        <v>1067</v>
      </c>
      <c r="R4704" t="s">
        <v>60</v>
      </c>
      <c r="W4704">
        <v>17</v>
      </c>
      <c r="X4704">
        <v>17</v>
      </c>
      <c r="AE4704">
        <v>0</v>
      </c>
      <c r="AI4704" t="s">
        <v>108</v>
      </c>
      <c r="AJ4704" t="s">
        <v>942</v>
      </c>
      <c r="AK4704" t="s">
        <v>52</v>
      </c>
      <c r="AL4704" t="str">
        <f>HYPERLINK("https://www.instagram.com/p/BzB6AmshgLk/media/?size=l")</f>
        <v>https://www.instagram.com/p/BzB6AmshgLk/media/?size=l</v>
      </c>
      <c r="AM4704" t="s">
        <v>52</v>
      </c>
      <c r="AN4704" t="s">
        <v>53</v>
      </c>
    </row>
    <row r="4705" spans="1:40">
      <c r="A4705" t="s">
        <v>13057</v>
      </c>
      <c r="B4705" t="s">
        <v>9455</v>
      </c>
      <c r="C4705" t="s">
        <v>14244</v>
      </c>
      <c r="D4705" t="s">
        <v>52</v>
      </c>
      <c r="E4705" t="s">
        <v>14245</v>
      </c>
      <c r="F4705" t="s">
        <v>45</v>
      </c>
      <c r="G4705" t="str">
        <f>HYPERLINK("https://twitter.com/160707388/status/1142568696826802176")</f>
        <v>https://twitter.com/160707388/status/1142568696826802176</v>
      </c>
      <c r="H4705" t="s">
        <v>46</v>
      </c>
      <c r="I4705" t="s">
        <v>14246</v>
      </c>
      <c r="J4705" t="str">
        <f>HYPERLINK("http://twitter.com/DougySo704")</f>
        <v>http://twitter.com/DougySo704</v>
      </c>
      <c r="K4705">
        <v>1053</v>
      </c>
      <c r="L4705" t="s">
        <v>48</v>
      </c>
      <c r="N4705" t="s">
        <v>65</v>
      </c>
      <c r="R4705" t="s">
        <v>60</v>
      </c>
      <c r="S4705" t="s">
        <v>51</v>
      </c>
      <c r="T4705" t="s">
        <v>851</v>
      </c>
      <c r="U4705" t="s">
        <v>14247</v>
      </c>
      <c r="W4705">
        <v>3</v>
      </c>
      <c r="X4705">
        <v>3</v>
      </c>
      <c r="AE4705">
        <v>1</v>
      </c>
      <c r="AF4705">
        <v>0</v>
      </c>
      <c r="AM4705" t="s">
        <v>52</v>
      </c>
      <c r="AN4705" t="s">
        <v>53</v>
      </c>
    </row>
    <row r="4706" spans="1:40">
      <c r="A4706" t="s">
        <v>13057</v>
      </c>
      <c r="B4706" t="s">
        <v>9455</v>
      </c>
      <c r="C4706" t="s">
        <v>14202</v>
      </c>
      <c r="D4706" t="s">
        <v>52</v>
      </c>
      <c r="E4706" t="s">
        <v>14248</v>
      </c>
      <c r="F4706" t="s">
        <v>45</v>
      </c>
      <c r="G4706" t="str">
        <f>HYPERLINK("https://twitter.com/1127355961591701504/status/1142568507315556352")</f>
        <v>https://twitter.com/1127355961591701504/status/1142568507315556352</v>
      </c>
      <c r="H4706" t="s">
        <v>46</v>
      </c>
      <c r="I4706" t="s">
        <v>52</v>
      </c>
      <c r="J4706" t="str">
        <f>HYPERLINK("http://twitter.com/dnajjk")</f>
        <v>http://twitter.com/dnajjk</v>
      </c>
      <c r="K4706">
        <v>47</v>
      </c>
      <c r="N4706" t="s">
        <v>65</v>
      </c>
      <c r="R4706" t="s">
        <v>60</v>
      </c>
      <c r="S4706" t="s">
        <v>444</v>
      </c>
      <c r="T4706" t="s">
        <v>10121</v>
      </c>
      <c r="U4706" t="s">
        <v>24</v>
      </c>
      <c r="W4706">
        <v>0</v>
      </c>
      <c r="X4706">
        <v>0</v>
      </c>
      <c r="AE4706">
        <v>0</v>
      </c>
      <c r="AF4706">
        <v>0</v>
      </c>
      <c r="AM4706" t="s">
        <v>52</v>
      </c>
      <c r="AN4706" t="s">
        <v>53</v>
      </c>
    </row>
    <row r="4707" spans="1:40">
      <c r="A4707" t="s">
        <v>13057</v>
      </c>
      <c r="B4707" t="s">
        <v>3741</v>
      </c>
      <c r="C4707" t="s">
        <v>13431</v>
      </c>
      <c r="D4707" t="s">
        <v>13432</v>
      </c>
      <c r="E4707" t="s">
        <v>14249</v>
      </c>
      <c r="F4707" t="s">
        <v>45</v>
      </c>
      <c r="G4707" t="str">
        <f>HYPERLINK("https://www.reddit.com/r/cosplaygirls/comments/c3okdj/dva_by_maria_fernanda/?sort=new#thing_t1_ersx4hc")</f>
        <v>https://www.reddit.com/r/cosplaygirls/comments/c3okdj/dva_by_maria_fernanda/?sort=new#thing_t1_ersx4hc</v>
      </c>
      <c r="H4707" t="s">
        <v>46</v>
      </c>
      <c r="I4707" t="s">
        <v>14250</v>
      </c>
      <c r="J4707" t="str">
        <f>HYPERLINK("https://www.reddit.com/r/cosplaygirls/comments/c3okdj/dva_by_maria_fernanda/?sort=new#thing_t1_ersx4hc")</f>
        <v>https://www.reddit.com/r/cosplaygirls/comments/c3okdj/dva_by_maria_fernanda/?sort=new#thing_t1_ersx4hc</v>
      </c>
      <c r="N4707" t="s">
        <v>545</v>
      </c>
      <c r="O4707" t="s">
        <v>13435</v>
      </c>
      <c r="P4707" t="str">
        <f>HYPERLINK("https://www.reddit.com/r/cosplaygirls/")</f>
        <v>https://www.reddit.com/r/cosplaygirls/</v>
      </c>
      <c r="R4707" t="s">
        <v>516</v>
      </c>
      <c r="S4707" t="s">
        <v>51</v>
      </c>
      <c r="AM4707" t="s">
        <v>52</v>
      </c>
      <c r="AN4707" t="s">
        <v>53</v>
      </c>
    </row>
    <row r="4708" spans="1:40">
      <c r="A4708" t="s">
        <v>13057</v>
      </c>
      <c r="B4708" t="s">
        <v>3744</v>
      </c>
      <c r="C4708" t="s">
        <v>14233</v>
      </c>
      <c r="D4708" t="s">
        <v>52</v>
      </c>
      <c r="E4708" t="s">
        <v>130</v>
      </c>
      <c r="F4708" t="s">
        <v>131</v>
      </c>
      <c r="G4708" t="str">
        <f>HYPERLINK("https://twitter.com/2299798680/status/1142568116062474240")</f>
        <v>https://twitter.com/2299798680/status/1142568116062474240</v>
      </c>
      <c r="H4708" t="s">
        <v>46</v>
      </c>
      <c r="I4708" t="s">
        <v>5652</v>
      </c>
      <c r="J4708" t="str">
        <f>HYPERLINK("http://twitter.com/nappp91")</f>
        <v>http://twitter.com/nappp91</v>
      </c>
      <c r="K4708">
        <v>189</v>
      </c>
      <c r="L4708" t="s">
        <v>58</v>
      </c>
      <c r="N4708" t="s">
        <v>65</v>
      </c>
      <c r="R4708" t="s">
        <v>60</v>
      </c>
      <c r="W4708">
        <v>0</v>
      </c>
      <c r="X4708">
        <v>0</v>
      </c>
      <c r="AE4708">
        <v>0</v>
      </c>
      <c r="AI4708" t="s">
        <v>108</v>
      </c>
      <c r="AJ4708" t="s">
        <v>52</v>
      </c>
      <c r="AK4708" t="s">
        <v>52</v>
      </c>
      <c r="AL4708" t="str">
        <f>HYPERLINK("https://pbs.twimg.com/media/D9XTkLWW4AAOYnJ.jpg")</f>
        <v>https://pbs.twimg.com/media/D9XTkLWW4AAOYnJ.jpg</v>
      </c>
      <c r="AM4708" t="s">
        <v>52</v>
      </c>
      <c r="AN4708" t="s">
        <v>53</v>
      </c>
    </row>
    <row r="4709" spans="1:40">
      <c r="A4709" t="s">
        <v>13057</v>
      </c>
      <c r="B4709" t="s">
        <v>3744</v>
      </c>
      <c r="C4709" t="s">
        <v>14238</v>
      </c>
      <c r="D4709" t="s">
        <v>52</v>
      </c>
      <c r="E4709" t="s">
        <v>14251</v>
      </c>
      <c r="F4709" t="s">
        <v>95</v>
      </c>
      <c r="G4709" t="str">
        <f>HYPERLINK("https://twitter.com/2299798680/status/1142568109389361155")</f>
        <v>https://twitter.com/2299798680/status/1142568109389361155</v>
      </c>
      <c r="H4709" t="s">
        <v>215</v>
      </c>
      <c r="I4709" t="s">
        <v>5652</v>
      </c>
      <c r="J4709" t="str">
        <f>HYPERLINK("http://twitter.com/nappp91")</f>
        <v>http://twitter.com/nappp91</v>
      </c>
      <c r="K4709">
        <v>189</v>
      </c>
      <c r="L4709" t="s">
        <v>58</v>
      </c>
      <c r="N4709" t="s">
        <v>65</v>
      </c>
      <c r="R4709" t="s">
        <v>60</v>
      </c>
      <c r="W4709">
        <v>0</v>
      </c>
      <c r="X4709">
        <v>0</v>
      </c>
      <c r="AE4709">
        <v>0</v>
      </c>
      <c r="AF4709">
        <v>0</v>
      </c>
      <c r="AM4709" t="s">
        <v>52</v>
      </c>
      <c r="AN4709" t="s">
        <v>53</v>
      </c>
    </row>
    <row r="4710" spans="1:40">
      <c r="A4710" t="s">
        <v>13057</v>
      </c>
      <c r="B4710" t="s">
        <v>3744</v>
      </c>
      <c r="C4710" t="s">
        <v>14244</v>
      </c>
      <c r="D4710" t="s">
        <v>52</v>
      </c>
      <c r="E4710" t="s">
        <v>14252</v>
      </c>
      <c r="F4710" t="s">
        <v>95</v>
      </c>
      <c r="G4710" t="str">
        <f>HYPERLINK("https://twitter.com/4862354653/status/1142568094344216576")</f>
        <v>https://twitter.com/4862354653/status/1142568094344216576</v>
      </c>
      <c r="H4710" t="s">
        <v>46</v>
      </c>
      <c r="I4710" t="s">
        <v>14253</v>
      </c>
      <c r="J4710" t="str">
        <f>HYPERLINK("http://twitter.com/ChrisEdgeSD")</f>
        <v>http://twitter.com/ChrisEdgeSD</v>
      </c>
      <c r="K4710">
        <v>632</v>
      </c>
      <c r="N4710" t="s">
        <v>65</v>
      </c>
      <c r="R4710" t="s">
        <v>60</v>
      </c>
      <c r="S4710" t="s">
        <v>51</v>
      </c>
      <c r="T4710" t="s">
        <v>173</v>
      </c>
      <c r="W4710">
        <v>0</v>
      </c>
      <c r="X4710">
        <v>0</v>
      </c>
      <c r="AE4710">
        <v>0</v>
      </c>
      <c r="AF4710">
        <v>0</v>
      </c>
      <c r="AM4710" t="s">
        <v>52</v>
      </c>
      <c r="AN4710" t="s">
        <v>53</v>
      </c>
    </row>
    <row r="4711" spans="1:40">
      <c r="A4711" t="s">
        <v>13057</v>
      </c>
      <c r="B4711" t="s">
        <v>3744</v>
      </c>
      <c r="C4711" t="s">
        <v>14244</v>
      </c>
      <c r="D4711" t="s">
        <v>52</v>
      </c>
      <c r="E4711" t="s">
        <v>526</v>
      </c>
      <c r="F4711" t="s">
        <v>131</v>
      </c>
      <c r="G4711" t="str">
        <f>HYPERLINK("https://twitter.com/1012305462765785090/status/1142568090485571584")</f>
        <v>https://twitter.com/1012305462765785090/status/1142568090485571584</v>
      </c>
      <c r="H4711" t="s">
        <v>46</v>
      </c>
      <c r="I4711" t="s">
        <v>14254</v>
      </c>
      <c r="J4711" t="str">
        <f>HYPERLINK("http://twitter.com/Cukis86458056")</f>
        <v>http://twitter.com/Cukis86458056</v>
      </c>
      <c r="K4711">
        <v>93</v>
      </c>
      <c r="N4711" t="s">
        <v>65</v>
      </c>
      <c r="R4711" t="s">
        <v>60</v>
      </c>
      <c r="S4711" t="s">
        <v>142</v>
      </c>
      <c r="T4711" t="s">
        <v>1200</v>
      </c>
      <c r="U4711" t="s">
        <v>6310</v>
      </c>
      <c r="W4711">
        <v>0</v>
      </c>
      <c r="X4711">
        <v>0</v>
      </c>
      <c r="AE4711">
        <v>0</v>
      </c>
      <c r="AI4711" t="s">
        <v>108</v>
      </c>
      <c r="AJ4711" t="s">
        <v>52</v>
      </c>
      <c r="AK4711" t="s">
        <v>52</v>
      </c>
      <c r="AL4711" t="str">
        <f>HYPERLINK("https://pbs.twimg.com/ext_tw_video_thumb/1141360066962100224/pu/img/5_tGc4hLFQwcD07b.jpg")</f>
        <v>https://pbs.twimg.com/ext_tw_video_thumb/1141360066962100224/pu/img/5_tGc4hLFQwcD07b.jpg</v>
      </c>
      <c r="AM4711" t="s">
        <v>52</v>
      </c>
      <c r="AN4711" t="s">
        <v>53</v>
      </c>
    </row>
    <row r="4712" spans="1:40">
      <c r="A4712" t="s">
        <v>13057</v>
      </c>
      <c r="B4712" t="s">
        <v>3744</v>
      </c>
      <c r="C4712" t="s">
        <v>14255</v>
      </c>
      <c r="D4712" t="s">
        <v>52</v>
      </c>
      <c r="E4712" t="s">
        <v>14256</v>
      </c>
      <c r="F4712" t="s">
        <v>131</v>
      </c>
      <c r="G4712" t="str">
        <f>HYPERLINK("https://twitter.com/28264413/status/1142568026128244738")</f>
        <v>https://twitter.com/28264413/status/1142568026128244738</v>
      </c>
      <c r="H4712" t="s">
        <v>215</v>
      </c>
      <c r="I4712" t="s">
        <v>14257</v>
      </c>
      <c r="J4712" t="str">
        <f>HYPERLINK("http://twitter.com/chincha33")</f>
        <v>http://twitter.com/chincha33</v>
      </c>
      <c r="K4712">
        <v>10395</v>
      </c>
      <c r="N4712" t="s">
        <v>65</v>
      </c>
      <c r="R4712" t="s">
        <v>60</v>
      </c>
      <c r="S4712" t="s">
        <v>51</v>
      </c>
      <c r="T4712" t="s">
        <v>73</v>
      </c>
      <c r="W4712">
        <v>0</v>
      </c>
      <c r="X4712">
        <v>0</v>
      </c>
      <c r="AE4712">
        <v>0</v>
      </c>
      <c r="AM4712" t="s">
        <v>52</v>
      </c>
      <c r="AN4712" t="s">
        <v>53</v>
      </c>
    </row>
    <row r="4713" spans="1:40">
      <c r="A4713" t="s">
        <v>13057</v>
      </c>
      <c r="B4713" t="s">
        <v>3744</v>
      </c>
      <c r="C4713" t="s">
        <v>14255</v>
      </c>
      <c r="D4713" t="s">
        <v>52</v>
      </c>
      <c r="E4713" t="s">
        <v>14087</v>
      </c>
      <c r="F4713" t="s">
        <v>45</v>
      </c>
      <c r="G4713" t="str">
        <f>HYPERLINK("https://twitter.com/416442276/status/1142567997862813700")</f>
        <v>https://twitter.com/416442276/status/1142567997862813700</v>
      </c>
      <c r="H4713" t="s">
        <v>46</v>
      </c>
      <c r="I4713" t="s">
        <v>14237</v>
      </c>
      <c r="J4713" t="str">
        <f>HYPERLINK("http://twitter.com/nxtivemelanism_")</f>
        <v>http://twitter.com/nxtivemelanism_</v>
      </c>
      <c r="K4713">
        <v>142179</v>
      </c>
      <c r="N4713" t="s">
        <v>65</v>
      </c>
      <c r="R4713" t="s">
        <v>60</v>
      </c>
      <c r="S4713" t="s">
        <v>387</v>
      </c>
      <c r="T4713" t="s">
        <v>388</v>
      </c>
      <c r="U4713" t="s">
        <v>3352</v>
      </c>
      <c r="W4713">
        <v>1</v>
      </c>
      <c r="X4713">
        <v>1</v>
      </c>
      <c r="AE4713">
        <v>0</v>
      </c>
      <c r="AF4713">
        <v>1</v>
      </c>
      <c r="AM4713" t="s">
        <v>52</v>
      </c>
      <c r="AN4713" t="s">
        <v>53</v>
      </c>
    </row>
    <row r="4714" spans="1:40">
      <c r="A4714" t="s">
        <v>13057</v>
      </c>
      <c r="B4714" t="s">
        <v>3744</v>
      </c>
      <c r="C4714" t="s">
        <v>14258</v>
      </c>
      <c r="D4714" t="s">
        <v>52</v>
      </c>
      <c r="E4714" t="s">
        <v>14259</v>
      </c>
      <c r="F4714" t="s">
        <v>45</v>
      </c>
      <c r="G4714" t="str">
        <f>HYPERLINK("https://www.instagram.com/p/BzB38LVAhPb")</f>
        <v>https://www.instagram.com/p/BzB38LVAhPb</v>
      </c>
      <c r="H4714" t="s">
        <v>215</v>
      </c>
      <c r="I4714" t="s">
        <v>14260</v>
      </c>
      <c r="J4714" t="str">
        <f>HYPERLINK("http://instagram.com/jacquezofficialtattoos")</f>
        <v>http://instagram.com/jacquezofficialtattoos</v>
      </c>
      <c r="K4714">
        <v>702</v>
      </c>
      <c r="N4714" t="s">
        <v>59</v>
      </c>
      <c r="O4714" t="s">
        <v>14260</v>
      </c>
      <c r="P4714" t="str">
        <f>HYPERLINK("http://instagram.com/jacquezofficialtattoos")</f>
        <v>http://instagram.com/jacquezofficialtattoos</v>
      </c>
      <c r="Q4714">
        <v>702</v>
      </c>
      <c r="R4714" t="s">
        <v>60</v>
      </c>
      <c r="S4714" t="s">
        <v>51</v>
      </c>
      <c r="T4714" t="s">
        <v>160</v>
      </c>
      <c r="U4714" t="s">
        <v>161</v>
      </c>
      <c r="W4714">
        <v>12</v>
      </c>
      <c r="X4714">
        <v>12</v>
      </c>
      <c r="AE4714">
        <v>3</v>
      </c>
      <c r="AG4714">
        <v>55</v>
      </c>
      <c r="AI4714" t="s">
        <v>52</v>
      </c>
      <c r="AJ4714" t="s">
        <v>52</v>
      </c>
      <c r="AK4714" t="s">
        <v>52</v>
      </c>
      <c r="AL4714" t="str">
        <f>HYPERLINK("https://www.instagram.com/p/BzB38LVAhPb/media/?size=l")</f>
        <v>https://www.instagram.com/p/BzB38LVAhPb/media/?size=l</v>
      </c>
      <c r="AM4714" t="s">
        <v>52</v>
      </c>
      <c r="AN4714" t="s">
        <v>53</v>
      </c>
    </row>
    <row r="4715" spans="1:40">
      <c r="A4715" t="s">
        <v>13057</v>
      </c>
      <c r="B4715" t="s">
        <v>3744</v>
      </c>
      <c r="C4715" t="s">
        <v>3006</v>
      </c>
      <c r="D4715" t="s">
        <v>14261</v>
      </c>
      <c r="E4715" t="s">
        <v>14262</v>
      </c>
      <c r="F4715" t="s">
        <v>45</v>
      </c>
      <c r="G4715" t="str">
        <f>HYPERLINK("https://www.iambirmingham.co.uk/2019/06/23/olly-alexander-berates-big-brands-exploiting-rainbow-flag-pride-month")</f>
        <v>https://www.iambirmingham.co.uk/2019/06/23/olly-alexander-berates-big-brands-exploiting-rainbow-flag-pride-month</v>
      </c>
      <c r="H4715" t="s">
        <v>46</v>
      </c>
      <c r="I4715" t="s">
        <v>14263</v>
      </c>
      <c r="J4715" t="str">
        <f>HYPERLINK("https://www.iambirmingham.co.uk")</f>
        <v>https://www.iambirmingham.co.uk</v>
      </c>
      <c r="N4715" t="s">
        <v>14264</v>
      </c>
      <c r="R4715" t="s">
        <v>357</v>
      </c>
      <c r="S4715" t="s">
        <v>97</v>
      </c>
      <c r="AI4715" t="s">
        <v>52</v>
      </c>
      <c r="AJ4715" t="s">
        <v>14265</v>
      </c>
      <c r="AK4715" t="s">
        <v>14266</v>
      </c>
      <c r="AL4715" t="str">
        <f>HYPERLINK("https://www.iambirmingham.co.uk/wp-content/uploads/2019/05/Olly-Alexander-on-the-Birmingham-Pride-2019-Main-Stage-by-Nikhara-Korpal-800x518.png")</f>
        <v>https://www.iambirmingham.co.uk/wp-content/uploads/2019/05/Olly-Alexander-on-the-Birmingham-Pride-2019-Main-Stage-by-Nikhara-Korpal-800x518.png</v>
      </c>
      <c r="AM4715" t="s">
        <v>52</v>
      </c>
      <c r="AN4715" t="s">
        <v>53</v>
      </c>
    </row>
    <row r="4716" spans="1:40">
      <c r="A4716" t="s">
        <v>13057</v>
      </c>
      <c r="B4716" t="s">
        <v>3744</v>
      </c>
      <c r="C4716" t="s">
        <v>14267</v>
      </c>
      <c r="D4716" t="s">
        <v>52</v>
      </c>
      <c r="E4716" t="s">
        <v>14268</v>
      </c>
      <c r="F4716" t="s">
        <v>45</v>
      </c>
      <c r="G4716" t="str">
        <f>HYPERLINK("https://www.facebook.com/1922671998031668/posts/2134344116864454")</f>
        <v>https://www.facebook.com/1922671998031668/posts/2134344116864454</v>
      </c>
      <c r="H4716" t="s">
        <v>46</v>
      </c>
      <c r="I4716" t="s">
        <v>14269</v>
      </c>
      <c r="J4716" t="str">
        <f>HYPERLINK("https://www.facebook.com/1922671998031668")</f>
        <v>https://www.facebook.com/1922671998031668</v>
      </c>
      <c r="K4716">
        <v>89007</v>
      </c>
      <c r="L4716" t="s">
        <v>651</v>
      </c>
      <c r="N4716" t="s">
        <v>1792</v>
      </c>
      <c r="O4716" t="s">
        <v>14269</v>
      </c>
      <c r="P4716" t="str">
        <f>HYPERLINK("https://www.facebook.com/1922671998031668")</f>
        <v>https://www.facebook.com/1922671998031668</v>
      </c>
      <c r="Q4716">
        <v>89007</v>
      </c>
      <c r="R4716" t="s">
        <v>60</v>
      </c>
      <c r="W4716">
        <v>71</v>
      </c>
      <c r="X4716">
        <v>69</v>
      </c>
      <c r="Y4716">
        <v>1</v>
      </c>
      <c r="Z4716">
        <v>0</v>
      </c>
      <c r="AA4716">
        <v>0</v>
      </c>
      <c r="AB4716">
        <v>1</v>
      </c>
      <c r="AC4716">
        <v>0</v>
      </c>
      <c r="AE4716">
        <v>34</v>
      </c>
      <c r="AF4716">
        <v>6</v>
      </c>
      <c r="AI4716" t="s">
        <v>52</v>
      </c>
      <c r="AJ4716" t="s">
        <v>52</v>
      </c>
      <c r="AK4716" t="s">
        <v>52</v>
      </c>
      <c r="AL4716" t="str">
        <f>HYPERLINK("https://juliesfreebies.com/wp-content/uploads/2019/05/spider-man-and-doritos-iwg.jpg")</f>
        <v>https://juliesfreebies.com/wp-content/uploads/2019/05/spider-man-and-doritos-iwg.jpg</v>
      </c>
      <c r="AM4716" t="s">
        <v>52</v>
      </c>
      <c r="AN4716" t="s">
        <v>53</v>
      </c>
    </row>
    <row r="4717" spans="1:40">
      <c r="A4717" t="s">
        <v>13057</v>
      </c>
      <c r="B4717" t="s">
        <v>3755</v>
      </c>
      <c r="C4717" t="s">
        <v>14270</v>
      </c>
      <c r="D4717" t="s">
        <v>52</v>
      </c>
      <c r="E4717" t="s">
        <v>14271</v>
      </c>
      <c r="F4717" t="s">
        <v>45</v>
      </c>
      <c r="G4717" t="str">
        <f>HYPERLINK("https://twitter.com/245513413/status/1142567925812989955")</f>
        <v>https://twitter.com/245513413/status/1142567925812989955</v>
      </c>
      <c r="H4717" t="s">
        <v>46</v>
      </c>
      <c r="I4717" t="s">
        <v>14272</v>
      </c>
      <c r="J4717" t="str">
        <f>HYPERLINK("http://twitter.com/KleberlyM")</f>
        <v>http://twitter.com/KleberlyM</v>
      </c>
      <c r="K4717">
        <v>1817</v>
      </c>
      <c r="N4717" t="s">
        <v>65</v>
      </c>
      <c r="R4717" t="s">
        <v>60</v>
      </c>
      <c r="S4717" t="s">
        <v>210</v>
      </c>
      <c r="T4717" t="s">
        <v>687</v>
      </c>
      <c r="U4717" t="s">
        <v>688</v>
      </c>
      <c r="W4717">
        <v>0</v>
      </c>
      <c r="X4717">
        <v>0</v>
      </c>
      <c r="AE4717">
        <v>0</v>
      </c>
      <c r="AF4717">
        <v>0</v>
      </c>
      <c r="AM4717" t="s">
        <v>52</v>
      </c>
      <c r="AN4717" t="s">
        <v>53</v>
      </c>
    </row>
    <row r="4718" spans="1:40">
      <c r="A4718" t="s">
        <v>13057</v>
      </c>
      <c r="B4718" t="s">
        <v>3762</v>
      </c>
      <c r="C4718" t="s">
        <v>14273</v>
      </c>
      <c r="D4718" t="s">
        <v>52</v>
      </c>
      <c r="E4718" t="s">
        <v>14274</v>
      </c>
      <c r="F4718" t="s">
        <v>45</v>
      </c>
      <c r="G4718" t="str">
        <f>HYPERLINK("https://twitter.com/1141114165211357184/status/1142567406356914176")</f>
        <v>https://twitter.com/1141114165211357184/status/1142567406356914176</v>
      </c>
      <c r="H4718" t="s">
        <v>215</v>
      </c>
      <c r="I4718" t="s">
        <v>14275</v>
      </c>
      <c r="J4718" t="str">
        <f>HYPERLINK("http://twitter.com/FrustratedHusb7")</f>
        <v>http://twitter.com/FrustratedHusb7</v>
      </c>
      <c r="K4718">
        <v>0</v>
      </c>
      <c r="N4718" t="s">
        <v>65</v>
      </c>
      <c r="R4718" t="s">
        <v>60</v>
      </c>
      <c r="W4718">
        <v>0</v>
      </c>
      <c r="X4718">
        <v>0</v>
      </c>
      <c r="AE4718">
        <v>0</v>
      </c>
      <c r="AF4718">
        <v>0</v>
      </c>
      <c r="AI4718" t="s">
        <v>52</v>
      </c>
      <c r="AJ4718" t="s">
        <v>268</v>
      </c>
      <c r="AK4718" t="s">
        <v>52</v>
      </c>
      <c r="AL4718" t="str">
        <f>HYPERLINK("https://pbs.twimg.com/media/D9s2_xiXkAAQKbO.jpg")</f>
        <v>https://pbs.twimg.com/media/D9s2_xiXkAAQKbO.jpg</v>
      </c>
      <c r="AM4718" t="s">
        <v>52</v>
      </c>
      <c r="AN4718" t="s">
        <v>53</v>
      </c>
    </row>
    <row r="4719" spans="1:40">
      <c r="A4719" t="s">
        <v>13057</v>
      </c>
      <c r="B4719" t="s">
        <v>3762</v>
      </c>
      <c r="C4719" t="s">
        <v>14244</v>
      </c>
      <c r="D4719" t="s">
        <v>52</v>
      </c>
      <c r="E4719" t="s">
        <v>14276</v>
      </c>
      <c r="F4719" t="s">
        <v>45</v>
      </c>
      <c r="G4719" t="str">
        <f>HYPERLINK("https://www.instagram.com/p/BzB5XCXlZZn")</f>
        <v>https://www.instagram.com/p/BzB5XCXlZZn</v>
      </c>
      <c r="H4719" t="s">
        <v>46</v>
      </c>
      <c r="I4719" t="s">
        <v>14277</v>
      </c>
      <c r="J4719" t="str">
        <f>HYPERLINK("http://instagram.com/meeganroxx")</f>
        <v>http://instagram.com/meeganroxx</v>
      </c>
      <c r="K4719">
        <v>698</v>
      </c>
      <c r="N4719" t="s">
        <v>59</v>
      </c>
      <c r="O4719" t="s">
        <v>14277</v>
      </c>
      <c r="P4719" t="str">
        <f>HYPERLINK("http://instagram.com/meeganroxx")</f>
        <v>http://instagram.com/meeganroxx</v>
      </c>
      <c r="Q4719">
        <v>698</v>
      </c>
      <c r="R4719" t="s">
        <v>60</v>
      </c>
      <c r="W4719">
        <v>15</v>
      </c>
      <c r="X4719">
        <v>15</v>
      </c>
      <c r="AE4719">
        <v>2</v>
      </c>
      <c r="AI4719" t="s">
        <v>52</v>
      </c>
      <c r="AJ4719" t="s">
        <v>14278</v>
      </c>
      <c r="AK4719" t="s">
        <v>52</v>
      </c>
      <c r="AL4719" t="str">
        <f>HYPERLINK("https://www.instagram.com/p/BzB5XCXlZZn/media/?size=l")</f>
        <v>https://www.instagram.com/p/BzB5XCXlZZn/media/?size=l</v>
      </c>
      <c r="AM4719" t="s">
        <v>52</v>
      </c>
      <c r="AN4719" t="s">
        <v>53</v>
      </c>
    </row>
    <row r="4720" spans="1:40">
      <c r="A4720" t="s">
        <v>13057</v>
      </c>
      <c r="B4720" t="s">
        <v>3762</v>
      </c>
      <c r="C4720" t="s">
        <v>14244</v>
      </c>
      <c r="D4720" t="s">
        <v>52</v>
      </c>
      <c r="E4720" t="s">
        <v>14279</v>
      </c>
      <c r="F4720" t="s">
        <v>45</v>
      </c>
      <c r="G4720" t="str">
        <f>HYPERLINK("https://www.instagram.com/p/BzB5Uq_n4Dv")</f>
        <v>https://www.instagram.com/p/BzB5Uq_n4Dv</v>
      </c>
      <c r="H4720" t="s">
        <v>46</v>
      </c>
      <c r="I4720" t="s">
        <v>14280</v>
      </c>
      <c r="J4720" t="str">
        <f>HYPERLINK("http://instagram.com/gasork")</f>
        <v>http://instagram.com/gasork</v>
      </c>
      <c r="K4720">
        <v>303</v>
      </c>
      <c r="N4720" t="s">
        <v>59</v>
      </c>
      <c r="O4720" t="s">
        <v>14280</v>
      </c>
      <c r="P4720" t="str">
        <f>HYPERLINK("http://instagram.com/gasork")</f>
        <v>http://instagram.com/gasork</v>
      </c>
      <c r="Q4720">
        <v>303</v>
      </c>
      <c r="R4720" t="s">
        <v>60</v>
      </c>
      <c r="W4720">
        <v>6</v>
      </c>
      <c r="X4720">
        <v>6</v>
      </c>
      <c r="AE4720">
        <v>0</v>
      </c>
      <c r="AI4720" t="s">
        <v>52</v>
      </c>
      <c r="AJ4720" t="s">
        <v>52</v>
      </c>
      <c r="AK4720" t="s">
        <v>14281</v>
      </c>
      <c r="AL4720" t="str">
        <f>HYPERLINK("https://www.instagram.com/p/BzB5Uq_n4Dv/media/?size=l")</f>
        <v>https://www.instagram.com/p/BzB5Uq_n4Dv/media/?size=l</v>
      </c>
      <c r="AM4720" t="s">
        <v>52</v>
      </c>
      <c r="AN4720" t="s">
        <v>53</v>
      </c>
    </row>
    <row r="4721" spans="1:40">
      <c r="A4721" t="s">
        <v>13057</v>
      </c>
      <c r="B4721" t="s">
        <v>3762</v>
      </c>
      <c r="C4721" t="s">
        <v>14270</v>
      </c>
      <c r="D4721" t="s">
        <v>14282</v>
      </c>
      <c r="E4721" t="s">
        <v>14283</v>
      </c>
      <c r="F4721" t="s">
        <v>45</v>
      </c>
      <c r="G4721" t="str">
        <f>HYPERLINK("https://www.youtube.com/watch?v=jtniOALMPek")</f>
        <v>https://www.youtube.com/watch?v=jtniOALMPek</v>
      </c>
      <c r="H4721" t="s">
        <v>46</v>
      </c>
      <c r="I4721" t="s">
        <v>14284</v>
      </c>
      <c r="J4721" t="str">
        <f>HYPERLINK("https://www.youtube.com/channel/UCxPc8Oe8wPvbzS4MM9jY4vg")</f>
        <v>https://www.youtube.com/channel/UCxPc8Oe8wPvbzS4MM9jY4vg</v>
      </c>
      <c r="K4721">
        <v>22</v>
      </c>
      <c r="L4721" t="s">
        <v>48</v>
      </c>
      <c r="N4721" t="s">
        <v>116</v>
      </c>
      <c r="O4721" t="s">
        <v>14284</v>
      </c>
      <c r="P4721" t="str">
        <f>HYPERLINK("https://www.youtube.com/channel/UCxPc8Oe8wPvbzS4MM9jY4vg")</f>
        <v>https://www.youtube.com/channel/UCxPc8Oe8wPvbzS4MM9jY4vg</v>
      </c>
      <c r="Q4721">
        <v>22</v>
      </c>
      <c r="R4721" t="s">
        <v>60</v>
      </c>
      <c r="S4721" t="s">
        <v>51</v>
      </c>
      <c r="W4721">
        <v>2</v>
      </c>
      <c r="X4721">
        <v>2</v>
      </c>
      <c r="AD4721">
        <v>0</v>
      </c>
      <c r="AE4721">
        <v>0</v>
      </c>
      <c r="AG4721">
        <v>5</v>
      </c>
      <c r="AI4721" t="s">
        <v>52</v>
      </c>
      <c r="AJ4721" t="s">
        <v>10231</v>
      </c>
      <c r="AK4721" t="s">
        <v>341</v>
      </c>
      <c r="AL4721" t="str">
        <f>HYPERLINK("https://i.ytimg.com/vi/jtniOALMPek/maxresdefault_live.jpg")</f>
        <v>https://i.ytimg.com/vi/jtniOALMPek/maxresdefault_live.jpg</v>
      </c>
      <c r="AM4721" t="s">
        <v>52</v>
      </c>
      <c r="AN4721" t="s">
        <v>53</v>
      </c>
    </row>
    <row r="4722" spans="1:40">
      <c r="A4722" t="s">
        <v>13057</v>
      </c>
      <c r="B4722" t="s">
        <v>9492</v>
      </c>
      <c r="C4722" t="s">
        <v>14255</v>
      </c>
      <c r="D4722" t="s">
        <v>14285</v>
      </c>
      <c r="E4722" t="s">
        <v>14286</v>
      </c>
      <c r="F4722" t="s">
        <v>45</v>
      </c>
      <c r="G4722" t="str">
        <f>HYPERLINK("https://www.youtube.com/watch?v=UoDnXtdToAk")</f>
        <v>https://www.youtube.com/watch?v=UoDnXtdToAk</v>
      </c>
      <c r="H4722" t="s">
        <v>46</v>
      </c>
      <c r="I4722" t="s">
        <v>14287</v>
      </c>
      <c r="J4722" t="str">
        <f>HYPERLINK("https://www.youtube.com/channel/UCBxf7_h6Bq8XDHbn8wRAgDg")</f>
        <v>https://www.youtube.com/channel/UCBxf7_h6Bq8XDHbn8wRAgDg</v>
      </c>
      <c r="K4722">
        <v>7</v>
      </c>
      <c r="N4722" t="s">
        <v>116</v>
      </c>
      <c r="O4722" t="s">
        <v>14287</v>
      </c>
      <c r="P4722" t="str">
        <f>HYPERLINK("https://www.youtube.com/channel/UCBxf7_h6Bq8XDHbn8wRAgDg")</f>
        <v>https://www.youtube.com/channel/UCBxf7_h6Bq8XDHbn8wRAgDg</v>
      </c>
      <c r="Q4722">
        <v>7</v>
      </c>
      <c r="R4722" t="s">
        <v>60</v>
      </c>
      <c r="W4722">
        <v>1</v>
      </c>
      <c r="X4722">
        <v>1</v>
      </c>
      <c r="AD4722">
        <v>0</v>
      </c>
      <c r="AE4722">
        <v>0</v>
      </c>
      <c r="AG4722">
        <v>19</v>
      </c>
      <c r="AI4722" t="s">
        <v>52</v>
      </c>
      <c r="AJ4722" t="s">
        <v>52</v>
      </c>
      <c r="AK4722" t="s">
        <v>4536</v>
      </c>
      <c r="AL4722" t="str">
        <f>HYPERLINK("https://i.ytimg.com/vi/UoDnXtdToAk/maxresdefault.jpg")</f>
        <v>https://i.ytimg.com/vi/UoDnXtdToAk/maxresdefault.jpg</v>
      </c>
      <c r="AM4722" t="s">
        <v>52</v>
      </c>
      <c r="AN4722" t="s">
        <v>53</v>
      </c>
    </row>
    <row r="4723" spans="1:40">
      <c r="A4723" t="s">
        <v>13057</v>
      </c>
      <c r="B4723" t="s">
        <v>3774</v>
      </c>
      <c r="C4723" t="s">
        <v>14288</v>
      </c>
      <c r="D4723" t="s">
        <v>52</v>
      </c>
      <c r="E4723" t="s">
        <v>4514</v>
      </c>
      <c r="F4723" t="s">
        <v>71</v>
      </c>
      <c r="G4723" t="str">
        <f>HYPERLINK("https://twitter.com/773705423195086849/status/1142566682994642949")</f>
        <v>https://twitter.com/773705423195086849/status/1142566682994642949</v>
      </c>
      <c r="H4723" t="s">
        <v>46</v>
      </c>
      <c r="I4723" t="s">
        <v>14289</v>
      </c>
      <c r="J4723" t="str">
        <f>HYPERLINK("http://twitter.com/bullicioboys")</f>
        <v>http://twitter.com/bullicioboys</v>
      </c>
      <c r="K4723">
        <v>88</v>
      </c>
      <c r="N4723" t="s">
        <v>65</v>
      </c>
      <c r="R4723" t="s">
        <v>60</v>
      </c>
      <c r="W4723">
        <v>0</v>
      </c>
      <c r="X4723">
        <v>0</v>
      </c>
      <c r="AE4723">
        <v>0</v>
      </c>
      <c r="AF4723">
        <v>0</v>
      </c>
      <c r="AI4723" t="s">
        <v>108</v>
      </c>
      <c r="AJ4723" t="s">
        <v>52</v>
      </c>
      <c r="AK4723" t="s">
        <v>52</v>
      </c>
      <c r="AL4723" t="str">
        <f>HYPERLINK("https://pbs.twimg.com/tweet_video_thumb/D9hvNNzXUAATAS3.jpg")</f>
        <v>https://pbs.twimg.com/tweet_video_thumb/D9hvNNzXUAATAS3.jpg</v>
      </c>
      <c r="AM4723" t="s">
        <v>52</v>
      </c>
      <c r="AN4723" t="s">
        <v>53</v>
      </c>
    </row>
    <row r="4724" spans="1:40">
      <c r="A4724" t="s">
        <v>13057</v>
      </c>
      <c r="B4724" t="s">
        <v>3774</v>
      </c>
      <c r="C4724" t="s">
        <v>14290</v>
      </c>
      <c r="D4724" t="s">
        <v>52</v>
      </c>
      <c r="E4724" t="s">
        <v>14291</v>
      </c>
      <c r="F4724" t="s">
        <v>45</v>
      </c>
      <c r="G4724" t="str">
        <f>HYPERLINK("https://www.instagram.com/p/BzB42vsAiul")</f>
        <v>https://www.instagram.com/p/BzB42vsAiul</v>
      </c>
      <c r="H4724" t="s">
        <v>46</v>
      </c>
      <c r="I4724" t="s">
        <v>4477</v>
      </c>
      <c r="J4724" t="str">
        <f>HYPERLINK("http://instagram.com/rktkz")</f>
        <v>http://instagram.com/rktkz</v>
      </c>
      <c r="K4724">
        <v>6108</v>
      </c>
      <c r="N4724" t="s">
        <v>59</v>
      </c>
      <c r="O4724" t="s">
        <v>4477</v>
      </c>
      <c r="P4724" t="str">
        <f>HYPERLINK("http://instagram.com/rktkz")</f>
        <v>http://instagram.com/rktkz</v>
      </c>
      <c r="Q4724">
        <v>6108</v>
      </c>
      <c r="R4724" t="s">
        <v>60</v>
      </c>
      <c r="W4724">
        <v>158</v>
      </c>
      <c r="X4724">
        <v>158</v>
      </c>
      <c r="AE4724">
        <v>9</v>
      </c>
      <c r="AG4724">
        <v>466</v>
      </c>
      <c r="AI4724" t="s">
        <v>52</v>
      </c>
      <c r="AJ4724" t="s">
        <v>121</v>
      </c>
      <c r="AK4724" t="s">
        <v>52</v>
      </c>
      <c r="AL4724" t="str">
        <f>HYPERLINK("https://www.instagram.com/p/BzB42vsAiul/media/?size=l")</f>
        <v>https://www.instagram.com/p/BzB42vsAiul/media/?size=l</v>
      </c>
      <c r="AM4724" t="s">
        <v>52</v>
      </c>
      <c r="AN4724" t="s">
        <v>53</v>
      </c>
    </row>
    <row r="4725" spans="1:40">
      <c r="A4725" t="s">
        <v>13057</v>
      </c>
      <c r="B4725" t="s">
        <v>3774</v>
      </c>
      <c r="C4725" t="s">
        <v>14270</v>
      </c>
      <c r="D4725" t="s">
        <v>14292</v>
      </c>
      <c r="E4725" t="s">
        <v>14293</v>
      </c>
      <c r="F4725" t="s">
        <v>45</v>
      </c>
      <c r="G4725" t="str">
        <f>HYPERLINK("https://www.bullfax.com/?q=node/4873077")</f>
        <v>https://www.bullfax.com/?q=node/4873077</v>
      </c>
      <c r="H4725" t="s">
        <v>46</v>
      </c>
      <c r="I4725" t="s">
        <v>14294</v>
      </c>
      <c r="J4725" t="str">
        <f>HYPERLINK("https://www.bullfax.com")</f>
        <v>https://www.bullfax.com</v>
      </c>
      <c r="N4725" t="s">
        <v>14295</v>
      </c>
      <c r="R4725" t="s">
        <v>357</v>
      </c>
      <c r="S4725" t="s">
        <v>2187</v>
      </c>
      <c r="AI4725" t="s">
        <v>52</v>
      </c>
      <c r="AJ4725" t="s">
        <v>14296</v>
      </c>
      <c r="AK4725" t="s">
        <v>52</v>
      </c>
      <c r="AL4725" t="str">
        <f>HYPERLINK("https://www.bullfax.com/map/marketMap.jpg")</f>
        <v>https://www.bullfax.com/map/marketMap.jpg</v>
      </c>
      <c r="AM4725" t="s">
        <v>52</v>
      </c>
      <c r="AN4725" t="s">
        <v>53</v>
      </c>
    </row>
    <row r="4726" spans="1:40">
      <c r="A4726" t="s">
        <v>13057</v>
      </c>
      <c r="B4726" t="s">
        <v>3795</v>
      </c>
      <c r="C4726" t="s">
        <v>14297</v>
      </c>
      <c r="D4726" t="s">
        <v>52</v>
      </c>
      <c r="E4726" t="s">
        <v>14298</v>
      </c>
      <c r="F4726" t="s">
        <v>45</v>
      </c>
      <c r="G4726" t="str">
        <f>HYPERLINK("https://www.instagram.com/p/BzB4xY2hH3S")</f>
        <v>https://www.instagram.com/p/BzB4xY2hH3S</v>
      </c>
      <c r="H4726" t="s">
        <v>46</v>
      </c>
      <c r="I4726" t="s">
        <v>14299</v>
      </c>
      <c r="J4726" t="str">
        <f>HYPERLINK("http://instagram.com/glazed_peaches")</f>
        <v>http://instagram.com/glazed_peaches</v>
      </c>
      <c r="K4726">
        <v>250</v>
      </c>
      <c r="N4726" t="s">
        <v>59</v>
      </c>
      <c r="O4726" t="s">
        <v>14299</v>
      </c>
      <c r="P4726" t="str">
        <f>HYPERLINK("http://instagram.com/glazed_peaches")</f>
        <v>http://instagram.com/glazed_peaches</v>
      </c>
      <c r="Q4726">
        <v>250</v>
      </c>
      <c r="R4726" t="s">
        <v>60</v>
      </c>
      <c r="S4726" t="s">
        <v>97</v>
      </c>
      <c r="T4726" t="s">
        <v>177</v>
      </c>
      <c r="U4726" t="s">
        <v>395</v>
      </c>
      <c r="W4726">
        <v>12</v>
      </c>
      <c r="X4726">
        <v>12</v>
      </c>
      <c r="AE4726">
        <v>0</v>
      </c>
      <c r="AI4726" t="s">
        <v>108</v>
      </c>
      <c r="AJ4726" t="s">
        <v>1182</v>
      </c>
      <c r="AK4726" t="s">
        <v>52</v>
      </c>
      <c r="AL4726" t="str">
        <f>HYPERLINK("https://www.instagram.com/p/BzB4xY2hH3S/media/?size=l")</f>
        <v>https://www.instagram.com/p/BzB4xY2hH3S/media/?size=l</v>
      </c>
      <c r="AM4726" t="s">
        <v>52</v>
      </c>
      <c r="AN4726" t="s">
        <v>53</v>
      </c>
    </row>
    <row r="4727" spans="1:40">
      <c r="A4727" t="s">
        <v>13057</v>
      </c>
      <c r="B4727" t="s">
        <v>3795</v>
      </c>
      <c r="C4727" t="s">
        <v>12213</v>
      </c>
      <c r="D4727" t="s">
        <v>52</v>
      </c>
      <c r="E4727" t="s">
        <v>14300</v>
      </c>
      <c r="F4727" t="s">
        <v>45</v>
      </c>
      <c r="G4727" t="str">
        <f>HYPERLINK("https://www.instagram.com/p/BzB4vPbhFAj")</f>
        <v>https://www.instagram.com/p/BzB4vPbhFAj</v>
      </c>
      <c r="H4727" t="s">
        <v>46</v>
      </c>
      <c r="I4727" t="s">
        <v>14301</v>
      </c>
      <c r="J4727" t="str">
        <f>HYPERLINK("http://instagram.com/cdr_store6")</f>
        <v>http://instagram.com/cdr_store6</v>
      </c>
      <c r="K4727">
        <v>4362</v>
      </c>
      <c r="N4727" t="s">
        <v>59</v>
      </c>
      <c r="O4727" t="s">
        <v>14301</v>
      </c>
      <c r="P4727" t="str">
        <f>HYPERLINK("http://instagram.com/cdr_store6")</f>
        <v>http://instagram.com/cdr_store6</v>
      </c>
      <c r="Q4727">
        <v>4362</v>
      </c>
      <c r="R4727" t="s">
        <v>60</v>
      </c>
      <c r="W4727">
        <v>22</v>
      </c>
      <c r="X4727">
        <v>22</v>
      </c>
      <c r="AE4727">
        <v>6</v>
      </c>
      <c r="AI4727" t="s">
        <v>108</v>
      </c>
      <c r="AJ4727" t="s">
        <v>10231</v>
      </c>
      <c r="AK4727" t="s">
        <v>52</v>
      </c>
      <c r="AL4727" t="str">
        <f>HYPERLINK("https://www.instagram.com/p/BzB4vPbhFAj/media/?size=l")</f>
        <v>https://www.instagram.com/p/BzB4vPbhFAj/media/?size=l</v>
      </c>
      <c r="AM4727" t="s">
        <v>52</v>
      </c>
      <c r="AN4727" t="s">
        <v>53</v>
      </c>
    </row>
    <row r="4728" spans="1:40">
      <c r="A4728" t="s">
        <v>13057</v>
      </c>
      <c r="B4728" t="s">
        <v>3795</v>
      </c>
      <c r="C4728" t="s">
        <v>14222</v>
      </c>
      <c r="D4728" t="s">
        <v>52</v>
      </c>
      <c r="E4728" t="s">
        <v>14302</v>
      </c>
      <c r="F4728" t="s">
        <v>45</v>
      </c>
      <c r="G4728" t="str">
        <f>HYPERLINK("https://www.instagram.com/p/BzB4smPl6TO")</f>
        <v>https://www.instagram.com/p/BzB4smPl6TO</v>
      </c>
      <c r="H4728" t="s">
        <v>46</v>
      </c>
      <c r="I4728" t="s">
        <v>14303</v>
      </c>
      <c r="J4728" t="str">
        <f>HYPERLINK("http://instagram.com/__________sugarandspice")</f>
        <v>http://instagram.com/__________sugarandspice</v>
      </c>
      <c r="K4728">
        <v>1872</v>
      </c>
      <c r="N4728" t="s">
        <v>59</v>
      </c>
      <c r="O4728" t="s">
        <v>14303</v>
      </c>
      <c r="P4728" t="str">
        <f>HYPERLINK("http://instagram.com/__________sugarandspice")</f>
        <v>http://instagram.com/__________sugarandspice</v>
      </c>
      <c r="Q4728">
        <v>1872</v>
      </c>
      <c r="R4728" t="s">
        <v>60</v>
      </c>
      <c r="W4728">
        <v>85</v>
      </c>
      <c r="X4728">
        <v>85</v>
      </c>
      <c r="AE4728">
        <v>4</v>
      </c>
      <c r="AI4728" t="s">
        <v>108</v>
      </c>
      <c r="AJ4728" t="s">
        <v>52</v>
      </c>
      <c r="AK4728" t="s">
        <v>52</v>
      </c>
      <c r="AL4728" t="str">
        <f>HYPERLINK("https://www.instagram.com/p/BzB4smPl6TO/media/?size=l")</f>
        <v>https://www.instagram.com/p/BzB4smPl6TO/media/?size=l</v>
      </c>
      <c r="AM4728" t="s">
        <v>52</v>
      </c>
      <c r="AN4728" t="s">
        <v>53</v>
      </c>
    </row>
    <row r="4729" spans="1:40">
      <c r="A4729" t="s">
        <v>13057</v>
      </c>
      <c r="B4729" t="s">
        <v>14304</v>
      </c>
      <c r="C4729" t="s">
        <v>14255</v>
      </c>
      <c r="D4729" t="s">
        <v>52</v>
      </c>
      <c r="E4729" t="s">
        <v>14305</v>
      </c>
      <c r="F4729" t="s">
        <v>71</v>
      </c>
      <c r="G4729" t="str">
        <f>HYPERLINK("https://twitter.com/1132805172617449479/status/1142565715569971205")</f>
        <v>https://twitter.com/1132805172617449479/status/1142565715569971205</v>
      </c>
      <c r="H4729" t="s">
        <v>46</v>
      </c>
      <c r="I4729" t="s">
        <v>14306</v>
      </c>
      <c r="J4729" t="str">
        <f>HYPERLINK("http://twitter.com/BcrritoBoy")</f>
        <v>http://twitter.com/BcrritoBoy</v>
      </c>
      <c r="K4729">
        <v>54</v>
      </c>
      <c r="N4729" t="s">
        <v>65</v>
      </c>
      <c r="R4729" t="s">
        <v>60</v>
      </c>
      <c r="S4729" t="s">
        <v>444</v>
      </c>
      <c r="T4729" t="s">
        <v>10121</v>
      </c>
      <c r="U4729" t="s">
        <v>14307</v>
      </c>
      <c r="W4729">
        <v>0</v>
      </c>
      <c r="X4729">
        <v>0</v>
      </c>
      <c r="AE4729">
        <v>0</v>
      </c>
      <c r="AF4729">
        <v>0</v>
      </c>
      <c r="AM4729" t="s">
        <v>52</v>
      </c>
      <c r="AN4729" t="s">
        <v>53</v>
      </c>
    </row>
    <row r="4730" spans="1:40">
      <c r="A4730" t="s">
        <v>13057</v>
      </c>
      <c r="B4730" t="s">
        <v>3799</v>
      </c>
      <c r="C4730" t="s">
        <v>14308</v>
      </c>
      <c r="D4730" t="s">
        <v>52</v>
      </c>
      <c r="E4730" t="s">
        <v>4514</v>
      </c>
      <c r="F4730" t="s">
        <v>71</v>
      </c>
      <c r="G4730" t="str">
        <f>HYPERLINK("https://twitter.com/867620712118329344/status/1142565516860514304")</f>
        <v>https://twitter.com/867620712118329344/status/1142565516860514304</v>
      </c>
      <c r="H4730" t="s">
        <v>46</v>
      </c>
      <c r="I4730" t="s">
        <v>14309</v>
      </c>
      <c r="J4730" t="str">
        <f>HYPERLINK("http://twitter.com/eirollirio15")</f>
        <v>http://twitter.com/eirollirio15</v>
      </c>
      <c r="K4730">
        <v>741</v>
      </c>
      <c r="N4730" t="s">
        <v>65</v>
      </c>
      <c r="R4730" t="s">
        <v>60</v>
      </c>
      <c r="S4730" t="s">
        <v>4594</v>
      </c>
      <c r="T4730" t="s">
        <v>5059</v>
      </c>
      <c r="U4730" t="s">
        <v>14310</v>
      </c>
      <c r="W4730">
        <v>0</v>
      </c>
      <c r="X4730">
        <v>0</v>
      </c>
      <c r="AE4730">
        <v>0</v>
      </c>
      <c r="AF4730">
        <v>0</v>
      </c>
      <c r="AI4730" t="s">
        <v>108</v>
      </c>
      <c r="AJ4730" t="s">
        <v>52</v>
      </c>
      <c r="AK4730" t="s">
        <v>52</v>
      </c>
      <c r="AL4730" t="str">
        <f>HYPERLINK("https://pbs.twimg.com/tweet_video_thumb/D9hvNNzXUAATAS3.jpg")</f>
        <v>https://pbs.twimg.com/tweet_video_thumb/D9hvNNzXUAATAS3.jpg</v>
      </c>
      <c r="AM4730" t="s">
        <v>52</v>
      </c>
      <c r="AN4730" t="s">
        <v>53</v>
      </c>
    </row>
    <row r="4731" spans="1:40">
      <c r="A4731" t="s">
        <v>13057</v>
      </c>
      <c r="B4731" t="s">
        <v>3803</v>
      </c>
      <c r="C4731" t="s">
        <v>7019</v>
      </c>
      <c r="D4731" t="s">
        <v>14311</v>
      </c>
      <c r="E4731" t="s">
        <v>14312</v>
      </c>
      <c r="F4731" t="s">
        <v>45</v>
      </c>
      <c r="G4731" t="str">
        <f>HYPERLINK("http://wikipediajapan.org/index.php?title=User:AlbertoFreytag0&amp;diff=6066211&amp;oldid=0")</f>
        <v>http://wikipediajapan.org/index.php?title=User:AlbertoFreytag0&amp;diff=6066211&amp;oldid=0</v>
      </c>
      <c r="H4731" t="s">
        <v>46</v>
      </c>
      <c r="I4731" t="s">
        <v>14313</v>
      </c>
      <c r="J4731" t="str">
        <f>HYPERLINK("http://wikipediajapan.org/index.php?title=User:AlbertoFreytag0&amp;diff=6066211&amp;oldid=0")</f>
        <v>http://wikipediajapan.org/index.php?title=User:AlbertoFreytag0&amp;diff=6066211&amp;oldid=0</v>
      </c>
      <c r="N4731" t="s">
        <v>9900</v>
      </c>
      <c r="R4731" t="s">
        <v>50</v>
      </c>
      <c r="S4731" t="s">
        <v>8494</v>
      </c>
      <c r="AM4731" t="s">
        <v>52</v>
      </c>
      <c r="AN4731" t="s">
        <v>53</v>
      </c>
    </row>
    <row r="4732" spans="1:40">
      <c r="A4732" t="s">
        <v>13057</v>
      </c>
      <c r="B4732" t="s">
        <v>3819</v>
      </c>
      <c r="C4732" t="s">
        <v>14314</v>
      </c>
      <c r="D4732" t="s">
        <v>52</v>
      </c>
      <c r="E4732" t="s">
        <v>14315</v>
      </c>
      <c r="F4732" t="s">
        <v>131</v>
      </c>
      <c r="G4732" t="str">
        <f>HYPERLINK("https://twitter.com/1139728279609466880/status/1142564873685086209")</f>
        <v>https://twitter.com/1139728279609466880/status/1142564873685086209</v>
      </c>
      <c r="H4732" t="s">
        <v>46</v>
      </c>
      <c r="I4732" t="s">
        <v>14316</v>
      </c>
      <c r="J4732" t="str">
        <f>HYPERLINK("http://twitter.com/gradicdisse")</f>
        <v>http://twitter.com/gradicdisse</v>
      </c>
      <c r="K4732">
        <v>0</v>
      </c>
      <c r="N4732" t="s">
        <v>65</v>
      </c>
      <c r="R4732" t="s">
        <v>60</v>
      </c>
      <c r="W4732">
        <v>0</v>
      </c>
      <c r="X4732">
        <v>0</v>
      </c>
      <c r="AE4732">
        <v>0</v>
      </c>
      <c r="AM4732" t="s">
        <v>52</v>
      </c>
      <c r="AN4732" t="s">
        <v>53</v>
      </c>
    </row>
    <row r="4733" spans="1:40">
      <c r="A4733" t="s">
        <v>13057</v>
      </c>
      <c r="B4733" t="s">
        <v>3819</v>
      </c>
      <c r="C4733" t="s">
        <v>14317</v>
      </c>
      <c r="D4733" t="s">
        <v>52</v>
      </c>
      <c r="E4733" t="s">
        <v>14318</v>
      </c>
      <c r="F4733" t="s">
        <v>45</v>
      </c>
      <c r="G4733" t="str">
        <f>HYPERLINK("https://www.instagram.com/p/BzB4NSYHyk0")</f>
        <v>https://www.instagram.com/p/BzB4NSYHyk0</v>
      </c>
      <c r="H4733" t="s">
        <v>46</v>
      </c>
      <c r="I4733" t="s">
        <v>14319</v>
      </c>
      <c r="J4733" t="str">
        <f>HYPERLINK("http://instagram.com/mcavoy.media")</f>
        <v>http://instagram.com/mcavoy.media</v>
      </c>
      <c r="K4733">
        <v>2009</v>
      </c>
      <c r="N4733" t="s">
        <v>59</v>
      </c>
      <c r="O4733" t="s">
        <v>14319</v>
      </c>
      <c r="P4733" t="str">
        <f>HYPERLINK("http://instagram.com/mcavoy.media")</f>
        <v>http://instagram.com/mcavoy.media</v>
      </c>
      <c r="Q4733">
        <v>2009</v>
      </c>
      <c r="R4733" t="s">
        <v>60</v>
      </c>
      <c r="S4733" t="s">
        <v>51</v>
      </c>
      <c r="W4733">
        <v>55</v>
      </c>
      <c r="X4733">
        <v>55</v>
      </c>
      <c r="AE4733">
        <v>0</v>
      </c>
      <c r="AI4733" t="s">
        <v>52</v>
      </c>
      <c r="AJ4733" t="s">
        <v>121</v>
      </c>
      <c r="AK4733" t="s">
        <v>341</v>
      </c>
      <c r="AL4733" t="str">
        <f>HYPERLINK("https://www.instagram.com/p/BzB4NSYHyk0/media/?size=l")</f>
        <v>https://www.instagram.com/p/BzB4NSYHyk0/media/?size=l</v>
      </c>
      <c r="AM4733" t="s">
        <v>52</v>
      </c>
      <c r="AN4733" t="s">
        <v>53</v>
      </c>
    </row>
    <row r="4734" spans="1:40">
      <c r="A4734" t="s">
        <v>13057</v>
      </c>
      <c r="B4734" t="s">
        <v>3819</v>
      </c>
      <c r="C4734" t="s">
        <v>7050</v>
      </c>
      <c r="D4734" t="s">
        <v>14320</v>
      </c>
      <c r="E4734" t="s">
        <v>14321</v>
      </c>
      <c r="F4734" t="s">
        <v>45</v>
      </c>
      <c r="G4734" t="str">
        <f>HYPERLINK("http://www.godlikeproductions.com/forum1/message4070322/pg1")</f>
        <v>http://www.godlikeproductions.com/forum1/message4070322/pg1</v>
      </c>
      <c r="H4734" t="s">
        <v>46</v>
      </c>
      <c r="N4734" t="s">
        <v>13905</v>
      </c>
      <c r="O4734" t="s">
        <v>13906</v>
      </c>
      <c r="P4734" t="str">
        <f>HYPERLINK("http://www.godlikeproductions.com/feeds/forums/1")</f>
        <v>http://www.godlikeproductions.com/feeds/forums/1</v>
      </c>
      <c r="R4734" t="s">
        <v>516</v>
      </c>
      <c r="S4734" t="s">
        <v>51</v>
      </c>
      <c r="AM4734" t="s">
        <v>52</v>
      </c>
      <c r="AN4734" t="s">
        <v>53</v>
      </c>
    </row>
    <row r="4735" spans="1:40">
      <c r="A4735" t="s">
        <v>13057</v>
      </c>
      <c r="B4735" t="s">
        <v>3827</v>
      </c>
      <c r="C4735" t="s">
        <v>14314</v>
      </c>
      <c r="D4735" t="s">
        <v>52</v>
      </c>
      <c r="E4735" t="s">
        <v>14322</v>
      </c>
      <c r="F4735" t="s">
        <v>95</v>
      </c>
      <c r="G4735" t="str">
        <f>HYPERLINK("https://twitter.com/2447526146/status/1142564463251460097")</f>
        <v>https://twitter.com/2447526146/status/1142564463251460097</v>
      </c>
      <c r="H4735" t="s">
        <v>46</v>
      </c>
      <c r="I4735" t="s">
        <v>14323</v>
      </c>
      <c r="J4735" t="str">
        <f>HYPERLINK("http://twitter.com/Jeffrey4relCain")</f>
        <v>http://twitter.com/Jeffrey4relCain</v>
      </c>
      <c r="K4735">
        <v>154</v>
      </c>
      <c r="L4735" t="s">
        <v>48</v>
      </c>
      <c r="N4735" t="s">
        <v>65</v>
      </c>
      <c r="R4735" t="s">
        <v>60</v>
      </c>
      <c r="W4735">
        <v>0</v>
      </c>
      <c r="X4735">
        <v>0</v>
      </c>
      <c r="AE4735">
        <v>0</v>
      </c>
      <c r="AF4735">
        <v>0</v>
      </c>
      <c r="AM4735" t="s">
        <v>52</v>
      </c>
      <c r="AN4735" t="s">
        <v>53</v>
      </c>
    </row>
    <row r="4736" spans="1:40">
      <c r="A4736" t="s">
        <v>13057</v>
      </c>
      <c r="B4736" t="s">
        <v>3827</v>
      </c>
      <c r="C4736" t="s">
        <v>14314</v>
      </c>
      <c r="D4736" t="s">
        <v>52</v>
      </c>
      <c r="E4736" t="s">
        <v>14324</v>
      </c>
      <c r="F4736" t="s">
        <v>95</v>
      </c>
      <c r="G4736" t="str">
        <f>HYPERLINK("https://twitter.com/324536708/status/1142564452279181312")</f>
        <v>https://twitter.com/324536708/status/1142564452279181312</v>
      </c>
      <c r="H4736" t="s">
        <v>46</v>
      </c>
      <c r="I4736" t="s">
        <v>14325</v>
      </c>
      <c r="J4736" t="str">
        <f>HYPERLINK("http://twitter.com/RamatsobaneM")</f>
        <v>http://twitter.com/RamatsobaneM</v>
      </c>
      <c r="K4736">
        <v>2367</v>
      </c>
      <c r="N4736" t="s">
        <v>65</v>
      </c>
      <c r="R4736" t="s">
        <v>60</v>
      </c>
      <c r="S4736" t="s">
        <v>1071</v>
      </c>
      <c r="T4736" t="s">
        <v>1072</v>
      </c>
      <c r="U4736" t="s">
        <v>1295</v>
      </c>
      <c r="W4736">
        <v>0</v>
      </c>
      <c r="X4736">
        <v>0</v>
      </c>
      <c r="AE4736">
        <v>0</v>
      </c>
      <c r="AF4736">
        <v>0</v>
      </c>
      <c r="AM4736" t="s">
        <v>52</v>
      </c>
      <c r="AN4736" t="s">
        <v>53</v>
      </c>
    </row>
    <row r="4737" spans="1:40">
      <c r="A4737" t="s">
        <v>13057</v>
      </c>
      <c r="B4737" t="s">
        <v>3827</v>
      </c>
      <c r="C4737" t="s">
        <v>14326</v>
      </c>
      <c r="D4737" t="s">
        <v>52</v>
      </c>
      <c r="E4737" t="s">
        <v>14327</v>
      </c>
      <c r="F4737" t="s">
        <v>71</v>
      </c>
      <c r="G4737" t="str">
        <f>HYPERLINK("https://twitter.com/302322732/status/1142564428371640320")</f>
        <v>https://twitter.com/302322732/status/1142564428371640320</v>
      </c>
      <c r="H4737" t="s">
        <v>215</v>
      </c>
      <c r="I4737" t="s">
        <v>14328</v>
      </c>
      <c r="J4737" t="str">
        <f>HYPERLINK("http://twitter.com/POPOFFSON_")</f>
        <v>http://twitter.com/POPOFFSON_</v>
      </c>
      <c r="K4737">
        <v>3749</v>
      </c>
      <c r="N4737" t="s">
        <v>65</v>
      </c>
      <c r="R4737" t="s">
        <v>60</v>
      </c>
      <c r="S4737" t="s">
        <v>387</v>
      </c>
      <c r="T4737" t="s">
        <v>953</v>
      </c>
      <c r="U4737" t="s">
        <v>14329</v>
      </c>
      <c r="W4737">
        <v>0</v>
      </c>
      <c r="X4737">
        <v>0</v>
      </c>
      <c r="AE4737">
        <v>0</v>
      </c>
      <c r="AF4737">
        <v>0</v>
      </c>
      <c r="AI4737" t="s">
        <v>52</v>
      </c>
      <c r="AJ4737" t="s">
        <v>52</v>
      </c>
      <c r="AK4737" t="s">
        <v>14330</v>
      </c>
      <c r="AL4737" t="str">
        <f>HYPERLINK("https://pbs.twimg.com/tweet_video_thumb/D9r56M9XsAAS8P1.jpg")</f>
        <v>https://pbs.twimg.com/tweet_video_thumb/D9r56M9XsAAS8P1.jpg</v>
      </c>
      <c r="AM4737" t="s">
        <v>52</v>
      </c>
      <c r="AN4737" t="s">
        <v>53</v>
      </c>
    </row>
    <row r="4738" spans="1:40">
      <c r="A4738" t="s">
        <v>13057</v>
      </c>
      <c r="B4738" t="s">
        <v>3829</v>
      </c>
      <c r="C4738" t="s">
        <v>14331</v>
      </c>
      <c r="D4738" t="s">
        <v>52</v>
      </c>
      <c r="E4738" t="s">
        <v>14332</v>
      </c>
      <c r="F4738" t="s">
        <v>45</v>
      </c>
      <c r="G4738" t="str">
        <f>HYPERLINK("https://twitter.com/709106291147415552/status/1142564384352428032")</f>
        <v>https://twitter.com/709106291147415552/status/1142564384352428032</v>
      </c>
      <c r="H4738" t="s">
        <v>46</v>
      </c>
      <c r="I4738" t="s">
        <v>14333</v>
      </c>
      <c r="J4738" t="str">
        <f>HYPERLINK("http://twitter.com/ThanetGuide")</f>
        <v>http://twitter.com/ThanetGuide</v>
      </c>
      <c r="K4738">
        <v>643</v>
      </c>
      <c r="N4738" t="s">
        <v>65</v>
      </c>
      <c r="R4738" t="s">
        <v>60</v>
      </c>
      <c r="W4738">
        <v>0</v>
      </c>
      <c r="X4738">
        <v>0</v>
      </c>
      <c r="AE4738">
        <v>0</v>
      </c>
      <c r="AF4738">
        <v>0</v>
      </c>
      <c r="AM4738" t="s">
        <v>52</v>
      </c>
      <c r="AN4738" t="s">
        <v>53</v>
      </c>
    </row>
    <row r="4739" spans="1:40">
      <c r="A4739" t="s">
        <v>13057</v>
      </c>
      <c r="B4739" t="s">
        <v>3829</v>
      </c>
      <c r="C4739" t="s">
        <v>14334</v>
      </c>
      <c r="D4739" t="s">
        <v>52</v>
      </c>
      <c r="E4739" t="s">
        <v>14335</v>
      </c>
      <c r="F4739" t="s">
        <v>95</v>
      </c>
      <c r="G4739" t="str">
        <f>HYPERLINK("https://twitter.com/720770554748342273/status/1142564225472245760")</f>
        <v>https://twitter.com/720770554748342273/status/1142564225472245760</v>
      </c>
      <c r="H4739" t="s">
        <v>46</v>
      </c>
      <c r="I4739" t="s">
        <v>14336</v>
      </c>
      <c r="J4739" t="str">
        <f>HYPERLINK("http://twitter.com/MattyThrice")</f>
        <v>http://twitter.com/MattyThrice</v>
      </c>
      <c r="K4739">
        <v>20</v>
      </c>
      <c r="L4739" t="s">
        <v>48</v>
      </c>
      <c r="N4739" t="s">
        <v>65</v>
      </c>
      <c r="R4739" t="s">
        <v>60</v>
      </c>
      <c r="S4739" t="s">
        <v>51</v>
      </c>
      <c r="T4739" t="s">
        <v>73</v>
      </c>
      <c r="U4739" t="s">
        <v>14337</v>
      </c>
      <c r="W4739">
        <v>1</v>
      </c>
      <c r="X4739">
        <v>1</v>
      </c>
      <c r="AE4739">
        <v>0</v>
      </c>
      <c r="AF4739">
        <v>0</v>
      </c>
      <c r="AM4739" t="s">
        <v>52</v>
      </c>
      <c r="AN4739" t="s">
        <v>53</v>
      </c>
    </row>
    <row r="4740" spans="1:40">
      <c r="A4740" t="s">
        <v>13057</v>
      </c>
      <c r="B4740" t="s">
        <v>3848</v>
      </c>
      <c r="C4740" t="s">
        <v>14308</v>
      </c>
      <c r="D4740" t="s">
        <v>52</v>
      </c>
      <c r="E4740" t="s">
        <v>14338</v>
      </c>
      <c r="F4740" t="s">
        <v>45</v>
      </c>
      <c r="G4740" t="str">
        <f>HYPERLINK("https://www.instagram.com/p/BzB3lfMhHZS")</f>
        <v>https://www.instagram.com/p/BzB3lfMhHZS</v>
      </c>
      <c r="H4740" t="s">
        <v>46</v>
      </c>
      <c r="I4740" t="s">
        <v>52</v>
      </c>
      <c r="J4740" t="str">
        <f>HYPERLINK("http://instagram.com/sypher_invincible")</f>
        <v>http://instagram.com/sypher_invincible</v>
      </c>
      <c r="K4740">
        <v>362</v>
      </c>
      <c r="N4740" t="s">
        <v>59</v>
      </c>
      <c r="O4740" t="s">
        <v>52</v>
      </c>
      <c r="P4740" t="str">
        <f>HYPERLINK("http://instagram.com/sypher_invincible")</f>
        <v>http://instagram.com/sypher_invincible</v>
      </c>
      <c r="Q4740">
        <v>362</v>
      </c>
      <c r="R4740" t="s">
        <v>60</v>
      </c>
      <c r="W4740">
        <v>19</v>
      </c>
      <c r="X4740">
        <v>19</v>
      </c>
      <c r="AE4740">
        <v>4</v>
      </c>
      <c r="AG4740">
        <v>53</v>
      </c>
      <c r="AI4740" t="s">
        <v>52</v>
      </c>
      <c r="AJ4740" t="s">
        <v>52</v>
      </c>
      <c r="AK4740" t="s">
        <v>52</v>
      </c>
      <c r="AL4740" t="str">
        <f>HYPERLINK("https://www.instagram.com/p/BzB3lfMhHZS/media/?size=l")</f>
        <v>https://www.instagram.com/p/BzB3lfMhHZS/media/?size=l</v>
      </c>
      <c r="AM4740" t="s">
        <v>52</v>
      </c>
      <c r="AN4740" t="s">
        <v>53</v>
      </c>
    </row>
    <row r="4741" spans="1:40">
      <c r="A4741" t="s">
        <v>13057</v>
      </c>
      <c r="B4741" t="s">
        <v>3848</v>
      </c>
      <c r="C4741" t="s">
        <v>14326</v>
      </c>
      <c r="D4741" t="s">
        <v>14339</v>
      </c>
      <c r="E4741" t="s">
        <v>14339</v>
      </c>
      <c r="F4741" t="s">
        <v>45</v>
      </c>
      <c r="G4741" t="str">
        <f>HYPERLINK("https://www.youtube.com/watch?v=WAbNJ4zrQ3k")</f>
        <v>https://www.youtube.com/watch?v=WAbNJ4zrQ3k</v>
      </c>
      <c r="H4741" t="s">
        <v>215</v>
      </c>
      <c r="I4741" t="s">
        <v>14340</v>
      </c>
      <c r="J4741" t="str">
        <f>HYPERLINK("https://www.youtube.com/channel/UCg9ucs3QOM3H7CWDtgWkUpw")</f>
        <v>https://www.youtube.com/channel/UCg9ucs3QOM3H7CWDtgWkUpw</v>
      </c>
      <c r="K4741">
        <v>62</v>
      </c>
      <c r="N4741" t="s">
        <v>116</v>
      </c>
      <c r="O4741" t="s">
        <v>14340</v>
      </c>
      <c r="P4741" t="str">
        <f>HYPERLINK("https://www.youtube.com/channel/UCg9ucs3QOM3H7CWDtgWkUpw")</f>
        <v>https://www.youtube.com/channel/UCg9ucs3QOM3H7CWDtgWkUpw</v>
      </c>
      <c r="Q4741">
        <v>62</v>
      </c>
      <c r="R4741" t="s">
        <v>60</v>
      </c>
      <c r="S4741" t="s">
        <v>51</v>
      </c>
      <c r="W4741">
        <v>8</v>
      </c>
      <c r="X4741">
        <v>8</v>
      </c>
      <c r="AD4741">
        <v>0</v>
      </c>
      <c r="AE4741">
        <v>0</v>
      </c>
      <c r="AG4741">
        <v>28</v>
      </c>
      <c r="AI4741" t="s">
        <v>108</v>
      </c>
      <c r="AJ4741" t="s">
        <v>14341</v>
      </c>
      <c r="AK4741" t="s">
        <v>52</v>
      </c>
      <c r="AL4741" t="str">
        <f>HYPERLINK("https://i.ytimg.com/vi/WAbNJ4zrQ3k/maxresdefault_live.jpg")</f>
        <v>https://i.ytimg.com/vi/WAbNJ4zrQ3k/maxresdefault_live.jpg</v>
      </c>
      <c r="AM4741" t="s">
        <v>52</v>
      </c>
      <c r="AN4741" t="s">
        <v>53</v>
      </c>
    </row>
    <row r="4742" spans="1:40">
      <c r="A4742" t="s">
        <v>13057</v>
      </c>
      <c r="B4742" t="s">
        <v>3851</v>
      </c>
      <c r="C4742" t="s">
        <v>14326</v>
      </c>
      <c r="D4742" t="s">
        <v>52</v>
      </c>
      <c r="E4742" t="s">
        <v>4514</v>
      </c>
      <c r="F4742" t="s">
        <v>71</v>
      </c>
      <c r="G4742" t="str">
        <f>HYPERLINK("https://twitter.com/3359361372/status/1142563468890873856")</f>
        <v>https://twitter.com/3359361372/status/1142563468890873856</v>
      </c>
      <c r="H4742" t="s">
        <v>46</v>
      </c>
      <c r="I4742" t="s">
        <v>14342</v>
      </c>
      <c r="J4742" t="str">
        <f>HYPERLINK("http://twitter.com/594322mt")</f>
        <v>http://twitter.com/594322mt</v>
      </c>
      <c r="K4742">
        <v>214</v>
      </c>
      <c r="N4742" t="s">
        <v>65</v>
      </c>
      <c r="R4742" t="s">
        <v>60</v>
      </c>
      <c r="S4742" t="s">
        <v>8494</v>
      </c>
      <c r="T4742" t="s">
        <v>14343</v>
      </c>
      <c r="W4742">
        <v>0</v>
      </c>
      <c r="X4742">
        <v>0</v>
      </c>
      <c r="AE4742">
        <v>0</v>
      </c>
      <c r="AF4742">
        <v>0</v>
      </c>
      <c r="AI4742" t="s">
        <v>108</v>
      </c>
      <c r="AJ4742" t="s">
        <v>52</v>
      </c>
      <c r="AK4742" t="s">
        <v>52</v>
      </c>
      <c r="AL4742" t="str">
        <f>HYPERLINK("https://pbs.twimg.com/tweet_video_thumb/D9hvNNzXUAATAS3.jpg")</f>
        <v>https://pbs.twimg.com/tweet_video_thumb/D9hvNNzXUAATAS3.jpg</v>
      </c>
      <c r="AM4742" t="s">
        <v>52</v>
      </c>
      <c r="AN4742" t="s">
        <v>53</v>
      </c>
    </row>
    <row r="4743" spans="1:40">
      <c r="A4743" t="s">
        <v>13057</v>
      </c>
      <c r="B4743" t="s">
        <v>3860</v>
      </c>
      <c r="C4743" t="s">
        <v>14344</v>
      </c>
      <c r="D4743" t="s">
        <v>52</v>
      </c>
      <c r="E4743" t="s">
        <v>13631</v>
      </c>
      <c r="F4743" t="s">
        <v>71</v>
      </c>
      <c r="G4743" t="str">
        <f>HYPERLINK("https://twitter.com/1099356397437939712/status/1142563234928611328")</f>
        <v>https://twitter.com/1099356397437939712/status/1142563234928611328</v>
      </c>
      <c r="H4743" t="s">
        <v>46</v>
      </c>
      <c r="I4743" t="s">
        <v>14345</v>
      </c>
      <c r="J4743" t="str">
        <f>HYPERLINK("http://twitter.com/Allunitic")</f>
        <v>http://twitter.com/Allunitic</v>
      </c>
      <c r="K4743">
        <v>416</v>
      </c>
      <c r="L4743" t="s">
        <v>48</v>
      </c>
      <c r="N4743" t="s">
        <v>65</v>
      </c>
      <c r="R4743" t="s">
        <v>60</v>
      </c>
      <c r="W4743">
        <v>0</v>
      </c>
      <c r="X4743">
        <v>0</v>
      </c>
      <c r="AE4743">
        <v>0</v>
      </c>
      <c r="AF4743">
        <v>0</v>
      </c>
      <c r="AI4743" t="s">
        <v>108</v>
      </c>
      <c r="AJ4743" t="s">
        <v>52</v>
      </c>
      <c r="AK4743" t="s">
        <v>52</v>
      </c>
      <c r="AL4743" t="str">
        <f>HYPERLINK("https://pbs.twimg.com/tweet_video_thumb/D9hvNNzXUAATAS3.jpg")</f>
        <v>https://pbs.twimg.com/tweet_video_thumb/D9hvNNzXUAATAS3.jpg</v>
      </c>
      <c r="AM4743" t="s">
        <v>52</v>
      </c>
      <c r="AN4743" t="s">
        <v>53</v>
      </c>
    </row>
    <row r="4744" spans="1:40">
      <c r="A4744" t="s">
        <v>13057</v>
      </c>
      <c r="B4744" t="s">
        <v>14346</v>
      </c>
      <c r="C4744" t="s">
        <v>14347</v>
      </c>
      <c r="D4744" t="s">
        <v>52</v>
      </c>
      <c r="E4744" t="s">
        <v>14348</v>
      </c>
      <c r="F4744" t="s">
        <v>45</v>
      </c>
      <c r="G4744" t="str">
        <f>HYPERLINK("https://www.instagram.com/p/BzB3TT-HEsf")</f>
        <v>https://www.instagram.com/p/BzB3TT-HEsf</v>
      </c>
      <c r="H4744" t="s">
        <v>46</v>
      </c>
      <c r="I4744" t="s">
        <v>52</v>
      </c>
      <c r="J4744" t="str">
        <f>HYPERLINK("http://instagram.com/goldennpostt._")</f>
        <v>http://instagram.com/goldennpostt._</v>
      </c>
      <c r="K4744">
        <v>119</v>
      </c>
      <c r="N4744" t="s">
        <v>59</v>
      </c>
      <c r="O4744" t="s">
        <v>52</v>
      </c>
      <c r="P4744" t="str">
        <f>HYPERLINK("http://instagram.com/goldennpostt._")</f>
        <v>http://instagram.com/goldennpostt._</v>
      </c>
      <c r="Q4744">
        <v>119</v>
      </c>
      <c r="R4744" t="s">
        <v>60</v>
      </c>
      <c r="W4744">
        <v>26</v>
      </c>
      <c r="X4744">
        <v>26</v>
      </c>
      <c r="AE4744">
        <v>5</v>
      </c>
      <c r="AI4744" t="s">
        <v>2529</v>
      </c>
      <c r="AJ4744" t="s">
        <v>14349</v>
      </c>
      <c r="AK4744" t="s">
        <v>7604</v>
      </c>
      <c r="AL4744" t="str">
        <f>HYPERLINK("https://www.instagram.com/p/BzB3TT-HEsf/media/?size=l")</f>
        <v>https://www.instagram.com/p/BzB3TT-HEsf/media/?size=l</v>
      </c>
      <c r="AM4744" t="s">
        <v>52</v>
      </c>
      <c r="AN4744" t="s">
        <v>53</v>
      </c>
    </row>
    <row r="4745" spans="1:40">
      <c r="A4745" t="s">
        <v>13057</v>
      </c>
      <c r="B4745" t="s">
        <v>14346</v>
      </c>
      <c r="C4745" t="s">
        <v>7006</v>
      </c>
      <c r="D4745" t="s">
        <v>14350</v>
      </c>
      <c r="E4745" t="s">
        <v>14351</v>
      </c>
      <c r="F4745" t="s">
        <v>45</v>
      </c>
      <c r="G4745" t="str">
        <f>HYPERLINK("https://www.reddit.com/r/IdiotsFightingThings/comments/c3tabi/gym_bro_vs_treadmill/?sort=new#thing_t1_erti8ke")</f>
        <v>https://www.reddit.com/r/IdiotsFightingThings/comments/c3tabi/gym_bro_vs_treadmill/?sort=new#thing_t1_erti8ke</v>
      </c>
      <c r="H4745" t="s">
        <v>46</v>
      </c>
      <c r="I4745" t="s">
        <v>14352</v>
      </c>
      <c r="J4745" t="str">
        <f>HYPERLINK("https://www.reddit.com/r/IdiotsFightingThings/comments/c3tabi/gym_bro_vs_treadmill/?sort=new#thing_t1_erti8ke")</f>
        <v>https://www.reddit.com/r/IdiotsFightingThings/comments/c3tabi/gym_bro_vs_treadmill/?sort=new#thing_t1_erti8ke</v>
      </c>
      <c r="N4745" t="s">
        <v>545</v>
      </c>
      <c r="O4745" t="s">
        <v>14353</v>
      </c>
      <c r="P4745" t="str">
        <f>HYPERLINK("https://www.reddit.com/r/IdiotsFightingThings/")</f>
        <v>https://www.reddit.com/r/IdiotsFightingThings/</v>
      </c>
      <c r="R4745" t="s">
        <v>516</v>
      </c>
      <c r="S4745" t="s">
        <v>51</v>
      </c>
      <c r="AM4745" t="s">
        <v>52</v>
      </c>
      <c r="AN4745" t="s">
        <v>53</v>
      </c>
    </row>
    <row r="4746" spans="1:40">
      <c r="A4746" t="s">
        <v>13057</v>
      </c>
      <c r="B4746" t="s">
        <v>9593</v>
      </c>
      <c r="C4746" t="s">
        <v>14354</v>
      </c>
      <c r="D4746" t="s">
        <v>52</v>
      </c>
      <c r="E4746" t="s">
        <v>14355</v>
      </c>
      <c r="F4746" t="s">
        <v>95</v>
      </c>
      <c r="G4746" t="str">
        <f>HYPERLINK("https://twitter.com/2593273620/status/1142562618575659008")</f>
        <v>https://twitter.com/2593273620/status/1142562618575659008</v>
      </c>
      <c r="H4746" t="s">
        <v>46</v>
      </c>
      <c r="I4746" t="s">
        <v>14356</v>
      </c>
      <c r="J4746" t="str">
        <f>HYPERLINK("http://twitter.com/plazabjc")</f>
        <v>http://twitter.com/plazabjc</v>
      </c>
      <c r="K4746">
        <v>1639</v>
      </c>
      <c r="N4746" t="s">
        <v>65</v>
      </c>
      <c r="R4746" t="s">
        <v>60</v>
      </c>
      <c r="S4746" t="s">
        <v>1530</v>
      </c>
      <c r="T4746" t="s">
        <v>5184</v>
      </c>
      <c r="U4746" t="s">
        <v>5185</v>
      </c>
      <c r="W4746">
        <v>4</v>
      </c>
      <c r="X4746">
        <v>4</v>
      </c>
      <c r="AE4746">
        <v>1</v>
      </c>
      <c r="AF4746">
        <v>0</v>
      </c>
      <c r="AM4746" t="s">
        <v>52</v>
      </c>
      <c r="AN4746" t="s">
        <v>53</v>
      </c>
    </row>
    <row r="4747" spans="1:40">
      <c r="A4747" t="s">
        <v>13057</v>
      </c>
      <c r="B4747" t="s">
        <v>9593</v>
      </c>
      <c r="C4747" t="s">
        <v>14357</v>
      </c>
      <c r="D4747" t="s">
        <v>52</v>
      </c>
      <c r="E4747" t="s">
        <v>14358</v>
      </c>
      <c r="F4747" t="s">
        <v>45</v>
      </c>
      <c r="G4747" t="str">
        <f>HYPERLINK("https://www.instagram.com/p/BzB25OQAAc1")</f>
        <v>https://www.instagram.com/p/BzB25OQAAc1</v>
      </c>
      <c r="H4747" t="s">
        <v>46</v>
      </c>
      <c r="I4747" t="s">
        <v>4477</v>
      </c>
      <c r="J4747" t="str">
        <f>HYPERLINK("http://instagram.com/rktkz")</f>
        <v>http://instagram.com/rktkz</v>
      </c>
      <c r="K4747">
        <v>6108</v>
      </c>
      <c r="N4747" t="s">
        <v>59</v>
      </c>
      <c r="O4747" t="s">
        <v>4477</v>
      </c>
      <c r="P4747" t="str">
        <f>HYPERLINK("http://instagram.com/rktkz")</f>
        <v>http://instagram.com/rktkz</v>
      </c>
      <c r="Q4747">
        <v>6108</v>
      </c>
      <c r="R4747" t="s">
        <v>60</v>
      </c>
      <c r="W4747">
        <v>157</v>
      </c>
      <c r="X4747">
        <v>157</v>
      </c>
      <c r="AE4747">
        <v>12</v>
      </c>
      <c r="AG4747">
        <v>437</v>
      </c>
      <c r="AI4747" t="s">
        <v>52</v>
      </c>
      <c r="AJ4747" t="s">
        <v>14359</v>
      </c>
      <c r="AK4747" t="s">
        <v>14360</v>
      </c>
      <c r="AL4747" t="str">
        <f>HYPERLINK("https://www.instagram.com/p/BzB25OQAAc1/media/?size=l")</f>
        <v>https://www.instagram.com/p/BzB25OQAAc1/media/?size=l</v>
      </c>
      <c r="AM4747" t="s">
        <v>52</v>
      </c>
      <c r="AN4747" t="s">
        <v>53</v>
      </c>
    </row>
    <row r="4748" spans="1:40">
      <c r="A4748" t="s">
        <v>13057</v>
      </c>
      <c r="B4748" t="s">
        <v>9593</v>
      </c>
      <c r="C4748" t="s">
        <v>14361</v>
      </c>
      <c r="D4748" t="s">
        <v>52</v>
      </c>
      <c r="E4748" t="s">
        <v>14362</v>
      </c>
      <c r="F4748" t="s">
        <v>45</v>
      </c>
      <c r="G4748" t="str">
        <f>HYPERLINK("https://twitter.com/371979092/status/1142562531946504197")</f>
        <v>https://twitter.com/371979092/status/1142562531946504197</v>
      </c>
      <c r="H4748" t="s">
        <v>215</v>
      </c>
      <c r="I4748" t="s">
        <v>14363</v>
      </c>
      <c r="J4748" t="str">
        <f>HYPERLINK("http://twitter.com/Twochordsorless")</f>
        <v>http://twitter.com/Twochordsorless</v>
      </c>
      <c r="K4748">
        <v>224</v>
      </c>
      <c r="N4748" t="s">
        <v>65</v>
      </c>
      <c r="R4748" t="s">
        <v>60</v>
      </c>
      <c r="S4748" t="s">
        <v>51</v>
      </c>
      <c r="T4748" t="s">
        <v>73</v>
      </c>
      <c r="U4748" t="s">
        <v>2956</v>
      </c>
      <c r="W4748">
        <v>1</v>
      </c>
      <c r="X4748">
        <v>1</v>
      </c>
      <c r="AE4748">
        <v>0</v>
      </c>
      <c r="AF4748">
        <v>0</v>
      </c>
      <c r="AM4748" t="s">
        <v>52</v>
      </c>
      <c r="AN4748" t="s">
        <v>53</v>
      </c>
    </row>
    <row r="4749" spans="1:40">
      <c r="A4749" t="s">
        <v>13057</v>
      </c>
      <c r="B4749" t="s">
        <v>9593</v>
      </c>
      <c r="C4749" t="s">
        <v>14364</v>
      </c>
      <c r="D4749" t="s">
        <v>52</v>
      </c>
      <c r="E4749" t="s">
        <v>14365</v>
      </c>
      <c r="F4749" t="s">
        <v>45</v>
      </c>
      <c r="G4749" t="str">
        <f>HYPERLINK("https://www.instagram.com/p/BzB3Gjrgggo")</f>
        <v>https://www.instagram.com/p/BzB3Gjrgggo</v>
      </c>
      <c r="H4749" t="s">
        <v>46</v>
      </c>
      <c r="I4749" t="s">
        <v>14366</v>
      </c>
      <c r="J4749" t="str">
        <f>HYPERLINK("http://instagram.com/picturejamproduction")</f>
        <v>http://instagram.com/picturejamproduction</v>
      </c>
      <c r="K4749">
        <v>3246</v>
      </c>
      <c r="N4749" t="s">
        <v>59</v>
      </c>
      <c r="O4749" t="s">
        <v>14366</v>
      </c>
      <c r="P4749" t="str">
        <f>HYPERLINK("http://instagram.com/picturejamproduction")</f>
        <v>http://instagram.com/picturejamproduction</v>
      </c>
      <c r="Q4749">
        <v>3246</v>
      </c>
      <c r="R4749" t="s">
        <v>60</v>
      </c>
      <c r="W4749">
        <v>31</v>
      </c>
      <c r="X4749">
        <v>31</v>
      </c>
      <c r="AE4749">
        <v>2</v>
      </c>
      <c r="AG4749">
        <v>5983</v>
      </c>
      <c r="AI4749" t="s">
        <v>52</v>
      </c>
      <c r="AJ4749" t="s">
        <v>12076</v>
      </c>
      <c r="AK4749" t="s">
        <v>10689</v>
      </c>
      <c r="AL4749" t="str">
        <f>HYPERLINK("https://www.instagram.com/p/BzB3Gjrgggo/media/?size=l")</f>
        <v>https://www.instagram.com/p/BzB3Gjrgggo/media/?size=l</v>
      </c>
      <c r="AM4749" t="s">
        <v>52</v>
      </c>
      <c r="AN4749" t="s">
        <v>53</v>
      </c>
    </row>
    <row r="4750" spans="1:40">
      <c r="A4750" t="s">
        <v>13057</v>
      </c>
      <c r="B4750" t="s">
        <v>3872</v>
      </c>
      <c r="C4750" t="s">
        <v>14367</v>
      </c>
      <c r="D4750" t="s">
        <v>52</v>
      </c>
      <c r="E4750" t="s">
        <v>4514</v>
      </c>
      <c r="F4750" t="s">
        <v>71</v>
      </c>
      <c r="G4750" t="str">
        <f>HYPERLINK("https://twitter.com/1059888870991556610/status/1142562396944392192")</f>
        <v>https://twitter.com/1059888870991556610/status/1142562396944392192</v>
      </c>
      <c r="H4750" t="s">
        <v>46</v>
      </c>
      <c r="I4750" t="s">
        <v>14368</v>
      </c>
      <c r="J4750" t="str">
        <f>HYPERLINK("http://twitter.com/AdamDelbene")</f>
        <v>http://twitter.com/AdamDelbene</v>
      </c>
      <c r="K4750">
        <v>20</v>
      </c>
      <c r="L4750" t="s">
        <v>48</v>
      </c>
      <c r="N4750" t="s">
        <v>65</v>
      </c>
      <c r="R4750" t="s">
        <v>60</v>
      </c>
      <c r="S4750" t="s">
        <v>51</v>
      </c>
      <c r="W4750">
        <v>0</v>
      </c>
      <c r="X4750">
        <v>0</v>
      </c>
      <c r="AE4750">
        <v>0</v>
      </c>
      <c r="AF4750">
        <v>0</v>
      </c>
      <c r="AI4750" t="s">
        <v>108</v>
      </c>
      <c r="AJ4750" t="s">
        <v>52</v>
      </c>
      <c r="AK4750" t="s">
        <v>52</v>
      </c>
      <c r="AL4750" t="str">
        <f>HYPERLINK("https://pbs.twimg.com/tweet_video_thumb/D9hvNNzXUAATAS3.jpg")</f>
        <v>https://pbs.twimg.com/tweet_video_thumb/D9hvNNzXUAATAS3.jpg</v>
      </c>
      <c r="AM4750" t="s">
        <v>52</v>
      </c>
      <c r="AN4750" t="s">
        <v>53</v>
      </c>
    </row>
    <row r="4751" spans="1:40">
      <c r="A4751" t="s">
        <v>13057</v>
      </c>
      <c r="B4751" t="s">
        <v>3876</v>
      </c>
      <c r="C4751" t="s">
        <v>14361</v>
      </c>
      <c r="D4751" t="s">
        <v>52</v>
      </c>
      <c r="E4751" t="s">
        <v>14369</v>
      </c>
      <c r="F4751" t="s">
        <v>45</v>
      </c>
      <c r="G4751" t="str">
        <f>HYPERLINK("https://twitter.com/24774113/status/1142562115762446338")</f>
        <v>https://twitter.com/24774113/status/1142562115762446338</v>
      </c>
      <c r="H4751" t="s">
        <v>91</v>
      </c>
      <c r="I4751" t="s">
        <v>14370</v>
      </c>
      <c r="J4751" t="str">
        <f>HYPERLINK("http://twitter.com/ismsandsundry")</f>
        <v>http://twitter.com/ismsandsundry</v>
      </c>
      <c r="K4751">
        <v>147</v>
      </c>
      <c r="N4751" t="s">
        <v>65</v>
      </c>
      <c r="R4751" t="s">
        <v>60</v>
      </c>
      <c r="S4751" t="s">
        <v>1592</v>
      </c>
      <c r="T4751" t="s">
        <v>11687</v>
      </c>
      <c r="U4751" t="s">
        <v>14371</v>
      </c>
      <c r="W4751">
        <v>3</v>
      </c>
      <c r="X4751">
        <v>3</v>
      </c>
      <c r="AE4751">
        <v>1</v>
      </c>
      <c r="AF4751">
        <v>0</v>
      </c>
      <c r="AM4751" t="s">
        <v>52</v>
      </c>
      <c r="AN4751" t="s">
        <v>53</v>
      </c>
    </row>
    <row r="4752" spans="1:40">
      <c r="A4752" t="s">
        <v>13057</v>
      </c>
      <c r="B4752" t="s">
        <v>3876</v>
      </c>
      <c r="C4752" t="s">
        <v>14364</v>
      </c>
      <c r="D4752" t="s">
        <v>52</v>
      </c>
      <c r="E4752" t="s">
        <v>526</v>
      </c>
      <c r="F4752" t="s">
        <v>131</v>
      </c>
      <c r="G4752" t="str">
        <f>HYPERLINK("https://twitter.com/120215845/status/1142562101396795398")</f>
        <v>https://twitter.com/120215845/status/1142562101396795398</v>
      </c>
      <c r="H4752" t="s">
        <v>46</v>
      </c>
      <c r="I4752" t="s">
        <v>14372</v>
      </c>
      <c r="J4752" t="str">
        <f>HYPERLINK("http://twitter.com/geraz16")</f>
        <v>http://twitter.com/geraz16</v>
      </c>
      <c r="K4752">
        <v>557</v>
      </c>
      <c r="N4752" t="s">
        <v>65</v>
      </c>
      <c r="R4752" t="s">
        <v>60</v>
      </c>
      <c r="W4752">
        <v>0</v>
      </c>
      <c r="X4752">
        <v>0</v>
      </c>
      <c r="AE4752">
        <v>0</v>
      </c>
      <c r="AI4752" t="s">
        <v>108</v>
      </c>
      <c r="AJ4752" t="s">
        <v>52</v>
      </c>
      <c r="AK4752" t="s">
        <v>52</v>
      </c>
      <c r="AL4752" t="str">
        <f>HYPERLINK("https://pbs.twimg.com/ext_tw_video_thumb/1141360066962100224/pu/img/5_tGc4hLFQwcD07b.jpg")</f>
        <v>https://pbs.twimg.com/ext_tw_video_thumb/1141360066962100224/pu/img/5_tGc4hLFQwcD07b.jpg</v>
      </c>
      <c r="AM4752" t="s">
        <v>52</v>
      </c>
      <c r="AN4752" t="s">
        <v>53</v>
      </c>
    </row>
    <row r="4753" spans="1:40">
      <c r="A4753" t="s">
        <v>13057</v>
      </c>
      <c r="B4753" t="s">
        <v>3876</v>
      </c>
      <c r="C4753" t="s">
        <v>14367</v>
      </c>
      <c r="D4753" t="s">
        <v>52</v>
      </c>
      <c r="E4753" t="s">
        <v>14373</v>
      </c>
      <c r="F4753" t="s">
        <v>45</v>
      </c>
      <c r="G4753" t="str">
        <f>HYPERLINK("https://twitter.com/763452136197947392/status/1142562071483224065")</f>
        <v>https://twitter.com/763452136197947392/status/1142562071483224065</v>
      </c>
      <c r="H4753" t="s">
        <v>46</v>
      </c>
      <c r="I4753" t="s">
        <v>14374</v>
      </c>
      <c r="J4753" t="str">
        <f>HYPERLINK("http://twitter.com/Zooe07")</f>
        <v>http://twitter.com/Zooe07</v>
      </c>
      <c r="K4753">
        <v>258</v>
      </c>
      <c r="N4753" t="s">
        <v>65</v>
      </c>
      <c r="R4753" t="s">
        <v>60</v>
      </c>
      <c r="W4753">
        <v>0</v>
      </c>
      <c r="X4753">
        <v>0</v>
      </c>
      <c r="AE4753">
        <v>0</v>
      </c>
      <c r="AF4753">
        <v>0</v>
      </c>
      <c r="AM4753" t="s">
        <v>52</v>
      </c>
      <c r="AN4753" t="s">
        <v>53</v>
      </c>
    </row>
    <row r="4754" spans="1:40">
      <c r="A4754" t="s">
        <v>13057</v>
      </c>
      <c r="B4754" t="s">
        <v>3876</v>
      </c>
      <c r="C4754" t="s">
        <v>14367</v>
      </c>
      <c r="D4754" t="s">
        <v>52</v>
      </c>
      <c r="E4754" t="s">
        <v>526</v>
      </c>
      <c r="F4754" t="s">
        <v>131</v>
      </c>
      <c r="G4754" t="str">
        <f>HYPERLINK("https://twitter.com/2172263457/status/1142562054068269058")</f>
        <v>https://twitter.com/2172263457/status/1142562054068269058</v>
      </c>
      <c r="H4754" t="s">
        <v>46</v>
      </c>
      <c r="I4754" t="s">
        <v>14375</v>
      </c>
      <c r="J4754" t="str">
        <f>HYPERLINK("http://twitter.com/pablo93369960")</f>
        <v>http://twitter.com/pablo93369960</v>
      </c>
      <c r="K4754">
        <v>837</v>
      </c>
      <c r="N4754" t="s">
        <v>65</v>
      </c>
      <c r="R4754" t="s">
        <v>60</v>
      </c>
      <c r="W4754">
        <v>0</v>
      </c>
      <c r="X4754">
        <v>0</v>
      </c>
      <c r="AE4754">
        <v>0</v>
      </c>
      <c r="AI4754" t="s">
        <v>108</v>
      </c>
      <c r="AJ4754" t="s">
        <v>52</v>
      </c>
      <c r="AK4754" t="s">
        <v>52</v>
      </c>
      <c r="AL4754" t="str">
        <f>HYPERLINK("https://pbs.twimg.com/ext_tw_video_thumb/1141360066962100224/pu/img/5_tGc4hLFQwcD07b.jpg")</f>
        <v>https://pbs.twimg.com/ext_tw_video_thumb/1141360066962100224/pu/img/5_tGc4hLFQwcD07b.jpg</v>
      </c>
      <c r="AM4754" t="s">
        <v>52</v>
      </c>
      <c r="AN4754" t="s">
        <v>53</v>
      </c>
    </row>
    <row r="4755" spans="1:40">
      <c r="A4755" t="s">
        <v>13057</v>
      </c>
      <c r="B4755" t="s">
        <v>3876</v>
      </c>
      <c r="C4755" t="s">
        <v>14367</v>
      </c>
      <c r="D4755" t="s">
        <v>52</v>
      </c>
      <c r="E4755" t="s">
        <v>14376</v>
      </c>
      <c r="F4755" t="s">
        <v>45</v>
      </c>
      <c r="G4755" t="str">
        <f>HYPERLINK("https://twitter.com/744642311812952064/status/1142562055825874945")</f>
        <v>https://twitter.com/744642311812952064/status/1142562055825874945</v>
      </c>
      <c r="H4755" t="s">
        <v>46</v>
      </c>
      <c r="I4755" t="s">
        <v>14377</v>
      </c>
      <c r="J4755" t="str">
        <f>HYPERLINK("http://twitter.com/dahllllkeari")</f>
        <v>http://twitter.com/dahllllkeari</v>
      </c>
      <c r="K4755">
        <v>489</v>
      </c>
      <c r="N4755" t="s">
        <v>65</v>
      </c>
      <c r="R4755" t="s">
        <v>60</v>
      </c>
      <c r="S4755" t="s">
        <v>8541</v>
      </c>
      <c r="T4755" t="s">
        <v>8542</v>
      </c>
      <c r="U4755" t="s">
        <v>14378</v>
      </c>
      <c r="W4755">
        <v>0</v>
      </c>
      <c r="X4755">
        <v>0</v>
      </c>
      <c r="AE4755">
        <v>0</v>
      </c>
      <c r="AF4755">
        <v>0</v>
      </c>
      <c r="AM4755" t="s">
        <v>52</v>
      </c>
      <c r="AN4755" t="s">
        <v>53</v>
      </c>
    </row>
    <row r="4756" spans="1:40">
      <c r="A4756" t="s">
        <v>13057</v>
      </c>
      <c r="B4756" t="s">
        <v>9608</v>
      </c>
      <c r="C4756" t="s">
        <v>14326</v>
      </c>
      <c r="D4756" t="s">
        <v>52</v>
      </c>
      <c r="E4756" t="s">
        <v>14379</v>
      </c>
      <c r="F4756" t="s">
        <v>95</v>
      </c>
      <c r="G4756" t="str">
        <f>HYPERLINK("https://twitter.com/1025571554942431233/status/1142561848539193345")</f>
        <v>https://twitter.com/1025571554942431233/status/1142561848539193345</v>
      </c>
      <c r="H4756" t="s">
        <v>46</v>
      </c>
      <c r="I4756" t="s">
        <v>14380</v>
      </c>
      <c r="J4756" t="str">
        <f>HYPERLINK("http://twitter.com/hypebeastjisung")</f>
        <v>http://twitter.com/hypebeastjisung</v>
      </c>
      <c r="K4756">
        <v>14</v>
      </c>
      <c r="N4756" t="s">
        <v>65</v>
      </c>
      <c r="R4756" t="s">
        <v>60</v>
      </c>
      <c r="W4756">
        <v>0</v>
      </c>
      <c r="X4756">
        <v>0</v>
      </c>
      <c r="AE4756">
        <v>1</v>
      </c>
      <c r="AF4756">
        <v>0</v>
      </c>
      <c r="AM4756" t="s">
        <v>52</v>
      </c>
      <c r="AN4756" t="s">
        <v>53</v>
      </c>
    </row>
    <row r="4757" spans="1:40">
      <c r="A4757" t="s">
        <v>13057</v>
      </c>
      <c r="B4757" t="s">
        <v>9608</v>
      </c>
      <c r="C4757" t="s">
        <v>14361</v>
      </c>
      <c r="D4757" t="s">
        <v>52</v>
      </c>
      <c r="E4757" t="s">
        <v>4514</v>
      </c>
      <c r="F4757" t="s">
        <v>71</v>
      </c>
      <c r="G4757" t="str">
        <f>HYPERLINK("https://twitter.com/838564156680847360/status/1142561734231592960")</f>
        <v>https://twitter.com/838564156680847360/status/1142561734231592960</v>
      </c>
      <c r="H4757" t="s">
        <v>46</v>
      </c>
      <c r="I4757" t="s">
        <v>14381</v>
      </c>
      <c r="J4757" t="str">
        <f>HYPERLINK("http://twitter.com/rche_parker")</f>
        <v>http://twitter.com/rche_parker</v>
      </c>
      <c r="K4757">
        <v>1410</v>
      </c>
      <c r="N4757" t="s">
        <v>65</v>
      </c>
      <c r="R4757" t="s">
        <v>60</v>
      </c>
      <c r="W4757">
        <v>0</v>
      </c>
      <c r="X4757">
        <v>0</v>
      </c>
      <c r="AE4757">
        <v>0</v>
      </c>
      <c r="AF4757">
        <v>0</v>
      </c>
      <c r="AI4757" t="s">
        <v>108</v>
      </c>
      <c r="AJ4757" t="s">
        <v>52</v>
      </c>
      <c r="AK4757" t="s">
        <v>52</v>
      </c>
      <c r="AL4757" t="str">
        <f>HYPERLINK("https://pbs.twimg.com/tweet_video_thumb/D9hvNNzXUAATAS3.jpg")</f>
        <v>https://pbs.twimg.com/tweet_video_thumb/D9hvNNzXUAATAS3.jpg</v>
      </c>
      <c r="AM4757" t="s">
        <v>52</v>
      </c>
      <c r="AN4757" t="s">
        <v>53</v>
      </c>
    </row>
    <row r="4758" spans="1:40">
      <c r="A4758" t="s">
        <v>13057</v>
      </c>
      <c r="B4758" t="s">
        <v>9608</v>
      </c>
      <c r="C4758" t="s">
        <v>12048</v>
      </c>
      <c r="D4758" t="s">
        <v>52</v>
      </c>
      <c r="E4758" t="s">
        <v>14382</v>
      </c>
      <c r="F4758" t="s">
        <v>45</v>
      </c>
      <c r="G4758" t="str">
        <f>HYPERLINK("https://www.facebook.com/224325781130/posts/10157015010556131")</f>
        <v>https://www.facebook.com/224325781130/posts/10157015010556131</v>
      </c>
      <c r="H4758" t="s">
        <v>215</v>
      </c>
      <c r="I4758" t="s">
        <v>14383</v>
      </c>
      <c r="J4758" t="str">
        <f>HYPERLINK("https://www.facebook.com/224325781130")</f>
        <v>https://www.facebook.com/224325781130</v>
      </c>
      <c r="K4758">
        <v>387626</v>
      </c>
      <c r="L4758" t="s">
        <v>651</v>
      </c>
      <c r="N4758" t="s">
        <v>1792</v>
      </c>
      <c r="O4758" t="s">
        <v>14383</v>
      </c>
      <c r="P4758" t="str">
        <f>HYPERLINK("https://www.facebook.com/224325781130")</f>
        <v>https://www.facebook.com/224325781130</v>
      </c>
      <c r="Q4758">
        <v>387626</v>
      </c>
      <c r="R4758" t="s">
        <v>60</v>
      </c>
      <c r="S4758" t="s">
        <v>51</v>
      </c>
      <c r="W4758">
        <v>0</v>
      </c>
      <c r="X4758">
        <v>0</v>
      </c>
      <c r="Y4758">
        <v>0</v>
      </c>
      <c r="Z4758">
        <v>0</v>
      </c>
      <c r="AA4758">
        <v>0</v>
      </c>
      <c r="AB4758">
        <v>0</v>
      </c>
      <c r="AC4758">
        <v>0</v>
      </c>
      <c r="AE4758">
        <v>0</v>
      </c>
      <c r="AF4758">
        <v>1</v>
      </c>
      <c r="AI4758" t="s">
        <v>52</v>
      </c>
      <c r="AJ4758" t="s">
        <v>14384</v>
      </c>
      <c r="AK4758" t="s">
        <v>52</v>
      </c>
      <c r="AL4758" t="str">
        <f>HYPERLINK("https://scontent.xx.fbcdn.net/v/t1.0-9/64731947_10157015009911131_2304967780778115072_n.jpg?_nc_cat=108&amp;_nc_oc=AQl7AcTWygt45KlWg6NAJU72BOp5QnR8-Hwzym1jb4UobSrBs3-X_ixo0VDZmmgXV60&amp;_nc_ht=scontent.xx&amp;oh=bb1db930450d6fb9c70edae26079754d&amp;oe=5D8ECB68")</f>
        <v>https://scontent.xx.fbcdn.net/v/t1.0-9/64731947_10157015009911131_2304967780778115072_n.jpg?_nc_cat=108&amp;_nc_oc=AQl7AcTWygt45KlWg6NAJU72BOp5QnR8-Hwzym1jb4UobSrBs3-X_ixo0VDZmmgXV60&amp;_nc_ht=scontent.xx&amp;oh=bb1db930450d6fb9c70edae26079754d&amp;oe=5D8ECB68</v>
      </c>
      <c r="AM4758" t="s">
        <v>52</v>
      </c>
      <c r="AN4758" t="s">
        <v>53</v>
      </c>
    </row>
    <row r="4759" spans="1:40">
      <c r="A4759" t="s">
        <v>13057</v>
      </c>
      <c r="B4759" t="s">
        <v>3890</v>
      </c>
      <c r="C4759" t="s">
        <v>14385</v>
      </c>
      <c r="D4759" t="s">
        <v>52</v>
      </c>
      <c r="E4759" t="s">
        <v>14386</v>
      </c>
      <c r="F4759" t="s">
        <v>71</v>
      </c>
      <c r="G4759" t="str">
        <f>HYPERLINK("https://twitter.com/742002612308873216/status/1142561641474793472")</f>
        <v>https://twitter.com/742002612308873216/status/1142561641474793472</v>
      </c>
      <c r="H4759" t="s">
        <v>46</v>
      </c>
      <c r="I4759" t="s">
        <v>14387</v>
      </c>
      <c r="J4759" t="str">
        <f>HYPERLINK("http://twitter.com/Earth2Ryan_")</f>
        <v>http://twitter.com/Earth2Ryan_</v>
      </c>
      <c r="K4759">
        <v>33</v>
      </c>
      <c r="L4759" t="s">
        <v>48</v>
      </c>
      <c r="N4759" t="s">
        <v>65</v>
      </c>
      <c r="R4759" t="s">
        <v>60</v>
      </c>
      <c r="S4759" t="s">
        <v>444</v>
      </c>
      <c r="T4759" t="s">
        <v>1062</v>
      </c>
      <c r="U4759" t="s">
        <v>3442</v>
      </c>
      <c r="W4759">
        <v>1</v>
      </c>
      <c r="X4759">
        <v>1</v>
      </c>
      <c r="AE4759">
        <v>1</v>
      </c>
      <c r="AF4759">
        <v>0</v>
      </c>
      <c r="AI4759" t="s">
        <v>108</v>
      </c>
      <c r="AJ4759" t="s">
        <v>52</v>
      </c>
      <c r="AK4759" t="s">
        <v>52</v>
      </c>
      <c r="AL4759" t="str">
        <f>HYPERLINK("https://pbs.twimg.com/tweet_video_thumb/D9hvNNzXUAATAS3.jpg")</f>
        <v>https://pbs.twimg.com/tweet_video_thumb/D9hvNNzXUAATAS3.jpg</v>
      </c>
      <c r="AM4759" t="s">
        <v>52</v>
      </c>
      <c r="AN4759" t="s">
        <v>53</v>
      </c>
    </row>
    <row r="4760" spans="1:40">
      <c r="A4760" t="s">
        <v>13057</v>
      </c>
      <c r="B4760" t="s">
        <v>3890</v>
      </c>
      <c r="C4760" t="s">
        <v>14388</v>
      </c>
      <c r="D4760" t="s">
        <v>52</v>
      </c>
      <c r="E4760" t="s">
        <v>14389</v>
      </c>
      <c r="F4760" t="s">
        <v>45</v>
      </c>
      <c r="G4760" t="str">
        <f>HYPERLINK("https://twitter.com/831195353772879872/status/1142561595417145348")</f>
        <v>https://twitter.com/831195353772879872/status/1142561595417145348</v>
      </c>
      <c r="H4760" t="s">
        <v>215</v>
      </c>
      <c r="I4760" t="s">
        <v>14390</v>
      </c>
      <c r="J4760" t="str">
        <f>HYPERLINK("http://twitter.com/SEXTAPESKI")</f>
        <v>http://twitter.com/SEXTAPESKI</v>
      </c>
      <c r="K4760">
        <v>1049</v>
      </c>
      <c r="N4760" t="s">
        <v>65</v>
      </c>
      <c r="R4760" t="s">
        <v>60</v>
      </c>
      <c r="S4760" t="s">
        <v>521</v>
      </c>
      <c r="T4760" t="s">
        <v>14391</v>
      </c>
      <c r="U4760" t="s">
        <v>14392</v>
      </c>
      <c r="W4760">
        <v>4</v>
      </c>
      <c r="X4760">
        <v>4</v>
      </c>
      <c r="AE4760">
        <v>0</v>
      </c>
      <c r="AF4760">
        <v>0</v>
      </c>
      <c r="AM4760" t="s">
        <v>52</v>
      </c>
      <c r="AN4760" t="s">
        <v>53</v>
      </c>
    </row>
    <row r="4761" spans="1:40">
      <c r="A4761" t="s">
        <v>13057</v>
      </c>
      <c r="B4761" t="s">
        <v>3890</v>
      </c>
      <c r="C4761" t="s">
        <v>14393</v>
      </c>
      <c r="D4761" t="s">
        <v>52</v>
      </c>
      <c r="E4761" t="s">
        <v>130</v>
      </c>
      <c r="F4761" t="s">
        <v>131</v>
      </c>
      <c r="G4761" t="str">
        <f>HYPERLINK("https://twitter.com/19231189/status/1142561507265454081")</f>
        <v>https://twitter.com/19231189/status/1142561507265454081</v>
      </c>
      <c r="H4761" t="s">
        <v>46</v>
      </c>
      <c r="I4761" t="s">
        <v>14394</v>
      </c>
      <c r="J4761" t="str">
        <f>HYPERLINK("http://twitter.com/suzybe")</f>
        <v>http://twitter.com/suzybe</v>
      </c>
      <c r="K4761">
        <v>360</v>
      </c>
      <c r="L4761" t="s">
        <v>58</v>
      </c>
      <c r="N4761" t="s">
        <v>65</v>
      </c>
      <c r="R4761" t="s">
        <v>60</v>
      </c>
      <c r="S4761" t="s">
        <v>97</v>
      </c>
      <c r="T4761" t="s">
        <v>177</v>
      </c>
      <c r="W4761">
        <v>0</v>
      </c>
      <c r="X4761">
        <v>0</v>
      </c>
      <c r="AE4761">
        <v>0</v>
      </c>
      <c r="AI4761" t="s">
        <v>108</v>
      </c>
      <c r="AJ4761" t="s">
        <v>52</v>
      </c>
      <c r="AK4761" t="s">
        <v>52</v>
      </c>
      <c r="AL4761" t="str">
        <f>HYPERLINK("https://pbs.twimg.com/media/D9XTkLWW4AAOYnJ.jpg")</f>
        <v>https://pbs.twimg.com/media/D9XTkLWW4AAOYnJ.jpg</v>
      </c>
      <c r="AM4761" t="s">
        <v>52</v>
      </c>
      <c r="AN4761" t="s">
        <v>53</v>
      </c>
    </row>
    <row r="4762" spans="1:40">
      <c r="A4762" t="s">
        <v>13057</v>
      </c>
      <c r="B4762" t="s">
        <v>3898</v>
      </c>
      <c r="C4762" t="s">
        <v>14395</v>
      </c>
      <c r="D4762" t="s">
        <v>52</v>
      </c>
      <c r="E4762" t="s">
        <v>14396</v>
      </c>
      <c r="F4762" t="s">
        <v>45</v>
      </c>
      <c r="G4762" t="str">
        <f>HYPERLINK("https://twitter.com/746551316/status/1142561158253174790")</f>
        <v>https://twitter.com/746551316/status/1142561158253174790</v>
      </c>
      <c r="H4762" t="s">
        <v>46</v>
      </c>
      <c r="I4762" t="s">
        <v>10216</v>
      </c>
      <c r="J4762" t="str">
        <f>HYPERLINK("http://twitter.com/caressa125")</f>
        <v>http://twitter.com/caressa125</v>
      </c>
      <c r="K4762">
        <v>266</v>
      </c>
      <c r="N4762" t="s">
        <v>65</v>
      </c>
      <c r="R4762" t="s">
        <v>60</v>
      </c>
      <c r="S4762" t="s">
        <v>51</v>
      </c>
      <c r="T4762" t="s">
        <v>152</v>
      </c>
      <c r="W4762">
        <v>11</v>
      </c>
      <c r="X4762">
        <v>11</v>
      </c>
      <c r="AE4762">
        <v>2</v>
      </c>
      <c r="AF4762">
        <v>0</v>
      </c>
      <c r="AM4762" t="s">
        <v>52</v>
      </c>
      <c r="AN4762" t="s">
        <v>53</v>
      </c>
    </row>
    <row r="4763" spans="1:40">
      <c r="A4763" t="s">
        <v>13057</v>
      </c>
      <c r="B4763" t="s">
        <v>3902</v>
      </c>
      <c r="C4763" t="s">
        <v>14393</v>
      </c>
      <c r="D4763" t="s">
        <v>52</v>
      </c>
      <c r="E4763" t="s">
        <v>14397</v>
      </c>
      <c r="F4763" t="s">
        <v>95</v>
      </c>
      <c r="G4763" t="str">
        <f>HYPERLINK("https://twitter.com/63354996/status/1142561073687683072")</f>
        <v>https://twitter.com/63354996/status/1142561073687683072</v>
      </c>
      <c r="H4763" t="s">
        <v>215</v>
      </c>
      <c r="I4763" t="s">
        <v>14398</v>
      </c>
      <c r="J4763" t="str">
        <f>HYPERLINK("http://twitter.com/ucLena")</f>
        <v>http://twitter.com/ucLena</v>
      </c>
      <c r="K4763">
        <v>372</v>
      </c>
      <c r="L4763" t="s">
        <v>58</v>
      </c>
      <c r="N4763" t="s">
        <v>65</v>
      </c>
      <c r="R4763" t="s">
        <v>60</v>
      </c>
      <c r="W4763">
        <v>0</v>
      </c>
      <c r="X4763">
        <v>0</v>
      </c>
      <c r="AE4763">
        <v>0</v>
      </c>
      <c r="AF4763">
        <v>0</v>
      </c>
      <c r="AM4763" t="s">
        <v>52</v>
      </c>
      <c r="AN4763" t="s">
        <v>53</v>
      </c>
    </row>
    <row r="4764" spans="1:40">
      <c r="A4764" t="s">
        <v>13057</v>
      </c>
      <c r="B4764" t="s">
        <v>3908</v>
      </c>
      <c r="C4764" t="s">
        <v>14399</v>
      </c>
      <c r="D4764" t="s">
        <v>52</v>
      </c>
      <c r="E4764" t="s">
        <v>14400</v>
      </c>
      <c r="F4764" t="s">
        <v>45</v>
      </c>
      <c r="G4764" t="str">
        <f>HYPERLINK("https://twitter.com/1082427906113134593/status/1142560668085903360")</f>
        <v>https://twitter.com/1082427906113134593/status/1142560668085903360</v>
      </c>
      <c r="H4764" t="s">
        <v>46</v>
      </c>
      <c r="I4764" t="s">
        <v>14401</v>
      </c>
      <c r="J4764" t="str">
        <f>HYPERLINK("http://twitter.com/AHCMAI")</f>
        <v>http://twitter.com/AHCMAI</v>
      </c>
      <c r="K4764">
        <v>22</v>
      </c>
      <c r="N4764" t="s">
        <v>65</v>
      </c>
      <c r="R4764" t="s">
        <v>60</v>
      </c>
      <c r="W4764">
        <v>0</v>
      </c>
      <c r="X4764">
        <v>0</v>
      </c>
      <c r="AE4764">
        <v>0</v>
      </c>
      <c r="AF4764">
        <v>0</v>
      </c>
      <c r="AM4764" t="s">
        <v>52</v>
      </c>
      <c r="AN4764" t="s">
        <v>53</v>
      </c>
    </row>
    <row r="4765" spans="1:40">
      <c r="A4765" t="s">
        <v>13057</v>
      </c>
      <c r="B4765" t="s">
        <v>3915</v>
      </c>
      <c r="C4765" t="s">
        <v>7012</v>
      </c>
      <c r="D4765" t="s">
        <v>14402</v>
      </c>
      <c r="E4765" t="s">
        <v>14403</v>
      </c>
      <c r="F4765" t="s">
        <v>45</v>
      </c>
      <c r="G4765" t="str">
        <f>HYPERLINK("https://www.reddit.com/r/Mujico/comments/c3rq5a/acabo_de_ver_toy_story_4_ama/?sort=new#thing_t1_ersulog")</f>
        <v>https://www.reddit.com/r/Mujico/comments/c3rq5a/acabo_de_ver_toy_story_4_ama/?sort=new#thing_t1_ersulog</v>
      </c>
      <c r="H4765" t="s">
        <v>46</v>
      </c>
      <c r="I4765" t="s">
        <v>14404</v>
      </c>
      <c r="J4765" t="str">
        <f>HYPERLINK("https://www.reddit.com/r/Mujico/comments/c3rq5a/acabo_de_ver_toy_story_4_ama/?sort=new#thing_t1_ersulog")</f>
        <v>https://www.reddit.com/r/Mujico/comments/c3rq5a/acabo_de_ver_toy_story_4_ama/?sort=new#thing_t1_ersulog</v>
      </c>
      <c r="N4765" t="s">
        <v>545</v>
      </c>
      <c r="O4765" t="s">
        <v>14405</v>
      </c>
      <c r="P4765" t="str">
        <f>HYPERLINK("https://www.reddit.com/r/Mujico/")</f>
        <v>https://www.reddit.com/r/Mujico/</v>
      </c>
      <c r="R4765" t="s">
        <v>516</v>
      </c>
      <c r="S4765" t="s">
        <v>51</v>
      </c>
      <c r="AM4765" t="s">
        <v>52</v>
      </c>
      <c r="AN4765" t="s">
        <v>53</v>
      </c>
    </row>
    <row r="4766" spans="1:40">
      <c r="A4766" t="s">
        <v>13057</v>
      </c>
      <c r="B4766" t="s">
        <v>3915</v>
      </c>
      <c r="C4766" t="s">
        <v>13228</v>
      </c>
      <c r="D4766" t="s">
        <v>52</v>
      </c>
      <c r="E4766" t="s">
        <v>14406</v>
      </c>
      <c r="F4766" t="s">
        <v>45</v>
      </c>
      <c r="G4766" t="str">
        <f>HYPERLINK("https://www.facebook.com/178584205537990/posts/2471275812935473")</f>
        <v>https://www.facebook.com/178584205537990/posts/2471275812935473</v>
      </c>
      <c r="H4766" t="s">
        <v>46</v>
      </c>
      <c r="I4766" t="s">
        <v>14407</v>
      </c>
      <c r="J4766" t="str">
        <f>HYPERLINK("https://www.facebook.com/178584205537990")</f>
        <v>https://www.facebook.com/178584205537990</v>
      </c>
      <c r="K4766">
        <v>44039</v>
      </c>
      <c r="L4766" t="s">
        <v>651</v>
      </c>
      <c r="N4766" t="s">
        <v>1792</v>
      </c>
      <c r="O4766" t="s">
        <v>14407</v>
      </c>
      <c r="P4766" t="str">
        <f>HYPERLINK("https://www.facebook.com/178584205537990")</f>
        <v>https://www.facebook.com/178584205537990</v>
      </c>
      <c r="Q4766">
        <v>44039</v>
      </c>
      <c r="R4766" t="s">
        <v>60</v>
      </c>
      <c r="W4766">
        <v>1</v>
      </c>
      <c r="X4766">
        <v>1</v>
      </c>
      <c r="Y4766">
        <v>0</v>
      </c>
      <c r="Z4766">
        <v>0</v>
      </c>
      <c r="AA4766">
        <v>0</v>
      </c>
      <c r="AB4766">
        <v>0</v>
      </c>
      <c r="AC4766">
        <v>0</v>
      </c>
      <c r="AE4766">
        <v>0</v>
      </c>
      <c r="AF4766">
        <v>0</v>
      </c>
      <c r="AI4766" t="s">
        <v>108</v>
      </c>
      <c r="AJ4766" t="s">
        <v>1763</v>
      </c>
      <c r="AK4766" t="s">
        <v>52</v>
      </c>
      <c r="AL4766" t="str">
        <f>HYPERLINK("https://scontent.xx.fbcdn.net/v/t1.0-9/p720x720/64597381_2471275572935497_5386425838621163520_n.jpg?_nc_cat=105&amp;_nc_oc=AQlGRM6eRPzcZSSh4lfPQUnqkm86DMoQCM3UnbWSkN_GsSR2NNyhbzdQTRYuZUchwU4&amp;_nc_ht=scontent.xx&amp;oh=5eeabf0ed78b69f676dca79935956ac6&amp;oe=5D807C09")</f>
        <v>https://scontent.xx.fbcdn.net/v/t1.0-9/p720x720/64597381_2471275572935497_5386425838621163520_n.jpg?_nc_cat=105&amp;_nc_oc=AQlGRM6eRPzcZSSh4lfPQUnqkm86DMoQCM3UnbWSkN_GsSR2NNyhbzdQTRYuZUchwU4&amp;_nc_ht=scontent.xx&amp;oh=5eeabf0ed78b69f676dca79935956ac6&amp;oe=5D807C09</v>
      </c>
      <c r="AM4766" t="s">
        <v>52</v>
      </c>
      <c r="AN4766" t="s">
        <v>53</v>
      </c>
    </row>
    <row r="4767" spans="1:40">
      <c r="A4767" t="s">
        <v>13057</v>
      </c>
      <c r="B4767" t="s">
        <v>3923</v>
      </c>
      <c r="C4767" t="s">
        <v>14222</v>
      </c>
      <c r="D4767" t="s">
        <v>14408</v>
      </c>
      <c r="E4767" t="s">
        <v>14409</v>
      </c>
      <c r="F4767" t="s">
        <v>95</v>
      </c>
      <c r="G4767" t="str">
        <f>HYPERLINK("https://telegram.me/Chainlink_Community/240023")</f>
        <v>https://telegram.me/Chainlink_Community/240023</v>
      </c>
      <c r="H4767" t="s">
        <v>46</v>
      </c>
      <c r="I4767" t="s">
        <v>14410</v>
      </c>
      <c r="J4767" t="str">
        <f>HYPERLINK("https://telegram.me/andrewahshdh")</f>
        <v>https://telegram.me/andrewahshdh</v>
      </c>
      <c r="N4767" t="s">
        <v>4242</v>
      </c>
      <c r="O4767" t="s">
        <v>14411</v>
      </c>
      <c r="P4767" t="str">
        <f>HYPERLINK("https://telegram.me/chainlink_community")</f>
        <v>https://telegram.me/chainlink_community</v>
      </c>
      <c r="Q4767">
        <v>1336</v>
      </c>
      <c r="R4767" t="s">
        <v>4244</v>
      </c>
      <c r="AM4767" t="s">
        <v>52</v>
      </c>
      <c r="AN4767" t="s">
        <v>53</v>
      </c>
    </row>
    <row r="4768" spans="1:40">
      <c r="A4768" t="s">
        <v>13057</v>
      </c>
      <c r="B4768" t="s">
        <v>3923</v>
      </c>
      <c r="C4768" t="s">
        <v>14222</v>
      </c>
      <c r="D4768" t="s">
        <v>52</v>
      </c>
      <c r="E4768" t="s">
        <v>14408</v>
      </c>
      <c r="F4768" t="s">
        <v>45</v>
      </c>
      <c r="G4768" t="str">
        <f>HYPERLINK("https://telegram.me/Chainlink_Community/240020")</f>
        <v>https://telegram.me/Chainlink_Community/240020</v>
      </c>
      <c r="H4768" t="s">
        <v>46</v>
      </c>
      <c r="I4768" t="s">
        <v>14412</v>
      </c>
      <c r="J4768" t="str">
        <f>HYPERLINK("https://telegram.me/811224589")</f>
        <v>https://telegram.me/811224589</v>
      </c>
      <c r="L4768" t="s">
        <v>48</v>
      </c>
      <c r="N4768" t="s">
        <v>4242</v>
      </c>
      <c r="O4768" t="s">
        <v>14411</v>
      </c>
      <c r="P4768" t="str">
        <f>HYPERLINK("https://telegram.me/chainlink_community")</f>
        <v>https://telegram.me/chainlink_community</v>
      </c>
      <c r="Q4768">
        <v>1336</v>
      </c>
      <c r="R4768" t="s">
        <v>4244</v>
      </c>
      <c r="AM4768" t="s">
        <v>52</v>
      </c>
      <c r="AN4768" t="s">
        <v>53</v>
      </c>
    </row>
    <row r="4769" spans="1:40">
      <c r="A4769" t="s">
        <v>13057</v>
      </c>
      <c r="B4769" t="s">
        <v>3928</v>
      </c>
      <c r="C4769" t="s">
        <v>12329</v>
      </c>
      <c r="D4769" t="s">
        <v>52</v>
      </c>
      <c r="E4769" t="s">
        <v>14413</v>
      </c>
      <c r="F4769" t="s">
        <v>45</v>
      </c>
      <c r="G4769" t="str">
        <f>HYPERLINK("https://www.instagram.com/p/BzB2AwDgatg")</f>
        <v>https://www.instagram.com/p/BzB2AwDgatg</v>
      </c>
      <c r="H4769" t="s">
        <v>46</v>
      </c>
      <c r="I4769" t="s">
        <v>14414</v>
      </c>
      <c r="J4769" t="str">
        <f>HYPERLINK("http://instagram.com/get.lost.idiot")</f>
        <v>http://instagram.com/get.lost.idiot</v>
      </c>
      <c r="K4769">
        <v>26</v>
      </c>
      <c r="N4769" t="s">
        <v>59</v>
      </c>
      <c r="O4769" t="s">
        <v>14414</v>
      </c>
      <c r="P4769" t="str">
        <f>HYPERLINK("http://instagram.com/get.lost.idiot")</f>
        <v>http://instagram.com/get.lost.idiot</v>
      </c>
      <c r="Q4769">
        <v>26</v>
      </c>
      <c r="R4769" t="s">
        <v>60</v>
      </c>
      <c r="W4769">
        <v>13</v>
      </c>
      <c r="X4769">
        <v>13</v>
      </c>
      <c r="AE4769">
        <v>3</v>
      </c>
      <c r="AI4769" t="s">
        <v>108</v>
      </c>
      <c r="AJ4769" t="s">
        <v>14415</v>
      </c>
      <c r="AK4769" t="s">
        <v>14416</v>
      </c>
      <c r="AL4769" t="str">
        <f>HYPERLINK("https://www.instagram.com/p/BzB2AwDgatg/media/?size=l")</f>
        <v>https://www.instagram.com/p/BzB2AwDgatg/media/?size=l</v>
      </c>
      <c r="AM4769" t="s">
        <v>52</v>
      </c>
      <c r="AN4769" t="s">
        <v>53</v>
      </c>
    </row>
    <row r="4770" spans="1:40">
      <c r="A4770" t="s">
        <v>13057</v>
      </c>
      <c r="B4770" t="s">
        <v>3928</v>
      </c>
      <c r="C4770" t="s">
        <v>14417</v>
      </c>
      <c r="D4770" t="s">
        <v>52</v>
      </c>
      <c r="E4770" t="s">
        <v>14418</v>
      </c>
      <c r="F4770" t="s">
        <v>45</v>
      </c>
      <c r="G4770" t="str">
        <f>HYPERLINK("https://www.instagram.com/p/BzB2AxiDXjx")</f>
        <v>https://www.instagram.com/p/BzB2AxiDXjx</v>
      </c>
      <c r="H4770" t="s">
        <v>46</v>
      </c>
      <c r="I4770" t="s">
        <v>14419</v>
      </c>
      <c r="J4770" t="str">
        <f>HYPERLINK("http://instagram.com/stephvisme")</f>
        <v>http://instagram.com/stephvisme</v>
      </c>
      <c r="K4770">
        <v>646</v>
      </c>
      <c r="N4770" t="s">
        <v>59</v>
      </c>
      <c r="O4770" t="s">
        <v>14419</v>
      </c>
      <c r="P4770" t="str">
        <f>HYPERLINK("http://instagram.com/stephvisme")</f>
        <v>http://instagram.com/stephvisme</v>
      </c>
      <c r="Q4770">
        <v>646</v>
      </c>
      <c r="R4770" t="s">
        <v>60</v>
      </c>
      <c r="W4770">
        <v>41</v>
      </c>
      <c r="X4770">
        <v>41</v>
      </c>
      <c r="AE4770">
        <v>0</v>
      </c>
      <c r="AI4770" t="s">
        <v>52</v>
      </c>
      <c r="AJ4770" t="s">
        <v>14420</v>
      </c>
      <c r="AK4770" t="s">
        <v>52</v>
      </c>
      <c r="AL4770" t="str">
        <f>HYPERLINK("https://www.instagram.com/p/BzB2AxiDXjx/media/?size=l")</f>
        <v>https://www.instagram.com/p/BzB2AxiDXjx/media/?size=l</v>
      </c>
      <c r="AM4770" t="s">
        <v>52</v>
      </c>
      <c r="AN4770" t="s">
        <v>53</v>
      </c>
    </row>
    <row r="4771" spans="1:40">
      <c r="A4771" t="s">
        <v>13057</v>
      </c>
      <c r="B4771" t="s">
        <v>3928</v>
      </c>
      <c r="C4771" t="s">
        <v>14399</v>
      </c>
      <c r="D4771" t="s">
        <v>14421</v>
      </c>
      <c r="E4771" t="s">
        <v>14421</v>
      </c>
      <c r="F4771" t="s">
        <v>45</v>
      </c>
      <c r="G4771" t="str">
        <f>HYPERLINK("https://www.youtube.com/watch?v=Uz9MULfLmc0")</f>
        <v>https://www.youtube.com/watch?v=Uz9MULfLmc0</v>
      </c>
      <c r="H4771" t="s">
        <v>46</v>
      </c>
      <c r="I4771" t="s">
        <v>14422</v>
      </c>
      <c r="J4771" t="str">
        <f>HYPERLINK("https://www.youtube.com/channel/UCMCpvszj1P3Fb1TM3i1KQYQ")</f>
        <v>https://www.youtube.com/channel/UCMCpvszj1P3Fb1TM3i1KQYQ</v>
      </c>
      <c r="K4771">
        <v>1</v>
      </c>
      <c r="L4771" t="s">
        <v>58</v>
      </c>
      <c r="N4771" t="s">
        <v>116</v>
      </c>
      <c r="O4771" t="s">
        <v>14422</v>
      </c>
      <c r="P4771" t="str">
        <f>HYPERLINK("https://www.youtube.com/channel/UCMCpvszj1P3Fb1TM3i1KQYQ")</f>
        <v>https://www.youtube.com/channel/UCMCpvszj1P3Fb1TM3i1KQYQ</v>
      </c>
      <c r="Q4771">
        <v>1</v>
      </c>
      <c r="R4771" t="s">
        <v>60</v>
      </c>
      <c r="W4771">
        <v>0</v>
      </c>
      <c r="X4771">
        <v>0</v>
      </c>
      <c r="AD4771">
        <v>0</v>
      </c>
      <c r="AE4771">
        <v>0</v>
      </c>
      <c r="AG4771">
        <v>0</v>
      </c>
      <c r="AL4771" t="str">
        <f>HYPERLINK("https://i.ytimg.com/vi/Uz9MULfLmc0/hqdefault.jpg")</f>
        <v>https://i.ytimg.com/vi/Uz9MULfLmc0/hqdefault.jpg</v>
      </c>
      <c r="AM4771" t="s">
        <v>52</v>
      </c>
      <c r="AN4771" t="s">
        <v>53</v>
      </c>
    </row>
    <row r="4772" spans="1:40">
      <c r="A4772" t="s">
        <v>13057</v>
      </c>
      <c r="B4772" t="s">
        <v>3951</v>
      </c>
      <c r="C4772" t="s">
        <v>14399</v>
      </c>
      <c r="D4772" t="s">
        <v>52</v>
      </c>
      <c r="E4772" t="s">
        <v>4514</v>
      </c>
      <c r="F4772" t="s">
        <v>71</v>
      </c>
      <c r="G4772" t="str">
        <f>HYPERLINK("https://twitter.com/1106167911507550209/status/1142559000279560199")</f>
        <v>https://twitter.com/1106167911507550209/status/1142559000279560199</v>
      </c>
      <c r="H4772" t="s">
        <v>46</v>
      </c>
      <c r="I4772" t="s">
        <v>14423</v>
      </c>
      <c r="J4772" t="str">
        <f>HYPERLINK("http://twitter.com/ValentinaZamu16")</f>
        <v>http://twitter.com/ValentinaZamu16</v>
      </c>
      <c r="K4772">
        <v>14</v>
      </c>
      <c r="N4772" t="s">
        <v>65</v>
      </c>
      <c r="R4772" t="s">
        <v>60</v>
      </c>
      <c r="W4772">
        <v>0</v>
      </c>
      <c r="X4772">
        <v>0</v>
      </c>
      <c r="AE4772">
        <v>0</v>
      </c>
      <c r="AF4772">
        <v>0</v>
      </c>
      <c r="AI4772" t="s">
        <v>108</v>
      </c>
      <c r="AJ4772" t="s">
        <v>52</v>
      </c>
      <c r="AK4772" t="s">
        <v>52</v>
      </c>
      <c r="AL4772" t="str">
        <f>HYPERLINK("https://pbs.twimg.com/tweet_video_thumb/D9hvNNzXUAATAS3.jpg")</f>
        <v>https://pbs.twimg.com/tweet_video_thumb/D9hvNNzXUAATAS3.jpg</v>
      </c>
      <c r="AM4772" t="s">
        <v>52</v>
      </c>
      <c r="AN4772" t="s">
        <v>53</v>
      </c>
    </row>
    <row r="4773" spans="1:40">
      <c r="A4773" t="s">
        <v>13057</v>
      </c>
      <c r="B4773" t="s">
        <v>3951</v>
      </c>
      <c r="C4773" t="s">
        <v>14424</v>
      </c>
      <c r="D4773" t="s">
        <v>52</v>
      </c>
      <c r="E4773" t="s">
        <v>14425</v>
      </c>
      <c r="F4773" t="s">
        <v>45</v>
      </c>
      <c r="G4773" t="str">
        <f>HYPERLINK("https://www.instagram.com/p/BzB1hCYBki4")</f>
        <v>https://www.instagram.com/p/BzB1hCYBki4</v>
      </c>
      <c r="H4773" t="s">
        <v>46</v>
      </c>
      <c r="I4773" t="s">
        <v>14426</v>
      </c>
      <c r="J4773" t="str">
        <f>HYPERLINK("http://instagram.com/aprilmarylynn")</f>
        <v>http://instagram.com/aprilmarylynn</v>
      </c>
      <c r="K4773">
        <v>600</v>
      </c>
      <c r="N4773" t="s">
        <v>59</v>
      </c>
      <c r="O4773" t="s">
        <v>14426</v>
      </c>
      <c r="P4773" t="str">
        <f>HYPERLINK("http://instagram.com/aprilmarylynn")</f>
        <v>http://instagram.com/aprilmarylynn</v>
      </c>
      <c r="Q4773">
        <v>600</v>
      </c>
      <c r="R4773" t="s">
        <v>60</v>
      </c>
      <c r="W4773">
        <v>33</v>
      </c>
      <c r="X4773">
        <v>33</v>
      </c>
      <c r="AE4773">
        <v>0</v>
      </c>
      <c r="AI4773" t="s">
        <v>52</v>
      </c>
      <c r="AJ4773" t="s">
        <v>52</v>
      </c>
      <c r="AK4773" t="s">
        <v>110</v>
      </c>
      <c r="AL4773" t="str">
        <f>HYPERLINK("https://www.instagram.com/p/BzB1hCYBki4/media/?size=l")</f>
        <v>https://www.instagram.com/p/BzB1hCYBki4/media/?size=l</v>
      </c>
      <c r="AM4773" t="s">
        <v>52</v>
      </c>
      <c r="AN4773" t="s">
        <v>53</v>
      </c>
    </row>
    <row r="4774" spans="1:40">
      <c r="A4774" t="s">
        <v>13057</v>
      </c>
      <c r="B4774" t="s">
        <v>3971</v>
      </c>
      <c r="C4774" t="s">
        <v>14427</v>
      </c>
      <c r="D4774" t="s">
        <v>52</v>
      </c>
      <c r="E4774" t="s">
        <v>276</v>
      </c>
      <c r="F4774" t="s">
        <v>131</v>
      </c>
      <c r="G4774" t="str">
        <f>HYPERLINK("https://twitter.com/1727417761/status/1142558830011666432")</f>
        <v>https://twitter.com/1727417761/status/1142558830011666432</v>
      </c>
      <c r="H4774" t="s">
        <v>46</v>
      </c>
      <c r="I4774" t="s">
        <v>14428</v>
      </c>
      <c r="J4774" t="str">
        <f>HYPERLINK("http://twitter.com/rohmantisme")</f>
        <v>http://twitter.com/rohmantisme</v>
      </c>
      <c r="K4774">
        <v>300</v>
      </c>
      <c r="N4774" t="s">
        <v>65</v>
      </c>
      <c r="R4774" t="s">
        <v>60</v>
      </c>
      <c r="S4774" t="s">
        <v>1643</v>
      </c>
      <c r="T4774" t="s">
        <v>14429</v>
      </c>
      <c r="U4774" t="s">
        <v>14430</v>
      </c>
      <c r="W4774">
        <v>0</v>
      </c>
      <c r="X4774">
        <v>0</v>
      </c>
      <c r="AE4774">
        <v>0</v>
      </c>
      <c r="AI4774" t="s">
        <v>108</v>
      </c>
      <c r="AJ4774" t="s">
        <v>52</v>
      </c>
      <c r="AK4774" t="s">
        <v>52</v>
      </c>
      <c r="AL4774" t="str">
        <f>HYPERLINK("https://pbs.twimg.com/tweet_video_thumb/D9hvNNzXUAATAS3.jpg")</f>
        <v>https://pbs.twimg.com/tweet_video_thumb/D9hvNNzXUAATAS3.jpg</v>
      </c>
      <c r="AM4774" t="s">
        <v>52</v>
      </c>
      <c r="AN4774" t="s">
        <v>53</v>
      </c>
    </row>
    <row r="4775" spans="1:40">
      <c r="A4775" t="s">
        <v>13057</v>
      </c>
      <c r="B4775" t="s">
        <v>14431</v>
      </c>
      <c r="C4775" t="s">
        <v>14432</v>
      </c>
      <c r="D4775" t="s">
        <v>52</v>
      </c>
      <c r="E4775" t="s">
        <v>14433</v>
      </c>
      <c r="F4775" t="s">
        <v>45</v>
      </c>
      <c r="G4775" t="str">
        <f>HYPERLINK("https://www.instagram.com/p/BzB1SfOHB_7")</f>
        <v>https://www.instagram.com/p/BzB1SfOHB_7</v>
      </c>
      <c r="H4775" t="s">
        <v>46</v>
      </c>
      <c r="I4775" t="s">
        <v>14434</v>
      </c>
      <c r="J4775" t="str">
        <f>HYPERLINK("http://instagram.com/gigantijared")</f>
        <v>http://instagram.com/gigantijared</v>
      </c>
      <c r="K4775">
        <v>119</v>
      </c>
      <c r="N4775" t="s">
        <v>59</v>
      </c>
      <c r="O4775" t="s">
        <v>14434</v>
      </c>
      <c r="P4775" t="str">
        <f>HYPERLINK("http://instagram.com/gigantijared")</f>
        <v>http://instagram.com/gigantijared</v>
      </c>
      <c r="Q4775">
        <v>119</v>
      </c>
      <c r="R4775" t="s">
        <v>60</v>
      </c>
      <c r="W4775">
        <v>25</v>
      </c>
      <c r="X4775">
        <v>25</v>
      </c>
      <c r="AE4775">
        <v>6</v>
      </c>
      <c r="AI4775" t="s">
        <v>108</v>
      </c>
      <c r="AJ4775" t="s">
        <v>5470</v>
      </c>
      <c r="AK4775" t="s">
        <v>52</v>
      </c>
      <c r="AL4775" t="str">
        <f>HYPERLINK("https://www.instagram.com/p/BzB1SfOHB_7/media/?size=l")</f>
        <v>https://www.instagram.com/p/BzB1SfOHB_7/media/?size=l</v>
      </c>
      <c r="AM4775" t="s">
        <v>52</v>
      </c>
      <c r="AN4775" t="s">
        <v>53</v>
      </c>
    </row>
    <row r="4776" spans="1:40">
      <c r="A4776" t="s">
        <v>13057</v>
      </c>
      <c r="B4776" t="s">
        <v>3974</v>
      </c>
      <c r="C4776" t="s">
        <v>14417</v>
      </c>
      <c r="D4776" t="s">
        <v>52</v>
      </c>
      <c r="E4776" t="s">
        <v>14435</v>
      </c>
      <c r="F4776" t="s">
        <v>95</v>
      </c>
      <c r="G4776" t="str">
        <f>HYPERLINK("https://twitter.com/937481141946216449/status/1142558157056557057")</f>
        <v>https://twitter.com/937481141946216449/status/1142558157056557057</v>
      </c>
      <c r="H4776" t="s">
        <v>46</v>
      </c>
      <c r="I4776" t="s">
        <v>9038</v>
      </c>
      <c r="J4776" t="str">
        <f>HYPERLINK("http://twitter.com/batnat280")</f>
        <v>http://twitter.com/batnat280</v>
      </c>
      <c r="K4776">
        <v>65</v>
      </c>
      <c r="L4776" t="s">
        <v>48</v>
      </c>
      <c r="N4776" t="s">
        <v>65</v>
      </c>
      <c r="R4776" t="s">
        <v>60</v>
      </c>
      <c r="S4776" t="s">
        <v>51</v>
      </c>
      <c r="T4776" t="s">
        <v>380</v>
      </c>
      <c r="U4776" t="s">
        <v>380</v>
      </c>
      <c r="W4776">
        <v>0</v>
      </c>
      <c r="X4776">
        <v>0</v>
      </c>
      <c r="AE4776">
        <v>0</v>
      </c>
      <c r="AF4776">
        <v>0</v>
      </c>
      <c r="AM4776" t="s">
        <v>52</v>
      </c>
      <c r="AN4776" t="s">
        <v>53</v>
      </c>
    </row>
    <row r="4777" spans="1:40">
      <c r="A4777" t="s">
        <v>13057</v>
      </c>
      <c r="B4777" t="s">
        <v>3981</v>
      </c>
      <c r="C4777" t="s">
        <v>14436</v>
      </c>
      <c r="D4777" t="s">
        <v>52</v>
      </c>
      <c r="E4777" t="s">
        <v>14437</v>
      </c>
      <c r="F4777" t="s">
        <v>95</v>
      </c>
      <c r="G4777" t="str">
        <f>HYPERLINK("https://twitter.com/780222704020549632/status/1142557980069638144")</f>
        <v>https://twitter.com/780222704020549632/status/1142557980069638144</v>
      </c>
      <c r="H4777" t="s">
        <v>46</v>
      </c>
      <c r="I4777" t="s">
        <v>14438</v>
      </c>
      <c r="J4777" t="str">
        <f>HYPERLINK("http://twitter.com/Tomi_Oliver1")</f>
        <v>http://twitter.com/Tomi_Oliver1</v>
      </c>
      <c r="K4777">
        <v>897</v>
      </c>
      <c r="N4777" t="s">
        <v>65</v>
      </c>
      <c r="R4777" t="s">
        <v>60</v>
      </c>
      <c r="S4777" t="s">
        <v>701</v>
      </c>
      <c r="T4777" t="s">
        <v>702</v>
      </c>
      <c r="U4777" t="s">
        <v>14439</v>
      </c>
      <c r="W4777">
        <v>1</v>
      </c>
      <c r="X4777">
        <v>1</v>
      </c>
      <c r="AE4777">
        <v>1</v>
      </c>
      <c r="AF4777">
        <v>0</v>
      </c>
      <c r="AM4777" t="s">
        <v>52</v>
      </c>
      <c r="AN4777" t="s">
        <v>53</v>
      </c>
    </row>
    <row r="4778" spans="1:40">
      <c r="A4778" t="s">
        <v>13057</v>
      </c>
      <c r="B4778" t="s">
        <v>3981</v>
      </c>
      <c r="C4778" t="s">
        <v>14436</v>
      </c>
      <c r="D4778" t="s">
        <v>52</v>
      </c>
      <c r="E4778" t="s">
        <v>14440</v>
      </c>
      <c r="F4778" t="s">
        <v>45</v>
      </c>
      <c r="G4778" t="str">
        <f>HYPERLINK("https://twitter.com/584209363/status/1142557962453573638")</f>
        <v>https://twitter.com/584209363/status/1142557962453573638</v>
      </c>
      <c r="H4778" t="s">
        <v>46</v>
      </c>
      <c r="I4778" t="s">
        <v>14441</v>
      </c>
      <c r="J4778" t="str">
        <f>HYPERLINK("http://twitter.com/clanjohncy")</f>
        <v>http://twitter.com/clanjohncy</v>
      </c>
      <c r="K4778">
        <v>195</v>
      </c>
      <c r="L4778" t="s">
        <v>48</v>
      </c>
      <c r="N4778" t="s">
        <v>65</v>
      </c>
      <c r="R4778" t="s">
        <v>60</v>
      </c>
      <c r="W4778">
        <v>5</v>
      </c>
      <c r="X4778">
        <v>5</v>
      </c>
      <c r="AE4778">
        <v>0</v>
      </c>
      <c r="AF4778">
        <v>0</v>
      </c>
      <c r="AM4778" t="s">
        <v>52</v>
      </c>
      <c r="AN4778" t="s">
        <v>53</v>
      </c>
    </row>
    <row r="4779" spans="1:40">
      <c r="A4779" t="s">
        <v>13057</v>
      </c>
      <c r="B4779" t="s">
        <v>3981</v>
      </c>
      <c r="C4779" t="s">
        <v>14442</v>
      </c>
      <c r="D4779" t="s">
        <v>52</v>
      </c>
      <c r="E4779" t="s">
        <v>4514</v>
      </c>
      <c r="F4779" t="s">
        <v>71</v>
      </c>
      <c r="G4779" t="str">
        <f>HYPERLINK("https://twitter.com/965331721674780672/status/1142557930446905344")</f>
        <v>https://twitter.com/965331721674780672/status/1142557930446905344</v>
      </c>
      <c r="H4779" t="s">
        <v>46</v>
      </c>
      <c r="I4779" t="s">
        <v>14443</v>
      </c>
      <c r="J4779" t="str">
        <f>HYPERLINK("http://twitter.com/taembling_")</f>
        <v>http://twitter.com/taembling_</v>
      </c>
      <c r="K4779">
        <v>1708</v>
      </c>
      <c r="N4779" t="s">
        <v>65</v>
      </c>
      <c r="R4779" t="s">
        <v>60</v>
      </c>
      <c r="S4779" t="s">
        <v>444</v>
      </c>
      <c r="T4779" t="s">
        <v>579</v>
      </c>
      <c r="U4779" t="s">
        <v>580</v>
      </c>
      <c r="W4779">
        <v>0</v>
      </c>
      <c r="X4779">
        <v>0</v>
      </c>
      <c r="AE4779">
        <v>0</v>
      </c>
      <c r="AF4779">
        <v>0</v>
      </c>
      <c r="AI4779" t="s">
        <v>108</v>
      </c>
      <c r="AJ4779" t="s">
        <v>52</v>
      </c>
      <c r="AK4779" t="s">
        <v>52</v>
      </c>
      <c r="AL4779" t="str">
        <f>HYPERLINK("https://pbs.twimg.com/tweet_video_thumb/D9hvNNzXUAATAS3.jpg")</f>
        <v>https://pbs.twimg.com/tweet_video_thumb/D9hvNNzXUAATAS3.jpg</v>
      </c>
      <c r="AM4779" t="s">
        <v>52</v>
      </c>
      <c r="AN4779" t="s">
        <v>53</v>
      </c>
    </row>
    <row r="4780" spans="1:40">
      <c r="A4780" t="s">
        <v>13057</v>
      </c>
      <c r="B4780" t="s">
        <v>3981</v>
      </c>
      <c r="C4780" t="s">
        <v>14444</v>
      </c>
      <c r="D4780" t="s">
        <v>52</v>
      </c>
      <c r="E4780" t="s">
        <v>14445</v>
      </c>
      <c r="F4780" t="s">
        <v>71</v>
      </c>
      <c r="G4780" t="str">
        <f>HYPERLINK("https://twitter.com/305011646/status/1142557926848192513")</f>
        <v>https://twitter.com/305011646/status/1142557926848192513</v>
      </c>
      <c r="H4780" t="s">
        <v>46</v>
      </c>
      <c r="I4780" t="s">
        <v>14446</v>
      </c>
      <c r="J4780" t="str">
        <f>HYPERLINK("http://twitter.com/Huey_G_Newton")</f>
        <v>http://twitter.com/Huey_G_Newton</v>
      </c>
      <c r="K4780">
        <v>630</v>
      </c>
      <c r="N4780" t="s">
        <v>65</v>
      </c>
      <c r="R4780" t="s">
        <v>60</v>
      </c>
      <c r="W4780">
        <v>0</v>
      </c>
      <c r="X4780">
        <v>0</v>
      </c>
      <c r="AE4780">
        <v>0</v>
      </c>
      <c r="AF4780">
        <v>0</v>
      </c>
      <c r="AM4780" t="s">
        <v>52</v>
      </c>
      <c r="AN4780" t="s">
        <v>53</v>
      </c>
    </row>
    <row r="4781" spans="1:40">
      <c r="A4781" t="s">
        <v>13057</v>
      </c>
      <c r="B4781" t="s">
        <v>3981</v>
      </c>
      <c r="C4781" t="s">
        <v>14444</v>
      </c>
      <c r="D4781" t="s">
        <v>52</v>
      </c>
      <c r="E4781" t="s">
        <v>14447</v>
      </c>
      <c r="F4781" t="s">
        <v>45</v>
      </c>
      <c r="G4781" t="str">
        <f>HYPERLINK("https://twitter.com/780222704020549632/status/1142557910473441280")</f>
        <v>https://twitter.com/780222704020549632/status/1142557910473441280</v>
      </c>
      <c r="H4781" t="s">
        <v>46</v>
      </c>
      <c r="I4781" t="s">
        <v>14438</v>
      </c>
      <c r="J4781" t="str">
        <f>HYPERLINK("http://twitter.com/Tomi_Oliver1")</f>
        <v>http://twitter.com/Tomi_Oliver1</v>
      </c>
      <c r="K4781">
        <v>897</v>
      </c>
      <c r="N4781" t="s">
        <v>65</v>
      </c>
      <c r="R4781" t="s">
        <v>60</v>
      </c>
      <c r="S4781" t="s">
        <v>701</v>
      </c>
      <c r="T4781" t="s">
        <v>702</v>
      </c>
      <c r="U4781" t="s">
        <v>14439</v>
      </c>
      <c r="W4781">
        <v>3</v>
      </c>
      <c r="X4781">
        <v>3</v>
      </c>
      <c r="AE4781">
        <v>2</v>
      </c>
      <c r="AF4781">
        <v>0</v>
      </c>
      <c r="AM4781" t="s">
        <v>52</v>
      </c>
      <c r="AN4781" t="s">
        <v>53</v>
      </c>
    </row>
    <row r="4782" spans="1:40">
      <c r="A4782" t="s">
        <v>13057</v>
      </c>
      <c r="B4782" t="s">
        <v>3981</v>
      </c>
      <c r="C4782" t="s">
        <v>6918</v>
      </c>
      <c r="D4782" t="s">
        <v>14448</v>
      </c>
      <c r="E4782" t="s">
        <v>14449</v>
      </c>
      <c r="F4782" t="s">
        <v>45</v>
      </c>
      <c r="G4782" t="str">
        <f>HYPERLINK("https://www.reddit.com/r/BlackPeopleTwitter/comments/c34d82/popeyes_would_never/?sort=new#thing_t1_erstsdm")</f>
        <v>https://www.reddit.com/r/BlackPeopleTwitter/comments/c34d82/popeyes_would_never/?sort=new#thing_t1_erstsdm</v>
      </c>
      <c r="H4782" t="s">
        <v>46</v>
      </c>
      <c r="I4782" t="s">
        <v>14450</v>
      </c>
      <c r="J4782" t="str">
        <f>HYPERLINK("https://www.reddit.com/r/BlackPeopleTwitter/comments/c34d82/popeyes_would_never/?sort=new#thing_t1_erstsdm")</f>
        <v>https://www.reddit.com/r/BlackPeopleTwitter/comments/c34d82/popeyes_would_never/?sort=new#thing_t1_erstsdm</v>
      </c>
      <c r="N4782" t="s">
        <v>545</v>
      </c>
      <c r="O4782" t="s">
        <v>14451</v>
      </c>
      <c r="P4782" t="str">
        <f>HYPERLINK("https://www.reddit.com/r/MBMBAM/")</f>
        <v>https://www.reddit.com/r/MBMBAM/</v>
      </c>
      <c r="R4782" t="s">
        <v>516</v>
      </c>
      <c r="S4782" t="s">
        <v>51</v>
      </c>
      <c r="AM4782" t="s">
        <v>52</v>
      </c>
      <c r="AN4782" t="s">
        <v>53</v>
      </c>
    </row>
    <row r="4783" spans="1:40">
      <c r="A4783" t="s">
        <v>13057</v>
      </c>
      <c r="B4783" t="s">
        <v>3981</v>
      </c>
      <c r="C4783" t="s">
        <v>13806</v>
      </c>
      <c r="D4783" t="s">
        <v>14452</v>
      </c>
      <c r="E4783" t="s">
        <v>14453</v>
      </c>
      <c r="F4783" t="s">
        <v>45</v>
      </c>
      <c r="G4783" t="str">
        <f>HYPERLINK("https://soulrunnings.blogspot.com/2019/06/year-four-day-156-cupcake-and-i.html")</f>
        <v>https://soulrunnings.blogspot.com/2019/06/year-four-day-156-cupcake-and-i.html</v>
      </c>
      <c r="H4783" t="s">
        <v>46</v>
      </c>
      <c r="I4783" t="s">
        <v>14454</v>
      </c>
      <c r="J4783" t="str">
        <f>HYPERLINK("https://soulrunnings.blogspot.com/2019/06/year-four-day-156-cupcake-and-i.html")</f>
        <v>https://soulrunnings.blogspot.com/2019/06/year-four-day-156-cupcake-and-i.html</v>
      </c>
      <c r="N4783" t="s">
        <v>2497</v>
      </c>
      <c r="R4783" t="s">
        <v>50</v>
      </c>
      <c r="S4783" t="s">
        <v>51</v>
      </c>
      <c r="AM4783" t="s">
        <v>52</v>
      </c>
      <c r="AN4783" t="s">
        <v>53</v>
      </c>
    </row>
    <row r="4784" spans="1:40">
      <c r="A4784" t="s">
        <v>13057</v>
      </c>
      <c r="B4784" t="s">
        <v>9641</v>
      </c>
      <c r="C4784" t="s">
        <v>14455</v>
      </c>
      <c r="D4784" t="s">
        <v>52</v>
      </c>
      <c r="E4784" t="s">
        <v>130</v>
      </c>
      <c r="F4784" t="s">
        <v>131</v>
      </c>
      <c r="G4784" t="str">
        <f>HYPERLINK("https://twitter.com/20563745/status/1142557828504309765")</f>
        <v>https://twitter.com/20563745/status/1142557828504309765</v>
      </c>
      <c r="H4784" t="s">
        <v>46</v>
      </c>
      <c r="I4784" t="s">
        <v>14456</v>
      </c>
      <c r="J4784" t="str">
        <f>HYPERLINK("http://twitter.com/eddie494")</f>
        <v>http://twitter.com/eddie494</v>
      </c>
      <c r="K4784">
        <v>101</v>
      </c>
      <c r="L4784" t="s">
        <v>48</v>
      </c>
      <c r="N4784" t="s">
        <v>65</v>
      </c>
      <c r="R4784" t="s">
        <v>60</v>
      </c>
      <c r="S4784" t="s">
        <v>97</v>
      </c>
      <c r="T4784" t="s">
        <v>177</v>
      </c>
      <c r="U4784" t="s">
        <v>14457</v>
      </c>
      <c r="W4784">
        <v>0</v>
      </c>
      <c r="X4784">
        <v>0</v>
      </c>
      <c r="AE4784">
        <v>0</v>
      </c>
      <c r="AI4784" t="s">
        <v>108</v>
      </c>
      <c r="AJ4784" t="s">
        <v>52</v>
      </c>
      <c r="AK4784" t="s">
        <v>52</v>
      </c>
      <c r="AL4784" t="str">
        <f>HYPERLINK("https://pbs.twimg.com/media/D9XTkLWW4AAOYnJ.jpg")</f>
        <v>https://pbs.twimg.com/media/D9XTkLWW4AAOYnJ.jpg</v>
      </c>
      <c r="AM4784" t="s">
        <v>52</v>
      </c>
      <c r="AN4784" t="s">
        <v>53</v>
      </c>
    </row>
    <row r="4785" spans="1:40">
      <c r="A4785" t="s">
        <v>13057</v>
      </c>
      <c r="B4785" t="s">
        <v>9641</v>
      </c>
      <c r="C4785" t="s">
        <v>14455</v>
      </c>
      <c r="D4785" t="s">
        <v>52</v>
      </c>
      <c r="E4785" t="s">
        <v>14458</v>
      </c>
      <c r="F4785" t="s">
        <v>71</v>
      </c>
      <c r="G4785" t="str">
        <f>HYPERLINK("https://twitter.com/70590783/status/1142557798707814400")</f>
        <v>https://twitter.com/70590783/status/1142557798707814400</v>
      </c>
      <c r="H4785" t="s">
        <v>46</v>
      </c>
      <c r="I4785" t="s">
        <v>14459</v>
      </c>
      <c r="J4785" t="str">
        <f>HYPERLINK("http://twitter.com/flik258")</f>
        <v>http://twitter.com/flik258</v>
      </c>
      <c r="K4785">
        <v>339</v>
      </c>
      <c r="N4785" t="s">
        <v>65</v>
      </c>
      <c r="R4785" t="s">
        <v>60</v>
      </c>
      <c r="S4785" t="s">
        <v>97</v>
      </c>
      <c r="T4785" t="s">
        <v>177</v>
      </c>
      <c r="U4785" t="s">
        <v>1024</v>
      </c>
      <c r="W4785">
        <v>1</v>
      </c>
      <c r="X4785">
        <v>1</v>
      </c>
      <c r="AE4785">
        <v>0</v>
      </c>
      <c r="AF4785">
        <v>0</v>
      </c>
      <c r="AI4785" t="s">
        <v>108</v>
      </c>
      <c r="AJ4785" t="s">
        <v>52</v>
      </c>
      <c r="AK4785" t="s">
        <v>52</v>
      </c>
      <c r="AL4785" t="str">
        <f>HYPERLINK("https://pbs.twimg.com/media/D9suQluUYAATBhl.jpg")</f>
        <v>https://pbs.twimg.com/media/D9suQluUYAATBhl.jpg</v>
      </c>
      <c r="AM4785" t="s">
        <v>52</v>
      </c>
      <c r="AN4785" t="s">
        <v>53</v>
      </c>
    </row>
    <row r="4786" spans="1:40">
      <c r="A4786" t="s">
        <v>13057</v>
      </c>
      <c r="B4786" t="s">
        <v>3989</v>
      </c>
      <c r="C4786" t="s">
        <v>14460</v>
      </c>
      <c r="D4786" t="s">
        <v>14461</v>
      </c>
      <c r="E4786" t="s">
        <v>14462</v>
      </c>
      <c r="F4786" t="s">
        <v>45</v>
      </c>
      <c r="G4786" t="str">
        <f>HYPERLINK("https://www.youtube.com/watch?v=S522zZY7npY")</f>
        <v>https://www.youtube.com/watch?v=S522zZY7npY</v>
      </c>
      <c r="H4786" t="s">
        <v>46</v>
      </c>
      <c r="I4786" t="s">
        <v>14463</v>
      </c>
      <c r="J4786" t="str">
        <f>HYPERLINK("https://www.youtube.com/channel/UCviAqiQJirYMoRRKNVgwy0A")</f>
        <v>https://www.youtube.com/channel/UCviAqiQJirYMoRRKNVgwy0A</v>
      </c>
      <c r="K4786">
        <v>25</v>
      </c>
      <c r="N4786" t="s">
        <v>116</v>
      </c>
      <c r="O4786" t="s">
        <v>14463</v>
      </c>
      <c r="P4786" t="str">
        <f>HYPERLINK("https://www.youtube.com/channel/UCviAqiQJirYMoRRKNVgwy0A")</f>
        <v>https://www.youtube.com/channel/UCviAqiQJirYMoRRKNVgwy0A</v>
      </c>
      <c r="Q4786">
        <v>25</v>
      </c>
      <c r="R4786" t="s">
        <v>60</v>
      </c>
      <c r="W4786">
        <v>0</v>
      </c>
      <c r="X4786">
        <v>0</v>
      </c>
      <c r="AD4786">
        <v>0</v>
      </c>
      <c r="AE4786">
        <v>0</v>
      </c>
      <c r="AG4786">
        <v>7</v>
      </c>
      <c r="AI4786" t="s">
        <v>52</v>
      </c>
      <c r="AJ4786" t="s">
        <v>458</v>
      </c>
      <c r="AK4786" t="s">
        <v>52</v>
      </c>
      <c r="AL4786" t="str">
        <f>HYPERLINK("https://i.ytimg.com/vi/S522zZY7npY/maxresdefault.jpg")</f>
        <v>https://i.ytimg.com/vi/S522zZY7npY/maxresdefault.jpg</v>
      </c>
      <c r="AM4786" t="s">
        <v>52</v>
      </c>
      <c r="AN4786" t="s">
        <v>53</v>
      </c>
    </row>
    <row r="4787" spans="1:40">
      <c r="A4787" t="s">
        <v>13057</v>
      </c>
      <c r="B4787" t="s">
        <v>9649</v>
      </c>
      <c r="C4787" t="s">
        <v>14464</v>
      </c>
      <c r="D4787" t="s">
        <v>52</v>
      </c>
      <c r="E4787" t="s">
        <v>4514</v>
      </c>
      <c r="F4787" t="s">
        <v>71</v>
      </c>
      <c r="G4787" t="str">
        <f>HYPERLINK("https://twitter.com/3054693096/status/1142557185605373952")</f>
        <v>https://twitter.com/3054693096/status/1142557185605373952</v>
      </c>
      <c r="H4787" t="s">
        <v>46</v>
      </c>
      <c r="I4787" t="s">
        <v>14465</v>
      </c>
      <c r="J4787" t="str">
        <f>HYPERLINK("http://twitter.com/KIMUSHUN199839")</f>
        <v>http://twitter.com/KIMUSHUN199839</v>
      </c>
      <c r="K4787">
        <v>4317</v>
      </c>
      <c r="N4787" t="s">
        <v>65</v>
      </c>
      <c r="R4787" t="s">
        <v>60</v>
      </c>
      <c r="S4787" t="s">
        <v>8494</v>
      </c>
      <c r="T4787" t="s">
        <v>8495</v>
      </c>
      <c r="U4787" t="s">
        <v>14466</v>
      </c>
      <c r="W4787">
        <v>0</v>
      </c>
      <c r="X4787">
        <v>0</v>
      </c>
      <c r="AE4787">
        <v>0</v>
      </c>
      <c r="AF4787">
        <v>0</v>
      </c>
      <c r="AI4787" t="s">
        <v>108</v>
      </c>
      <c r="AJ4787" t="s">
        <v>52</v>
      </c>
      <c r="AK4787" t="s">
        <v>52</v>
      </c>
      <c r="AL4787" t="str">
        <f>HYPERLINK("https://pbs.twimg.com/tweet_video_thumb/D9hvNNzXUAATAS3.jpg")</f>
        <v>https://pbs.twimg.com/tweet_video_thumb/D9hvNNzXUAATAS3.jpg</v>
      </c>
      <c r="AM4787" t="s">
        <v>52</v>
      </c>
      <c r="AN4787" t="s">
        <v>53</v>
      </c>
    </row>
    <row r="4788" spans="1:40">
      <c r="A4788" t="s">
        <v>13057</v>
      </c>
      <c r="B4788" t="s">
        <v>3991</v>
      </c>
      <c r="C4788" t="s">
        <v>14467</v>
      </c>
      <c r="D4788" t="s">
        <v>52</v>
      </c>
      <c r="E4788" t="s">
        <v>14468</v>
      </c>
      <c r="F4788" t="s">
        <v>45</v>
      </c>
      <c r="G4788" t="str">
        <f>HYPERLINK("https://www.facebook.com/846363288803548/posts/1946751308764735")</f>
        <v>https://www.facebook.com/846363288803548/posts/1946751308764735</v>
      </c>
      <c r="H4788" t="s">
        <v>46</v>
      </c>
      <c r="I4788" t="s">
        <v>14469</v>
      </c>
      <c r="J4788" t="str">
        <f>HYPERLINK("https://www.facebook.com/846363288803548")</f>
        <v>https://www.facebook.com/846363288803548</v>
      </c>
      <c r="K4788">
        <v>103376</v>
      </c>
      <c r="L4788" t="s">
        <v>651</v>
      </c>
      <c r="N4788" t="s">
        <v>1792</v>
      </c>
      <c r="O4788" t="s">
        <v>14469</v>
      </c>
      <c r="P4788" t="str">
        <f>HYPERLINK("https://www.facebook.com/846363288803548")</f>
        <v>https://www.facebook.com/846363288803548</v>
      </c>
      <c r="Q4788">
        <v>103376</v>
      </c>
      <c r="R4788" t="s">
        <v>60</v>
      </c>
      <c r="W4788">
        <v>7</v>
      </c>
      <c r="X4788">
        <v>7</v>
      </c>
      <c r="Y4788">
        <v>0</v>
      </c>
      <c r="Z4788">
        <v>0</v>
      </c>
      <c r="AA4788">
        <v>0</v>
      </c>
      <c r="AB4788">
        <v>0</v>
      </c>
      <c r="AC4788">
        <v>0</v>
      </c>
      <c r="AE4788">
        <v>0</v>
      </c>
      <c r="AF4788">
        <v>4</v>
      </c>
      <c r="AI4788" t="s">
        <v>52</v>
      </c>
      <c r="AJ4788" t="s">
        <v>4412</v>
      </c>
      <c r="AK4788" t="s">
        <v>52</v>
      </c>
      <c r="AL4788" t="str">
        <f>HYPERLINK("https://scontent.xx.fbcdn.net/v/t1.0-9/s720x720/64728546_1946751255431407_4124583718574620672_n.jpg?_nc_cat=108&amp;_nc_oc=AQn_GTKY7PyYteuaogfYU82_2AJiZiM1Fd99k55LD5mL1vMnu3UYOwP3Mnn-azi7qH4&amp;_nc_ht=scontent.xx&amp;oh=e97b5ee42b2c46a278d20ec18b632541&amp;oe=5D790929")</f>
        <v>https://scontent.xx.fbcdn.net/v/t1.0-9/s720x720/64728546_1946751255431407_4124583718574620672_n.jpg?_nc_cat=108&amp;_nc_oc=AQn_GTKY7PyYteuaogfYU82_2AJiZiM1Fd99k55LD5mL1vMnu3UYOwP3Mnn-azi7qH4&amp;_nc_ht=scontent.xx&amp;oh=e97b5ee42b2c46a278d20ec18b632541&amp;oe=5D790929</v>
      </c>
      <c r="AM4788" t="s">
        <v>52</v>
      </c>
      <c r="AN4788" t="s">
        <v>53</v>
      </c>
    </row>
    <row r="4789" spans="1:40">
      <c r="A4789" t="s">
        <v>13057</v>
      </c>
      <c r="B4789" t="s">
        <v>3991</v>
      </c>
      <c r="C4789" t="s">
        <v>14470</v>
      </c>
      <c r="D4789" t="s">
        <v>52</v>
      </c>
      <c r="E4789" t="s">
        <v>14471</v>
      </c>
      <c r="F4789" t="s">
        <v>45</v>
      </c>
      <c r="G4789" t="str">
        <f>HYPERLINK("https://twitter.com/60007394/status/1142557030961467393")</f>
        <v>https://twitter.com/60007394/status/1142557030961467393</v>
      </c>
      <c r="H4789" t="s">
        <v>46</v>
      </c>
      <c r="I4789" t="s">
        <v>14472</v>
      </c>
      <c r="J4789" t="str">
        <f>HYPERLINK("http://twitter.com/charlmander")</f>
        <v>http://twitter.com/charlmander</v>
      </c>
      <c r="K4789">
        <v>948</v>
      </c>
      <c r="N4789" t="s">
        <v>65</v>
      </c>
      <c r="R4789" t="s">
        <v>60</v>
      </c>
      <c r="S4789" t="s">
        <v>1530</v>
      </c>
      <c r="T4789" t="s">
        <v>1531</v>
      </c>
      <c r="U4789" t="s">
        <v>1532</v>
      </c>
      <c r="W4789">
        <v>8</v>
      </c>
      <c r="X4789">
        <v>8</v>
      </c>
      <c r="AE4789">
        <v>2</v>
      </c>
      <c r="AF4789">
        <v>0</v>
      </c>
      <c r="AM4789" t="s">
        <v>52</v>
      </c>
      <c r="AN4789" t="s">
        <v>53</v>
      </c>
    </row>
    <row r="4790" spans="1:40">
      <c r="A4790" t="s">
        <v>13057</v>
      </c>
      <c r="B4790" t="s">
        <v>4000</v>
      </c>
      <c r="C4790" t="s">
        <v>14367</v>
      </c>
      <c r="D4790" t="s">
        <v>52</v>
      </c>
      <c r="E4790" t="s">
        <v>14473</v>
      </c>
      <c r="F4790" t="s">
        <v>45</v>
      </c>
      <c r="G4790" t="str">
        <f>HYPERLINK("https://www.instagram.com/p/BzB0bxYgKsy")</f>
        <v>https://www.instagram.com/p/BzB0bxYgKsy</v>
      </c>
      <c r="H4790" t="s">
        <v>46</v>
      </c>
      <c r="I4790" t="s">
        <v>14474</v>
      </c>
      <c r="J4790" t="str">
        <f>HYPERLINK("http://instagram.com/saieii")</f>
        <v>http://instagram.com/saieii</v>
      </c>
      <c r="K4790">
        <v>2977</v>
      </c>
      <c r="L4790" t="s">
        <v>48</v>
      </c>
      <c r="N4790" t="s">
        <v>59</v>
      </c>
      <c r="O4790" t="s">
        <v>14474</v>
      </c>
      <c r="P4790" t="str">
        <f>HYPERLINK("http://instagram.com/saieii")</f>
        <v>http://instagram.com/saieii</v>
      </c>
      <c r="Q4790">
        <v>2977</v>
      </c>
      <c r="R4790" t="s">
        <v>60</v>
      </c>
      <c r="S4790" t="s">
        <v>444</v>
      </c>
      <c r="T4790" t="s">
        <v>3183</v>
      </c>
      <c r="U4790" t="s">
        <v>12913</v>
      </c>
      <c r="W4790">
        <v>59</v>
      </c>
      <c r="X4790">
        <v>59</v>
      </c>
      <c r="AE4790">
        <v>1</v>
      </c>
      <c r="AI4790" t="s">
        <v>52</v>
      </c>
      <c r="AJ4790" t="s">
        <v>14475</v>
      </c>
      <c r="AK4790" t="s">
        <v>52</v>
      </c>
      <c r="AL4790" t="str">
        <f>HYPERLINK("https://www.instagram.com/p/BzB0bxYgKsy/media/?size=l")</f>
        <v>https://www.instagram.com/p/BzB0bxYgKsy/media/?size=l</v>
      </c>
      <c r="AM4790" t="s">
        <v>52</v>
      </c>
      <c r="AN4790" t="s">
        <v>53</v>
      </c>
    </row>
    <row r="4791" spans="1:40">
      <c r="A4791" t="s">
        <v>13057</v>
      </c>
      <c r="B4791" t="s">
        <v>4000</v>
      </c>
      <c r="C4791" t="s">
        <v>14476</v>
      </c>
      <c r="D4791" t="s">
        <v>52</v>
      </c>
      <c r="E4791" t="s">
        <v>14477</v>
      </c>
      <c r="F4791" t="s">
        <v>45</v>
      </c>
      <c r="G4791" t="str">
        <f>HYPERLINK("https://twitter.com/864344968449544192/status/1142556508061929472")</f>
        <v>https://twitter.com/864344968449544192/status/1142556508061929472</v>
      </c>
      <c r="H4791" t="s">
        <v>46</v>
      </c>
      <c r="I4791" t="s">
        <v>14478</v>
      </c>
      <c r="J4791" t="str">
        <f>HYPERLINK("http://twitter.com/wednesday_noir")</f>
        <v>http://twitter.com/wednesday_noir</v>
      </c>
      <c r="K4791">
        <v>6438</v>
      </c>
      <c r="N4791" t="s">
        <v>65</v>
      </c>
      <c r="R4791" t="s">
        <v>60</v>
      </c>
      <c r="W4791">
        <v>14</v>
      </c>
      <c r="X4791">
        <v>14</v>
      </c>
      <c r="AE4791">
        <v>6</v>
      </c>
      <c r="AF4791">
        <v>1</v>
      </c>
      <c r="AI4791" t="s">
        <v>52</v>
      </c>
      <c r="AJ4791" t="s">
        <v>1763</v>
      </c>
      <c r="AK4791" t="s">
        <v>52</v>
      </c>
      <c r="AL4791" t="str">
        <f>HYPERLINK("https://pbs.twimg.com/tweet_video_thumb/D9stCWQW4AEVv00.jpg")</f>
        <v>https://pbs.twimg.com/tweet_video_thumb/D9stCWQW4AEVv00.jpg</v>
      </c>
      <c r="AM4791" t="s">
        <v>52</v>
      </c>
      <c r="AN4791" t="s">
        <v>53</v>
      </c>
    </row>
    <row r="4792" spans="1:40">
      <c r="A4792" t="s">
        <v>13057</v>
      </c>
      <c r="B4792" t="s">
        <v>4010</v>
      </c>
      <c r="C4792" t="s">
        <v>12251</v>
      </c>
      <c r="D4792" t="s">
        <v>52</v>
      </c>
      <c r="E4792" t="s">
        <v>14479</v>
      </c>
      <c r="F4792" t="s">
        <v>45</v>
      </c>
      <c r="G4792" t="str">
        <f>HYPERLINK("https://www.instagram.com/p/BzB0VCmBUYi")</f>
        <v>https://www.instagram.com/p/BzB0VCmBUYi</v>
      </c>
      <c r="H4792" t="s">
        <v>46</v>
      </c>
      <c r="I4792" t="s">
        <v>14480</v>
      </c>
      <c r="J4792" t="str">
        <f>HYPERLINK("http://instagram.com/monikaryan4")</f>
        <v>http://instagram.com/monikaryan4</v>
      </c>
      <c r="K4792">
        <v>118</v>
      </c>
      <c r="L4792" t="s">
        <v>58</v>
      </c>
      <c r="N4792" t="s">
        <v>59</v>
      </c>
      <c r="O4792" t="s">
        <v>14480</v>
      </c>
      <c r="P4792" t="str">
        <f>HYPERLINK("http://instagram.com/monikaryan4")</f>
        <v>http://instagram.com/monikaryan4</v>
      </c>
      <c r="Q4792">
        <v>118</v>
      </c>
      <c r="R4792" t="s">
        <v>60</v>
      </c>
      <c r="W4792">
        <v>6</v>
      </c>
      <c r="X4792">
        <v>6</v>
      </c>
      <c r="AE4792">
        <v>0</v>
      </c>
      <c r="AI4792" t="s">
        <v>5469</v>
      </c>
      <c r="AJ4792" t="s">
        <v>14481</v>
      </c>
      <c r="AK4792" t="s">
        <v>52</v>
      </c>
      <c r="AL4792" t="str">
        <f>HYPERLINK("https://www.instagram.com/p/BzB0VCmBUYi/media/?size=l")</f>
        <v>https://www.instagram.com/p/BzB0VCmBUYi/media/?size=l</v>
      </c>
      <c r="AM4792" t="s">
        <v>52</v>
      </c>
      <c r="AN4792" t="s">
        <v>53</v>
      </c>
    </row>
    <row r="4793" spans="1:40">
      <c r="A4793" t="s">
        <v>13057</v>
      </c>
      <c r="B4793" t="s">
        <v>4010</v>
      </c>
      <c r="C4793" t="s">
        <v>14424</v>
      </c>
      <c r="D4793" t="s">
        <v>52</v>
      </c>
      <c r="E4793" t="s">
        <v>14482</v>
      </c>
      <c r="F4793" t="s">
        <v>45</v>
      </c>
      <c r="G4793" t="str">
        <f>HYPERLINK("https://www.instagram.com/p/BzB0N6gHSip")</f>
        <v>https://www.instagram.com/p/BzB0N6gHSip</v>
      </c>
      <c r="H4793" t="s">
        <v>46</v>
      </c>
      <c r="I4793" t="s">
        <v>14483</v>
      </c>
      <c r="J4793" t="str">
        <f>HYPERLINK("http://instagram.com/mariscos_frescos")</f>
        <v>http://instagram.com/mariscos_frescos</v>
      </c>
      <c r="K4793">
        <v>1524</v>
      </c>
      <c r="L4793" t="s">
        <v>651</v>
      </c>
      <c r="N4793" t="s">
        <v>59</v>
      </c>
      <c r="O4793" t="s">
        <v>14483</v>
      </c>
      <c r="P4793" t="str">
        <f>HYPERLINK("http://instagram.com/mariscos_frescos")</f>
        <v>http://instagram.com/mariscos_frescos</v>
      </c>
      <c r="Q4793">
        <v>1524</v>
      </c>
      <c r="R4793" t="s">
        <v>60</v>
      </c>
      <c r="S4793" t="s">
        <v>51</v>
      </c>
      <c r="T4793" t="s">
        <v>4265</v>
      </c>
      <c r="U4793" t="s">
        <v>14484</v>
      </c>
      <c r="W4793">
        <v>33</v>
      </c>
      <c r="X4793">
        <v>33</v>
      </c>
      <c r="AE4793">
        <v>0</v>
      </c>
      <c r="AG4793">
        <v>179</v>
      </c>
      <c r="AI4793" t="s">
        <v>52</v>
      </c>
      <c r="AJ4793" t="s">
        <v>14485</v>
      </c>
      <c r="AK4793" t="s">
        <v>52</v>
      </c>
      <c r="AL4793" t="str">
        <f>HYPERLINK("https://www.instagram.com/p/BzB0N6gHSip/media/?size=l")</f>
        <v>https://www.instagram.com/p/BzB0N6gHSip/media/?size=l</v>
      </c>
      <c r="AM4793" t="s">
        <v>52</v>
      </c>
      <c r="AN4793" t="s">
        <v>53</v>
      </c>
    </row>
    <row r="4794" spans="1:40">
      <c r="A4794" t="s">
        <v>13057</v>
      </c>
      <c r="B4794" t="s">
        <v>4010</v>
      </c>
      <c r="C4794" t="s">
        <v>14486</v>
      </c>
      <c r="D4794" t="s">
        <v>52</v>
      </c>
      <c r="E4794" t="s">
        <v>14487</v>
      </c>
      <c r="F4794" t="s">
        <v>45</v>
      </c>
      <c r="G4794" t="str">
        <f>HYPERLINK("https://www.instagram.com/p/BzB0PsOgcIO")</f>
        <v>https://www.instagram.com/p/BzB0PsOgcIO</v>
      </c>
      <c r="H4794" t="s">
        <v>46</v>
      </c>
      <c r="I4794" t="s">
        <v>9018</v>
      </c>
      <c r="J4794" t="str">
        <f>HYPERLINK("http://instagram.com/e_kitchen92")</f>
        <v>http://instagram.com/e_kitchen92</v>
      </c>
      <c r="K4794">
        <v>1409</v>
      </c>
      <c r="N4794" t="s">
        <v>59</v>
      </c>
      <c r="O4794" t="s">
        <v>9018</v>
      </c>
      <c r="P4794" t="str">
        <f>HYPERLINK("http://instagram.com/e_kitchen92")</f>
        <v>http://instagram.com/e_kitchen92</v>
      </c>
      <c r="Q4794">
        <v>1409</v>
      </c>
      <c r="R4794" t="s">
        <v>60</v>
      </c>
      <c r="W4794">
        <v>28</v>
      </c>
      <c r="X4794">
        <v>28</v>
      </c>
      <c r="AE4794">
        <v>0</v>
      </c>
      <c r="AI4794" t="s">
        <v>52</v>
      </c>
      <c r="AJ4794" t="s">
        <v>14488</v>
      </c>
      <c r="AK4794" t="s">
        <v>52</v>
      </c>
      <c r="AL4794" t="str">
        <f>HYPERLINK("https://www.instagram.com/p/BzB0PsOgcIO/media/?size=l")</f>
        <v>https://www.instagram.com/p/BzB0PsOgcIO/media/?size=l</v>
      </c>
      <c r="AM4794" t="s">
        <v>52</v>
      </c>
      <c r="AN4794" t="s">
        <v>53</v>
      </c>
    </row>
    <row r="4795" spans="1:40">
      <c r="A4795" t="s">
        <v>13057</v>
      </c>
      <c r="B4795" t="s">
        <v>4010</v>
      </c>
      <c r="C4795" t="s">
        <v>14489</v>
      </c>
      <c r="D4795" t="s">
        <v>14490</v>
      </c>
      <c r="E4795" t="s">
        <v>14490</v>
      </c>
      <c r="F4795" t="s">
        <v>45</v>
      </c>
      <c r="G4795" t="str">
        <f>HYPERLINK("https://www.youtube.com/watch?v=47YtLAD2NOY")</f>
        <v>https://www.youtube.com/watch?v=47YtLAD2NOY</v>
      </c>
      <c r="H4795" t="s">
        <v>46</v>
      </c>
      <c r="I4795" t="s">
        <v>14491</v>
      </c>
      <c r="J4795" t="str">
        <f>HYPERLINK("https://www.youtube.com/channel/UCOnS_UADB1dlEEs4NGbLNkQ")</f>
        <v>https://www.youtube.com/channel/UCOnS_UADB1dlEEs4NGbLNkQ</v>
      </c>
      <c r="K4795">
        <v>24</v>
      </c>
      <c r="N4795" t="s">
        <v>116</v>
      </c>
      <c r="O4795" t="s">
        <v>14491</v>
      </c>
      <c r="P4795" t="str">
        <f>HYPERLINK("https://www.youtube.com/channel/UCOnS_UADB1dlEEs4NGbLNkQ")</f>
        <v>https://www.youtube.com/channel/UCOnS_UADB1dlEEs4NGbLNkQ</v>
      </c>
      <c r="Q4795">
        <v>24</v>
      </c>
      <c r="R4795" t="s">
        <v>60</v>
      </c>
      <c r="W4795">
        <v>3</v>
      </c>
      <c r="X4795">
        <v>3</v>
      </c>
      <c r="AD4795">
        <v>4</v>
      </c>
      <c r="AE4795">
        <v>1</v>
      </c>
      <c r="AG4795">
        <v>70</v>
      </c>
      <c r="AI4795" t="s">
        <v>52</v>
      </c>
      <c r="AJ4795" t="s">
        <v>52</v>
      </c>
      <c r="AK4795" t="s">
        <v>52</v>
      </c>
      <c r="AL4795" t="str">
        <f>HYPERLINK("https://i.ytimg.com/vi/47YtLAD2NOY/hqdefault.jpg")</f>
        <v>https://i.ytimg.com/vi/47YtLAD2NOY/hqdefault.jpg</v>
      </c>
      <c r="AM4795" t="s">
        <v>52</v>
      </c>
      <c r="AN4795" t="s">
        <v>53</v>
      </c>
    </row>
    <row r="4796" spans="1:40">
      <c r="A4796" t="s">
        <v>13057</v>
      </c>
      <c r="B4796" t="s">
        <v>4015</v>
      </c>
      <c r="C4796" t="s">
        <v>14424</v>
      </c>
      <c r="D4796" t="s">
        <v>52</v>
      </c>
      <c r="E4796" t="s">
        <v>14492</v>
      </c>
      <c r="F4796" t="s">
        <v>45</v>
      </c>
      <c r="G4796" t="str">
        <f>HYPERLINK("https://www.instagram.com/p/BzB0I96H6I4")</f>
        <v>https://www.instagram.com/p/BzB0I96H6I4</v>
      </c>
      <c r="H4796" t="s">
        <v>46</v>
      </c>
      <c r="I4796" t="s">
        <v>14483</v>
      </c>
      <c r="J4796" t="str">
        <f>HYPERLINK("http://instagram.com/mariscos_frescos")</f>
        <v>http://instagram.com/mariscos_frescos</v>
      </c>
      <c r="K4796">
        <v>1524</v>
      </c>
      <c r="L4796" t="s">
        <v>651</v>
      </c>
      <c r="N4796" t="s">
        <v>59</v>
      </c>
      <c r="O4796" t="s">
        <v>14483</v>
      </c>
      <c r="P4796" t="str">
        <f>HYPERLINK("http://instagram.com/mariscos_frescos")</f>
        <v>http://instagram.com/mariscos_frescos</v>
      </c>
      <c r="Q4796">
        <v>1524</v>
      </c>
      <c r="R4796" t="s">
        <v>60</v>
      </c>
      <c r="S4796" t="s">
        <v>51</v>
      </c>
      <c r="T4796" t="s">
        <v>4265</v>
      </c>
      <c r="U4796" t="s">
        <v>6029</v>
      </c>
      <c r="W4796">
        <v>27</v>
      </c>
      <c r="X4796">
        <v>27</v>
      </c>
      <c r="AE4796">
        <v>0</v>
      </c>
      <c r="AI4796" t="s">
        <v>52</v>
      </c>
      <c r="AJ4796" t="s">
        <v>740</v>
      </c>
      <c r="AK4796" t="s">
        <v>8896</v>
      </c>
      <c r="AL4796" t="str">
        <f>HYPERLINK("https://www.instagram.com/p/BzB0I96H6I4/media/?size=l")</f>
        <v>https://www.instagram.com/p/BzB0I96H6I4/media/?size=l</v>
      </c>
      <c r="AM4796" t="s">
        <v>52</v>
      </c>
      <c r="AN4796" t="s">
        <v>53</v>
      </c>
    </row>
    <row r="4797" spans="1:40">
      <c r="A4797" t="s">
        <v>13057</v>
      </c>
      <c r="B4797" t="s">
        <v>4019</v>
      </c>
      <c r="C4797" t="s">
        <v>14493</v>
      </c>
      <c r="D4797" t="s">
        <v>52</v>
      </c>
      <c r="E4797" t="s">
        <v>14494</v>
      </c>
      <c r="F4797" t="s">
        <v>45</v>
      </c>
      <c r="G4797" t="str">
        <f>HYPERLINK("https://www.instagram.com/p/BzB0G4qjZEC")</f>
        <v>https://www.instagram.com/p/BzB0G4qjZEC</v>
      </c>
      <c r="H4797" t="s">
        <v>46</v>
      </c>
      <c r="I4797" t="s">
        <v>14495</v>
      </c>
      <c r="J4797" t="str">
        <f>HYPERLINK("http://instagram.com/sweet__squish")</f>
        <v>http://instagram.com/sweet__squish</v>
      </c>
      <c r="K4797">
        <v>113</v>
      </c>
      <c r="N4797" t="s">
        <v>59</v>
      </c>
      <c r="O4797" t="s">
        <v>14495</v>
      </c>
      <c r="P4797" t="str">
        <f>HYPERLINK("http://instagram.com/sweet__squish")</f>
        <v>http://instagram.com/sweet__squish</v>
      </c>
      <c r="Q4797">
        <v>113</v>
      </c>
      <c r="R4797" t="s">
        <v>60</v>
      </c>
      <c r="W4797">
        <v>3</v>
      </c>
      <c r="X4797">
        <v>3</v>
      </c>
      <c r="AE4797">
        <v>0</v>
      </c>
      <c r="AI4797" t="s">
        <v>108</v>
      </c>
      <c r="AJ4797" t="s">
        <v>52</v>
      </c>
      <c r="AK4797" t="s">
        <v>52</v>
      </c>
      <c r="AL4797" t="str">
        <f>HYPERLINK("https://www.instagram.com/p/BzB0G4qjZEC/media/?size=l")</f>
        <v>https://www.instagram.com/p/BzB0G4qjZEC/media/?size=l</v>
      </c>
      <c r="AM4797" t="s">
        <v>52</v>
      </c>
      <c r="AN4797" t="s">
        <v>53</v>
      </c>
    </row>
    <row r="4798" spans="1:40">
      <c r="A4798" t="s">
        <v>13057</v>
      </c>
      <c r="B4798" t="s">
        <v>4019</v>
      </c>
      <c r="C4798" t="s">
        <v>14496</v>
      </c>
      <c r="D4798" t="s">
        <v>52</v>
      </c>
      <c r="E4798" t="s">
        <v>14497</v>
      </c>
      <c r="F4798" t="s">
        <v>45</v>
      </c>
      <c r="G4798" t="str">
        <f>HYPERLINK("https://twitter.com/781635634985304064/status/1142555839804399622")</f>
        <v>https://twitter.com/781635634985304064/status/1142555839804399622</v>
      </c>
      <c r="H4798" t="s">
        <v>46</v>
      </c>
      <c r="I4798" t="s">
        <v>14498</v>
      </c>
      <c r="J4798" t="str">
        <f>HYPERLINK("http://twitter.com/GojifanNeptunia")</f>
        <v>http://twitter.com/GojifanNeptunia</v>
      </c>
      <c r="K4798">
        <v>350</v>
      </c>
      <c r="N4798" t="s">
        <v>65</v>
      </c>
      <c r="R4798" t="s">
        <v>60</v>
      </c>
      <c r="W4798">
        <v>2</v>
      </c>
      <c r="X4798">
        <v>2</v>
      </c>
      <c r="AE4798">
        <v>0</v>
      </c>
      <c r="AF4798">
        <v>0</v>
      </c>
      <c r="AI4798" t="s">
        <v>108</v>
      </c>
      <c r="AJ4798" t="s">
        <v>52</v>
      </c>
      <c r="AK4798" t="s">
        <v>52</v>
      </c>
      <c r="AL4798" t="str">
        <f>HYPERLINK("https://pbs.twimg.com/media/D9ssenHWkAAOZU-.jpg")</f>
        <v>https://pbs.twimg.com/media/D9ssenHWkAAOZU-.jpg</v>
      </c>
      <c r="AM4798" t="s">
        <v>52</v>
      </c>
      <c r="AN4798" t="s">
        <v>53</v>
      </c>
    </row>
    <row r="4799" spans="1:40">
      <c r="A4799" t="s">
        <v>13057</v>
      </c>
      <c r="B4799" t="s">
        <v>4019</v>
      </c>
      <c r="C4799" t="s">
        <v>14499</v>
      </c>
      <c r="D4799" t="s">
        <v>52</v>
      </c>
      <c r="E4799" t="s">
        <v>14500</v>
      </c>
      <c r="F4799" t="s">
        <v>45</v>
      </c>
      <c r="G4799" t="str">
        <f>HYPERLINK("https://www.instagram.com/p/BzB0EXGn4c2")</f>
        <v>https://www.instagram.com/p/BzB0EXGn4c2</v>
      </c>
      <c r="H4799" t="s">
        <v>46</v>
      </c>
      <c r="I4799" t="s">
        <v>14501</v>
      </c>
      <c r="J4799" t="str">
        <f>HYPERLINK("http://instagram.com/luvelynichey")</f>
        <v>http://instagram.com/luvelynichey</v>
      </c>
      <c r="K4799">
        <v>314</v>
      </c>
      <c r="N4799" t="s">
        <v>59</v>
      </c>
      <c r="O4799" t="s">
        <v>14501</v>
      </c>
      <c r="P4799" t="str">
        <f>HYPERLINK("http://instagram.com/luvelynichey")</f>
        <v>http://instagram.com/luvelynichey</v>
      </c>
      <c r="Q4799">
        <v>314</v>
      </c>
      <c r="R4799" t="s">
        <v>60</v>
      </c>
      <c r="W4799">
        <v>57</v>
      </c>
      <c r="X4799">
        <v>57</v>
      </c>
      <c r="AE4799">
        <v>24</v>
      </c>
      <c r="AI4799" t="s">
        <v>2529</v>
      </c>
      <c r="AJ4799" t="s">
        <v>52</v>
      </c>
      <c r="AK4799" t="s">
        <v>52</v>
      </c>
      <c r="AL4799" t="str">
        <f>HYPERLINK("https://www.instagram.com/p/BzB0EXGn4c2/media/?size=l")</f>
        <v>https://www.instagram.com/p/BzB0EXGn4c2/media/?size=l</v>
      </c>
      <c r="AM4799" t="s">
        <v>52</v>
      </c>
      <c r="AN4799" t="s">
        <v>53</v>
      </c>
    </row>
    <row r="4800" spans="1:40">
      <c r="A4800" t="s">
        <v>13057</v>
      </c>
      <c r="B4800" t="s">
        <v>4019</v>
      </c>
      <c r="C4800" t="s">
        <v>7019</v>
      </c>
      <c r="D4800" t="s">
        <v>14502</v>
      </c>
      <c r="E4800" t="s">
        <v>14503</v>
      </c>
      <c r="F4800" t="s">
        <v>45</v>
      </c>
      <c r="G4800" t="str">
        <f>HYPERLINK("https://www.reddit.com/r/The_Donald/comments/c3oaug/waking_up_and_seeing_this_as_the_first_story_on/?sort=new#thing_t1_erst53q")</f>
        <v>https://www.reddit.com/r/The_Donald/comments/c3oaug/waking_up_and_seeing_this_as_the_first_story_on/?sort=new#thing_t1_erst53q</v>
      </c>
      <c r="H4800" t="s">
        <v>46</v>
      </c>
      <c r="I4800" t="s">
        <v>14504</v>
      </c>
      <c r="J4800" t="str">
        <f>HYPERLINK("https://www.reddit.com/r/The_Donald/comments/c3oaug/waking_up_and_seeing_this_as_the_first_story_on/?sort=new#thing_t1_erst53q")</f>
        <v>https://www.reddit.com/r/The_Donald/comments/c3oaug/waking_up_and_seeing_this_as_the_first_story_on/?sort=new#thing_t1_erst53q</v>
      </c>
      <c r="N4800" t="s">
        <v>545</v>
      </c>
      <c r="O4800" t="s">
        <v>14505</v>
      </c>
      <c r="P4800" t="str">
        <f>HYPERLINK("https://www.reddit.com/r/The_Donald/")</f>
        <v>https://www.reddit.com/r/The_Donald/</v>
      </c>
      <c r="R4800" t="s">
        <v>516</v>
      </c>
      <c r="S4800" t="s">
        <v>51</v>
      </c>
      <c r="AM4800" t="s">
        <v>52</v>
      </c>
      <c r="AN4800" t="s">
        <v>53</v>
      </c>
    </row>
    <row r="4801" spans="1:40">
      <c r="A4801" t="s">
        <v>13057</v>
      </c>
      <c r="B4801" t="s">
        <v>4032</v>
      </c>
      <c r="C4801" t="s">
        <v>14496</v>
      </c>
      <c r="D4801" t="s">
        <v>52</v>
      </c>
      <c r="E4801" t="s">
        <v>12162</v>
      </c>
      <c r="F4801" t="s">
        <v>71</v>
      </c>
      <c r="G4801" t="str">
        <f>HYPERLINK("https://twitter.com/786071620028887041/status/1142555331714793472")</f>
        <v>https://twitter.com/786071620028887041/status/1142555331714793472</v>
      </c>
      <c r="H4801" t="s">
        <v>46</v>
      </c>
      <c r="I4801" t="s">
        <v>14506</v>
      </c>
      <c r="J4801" t="str">
        <f>HYPERLINK("http://twitter.com/__KoalaBear")</f>
        <v>http://twitter.com/__KoalaBear</v>
      </c>
      <c r="K4801">
        <v>1877</v>
      </c>
      <c r="N4801" t="s">
        <v>65</v>
      </c>
      <c r="R4801" t="s">
        <v>60</v>
      </c>
      <c r="S4801" t="s">
        <v>1071</v>
      </c>
      <c r="T4801" t="s">
        <v>3751</v>
      </c>
      <c r="U4801" t="s">
        <v>3752</v>
      </c>
      <c r="W4801">
        <v>0</v>
      </c>
      <c r="X4801">
        <v>0</v>
      </c>
      <c r="AE4801">
        <v>0</v>
      </c>
      <c r="AF4801">
        <v>0</v>
      </c>
      <c r="AI4801" t="s">
        <v>108</v>
      </c>
      <c r="AJ4801" t="s">
        <v>52</v>
      </c>
      <c r="AK4801" t="s">
        <v>52</v>
      </c>
      <c r="AL4801" t="str">
        <f>HYPERLINK("https://pbs.twimg.com/media/D9sAXHUX4AA6vJs.jpg")</f>
        <v>https://pbs.twimg.com/media/D9sAXHUX4AA6vJs.jpg</v>
      </c>
      <c r="AM4801" t="s">
        <v>52</v>
      </c>
      <c r="AN4801" t="s">
        <v>53</v>
      </c>
    </row>
    <row r="4802" spans="1:40">
      <c r="A4802" t="s">
        <v>13057</v>
      </c>
      <c r="B4802" t="s">
        <v>4032</v>
      </c>
      <c r="C4802" t="s">
        <v>14496</v>
      </c>
      <c r="D4802" t="s">
        <v>52</v>
      </c>
      <c r="E4802" t="s">
        <v>526</v>
      </c>
      <c r="F4802" t="s">
        <v>131</v>
      </c>
      <c r="G4802" t="str">
        <f>HYPERLINK("https://twitter.com/606711512/status/1142555326899556352")</f>
        <v>https://twitter.com/606711512/status/1142555326899556352</v>
      </c>
      <c r="H4802" t="s">
        <v>46</v>
      </c>
      <c r="I4802" t="s">
        <v>14507</v>
      </c>
      <c r="J4802" t="str">
        <f>HYPERLINK("http://twitter.com/Nao_Fay")</f>
        <v>http://twitter.com/Nao_Fay</v>
      </c>
      <c r="K4802">
        <v>25</v>
      </c>
      <c r="L4802" t="s">
        <v>58</v>
      </c>
      <c r="N4802" t="s">
        <v>65</v>
      </c>
      <c r="R4802" t="s">
        <v>60</v>
      </c>
      <c r="S4802" t="s">
        <v>14508</v>
      </c>
      <c r="T4802" t="s">
        <v>14509</v>
      </c>
      <c r="U4802" t="s">
        <v>14510</v>
      </c>
      <c r="W4802">
        <v>0</v>
      </c>
      <c r="X4802">
        <v>0</v>
      </c>
      <c r="AE4802">
        <v>0</v>
      </c>
      <c r="AI4802" t="s">
        <v>108</v>
      </c>
      <c r="AJ4802" t="s">
        <v>52</v>
      </c>
      <c r="AK4802" t="s">
        <v>52</v>
      </c>
      <c r="AL4802" t="str">
        <f>HYPERLINK("https://pbs.twimg.com/ext_tw_video_thumb/1141360066962100224/pu/img/5_tGc4hLFQwcD07b.jpg")</f>
        <v>https://pbs.twimg.com/ext_tw_video_thumb/1141360066962100224/pu/img/5_tGc4hLFQwcD07b.jpg</v>
      </c>
      <c r="AM4802" t="s">
        <v>52</v>
      </c>
      <c r="AN4802" t="s">
        <v>53</v>
      </c>
    </row>
    <row r="4803" spans="1:40">
      <c r="A4803" t="s">
        <v>13057</v>
      </c>
      <c r="B4803" t="s">
        <v>4032</v>
      </c>
      <c r="C4803" t="s">
        <v>14496</v>
      </c>
      <c r="D4803" t="s">
        <v>52</v>
      </c>
      <c r="E4803" t="s">
        <v>12162</v>
      </c>
      <c r="F4803" t="s">
        <v>71</v>
      </c>
      <c r="G4803" t="str">
        <f>HYPERLINK("https://twitter.com/144644973/status/1142555325884784641")</f>
        <v>https://twitter.com/144644973/status/1142555325884784641</v>
      </c>
      <c r="H4803" t="s">
        <v>46</v>
      </c>
      <c r="I4803" t="s">
        <v>14511</v>
      </c>
      <c r="J4803" t="str">
        <f>HYPERLINK("http://twitter.com/Ish_Mashigo")</f>
        <v>http://twitter.com/Ish_Mashigo</v>
      </c>
      <c r="K4803">
        <v>1676</v>
      </c>
      <c r="N4803" t="s">
        <v>65</v>
      </c>
      <c r="R4803" t="s">
        <v>60</v>
      </c>
      <c r="S4803" t="s">
        <v>1322</v>
      </c>
      <c r="T4803" t="s">
        <v>14512</v>
      </c>
      <c r="U4803" t="s">
        <v>14513</v>
      </c>
      <c r="W4803">
        <v>0</v>
      </c>
      <c r="X4803">
        <v>0</v>
      </c>
      <c r="AE4803">
        <v>0</v>
      </c>
      <c r="AF4803">
        <v>0</v>
      </c>
      <c r="AI4803" t="s">
        <v>108</v>
      </c>
      <c r="AJ4803" t="s">
        <v>52</v>
      </c>
      <c r="AK4803" t="s">
        <v>52</v>
      </c>
      <c r="AL4803" t="str">
        <f>HYPERLINK("https://pbs.twimg.com/media/D9sAXHUX4AA6vJs.jpg")</f>
        <v>https://pbs.twimg.com/media/D9sAXHUX4AA6vJs.jpg</v>
      </c>
      <c r="AM4803" t="s">
        <v>52</v>
      </c>
      <c r="AN4803" t="s">
        <v>53</v>
      </c>
    </row>
    <row r="4804" spans="1:40">
      <c r="A4804" t="s">
        <v>13057</v>
      </c>
      <c r="B4804" t="s">
        <v>4032</v>
      </c>
      <c r="C4804" t="s">
        <v>14514</v>
      </c>
      <c r="D4804" t="s">
        <v>52</v>
      </c>
      <c r="E4804" t="s">
        <v>14515</v>
      </c>
      <c r="F4804" t="s">
        <v>131</v>
      </c>
      <c r="G4804" t="str">
        <f>HYPERLINK("https://twitter.com/938233567200542720/status/1142555246335582209")</f>
        <v>https://twitter.com/938233567200542720/status/1142555246335582209</v>
      </c>
      <c r="H4804" t="s">
        <v>215</v>
      </c>
      <c r="I4804" t="s">
        <v>14516</v>
      </c>
      <c r="J4804" t="str">
        <f>HYPERLINK("http://twitter.com/dreaaaaaaaaaa_")</f>
        <v>http://twitter.com/dreaaaaaaaaaa_</v>
      </c>
      <c r="K4804">
        <v>209</v>
      </c>
      <c r="N4804" t="s">
        <v>65</v>
      </c>
      <c r="R4804" t="s">
        <v>60</v>
      </c>
      <c r="W4804">
        <v>0</v>
      </c>
      <c r="X4804">
        <v>0</v>
      </c>
      <c r="AE4804">
        <v>0</v>
      </c>
      <c r="AM4804" t="s">
        <v>52</v>
      </c>
      <c r="AN4804" t="s">
        <v>53</v>
      </c>
    </row>
    <row r="4805" spans="1:40">
      <c r="A4805" t="s">
        <v>13057</v>
      </c>
      <c r="B4805" t="s">
        <v>14517</v>
      </c>
      <c r="C4805" t="s">
        <v>14514</v>
      </c>
      <c r="D4805" t="s">
        <v>52</v>
      </c>
      <c r="E4805" t="s">
        <v>14518</v>
      </c>
      <c r="F4805" t="s">
        <v>45</v>
      </c>
      <c r="G4805" t="str">
        <f>HYPERLINK("https://twitter.com/747577392412114945/status/1142554991598678017")</f>
        <v>https://twitter.com/747577392412114945/status/1142554991598678017</v>
      </c>
      <c r="H4805" t="s">
        <v>215</v>
      </c>
      <c r="I4805" t="s">
        <v>14519</v>
      </c>
      <c r="J4805" t="str">
        <f>HYPERLINK("http://twitter.com/MelaninP_")</f>
        <v>http://twitter.com/MelaninP_</v>
      </c>
      <c r="K4805">
        <v>592</v>
      </c>
      <c r="N4805" t="s">
        <v>65</v>
      </c>
      <c r="R4805" t="s">
        <v>60</v>
      </c>
      <c r="S4805" t="s">
        <v>51</v>
      </c>
      <c r="T4805" t="s">
        <v>173</v>
      </c>
      <c r="U4805" t="s">
        <v>8833</v>
      </c>
      <c r="W4805">
        <v>2</v>
      </c>
      <c r="X4805">
        <v>2</v>
      </c>
      <c r="AE4805">
        <v>0</v>
      </c>
      <c r="AF4805">
        <v>0</v>
      </c>
      <c r="AM4805" t="s">
        <v>52</v>
      </c>
      <c r="AN4805" t="s">
        <v>53</v>
      </c>
    </row>
    <row r="4806" spans="1:40">
      <c r="A4806" t="s">
        <v>13057</v>
      </c>
      <c r="B4806" t="s">
        <v>9725</v>
      </c>
      <c r="C4806" t="s">
        <v>14520</v>
      </c>
      <c r="D4806" t="s">
        <v>52</v>
      </c>
      <c r="E4806" t="s">
        <v>14521</v>
      </c>
      <c r="F4806" t="s">
        <v>95</v>
      </c>
      <c r="G4806" t="str">
        <f>HYPERLINK("https://twitter.com/727093719132852229/status/1142553986152538112")</f>
        <v>https://twitter.com/727093719132852229/status/1142553986152538112</v>
      </c>
      <c r="H4806" t="s">
        <v>46</v>
      </c>
      <c r="I4806" t="s">
        <v>14522</v>
      </c>
      <c r="J4806" t="str">
        <f>HYPERLINK("http://twitter.com/Freaty_Clalk")</f>
        <v>http://twitter.com/Freaty_Clalk</v>
      </c>
      <c r="K4806">
        <v>80</v>
      </c>
      <c r="N4806" t="s">
        <v>65</v>
      </c>
      <c r="R4806" t="s">
        <v>60</v>
      </c>
      <c r="S4806" t="s">
        <v>8494</v>
      </c>
      <c r="T4806" t="s">
        <v>14523</v>
      </c>
      <c r="U4806" t="s">
        <v>14524</v>
      </c>
      <c r="W4806">
        <v>0</v>
      </c>
      <c r="X4806">
        <v>0</v>
      </c>
      <c r="AE4806">
        <v>0</v>
      </c>
      <c r="AF4806">
        <v>0</v>
      </c>
      <c r="AM4806" t="s">
        <v>52</v>
      </c>
      <c r="AN4806" t="s">
        <v>53</v>
      </c>
    </row>
    <row r="4807" spans="1:40">
      <c r="A4807" t="s">
        <v>13057</v>
      </c>
      <c r="B4807" t="s">
        <v>9725</v>
      </c>
      <c r="C4807" t="s">
        <v>14525</v>
      </c>
      <c r="D4807" t="s">
        <v>52</v>
      </c>
      <c r="E4807" t="s">
        <v>4514</v>
      </c>
      <c r="F4807" t="s">
        <v>71</v>
      </c>
      <c r="G4807" t="str">
        <f>HYPERLINK("https://twitter.com/2792340978/status/1142553932536766464")</f>
        <v>https://twitter.com/2792340978/status/1142553932536766464</v>
      </c>
      <c r="H4807" t="s">
        <v>46</v>
      </c>
      <c r="I4807" t="s">
        <v>14526</v>
      </c>
      <c r="J4807" t="str">
        <f>HYPERLINK("http://twitter.com/AlexCaballero97")</f>
        <v>http://twitter.com/AlexCaballero97</v>
      </c>
      <c r="K4807">
        <v>40</v>
      </c>
      <c r="L4807" t="s">
        <v>48</v>
      </c>
      <c r="N4807" t="s">
        <v>65</v>
      </c>
      <c r="R4807" t="s">
        <v>60</v>
      </c>
      <c r="W4807">
        <v>0</v>
      </c>
      <c r="X4807">
        <v>0</v>
      </c>
      <c r="AE4807">
        <v>0</v>
      </c>
      <c r="AF4807">
        <v>0</v>
      </c>
      <c r="AI4807" t="s">
        <v>108</v>
      </c>
      <c r="AJ4807" t="s">
        <v>52</v>
      </c>
      <c r="AK4807" t="s">
        <v>52</v>
      </c>
      <c r="AL4807" t="str">
        <f>HYPERLINK("https://pbs.twimg.com/tweet_video_thumb/D9hvNNzXUAATAS3.jpg")</f>
        <v>https://pbs.twimg.com/tweet_video_thumb/D9hvNNzXUAATAS3.jpg</v>
      </c>
      <c r="AM4807" t="s">
        <v>52</v>
      </c>
      <c r="AN4807" t="s">
        <v>53</v>
      </c>
    </row>
    <row r="4808" spans="1:40">
      <c r="A4808" t="s">
        <v>13057</v>
      </c>
      <c r="B4808" t="s">
        <v>9731</v>
      </c>
      <c r="C4808" t="s">
        <v>14527</v>
      </c>
      <c r="D4808" t="s">
        <v>52</v>
      </c>
      <c r="E4808" t="s">
        <v>14528</v>
      </c>
      <c r="F4808" t="s">
        <v>71</v>
      </c>
      <c r="G4808" t="str">
        <f>HYPERLINK("https://twitter.com/531085798/status/1142553782724759553")</f>
        <v>https://twitter.com/531085798/status/1142553782724759553</v>
      </c>
      <c r="H4808" t="s">
        <v>46</v>
      </c>
      <c r="I4808" t="s">
        <v>2452</v>
      </c>
      <c r="J4808" t="str">
        <f>HYPERLINK("http://twitter.com/Bradleoy")</f>
        <v>http://twitter.com/Bradleoy</v>
      </c>
      <c r="K4808">
        <v>3004</v>
      </c>
      <c r="L4808" t="s">
        <v>48</v>
      </c>
      <c r="N4808" t="s">
        <v>65</v>
      </c>
      <c r="R4808" t="s">
        <v>60</v>
      </c>
      <c r="S4808" t="s">
        <v>1071</v>
      </c>
      <c r="T4808" t="s">
        <v>3751</v>
      </c>
      <c r="U4808" t="s">
        <v>3752</v>
      </c>
      <c r="W4808">
        <v>0</v>
      </c>
      <c r="X4808">
        <v>0</v>
      </c>
      <c r="AE4808">
        <v>0</v>
      </c>
      <c r="AF4808">
        <v>1</v>
      </c>
      <c r="AI4808" t="s">
        <v>108</v>
      </c>
      <c r="AJ4808" t="s">
        <v>52</v>
      </c>
      <c r="AK4808" t="s">
        <v>52</v>
      </c>
      <c r="AL4808" t="str">
        <f>HYPERLINK("https://pbs.twimg.com/media/D9sAXHUX4AA6vJs.jpg")</f>
        <v>https://pbs.twimg.com/media/D9sAXHUX4AA6vJs.jpg</v>
      </c>
      <c r="AM4808" t="s">
        <v>52</v>
      </c>
      <c r="AN4808" t="s">
        <v>53</v>
      </c>
    </row>
    <row r="4809" spans="1:40">
      <c r="A4809" t="s">
        <v>13057</v>
      </c>
      <c r="B4809" t="s">
        <v>9731</v>
      </c>
      <c r="C4809" t="s">
        <v>14529</v>
      </c>
      <c r="D4809" t="s">
        <v>52</v>
      </c>
      <c r="E4809" t="s">
        <v>14530</v>
      </c>
      <c r="F4809" t="s">
        <v>45</v>
      </c>
      <c r="G4809" t="str">
        <f>HYPERLINK("https://twitter.com/971294170815057922/status/1142553729872420869")</f>
        <v>https://twitter.com/971294170815057922/status/1142553729872420869</v>
      </c>
      <c r="H4809" t="s">
        <v>91</v>
      </c>
      <c r="I4809" t="s">
        <v>14531</v>
      </c>
      <c r="J4809" t="str">
        <f>HYPERLINK("http://twitter.com/illwilled_cones")</f>
        <v>http://twitter.com/illwilled_cones</v>
      </c>
      <c r="K4809">
        <v>402</v>
      </c>
      <c r="N4809" t="s">
        <v>65</v>
      </c>
      <c r="R4809" t="s">
        <v>60</v>
      </c>
      <c r="W4809">
        <v>0</v>
      </c>
      <c r="X4809">
        <v>0</v>
      </c>
      <c r="AE4809">
        <v>0</v>
      </c>
      <c r="AF4809">
        <v>0</v>
      </c>
      <c r="AM4809" t="s">
        <v>52</v>
      </c>
      <c r="AN4809" t="s">
        <v>53</v>
      </c>
    </row>
    <row r="4810" spans="1:40">
      <c r="A4810" t="s">
        <v>13057</v>
      </c>
      <c r="B4810" t="s">
        <v>9731</v>
      </c>
      <c r="C4810" t="s">
        <v>14520</v>
      </c>
      <c r="D4810" t="s">
        <v>52</v>
      </c>
      <c r="E4810" t="s">
        <v>4514</v>
      </c>
      <c r="F4810" t="s">
        <v>71</v>
      </c>
      <c r="G4810" t="str">
        <f>HYPERLINK("https://twitter.com/920120111322742784/status/1142553717671022592")</f>
        <v>https://twitter.com/920120111322742784/status/1142553717671022592</v>
      </c>
      <c r="H4810" t="s">
        <v>46</v>
      </c>
      <c r="I4810" t="s">
        <v>14532</v>
      </c>
      <c r="J4810" t="str">
        <f>HYPERLINK("http://twitter.com/ChristianMMA_")</f>
        <v>http://twitter.com/ChristianMMA_</v>
      </c>
      <c r="K4810">
        <v>14</v>
      </c>
      <c r="L4810" t="s">
        <v>48</v>
      </c>
      <c r="N4810" t="s">
        <v>65</v>
      </c>
      <c r="R4810" t="s">
        <v>60</v>
      </c>
      <c r="S4810" t="s">
        <v>51</v>
      </c>
      <c r="T4810" t="s">
        <v>738</v>
      </c>
      <c r="U4810" t="s">
        <v>14533</v>
      </c>
      <c r="W4810">
        <v>0</v>
      </c>
      <c r="X4810">
        <v>0</v>
      </c>
      <c r="AE4810">
        <v>0</v>
      </c>
      <c r="AF4810">
        <v>0</v>
      </c>
      <c r="AI4810" t="s">
        <v>108</v>
      </c>
      <c r="AJ4810" t="s">
        <v>52</v>
      </c>
      <c r="AK4810" t="s">
        <v>52</v>
      </c>
      <c r="AL4810" t="str">
        <f>HYPERLINK("https://pbs.twimg.com/tweet_video_thumb/D9hvNNzXUAATAS3.jpg")</f>
        <v>https://pbs.twimg.com/tweet_video_thumb/D9hvNNzXUAATAS3.jpg</v>
      </c>
      <c r="AM4810" t="s">
        <v>52</v>
      </c>
      <c r="AN4810" t="s">
        <v>53</v>
      </c>
    </row>
    <row r="4811" spans="1:40">
      <c r="A4811" t="s">
        <v>13057</v>
      </c>
      <c r="B4811" t="s">
        <v>9731</v>
      </c>
      <c r="C4811" t="s">
        <v>14520</v>
      </c>
      <c r="D4811" t="s">
        <v>52</v>
      </c>
      <c r="E4811" t="s">
        <v>14534</v>
      </c>
      <c r="F4811" t="s">
        <v>45</v>
      </c>
      <c r="G4811" t="str">
        <f>HYPERLINK("https://twitter.com/195465166/status/1142553684464852992")</f>
        <v>https://twitter.com/195465166/status/1142553684464852992</v>
      </c>
      <c r="H4811" t="s">
        <v>46</v>
      </c>
      <c r="I4811" t="s">
        <v>14535</v>
      </c>
      <c r="J4811" t="str">
        <f>HYPERLINK("http://twitter.com/SolcittohRivera")</f>
        <v>http://twitter.com/SolcittohRivera</v>
      </c>
      <c r="K4811">
        <v>451</v>
      </c>
      <c r="L4811" t="s">
        <v>58</v>
      </c>
      <c r="N4811" t="s">
        <v>65</v>
      </c>
      <c r="R4811" t="s">
        <v>60</v>
      </c>
      <c r="S4811" t="s">
        <v>701</v>
      </c>
      <c r="W4811">
        <v>0</v>
      </c>
      <c r="X4811">
        <v>0</v>
      </c>
      <c r="AE4811">
        <v>0</v>
      </c>
      <c r="AF4811">
        <v>0</v>
      </c>
      <c r="AM4811" t="s">
        <v>52</v>
      </c>
      <c r="AN4811" t="s">
        <v>53</v>
      </c>
    </row>
    <row r="4812" spans="1:40">
      <c r="A4812" t="s">
        <v>13057</v>
      </c>
      <c r="B4812" t="s">
        <v>9731</v>
      </c>
      <c r="C4812" t="s">
        <v>14520</v>
      </c>
      <c r="D4812" t="s">
        <v>52</v>
      </c>
      <c r="E4812" t="s">
        <v>14536</v>
      </c>
      <c r="F4812" t="s">
        <v>131</v>
      </c>
      <c r="G4812" t="str">
        <f>HYPERLINK("https://twitter.com/103662498/status/1142553685677039618")</f>
        <v>https://twitter.com/103662498/status/1142553685677039618</v>
      </c>
      <c r="H4812" t="s">
        <v>46</v>
      </c>
      <c r="I4812" t="s">
        <v>14537</v>
      </c>
      <c r="J4812" t="str">
        <f>HYPERLINK("http://twitter.com/sushi_pie_yoshi")</f>
        <v>http://twitter.com/sushi_pie_yoshi</v>
      </c>
      <c r="K4812">
        <v>444</v>
      </c>
      <c r="L4812" t="s">
        <v>48</v>
      </c>
      <c r="N4812" t="s">
        <v>65</v>
      </c>
      <c r="R4812" t="s">
        <v>60</v>
      </c>
      <c r="S4812" t="s">
        <v>521</v>
      </c>
      <c r="T4812" t="s">
        <v>522</v>
      </c>
      <c r="U4812" t="s">
        <v>523</v>
      </c>
      <c r="W4812">
        <v>0</v>
      </c>
      <c r="X4812">
        <v>0</v>
      </c>
      <c r="AE4812">
        <v>0</v>
      </c>
      <c r="AM4812" t="s">
        <v>52</v>
      </c>
      <c r="AN4812" t="s">
        <v>53</v>
      </c>
    </row>
    <row r="4813" spans="1:40">
      <c r="A4813" t="s">
        <v>13057</v>
      </c>
      <c r="B4813" t="s">
        <v>9731</v>
      </c>
      <c r="C4813" t="s">
        <v>14525</v>
      </c>
      <c r="D4813" t="s">
        <v>52</v>
      </c>
      <c r="E4813" t="s">
        <v>14538</v>
      </c>
      <c r="F4813" t="s">
        <v>95</v>
      </c>
      <c r="G4813" t="str">
        <f>HYPERLINK("https://twitter.com/1043893315568119810/status/1142553677372243970")</f>
        <v>https://twitter.com/1043893315568119810/status/1142553677372243970</v>
      </c>
      <c r="H4813" t="s">
        <v>46</v>
      </c>
      <c r="I4813" t="s">
        <v>14539</v>
      </c>
      <c r="J4813" t="str">
        <f>HYPERLINK("http://twitter.com/ScottSnailham")</f>
        <v>http://twitter.com/ScottSnailham</v>
      </c>
      <c r="K4813">
        <v>16</v>
      </c>
      <c r="L4813" t="s">
        <v>48</v>
      </c>
      <c r="N4813" t="s">
        <v>65</v>
      </c>
      <c r="R4813" t="s">
        <v>60</v>
      </c>
      <c r="S4813" t="s">
        <v>444</v>
      </c>
      <c r="T4813" t="s">
        <v>6145</v>
      </c>
      <c r="W4813">
        <v>0</v>
      </c>
      <c r="X4813">
        <v>0</v>
      </c>
      <c r="AE4813">
        <v>0</v>
      </c>
      <c r="AF4813">
        <v>0</v>
      </c>
      <c r="AM4813" t="s">
        <v>52</v>
      </c>
      <c r="AN4813" t="s">
        <v>53</v>
      </c>
    </row>
    <row r="4814" spans="1:40">
      <c r="A4814" t="s">
        <v>13057</v>
      </c>
      <c r="B4814" t="s">
        <v>4071</v>
      </c>
      <c r="C4814" t="s">
        <v>14540</v>
      </c>
      <c r="D4814" t="s">
        <v>52</v>
      </c>
      <c r="E4814" t="s">
        <v>14541</v>
      </c>
      <c r="F4814" t="s">
        <v>131</v>
      </c>
      <c r="G4814" t="str">
        <f>HYPERLINK("https://twitter.com/1124719981646811141/status/1142553198084939776")</f>
        <v>https://twitter.com/1124719981646811141/status/1142553198084939776</v>
      </c>
      <c r="H4814" t="s">
        <v>46</v>
      </c>
      <c r="I4814" t="s">
        <v>14542</v>
      </c>
      <c r="J4814" t="str">
        <f>HYPERLINK("http://twitter.com/BTS2163615873")</f>
        <v>http://twitter.com/BTS2163615873</v>
      </c>
      <c r="K4814">
        <v>2</v>
      </c>
      <c r="N4814" t="s">
        <v>65</v>
      </c>
      <c r="R4814" t="s">
        <v>60</v>
      </c>
      <c r="W4814">
        <v>0</v>
      </c>
      <c r="X4814">
        <v>0</v>
      </c>
      <c r="AE4814">
        <v>0</v>
      </c>
      <c r="AM4814" t="s">
        <v>52</v>
      </c>
      <c r="AN4814" t="s">
        <v>53</v>
      </c>
    </row>
    <row r="4815" spans="1:40">
      <c r="A4815" t="s">
        <v>13057</v>
      </c>
      <c r="B4815" t="s">
        <v>4071</v>
      </c>
      <c r="C4815" t="s">
        <v>14543</v>
      </c>
      <c r="D4815" t="s">
        <v>52</v>
      </c>
      <c r="E4815" t="s">
        <v>14544</v>
      </c>
      <c r="F4815" t="s">
        <v>45</v>
      </c>
      <c r="G4815" t="str">
        <f>HYPERLINK("https://www.instagram.com/p/BzBy4VChWpn")</f>
        <v>https://www.instagram.com/p/BzBy4VChWpn</v>
      </c>
      <c r="H4815" t="s">
        <v>46</v>
      </c>
      <c r="I4815" t="s">
        <v>14545</v>
      </c>
      <c r="J4815" t="str">
        <f>HYPERLINK("http://instagram.com/raceygirls")</f>
        <v>http://instagram.com/raceygirls</v>
      </c>
      <c r="K4815">
        <v>52</v>
      </c>
      <c r="N4815" t="s">
        <v>59</v>
      </c>
      <c r="O4815" t="s">
        <v>14545</v>
      </c>
      <c r="P4815" t="str">
        <f>HYPERLINK("http://instagram.com/raceygirls")</f>
        <v>http://instagram.com/raceygirls</v>
      </c>
      <c r="Q4815">
        <v>52</v>
      </c>
      <c r="R4815" t="s">
        <v>60</v>
      </c>
      <c r="S4815" t="s">
        <v>97</v>
      </c>
      <c r="T4815" t="s">
        <v>177</v>
      </c>
      <c r="U4815" t="s">
        <v>14546</v>
      </c>
      <c r="W4815">
        <v>20</v>
      </c>
      <c r="X4815">
        <v>20</v>
      </c>
      <c r="AE4815">
        <v>0</v>
      </c>
      <c r="AI4815" t="s">
        <v>52</v>
      </c>
      <c r="AJ4815" t="s">
        <v>5828</v>
      </c>
      <c r="AK4815" t="s">
        <v>52</v>
      </c>
      <c r="AL4815" t="str">
        <f>HYPERLINK("https://www.instagram.com/p/BzBy4VChWpn/media/?size=l")</f>
        <v>https://www.instagram.com/p/BzBy4VChWpn/media/?size=l</v>
      </c>
      <c r="AM4815" t="s">
        <v>52</v>
      </c>
      <c r="AN4815" t="s">
        <v>53</v>
      </c>
    </row>
    <row r="4816" spans="1:40">
      <c r="A4816" t="s">
        <v>13057</v>
      </c>
      <c r="B4816" t="s">
        <v>4076</v>
      </c>
      <c r="C4816" t="s">
        <v>14547</v>
      </c>
      <c r="D4816" t="s">
        <v>14548</v>
      </c>
      <c r="E4816" t="s">
        <v>14549</v>
      </c>
      <c r="F4816" t="s">
        <v>95</v>
      </c>
      <c r="G4816" t="str">
        <f>HYPERLINK("https://www.youtube.com/watch?v=6Y5I_bGQTl4&amp;lc=UgzhV5yHIrN1SPHFJBl4AaABAg")</f>
        <v>https://www.youtube.com/watch?v=6Y5I_bGQTl4&amp;lc=UgzhV5yHIrN1SPHFJBl4AaABAg</v>
      </c>
      <c r="H4816" t="s">
        <v>46</v>
      </c>
      <c r="I4816" t="s">
        <v>14550</v>
      </c>
      <c r="J4816" t="str">
        <f>HYPERLINK("https://www.youtube.com/channel/UCin2JgqMt30iT_hMjBW8fcg")</f>
        <v>https://www.youtube.com/channel/UCin2JgqMt30iT_hMjBW8fcg</v>
      </c>
      <c r="K4816">
        <v>4190</v>
      </c>
      <c r="N4816" t="s">
        <v>116</v>
      </c>
      <c r="O4816" t="s">
        <v>14551</v>
      </c>
      <c r="P4816" t="str">
        <f>HYPERLINK("https://www.youtube.com/channel/UCjLoV6HS_hxU3Qg7NpJOBhg")</f>
        <v>https://www.youtube.com/channel/UCjLoV6HS_hxU3Qg7NpJOBhg</v>
      </c>
      <c r="Q4816">
        <v>156908</v>
      </c>
      <c r="R4816" t="s">
        <v>60</v>
      </c>
      <c r="W4816">
        <v>6</v>
      </c>
      <c r="X4816">
        <v>6</v>
      </c>
      <c r="AE4816">
        <v>0</v>
      </c>
      <c r="AM4816" t="s">
        <v>52</v>
      </c>
      <c r="AN4816" t="s">
        <v>53</v>
      </c>
    </row>
    <row r="4817" spans="1:40">
      <c r="A4817" t="s">
        <v>13057</v>
      </c>
      <c r="B4817" t="s">
        <v>4076</v>
      </c>
      <c r="C4817" t="s">
        <v>14547</v>
      </c>
      <c r="D4817" t="s">
        <v>52</v>
      </c>
      <c r="E4817" t="s">
        <v>130</v>
      </c>
      <c r="F4817" t="s">
        <v>131</v>
      </c>
      <c r="G4817" t="str">
        <f>HYPERLINK("https://twitter.com/2453359021/status/1142552884061593601")</f>
        <v>https://twitter.com/2453359021/status/1142552884061593601</v>
      </c>
      <c r="H4817" t="s">
        <v>46</v>
      </c>
      <c r="I4817" t="s">
        <v>14552</v>
      </c>
      <c r="J4817" t="str">
        <f>HYPERLINK("http://twitter.com/StaceyMcA7")</f>
        <v>http://twitter.com/StaceyMcA7</v>
      </c>
      <c r="K4817">
        <v>177</v>
      </c>
      <c r="N4817" t="s">
        <v>65</v>
      </c>
      <c r="R4817" t="s">
        <v>60</v>
      </c>
      <c r="W4817">
        <v>0</v>
      </c>
      <c r="X4817">
        <v>0</v>
      </c>
      <c r="AE4817">
        <v>0</v>
      </c>
      <c r="AI4817" t="s">
        <v>108</v>
      </c>
      <c r="AJ4817" t="s">
        <v>52</v>
      </c>
      <c r="AK4817" t="s">
        <v>52</v>
      </c>
      <c r="AL4817" t="str">
        <f>HYPERLINK("https://pbs.twimg.com/media/D9XTkLWW4AAOYnJ.jpg")</f>
        <v>https://pbs.twimg.com/media/D9XTkLWW4AAOYnJ.jpg</v>
      </c>
      <c r="AM4817" t="s">
        <v>52</v>
      </c>
      <c r="AN4817" t="s">
        <v>53</v>
      </c>
    </row>
    <row r="4818" spans="1:40">
      <c r="A4818" t="s">
        <v>13057</v>
      </c>
      <c r="B4818" t="s">
        <v>4083</v>
      </c>
      <c r="C4818" t="s">
        <v>14527</v>
      </c>
      <c r="D4818" t="s">
        <v>52</v>
      </c>
      <c r="E4818" t="s">
        <v>130</v>
      </c>
      <c r="F4818" t="s">
        <v>131</v>
      </c>
      <c r="G4818" t="str">
        <f>HYPERLINK("https://twitter.com/210891538/status/1142552691958267904")</f>
        <v>https://twitter.com/210891538/status/1142552691958267904</v>
      </c>
      <c r="H4818" t="s">
        <v>46</v>
      </c>
      <c r="I4818" t="s">
        <v>14553</v>
      </c>
      <c r="J4818" t="str">
        <f>HYPERLINK("http://twitter.com/ssullivan92057")</f>
        <v>http://twitter.com/ssullivan92057</v>
      </c>
      <c r="K4818">
        <v>956</v>
      </c>
      <c r="N4818" t="s">
        <v>65</v>
      </c>
      <c r="R4818" t="s">
        <v>60</v>
      </c>
      <c r="W4818">
        <v>0</v>
      </c>
      <c r="X4818">
        <v>0</v>
      </c>
      <c r="AE4818">
        <v>0</v>
      </c>
      <c r="AI4818" t="s">
        <v>108</v>
      </c>
      <c r="AJ4818" t="s">
        <v>52</v>
      </c>
      <c r="AK4818" t="s">
        <v>52</v>
      </c>
      <c r="AL4818" t="str">
        <f>HYPERLINK("https://pbs.twimg.com/media/D9XTkLWW4AAOYnJ.jpg")</f>
        <v>https://pbs.twimg.com/media/D9XTkLWW4AAOYnJ.jpg</v>
      </c>
      <c r="AM4818" t="s">
        <v>52</v>
      </c>
      <c r="AN4818" t="s">
        <v>53</v>
      </c>
    </row>
    <row r="4819" spans="1:40">
      <c r="A4819" t="s">
        <v>13057</v>
      </c>
      <c r="B4819" t="s">
        <v>4092</v>
      </c>
      <c r="C4819" t="s">
        <v>14543</v>
      </c>
      <c r="D4819" t="s">
        <v>52</v>
      </c>
      <c r="E4819" t="s">
        <v>130</v>
      </c>
      <c r="F4819" t="s">
        <v>131</v>
      </c>
      <c r="G4819" t="str">
        <f>HYPERLINK("https://twitter.com/1871626446/status/1142552570331901953")</f>
        <v>https://twitter.com/1871626446/status/1142552570331901953</v>
      </c>
      <c r="H4819" t="s">
        <v>46</v>
      </c>
      <c r="I4819" t="s">
        <v>12309</v>
      </c>
      <c r="J4819" t="str">
        <f>HYPERLINK("http://twitter.com/ElizabethLillyB")</f>
        <v>http://twitter.com/ElizabethLillyB</v>
      </c>
      <c r="K4819">
        <v>46</v>
      </c>
      <c r="L4819" t="s">
        <v>58</v>
      </c>
      <c r="N4819" t="s">
        <v>65</v>
      </c>
      <c r="R4819" t="s">
        <v>60</v>
      </c>
      <c r="W4819">
        <v>0</v>
      </c>
      <c r="X4819">
        <v>0</v>
      </c>
      <c r="AE4819">
        <v>0</v>
      </c>
      <c r="AI4819" t="s">
        <v>108</v>
      </c>
      <c r="AJ4819" t="s">
        <v>52</v>
      </c>
      <c r="AK4819" t="s">
        <v>52</v>
      </c>
      <c r="AL4819" t="str">
        <f>HYPERLINK("https://pbs.twimg.com/media/D9XTkLWW4AAOYnJ.jpg")</f>
        <v>https://pbs.twimg.com/media/D9XTkLWW4AAOYnJ.jpg</v>
      </c>
      <c r="AM4819" t="s">
        <v>52</v>
      </c>
      <c r="AN4819" t="s">
        <v>53</v>
      </c>
    </row>
    <row r="4820" spans="1:40">
      <c r="A4820" t="s">
        <v>13057</v>
      </c>
      <c r="B4820" t="s">
        <v>4092</v>
      </c>
      <c r="C4820" t="s">
        <v>14543</v>
      </c>
      <c r="D4820" t="s">
        <v>52</v>
      </c>
      <c r="E4820" t="s">
        <v>276</v>
      </c>
      <c r="F4820" t="s">
        <v>131</v>
      </c>
      <c r="G4820" t="str">
        <f>HYPERLINK("https://twitter.com/16078680/status/1142552536194457603")</f>
        <v>https://twitter.com/16078680/status/1142552536194457603</v>
      </c>
      <c r="H4820" t="s">
        <v>46</v>
      </c>
      <c r="I4820" t="s">
        <v>14554</v>
      </c>
      <c r="J4820" t="str">
        <f>HYPERLINK("http://twitter.com/ardy22")</f>
        <v>http://twitter.com/ardy22</v>
      </c>
      <c r="K4820">
        <v>4111</v>
      </c>
      <c r="N4820" t="s">
        <v>65</v>
      </c>
      <c r="R4820" t="s">
        <v>60</v>
      </c>
      <c r="W4820">
        <v>0</v>
      </c>
      <c r="X4820">
        <v>0</v>
      </c>
      <c r="AE4820">
        <v>0</v>
      </c>
      <c r="AI4820" t="s">
        <v>108</v>
      </c>
      <c r="AJ4820" t="s">
        <v>52</v>
      </c>
      <c r="AK4820" t="s">
        <v>52</v>
      </c>
      <c r="AL4820" t="str">
        <f>HYPERLINK("https://pbs.twimg.com/tweet_video_thumb/D9hvNNzXUAATAS3.jpg")</f>
        <v>https://pbs.twimg.com/tweet_video_thumb/D9hvNNzXUAATAS3.jpg</v>
      </c>
      <c r="AM4820" t="s">
        <v>52</v>
      </c>
      <c r="AN4820" t="s">
        <v>53</v>
      </c>
    </row>
    <row r="4821" spans="1:40">
      <c r="A4821" t="s">
        <v>13057</v>
      </c>
      <c r="B4821" t="s">
        <v>4092</v>
      </c>
      <c r="C4821" t="s">
        <v>14540</v>
      </c>
      <c r="D4821" t="s">
        <v>52</v>
      </c>
      <c r="E4821" t="s">
        <v>14555</v>
      </c>
      <c r="F4821" t="s">
        <v>95</v>
      </c>
      <c r="G4821" t="str">
        <f>HYPERLINK("https://twitter.com/728663444606451712/status/1142552481752203264")</f>
        <v>https://twitter.com/728663444606451712/status/1142552481752203264</v>
      </c>
      <c r="H4821" t="s">
        <v>46</v>
      </c>
      <c r="I4821" t="s">
        <v>14556</v>
      </c>
      <c r="J4821" t="str">
        <f>HYPERLINK("http://twitter.com/SiestaMolina")</f>
        <v>http://twitter.com/SiestaMolina</v>
      </c>
      <c r="K4821">
        <v>497</v>
      </c>
      <c r="N4821" t="s">
        <v>65</v>
      </c>
      <c r="R4821" t="s">
        <v>60</v>
      </c>
      <c r="S4821" t="s">
        <v>51</v>
      </c>
      <c r="T4821" t="s">
        <v>173</v>
      </c>
      <c r="W4821">
        <v>1</v>
      </c>
      <c r="X4821">
        <v>1</v>
      </c>
      <c r="AE4821">
        <v>1</v>
      </c>
      <c r="AF4821">
        <v>0</v>
      </c>
      <c r="AM4821" t="s">
        <v>52</v>
      </c>
      <c r="AN4821" t="s">
        <v>53</v>
      </c>
    </row>
    <row r="4822" spans="1:40">
      <c r="A4822" t="s">
        <v>13057</v>
      </c>
      <c r="B4822" t="s">
        <v>4092</v>
      </c>
      <c r="C4822" t="s">
        <v>14486</v>
      </c>
      <c r="D4822" t="s">
        <v>52</v>
      </c>
      <c r="E4822" t="s">
        <v>14557</v>
      </c>
      <c r="F4822" t="s">
        <v>45</v>
      </c>
      <c r="G4822" t="str">
        <f>HYPERLINK("https://www.instagram.com/p/BzByhj0iZe3")</f>
        <v>https://www.instagram.com/p/BzByhj0iZe3</v>
      </c>
      <c r="H4822" t="s">
        <v>46</v>
      </c>
      <c r="I4822" t="s">
        <v>14558</v>
      </c>
      <c r="J4822" t="str">
        <f>HYPERLINK("http://instagram.com/pashakurak")</f>
        <v>http://instagram.com/pashakurak</v>
      </c>
      <c r="K4822">
        <v>548</v>
      </c>
      <c r="N4822" t="s">
        <v>59</v>
      </c>
      <c r="O4822" t="s">
        <v>14558</v>
      </c>
      <c r="P4822" t="str">
        <f>HYPERLINK("http://instagram.com/pashakurak")</f>
        <v>http://instagram.com/pashakurak</v>
      </c>
      <c r="Q4822">
        <v>548</v>
      </c>
      <c r="R4822" t="s">
        <v>60</v>
      </c>
      <c r="S4822" t="s">
        <v>142</v>
      </c>
      <c r="W4822">
        <v>47</v>
      </c>
      <c r="X4822">
        <v>47</v>
      </c>
      <c r="AE4822">
        <v>2</v>
      </c>
      <c r="AI4822" t="s">
        <v>52</v>
      </c>
      <c r="AJ4822" t="s">
        <v>14559</v>
      </c>
      <c r="AK4822" t="s">
        <v>3376</v>
      </c>
      <c r="AL4822" t="str">
        <f>HYPERLINK("https://www.instagram.com/p/BzByhj0iZe3/media/?size=l")</f>
        <v>https://www.instagram.com/p/BzByhj0iZe3/media/?size=l</v>
      </c>
      <c r="AM4822" t="s">
        <v>52</v>
      </c>
      <c r="AN4822" t="s">
        <v>53</v>
      </c>
    </row>
    <row r="4823" spans="1:40">
      <c r="A4823" t="s">
        <v>13057</v>
      </c>
      <c r="B4823" t="s">
        <v>14560</v>
      </c>
      <c r="C4823" t="s">
        <v>14489</v>
      </c>
      <c r="D4823" t="s">
        <v>52</v>
      </c>
      <c r="E4823" t="s">
        <v>14561</v>
      </c>
      <c r="F4823" t="s">
        <v>45</v>
      </c>
      <c r="G4823" t="str">
        <f>HYPERLINK("https://www.instagram.com/p/BzByK3tnU13")</f>
        <v>https://www.instagram.com/p/BzByK3tnU13</v>
      </c>
      <c r="H4823" t="s">
        <v>215</v>
      </c>
      <c r="I4823" t="s">
        <v>14562</v>
      </c>
      <c r="J4823" t="str">
        <f>HYPERLINK("http://instagram.com/wptummytour")</f>
        <v>http://instagram.com/wptummytour</v>
      </c>
      <c r="K4823">
        <v>46</v>
      </c>
      <c r="N4823" t="s">
        <v>59</v>
      </c>
      <c r="O4823" t="s">
        <v>14562</v>
      </c>
      <c r="P4823" t="str">
        <f>HYPERLINK("http://instagram.com/wptummytour")</f>
        <v>http://instagram.com/wptummytour</v>
      </c>
      <c r="Q4823">
        <v>46</v>
      </c>
      <c r="R4823" t="s">
        <v>60</v>
      </c>
      <c r="W4823">
        <v>5</v>
      </c>
      <c r="X4823">
        <v>5</v>
      </c>
      <c r="AE4823">
        <v>0</v>
      </c>
      <c r="AI4823" t="s">
        <v>108</v>
      </c>
      <c r="AJ4823" t="s">
        <v>659</v>
      </c>
      <c r="AK4823" t="s">
        <v>52</v>
      </c>
      <c r="AL4823" t="str">
        <f>HYPERLINK("https://www.instagram.com/p/BzByK3tnU13/media/?size=l")</f>
        <v>https://www.instagram.com/p/BzByK3tnU13/media/?size=l</v>
      </c>
      <c r="AM4823" t="s">
        <v>52</v>
      </c>
      <c r="AN4823" t="s">
        <v>53</v>
      </c>
    </row>
    <row r="4824" spans="1:40">
      <c r="A4824" t="s">
        <v>13057</v>
      </c>
      <c r="B4824" t="s">
        <v>14560</v>
      </c>
      <c r="C4824" t="s">
        <v>14563</v>
      </c>
      <c r="D4824" t="s">
        <v>52</v>
      </c>
      <c r="E4824" t="s">
        <v>14564</v>
      </c>
      <c r="F4824" t="s">
        <v>45</v>
      </c>
      <c r="G4824" t="str">
        <f>HYPERLINK("https://twitter.com/934997954162651136/status/1142551473500241921")</f>
        <v>https://twitter.com/934997954162651136/status/1142551473500241921</v>
      </c>
      <c r="H4824" t="s">
        <v>91</v>
      </c>
      <c r="I4824" t="s">
        <v>14565</v>
      </c>
      <c r="J4824" t="str">
        <f>HYPERLINK("http://twitter.com/maddypeeps")</f>
        <v>http://twitter.com/maddypeeps</v>
      </c>
      <c r="K4824">
        <v>690</v>
      </c>
      <c r="L4824" t="s">
        <v>58</v>
      </c>
      <c r="N4824" t="s">
        <v>65</v>
      </c>
      <c r="R4824" t="s">
        <v>60</v>
      </c>
      <c r="W4824">
        <v>3</v>
      </c>
      <c r="X4824">
        <v>3</v>
      </c>
      <c r="AE4824">
        <v>2</v>
      </c>
      <c r="AF4824">
        <v>0</v>
      </c>
      <c r="AM4824" t="s">
        <v>52</v>
      </c>
      <c r="AN4824" t="s">
        <v>53</v>
      </c>
    </row>
    <row r="4825" spans="1:40">
      <c r="A4825" t="s">
        <v>13057</v>
      </c>
      <c r="B4825" t="s">
        <v>14560</v>
      </c>
      <c r="C4825" t="s">
        <v>13153</v>
      </c>
      <c r="D4825" t="s">
        <v>52</v>
      </c>
      <c r="E4825" t="s">
        <v>14566</v>
      </c>
      <c r="F4825" t="s">
        <v>45</v>
      </c>
      <c r="G4825" t="str">
        <f>HYPERLINK("https://www.facebook.com/274104256581202/posts/364357227555904")</f>
        <v>https://www.facebook.com/274104256581202/posts/364357227555904</v>
      </c>
      <c r="H4825" t="s">
        <v>46</v>
      </c>
      <c r="I4825" t="s">
        <v>14567</v>
      </c>
      <c r="J4825" t="str">
        <f>HYPERLINK("https://www.facebook.com/274104256581202")</f>
        <v>https://www.facebook.com/274104256581202</v>
      </c>
      <c r="K4825">
        <v>4598</v>
      </c>
      <c r="L4825" t="s">
        <v>651</v>
      </c>
      <c r="N4825" t="s">
        <v>1792</v>
      </c>
      <c r="O4825" t="s">
        <v>14567</v>
      </c>
      <c r="P4825" t="str">
        <f>HYPERLINK("https://www.facebook.com/274104256581202")</f>
        <v>https://www.facebook.com/274104256581202</v>
      </c>
      <c r="Q4825">
        <v>4598</v>
      </c>
      <c r="R4825" t="s">
        <v>60</v>
      </c>
      <c r="S4825" t="s">
        <v>437</v>
      </c>
      <c r="W4825">
        <v>5</v>
      </c>
      <c r="X4825">
        <v>3</v>
      </c>
      <c r="Y4825">
        <v>2</v>
      </c>
      <c r="Z4825">
        <v>0</v>
      </c>
      <c r="AA4825">
        <v>0</v>
      </c>
      <c r="AB4825">
        <v>0</v>
      </c>
      <c r="AC4825">
        <v>0</v>
      </c>
      <c r="AE4825">
        <v>0</v>
      </c>
      <c r="AF4825">
        <v>0</v>
      </c>
      <c r="AI4825" t="s">
        <v>52</v>
      </c>
      <c r="AJ4825" t="s">
        <v>659</v>
      </c>
      <c r="AK4825" t="s">
        <v>52</v>
      </c>
      <c r="AL4825" t="str">
        <f>HYPERLINK("https://scontent.xx.fbcdn.net/v/t15.5256-10/65616882_1705631276411298_683297161848291328_n.jpg?_nc_cat=108&amp;_nc_oc=AQl3zwG6-27vmGFBuXNjgtMBCiKlEqGCMf-5fiM2iZ_QsAr2B0VCY9cCmFjbBPKHfVs&amp;_nc_ht=scontent.xx&amp;oh=2536bbb5ebc09160c105a6aecc61e9d3&amp;oe=5D7F96F8")</f>
        <v>https://scontent.xx.fbcdn.net/v/t15.5256-10/65616882_1705631276411298_683297161848291328_n.jpg?_nc_cat=108&amp;_nc_oc=AQl3zwG6-27vmGFBuXNjgtMBCiKlEqGCMf-5fiM2iZ_QsAr2B0VCY9cCmFjbBPKHfVs&amp;_nc_ht=scontent.xx&amp;oh=2536bbb5ebc09160c105a6aecc61e9d3&amp;oe=5D7F96F8</v>
      </c>
      <c r="AM4825" t="s">
        <v>52</v>
      </c>
      <c r="AN4825" t="s">
        <v>53</v>
      </c>
    </row>
    <row r="4826" spans="1:40">
      <c r="A4826" t="s">
        <v>13057</v>
      </c>
      <c r="B4826" t="s">
        <v>4124</v>
      </c>
      <c r="C4826" t="s">
        <v>14568</v>
      </c>
      <c r="D4826" t="s">
        <v>52</v>
      </c>
      <c r="E4826" t="s">
        <v>14569</v>
      </c>
      <c r="F4826" t="s">
        <v>95</v>
      </c>
      <c r="G4826" t="str">
        <f>HYPERLINK("https://twitter.com/701344467731746816/status/1142551069618331649")</f>
        <v>https://twitter.com/701344467731746816/status/1142551069618331649</v>
      </c>
      <c r="H4826" t="s">
        <v>46</v>
      </c>
      <c r="I4826" t="s">
        <v>14570</v>
      </c>
      <c r="J4826" t="str">
        <f>HYPERLINK("http://twitter.com/GClutchh")</f>
        <v>http://twitter.com/GClutchh</v>
      </c>
      <c r="K4826">
        <v>688</v>
      </c>
      <c r="L4826" t="s">
        <v>48</v>
      </c>
      <c r="N4826" t="s">
        <v>65</v>
      </c>
      <c r="R4826" t="s">
        <v>60</v>
      </c>
      <c r="S4826" t="s">
        <v>97</v>
      </c>
      <c r="T4826" t="s">
        <v>177</v>
      </c>
      <c r="U4826" t="s">
        <v>14571</v>
      </c>
      <c r="W4826">
        <v>1</v>
      </c>
      <c r="X4826">
        <v>1</v>
      </c>
      <c r="AE4826">
        <v>1</v>
      </c>
      <c r="AF4826">
        <v>0</v>
      </c>
      <c r="AM4826" t="s">
        <v>52</v>
      </c>
      <c r="AN4826" t="s">
        <v>53</v>
      </c>
    </row>
    <row r="4827" spans="1:40">
      <c r="A4827" t="s">
        <v>13057</v>
      </c>
      <c r="B4827" t="s">
        <v>4124</v>
      </c>
      <c r="C4827" t="s">
        <v>14563</v>
      </c>
      <c r="D4827" t="s">
        <v>52</v>
      </c>
      <c r="E4827" t="s">
        <v>14572</v>
      </c>
      <c r="F4827" t="s">
        <v>45</v>
      </c>
      <c r="G4827" t="str">
        <f>HYPERLINK("https://www.instagram.com/p/BzBx7DyHGGm")</f>
        <v>https://www.instagram.com/p/BzBx7DyHGGm</v>
      </c>
      <c r="H4827" t="s">
        <v>46</v>
      </c>
      <c r="I4827" t="s">
        <v>4364</v>
      </c>
      <c r="J4827" t="str">
        <f>HYPERLINK("http://instagram.com/jahphrog.exe")</f>
        <v>http://instagram.com/jahphrog.exe</v>
      </c>
      <c r="K4827">
        <v>81</v>
      </c>
      <c r="N4827" t="s">
        <v>59</v>
      </c>
      <c r="O4827" t="s">
        <v>4364</v>
      </c>
      <c r="P4827" t="str">
        <f>HYPERLINK("http://instagram.com/jahphrog.exe")</f>
        <v>http://instagram.com/jahphrog.exe</v>
      </c>
      <c r="Q4827">
        <v>81</v>
      </c>
      <c r="R4827" t="s">
        <v>60</v>
      </c>
      <c r="S4827" t="s">
        <v>774</v>
      </c>
      <c r="T4827" t="s">
        <v>4365</v>
      </c>
      <c r="U4827" t="s">
        <v>4366</v>
      </c>
      <c r="W4827">
        <v>23</v>
      </c>
      <c r="X4827">
        <v>23</v>
      </c>
      <c r="AE4827">
        <v>0</v>
      </c>
      <c r="AI4827" t="s">
        <v>52</v>
      </c>
      <c r="AJ4827" t="s">
        <v>52</v>
      </c>
      <c r="AK4827" t="s">
        <v>52</v>
      </c>
      <c r="AL4827" t="str">
        <f>HYPERLINK("https://www.instagram.com/p/BzBx7DyHGGm/media/?size=l")</f>
        <v>https://www.instagram.com/p/BzBx7DyHGGm/media/?size=l</v>
      </c>
      <c r="AM4827" t="s">
        <v>52</v>
      </c>
      <c r="AN4827" t="s">
        <v>53</v>
      </c>
    </row>
    <row r="4828" spans="1:40">
      <c r="A4828" t="s">
        <v>13057</v>
      </c>
      <c r="B4828" t="s">
        <v>4129</v>
      </c>
      <c r="C4828" t="s">
        <v>14470</v>
      </c>
      <c r="D4828" t="s">
        <v>52</v>
      </c>
      <c r="E4828" t="s">
        <v>14573</v>
      </c>
      <c r="F4828" t="s">
        <v>45</v>
      </c>
      <c r="G4828" t="str">
        <f>HYPERLINK("https://www.instagram.com/p/BzBx0YPJ0iy")</f>
        <v>https://www.instagram.com/p/BzBx0YPJ0iy</v>
      </c>
      <c r="H4828" t="s">
        <v>46</v>
      </c>
      <c r="I4828" t="s">
        <v>14574</v>
      </c>
      <c r="J4828" t="str">
        <f>HYPERLINK("http://instagram.com/foxfitnessbjj")</f>
        <v>http://instagram.com/foxfitnessbjj</v>
      </c>
      <c r="K4828">
        <v>8465</v>
      </c>
      <c r="N4828" t="s">
        <v>59</v>
      </c>
      <c r="O4828" t="s">
        <v>14574</v>
      </c>
      <c r="P4828" t="str">
        <f>HYPERLINK("http://instagram.com/foxfitnessbjj")</f>
        <v>http://instagram.com/foxfitnessbjj</v>
      </c>
      <c r="Q4828">
        <v>8465</v>
      </c>
      <c r="R4828" t="s">
        <v>60</v>
      </c>
      <c r="S4828" t="s">
        <v>51</v>
      </c>
      <c r="T4828" t="s">
        <v>490</v>
      </c>
      <c r="U4828" t="s">
        <v>14575</v>
      </c>
      <c r="W4828">
        <v>102</v>
      </c>
      <c r="X4828">
        <v>102</v>
      </c>
      <c r="AE4828">
        <v>12</v>
      </c>
      <c r="AI4828" t="s">
        <v>52</v>
      </c>
      <c r="AJ4828" t="s">
        <v>52</v>
      </c>
      <c r="AK4828" t="s">
        <v>52</v>
      </c>
      <c r="AL4828" t="str">
        <f>HYPERLINK("https://www.instagram.com/p/BzBx0YPJ0iy/media/?size=l")</f>
        <v>https://www.instagram.com/p/BzBx0YPJ0iy/media/?size=l</v>
      </c>
      <c r="AM4828" t="s">
        <v>52</v>
      </c>
      <c r="AN4828" t="s">
        <v>53</v>
      </c>
    </row>
    <row r="4829" spans="1:40">
      <c r="A4829" t="s">
        <v>13057</v>
      </c>
      <c r="B4829" t="s">
        <v>4129</v>
      </c>
      <c r="C4829" t="s">
        <v>12409</v>
      </c>
      <c r="D4829" t="s">
        <v>14576</v>
      </c>
      <c r="E4829" t="s">
        <v>14577</v>
      </c>
      <c r="F4829" t="s">
        <v>45</v>
      </c>
      <c r="G4829" t="str">
        <f>HYPERLINK("https://www.reddit.com/r/megalophobia/comments/c3qsfo/the_uss_zumwalt/?sort=new#thing_t1_erteoz6")</f>
        <v>https://www.reddit.com/r/megalophobia/comments/c3qsfo/the_uss_zumwalt/?sort=new#thing_t1_erteoz6</v>
      </c>
      <c r="H4829" t="s">
        <v>46</v>
      </c>
      <c r="I4829" t="s">
        <v>14578</v>
      </c>
      <c r="J4829" t="str">
        <f>HYPERLINK("https://www.reddit.com/r/megalophobia/comments/c3qsfo/the_uss_zumwalt/?sort=new#thing_t1_erteoz6")</f>
        <v>https://www.reddit.com/r/megalophobia/comments/c3qsfo/the_uss_zumwalt/?sort=new#thing_t1_erteoz6</v>
      </c>
      <c r="N4829" t="s">
        <v>545</v>
      </c>
      <c r="O4829" t="s">
        <v>14579</v>
      </c>
      <c r="P4829" t="str">
        <f>HYPERLINK("https://www.reddit.com/r/AbsoluteUnits/")</f>
        <v>https://www.reddit.com/r/AbsoluteUnits/</v>
      </c>
      <c r="R4829" t="s">
        <v>516</v>
      </c>
      <c r="S4829" t="s">
        <v>51</v>
      </c>
      <c r="AM4829" t="s">
        <v>52</v>
      </c>
      <c r="AN4829" t="s">
        <v>53</v>
      </c>
    </row>
    <row r="4830" spans="1:40">
      <c r="A4830" t="s">
        <v>13057</v>
      </c>
      <c r="B4830" t="s">
        <v>4134</v>
      </c>
      <c r="C4830" t="s">
        <v>14568</v>
      </c>
      <c r="D4830" t="s">
        <v>52</v>
      </c>
      <c r="E4830" t="s">
        <v>130</v>
      </c>
      <c r="F4830" t="s">
        <v>131</v>
      </c>
      <c r="G4830" t="str">
        <f>HYPERLINK("https://twitter.com/175111995/status/1142550494843457536")</f>
        <v>https://twitter.com/175111995/status/1142550494843457536</v>
      </c>
      <c r="H4830" t="s">
        <v>46</v>
      </c>
      <c r="I4830" t="s">
        <v>14580</v>
      </c>
      <c r="J4830" t="str">
        <f>HYPERLINK("http://twitter.com/demarisecats")</f>
        <v>http://twitter.com/demarisecats</v>
      </c>
      <c r="K4830">
        <v>3240</v>
      </c>
      <c r="L4830" t="s">
        <v>58</v>
      </c>
      <c r="N4830" t="s">
        <v>65</v>
      </c>
      <c r="R4830" t="s">
        <v>60</v>
      </c>
      <c r="S4830" t="s">
        <v>97</v>
      </c>
      <c r="T4830" t="s">
        <v>1332</v>
      </c>
      <c r="U4830" t="s">
        <v>14581</v>
      </c>
      <c r="W4830">
        <v>0</v>
      </c>
      <c r="X4830">
        <v>0</v>
      </c>
      <c r="AE4830">
        <v>0</v>
      </c>
      <c r="AI4830" t="s">
        <v>108</v>
      </c>
      <c r="AJ4830" t="s">
        <v>52</v>
      </c>
      <c r="AK4830" t="s">
        <v>52</v>
      </c>
      <c r="AL4830" t="str">
        <f>HYPERLINK("https://pbs.twimg.com/media/D9XTkLWW4AAOYnJ.jpg")</f>
        <v>https://pbs.twimg.com/media/D9XTkLWW4AAOYnJ.jpg</v>
      </c>
      <c r="AM4830" t="s">
        <v>52</v>
      </c>
      <c r="AN4830" t="s">
        <v>53</v>
      </c>
    </row>
    <row r="4831" spans="1:40">
      <c r="A4831" t="s">
        <v>13057</v>
      </c>
      <c r="B4831" t="s">
        <v>4134</v>
      </c>
      <c r="C4831" t="s">
        <v>14568</v>
      </c>
      <c r="D4831" t="s">
        <v>14582</v>
      </c>
      <c r="E4831" t="s">
        <v>14583</v>
      </c>
      <c r="F4831" t="s">
        <v>45</v>
      </c>
      <c r="G4831" t="str">
        <f>HYPERLINK("https://www.thedad.com/misbehaving-kid-serves-hard-time-in-bedroom-full-of-endless-entertainment")</f>
        <v>https://www.thedad.com/misbehaving-kid-serves-hard-time-in-bedroom-full-of-endless-entertainment</v>
      </c>
      <c r="H4831" t="s">
        <v>46</v>
      </c>
      <c r="I4831" t="s">
        <v>4492</v>
      </c>
      <c r="J4831" t="str">
        <f>HYPERLINK("https://www.thedad.com")</f>
        <v>https://www.thedad.com</v>
      </c>
      <c r="N4831" t="s">
        <v>4492</v>
      </c>
      <c r="R4831" t="s">
        <v>357</v>
      </c>
      <c r="S4831" t="s">
        <v>51</v>
      </c>
      <c r="AI4831" t="s">
        <v>52</v>
      </c>
      <c r="AJ4831" t="s">
        <v>52</v>
      </c>
      <c r="AK4831" t="s">
        <v>52</v>
      </c>
      <c r="AL4831" t="str">
        <f>HYPERLINK("https://www.thedad.com/wp-content/uploads/2019/06/videogame.jpg?w=640")</f>
        <v>https://www.thedad.com/wp-content/uploads/2019/06/videogame.jpg?w=640</v>
      </c>
      <c r="AM4831" t="s">
        <v>52</v>
      </c>
      <c r="AN4831" t="s">
        <v>53</v>
      </c>
    </row>
    <row r="4832" spans="1:40">
      <c r="A4832" t="s">
        <v>13057</v>
      </c>
      <c r="B4832" t="s">
        <v>4134</v>
      </c>
      <c r="C4832" t="s">
        <v>14568</v>
      </c>
      <c r="D4832" t="s">
        <v>14584</v>
      </c>
      <c r="E4832" t="s">
        <v>14585</v>
      </c>
      <c r="F4832" t="s">
        <v>45</v>
      </c>
      <c r="G4832" t="str">
        <f>HYPERLINK("https://www.thedad.com/cheers-the-wassup-commercial-just-turned-20")</f>
        <v>https://www.thedad.com/cheers-the-wassup-commercial-just-turned-20</v>
      </c>
      <c r="H4832" t="s">
        <v>215</v>
      </c>
      <c r="I4832" t="s">
        <v>4492</v>
      </c>
      <c r="J4832" t="str">
        <f>HYPERLINK("https://www.thedad.com")</f>
        <v>https://www.thedad.com</v>
      </c>
      <c r="N4832" t="s">
        <v>4492</v>
      </c>
      <c r="R4832" t="s">
        <v>357</v>
      </c>
      <c r="S4832" t="s">
        <v>51</v>
      </c>
      <c r="AI4832" t="s">
        <v>52</v>
      </c>
      <c r="AJ4832" t="s">
        <v>52</v>
      </c>
      <c r="AK4832" t="s">
        <v>52</v>
      </c>
      <c r="AL4832" t="str">
        <f>HYPERLINK("https://www.thedad.com/wp-content/uploads/2019/06/sup.jpg?w=640")</f>
        <v>https://www.thedad.com/wp-content/uploads/2019/06/sup.jpg?w=640</v>
      </c>
      <c r="AM4832" t="s">
        <v>52</v>
      </c>
      <c r="AN4832" t="s">
        <v>53</v>
      </c>
    </row>
    <row r="4833" spans="1:40">
      <c r="A4833" t="s">
        <v>13057</v>
      </c>
      <c r="B4833" t="s">
        <v>9772</v>
      </c>
      <c r="C4833" t="s">
        <v>14586</v>
      </c>
      <c r="D4833" t="s">
        <v>52</v>
      </c>
      <c r="E4833" t="s">
        <v>14587</v>
      </c>
      <c r="F4833" t="s">
        <v>45</v>
      </c>
      <c r="G4833" t="str">
        <f>HYPERLINK("https://www.instagram.com/p/BzBxalZlnh1")</f>
        <v>https://www.instagram.com/p/BzBxalZlnh1</v>
      </c>
      <c r="H4833" t="s">
        <v>215</v>
      </c>
      <c r="I4833" t="s">
        <v>14588</v>
      </c>
      <c r="J4833" t="str">
        <f>HYPERLINK("http://instagram.com/popartmonkey")</f>
        <v>http://instagram.com/popartmonkey</v>
      </c>
      <c r="K4833">
        <v>1053</v>
      </c>
      <c r="L4833" t="s">
        <v>48</v>
      </c>
      <c r="N4833" t="s">
        <v>59</v>
      </c>
      <c r="O4833" t="s">
        <v>14588</v>
      </c>
      <c r="P4833" t="str">
        <f>HYPERLINK("http://instagram.com/popartmonkey")</f>
        <v>http://instagram.com/popartmonkey</v>
      </c>
      <c r="Q4833">
        <v>1053</v>
      </c>
      <c r="R4833" t="s">
        <v>60</v>
      </c>
      <c r="S4833" t="s">
        <v>51</v>
      </c>
      <c r="T4833" t="s">
        <v>3136</v>
      </c>
      <c r="U4833" t="s">
        <v>7714</v>
      </c>
      <c r="W4833">
        <v>26</v>
      </c>
      <c r="X4833">
        <v>26</v>
      </c>
      <c r="AE4833">
        <v>4</v>
      </c>
      <c r="AI4833" t="s">
        <v>52</v>
      </c>
      <c r="AJ4833" t="s">
        <v>14589</v>
      </c>
      <c r="AK4833" t="s">
        <v>52</v>
      </c>
      <c r="AL4833" t="str">
        <f>HYPERLINK("https://www.instagram.com/p/BzBxalZlnh1/media/?size=l")</f>
        <v>https://www.instagram.com/p/BzBxalZlnh1/media/?size=l</v>
      </c>
      <c r="AM4833" t="s">
        <v>52</v>
      </c>
      <c r="AN4833" t="s">
        <v>53</v>
      </c>
    </row>
    <row r="4834" spans="1:40">
      <c r="A4834" t="s">
        <v>13057</v>
      </c>
      <c r="B4834" t="s">
        <v>9772</v>
      </c>
      <c r="C4834" t="s">
        <v>14586</v>
      </c>
      <c r="D4834" t="s">
        <v>52</v>
      </c>
      <c r="E4834" t="s">
        <v>14590</v>
      </c>
      <c r="F4834" t="s">
        <v>45</v>
      </c>
      <c r="G4834" t="str">
        <f>HYPERLINK("https://www.instagram.com/p/BzBxaOnBGtY")</f>
        <v>https://www.instagram.com/p/BzBxaOnBGtY</v>
      </c>
      <c r="H4834" t="s">
        <v>46</v>
      </c>
      <c r="I4834" t="s">
        <v>14591</v>
      </c>
      <c r="J4834" t="str">
        <f>HYPERLINK("http://instagram.com/jhallbeauty")</f>
        <v>http://instagram.com/jhallbeauty</v>
      </c>
      <c r="K4834">
        <v>422</v>
      </c>
      <c r="N4834" t="s">
        <v>59</v>
      </c>
      <c r="O4834" t="s">
        <v>14591</v>
      </c>
      <c r="P4834" t="str">
        <f>HYPERLINK("http://instagram.com/jhallbeauty")</f>
        <v>http://instagram.com/jhallbeauty</v>
      </c>
      <c r="Q4834">
        <v>422</v>
      </c>
      <c r="R4834" t="s">
        <v>60</v>
      </c>
      <c r="S4834" t="s">
        <v>51</v>
      </c>
      <c r="T4834" t="s">
        <v>173</v>
      </c>
      <c r="U4834" t="s">
        <v>1214</v>
      </c>
      <c r="W4834">
        <v>15</v>
      </c>
      <c r="X4834">
        <v>15</v>
      </c>
      <c r="AE4834">
        <v>1</v>
      </c>
      <c r="AI4834" t="s">
        <v>52</v>
      </c>
      <c r="AJ4834" t="s">
        <v>52</v>
      </c>
      <c r="AK4834" t="s">
        <v>52</v>
      </c>
      <c r="AL4834" t="str">
        <f>HYPERLINK("https://www.instagram.com/p/BzBxaOnBGtY/media/?size=l")</f>
        <v>https://www.instagram.com/p/BzBxaOnBGtY/media/?size=l</v>
      </c>
      <c r="AM4834" t="s">
        <v>52</v>
      </c>
      <c r="AN4834" t="s">
        <v>53</v>
      </c>
    </row>
    <row r="4835" spans="1:40">
      <c r="A4835" t="s">
        <v>13057</v>
      </c>
      <c r="B4835" t="s">
        <v>9772</v>
      </c>
      <c r="C4835" t="s">
        <v>14592</v>
      </c>
      <c r="D4835" t="s">
        <v>52</v>
      </c>
      <c r="E4835" t="s">
        <v>14593</v>
      </c>
      <c r="F4835" t="s">
        <v>45</v>
      </c>
      <c r="G4835" t="str">
        <f>HYPERLINK("https://www.facebook.com/364592570339898/posts/1783275615138246")</f>
        <v>https://www.facebook.com/364592570339898/posts/1783275615138246</v>
      </c>
      <c r="H4835" t="s">
        <v>46</v>
      </c>
      <c r="I4835" t="s">
        <v>14594</v>
      </c>
      <c r="J4835" t="str">
        <f>HYPERLINK("https://www.facebook.com/364592570339898")</f>
        <v>https://www.facebook.com/364592570339898</v>
      </c>
      <c r="K4835">
        <v>5134848</v>
      </c>
      <c r="L4835" t="s">
        <v>651</v>
      </c>
      <c r="N4835" t="s">
        <v>1792</v>
      </c>
      <c r="O4835" t="s">
        <v>14594</v>
      </c>
      <c r="P4835" t="str">
        <f>HYPERLINK("https://www.facebook.com/364592570339898")</f>
        <v>https://www.facebook.com/364592570339898</v>
      </c>
      <c r="Q4835">
        <v>5134848</v>
      </c>
      <c r="R4835" t="s">
        <v>60</v>
      </c>
      <c r="W4835">
        <v>85</v>
      </c>
      <c r="X4835">
        <v>81</v>
      </c>
      <c r="Y4835">
        <v>4</v>
      </c>
      <c r="Z4835">
        <v>0</v>
      </c>
      <c r="AA4835">
        <v>0</v>
      </c>
      <c r="AB4835">
        <v>0</v>
      </c>
      <c r="AC4835">
        <v>0</v>
      </c>
      <c r="AE4835">
        <v>0</v>
      </c>
      <c r="AF4835">
        <v>51</v>
      </c>
      <c r="AI4835" t="s">
        <v>52</v>
      </c>
      <c r="AJ4835" t="s">
        <v>4204</v>
      </c>
      <c r="AK4835" t="s">
        <v>52</v>
      </c>
      <c r="AL4835" t="str">
        <f>HYPERLINK("https://scontent.xx.fbcdn.net/v/t1.0-9/s720x720/65022070_1783275121804962_7897080698421379072_n.jpg?_nc_cat=1&amp;_nc_ht=scontent.xx&amp;oh=30c9258deb28c4a5d097e5665235778f&amp;oe=5D8928A9")</f>
        <v>https://scontent.xx.fbcdn.net/v/t1.0-9/s720x720/65022070_1783275121804962_7897080698421379072_n.jpg?_nc_cat=1&amp;_nc_ht=scontent.xx&amp;oh=30c9258deb28c4a5d097e5665235778f&amp;oe=5D8928A9</v>
      </c>
      <c r="AM4835" t="s">
        <v>52</v>
      </c>
      <c r="AN4835" t="s">
        <v>53</v>
      </c>
    </row>
    <row r="4836" spans="1:40">
      <c r="A4836" t="s">
        <v>13057</v>
      </c>
      <c r="B4836" t="s">
        <v>14595</v>
      </c>
      <c r="C4836" t="s">
        <v>7025</v>
      </c>
      <c r="D4836" t="s">
        <v>14596</v>
      </c>
      <c r="E4836" t="s">
        <v>14597</v>
      </c>
      <c r="F4836" t="s">
        <v>45</v>
      </c>
      <c r="G4836" t="str">
        <f>HYPERLINK("http://www.philropost.com/taco-bell-pick-up-lines.html")</f>
        <v>http://www.philropost.com/taco-bell-pick-up-lines.html</v>
      </c>
      <c r="H4836" t="s">
        <v>46</v>
      </c>
      <c r="N4836" t="s">
        <v>7552</v>
      </c>
      <c r="R4836" t="s">
        <v>50</v>
      </c>
      <c r="S4836" t="s">
        <v>51</v>
      </c>
      <c r="AM4836" t="s">
        <v>52</v>
      </c>
      <c r="AN4836" t="s">
        <v>53</v>
      </c>
    </row>
    <row r="4837" spans="1:40">
      <c r="A4837" t="s">
        <v>13057</v>
      </c>
      <c r="B4837" t="s">
        <v>4147</v>
      </c>
      <c r="C4837" t="s">
        <v>14586</v>
      </c>
      <c r="D4837" t="s">
        <v>52</v>
      </c>
      <c r="E4837" t="s">
        <v>14598</v>
      </c>
      <c r="F4837" t="s">
        <v>71</v>
      </c>
      <c r="G4837" t="str">
        <f>HYPERLINK("https://twitter.com/191106641/status/1142549509043642374")</f>
        <v>https://twitter.com/191106641/status/1142549509043642374</v>
      </c>
      <c r="H4837" t="s">
        <v>46</v>
      </c>
      <c r="I4837" t="s">
        <v>14599</v>
      </c>
      <c r="J4837" t="str">
        <f>HYPERLINK("http://twitter.com/kalangaprincess")</f>
        <v>http://twitter.com/kalangaprincess</v>
      </c>
      <c r="K4837">
        <v>9727</v>
      </c>
      <c r="N4837" t="s">
        <v>65</v>
      </c>
      <c r="R4837" t="s">
        <v>60</v>
      </c>
      <c r="S4837" t="s">
        <v>5817</v>
      </c>
      <c r="T4837" t="s">
        <v>14600</v>
      </c>
      <c r="U4837" t="s">
        <v>14601</v>
      </c>
      <c r="W4837">
        <v>0</v>
      </c>
      <c r="X4837">
        <v>0</v>
      </c>
      <c r="AE4837">
        <v>1</v>
      </c>
      <c r="AF4837">
        <v>0</v>
      </c>
      <c r="AI4837" t="s">
        <v>108</v>
      </c>
      <c r="AJ4837" t="s">
        <v>52</v>
      </c>
      <c r="AK4837" t="s">
        <v>52</v>
      </c>
      <c r="AL4837" t="str">
        <f>HYPERLINK("https://pbs.twimg.com/media/D9sAXHUX4AA6vJs.jpg")</f>
        <v>https://pbs.twimg.com/media/D9sAXHUX4AA6vJs.jpg</v>
      </c>
      <c r="AM4837" t="s">
        <v>52</v>
      </c>
      <c r="AN4837" t="s">
        <v>53</v>
      </c>
    </row>
    <row r="4838" spans="1:40">
      <c r="A4838" t="s">
        <v>13057</v>
      </c>
      <c r="B4838" t="s">
        <v>4147</v>
      </c>
      <c r="C4838" t="s">
        <v>14586</v>
      </c>
      <c r="D4838" t="s">
        <v>52</v>
      </c>
      <c r="E4838" t="s">
        <v>14602</v>
      </c>
      <c r="F4838" t="s">
        <v>95</v>
      </c>
      <c r="G4838" t="str">
        <f>HYPERLINK("https://twitter.com/255935713/status/1142549496100007936")</f>
        <v>https://twitter.com/255935713/status/1142549496100007936</v>
      </c>
      <c r="H4838" t="s">
        <v>46</v>
      </c>
      <c r="I4838" t="s">
        <v>14603</v>
      </c>
      <c r="J4838" t="str">
        <f>HYPERLINK("http://twitter.com/MahleSoul")</f>
        <v>http://twitter.com/MahleSoul</v>
      </c>
      <c r="K4838">
        <v>817</v>
      </c>
      <c r="N4838" t="s">
        <v>65</v>
      </c>
      <c r="R4838" t="s">
        <v>60</v>
      </c>
      <c r="S4838" t="s">
        <v>51</v>
      </c>
      <c r="T4838" t="s">
        <v>2729</v>
      </c>
      <c r="U4838" t="s">
        <v>14604</v>
      </c>
      <c r="W4838">
        <v>0</v>
      </c>
      <c r="X4838">
        <v>0</v>
      </c>
      <c r="AE4838">
        <v>0</v>
      </c>
      <c r="AF4838">
        <v>0</v>
      </c>
      <c r="AM4838" t="s">
        <v>52</v>
      </c>
      <c r="AN4838" t="s">
        <v>53</v>
      </c>
    </row>
    <row r="4839" spans="1:40">
      <c r="A4839" t="s">
        <v>13057</v>
      </c>
      <c r="B4839" t="s">
        <v>4147</v>
      </c>
      <c r="C4839" t="s">
        <v>14586</v>
      </c>
      <c r="D4839" t="s">
        <v>52</v>
      </c>
      <c r="E4839" t="s">
        <v>4514</v>
      </c>
      <c r="F4839" t="s">
        <v>71</v>
      </c>
      <c r="G4839" t="str">
        <f>HYPERLINK("https://twitter.com/462295747/status/1142549471949152256")</f>
        <v>https://twitter.com/462295747/status/1142549471949152256</v>
      </c>
      <c r="H4839" t="s">
        <v>46</v>
      </c>
      <c r="I4839" t="s">
        <v>14605</v>
      </c>
      <c r="J4839" t="str">
        <f>HYPERLINK("http://twitter.com/patobush")</f>
        <v>http://twitter.com/patobush</v>
      </c>
      <c r="K4839">
        <v>645</v>
      </c>
      <c r="N4839" t="s">
        <v>65</v>
      </c>
      <c r="R4839" t="s">
        <v>60</v>
      </c>
      <c r="S4839" t="s">
        <v>701</v>
      </c>
      <c r="W4839">
        <v>0</v>
      </c>
      <c r="X4839">
        <v>0</v>
      </c>
      <c r="AE4839">
        <v>0</v>
      </c>
      <c r="AF4839">
        <v>0</v>
      </c>
      <c r="AI4839" t="s">
        <v>108</v>
      </c>
      <c r="AJ4839" t="s">
        <v>52</v>
      </c>
      <c r="AK4839" t="s">
        <v>52</v>
      </c>
      <c r="AL4839" t="str">
        <f>HYPERLINK("https://pbs.twimg.com/tweet_video_thumb/D9hvNNzXUAATAS3.jpg")</f>
        <v>https://pbs.twimg.com/tweet_video_thumb/D9hvNNzXUAATAS3.jpg</v>
      </c>
      <c r="AM4839" t="s">
        <v>52</v>
      </c>
      <c r="AN4839" t="s">
        <v>53</v>
      </c>
    </row>
    <row r="4840" spans="1:40">
      <c r="A4840" t="s">
        <v>13057</v>
      </c>
      <c r="B4840" t="s">
        <v>4147</v>
      </c>
      <c r="C4840" t="s">
        <v>14606</v>
      </c>
      <c r="D4840" t="s">
        <v>52</v>
      </c>
      <c r="E4840" t="s">
        <v>14607</v>
      </c>
      <c r="F4840" t="s">
        <v>45</v>
      </c>
      <c r="G4840" t="str">
        <f>HYPERLINK("https://www.instagram.com/p/BzBxL5VltmB")</f>
        <v>https://www.instagram.com/p/BzBxL5VltmB</v>
      </c>
      <c r="H4840" t="s">
        <v>46</v>
      </c>
      <c r="I4840" t="s">
        <v>14608</v>
      </c>
      <c r="J4840" t="str">
        <f>HYPERLINK("http://instagram.com/bigdog.brasil")</f>
        <v>http://instagram.com/bigdog.brasil</v>
      </c>
      <c r="K4840">
        <v>2249</v>
      </c>
      <c r="N4840" t="s">
        <v>59</v>
      </c>
      <c r="O4840" t="s">
        <v>14608</v>
      </c>
      <c r="P4840" t="str">
        <f>HYPERLINK("http://instagram.com/bigdog.brasil")</f>
        <v>http://instagram.com/bigdog.brasil</v>
      </c>
      <c r="Q4840">
        <v>2249</v>
      </c>
      <c r="R4840" t="s">
        <v>60</v>
      </c>
      <c r="S4840" t="s">
        <v>432</v>
      </c>
      <c r="T4840" t="s">
        <v>6192</v>
      </c>
      <c r="U4840" t="s">
        <v>9041</v>
      </c>
      <c r="W4840">
        <v>12</v>
      </c>
      <c r="X4840">
        <v>12</v>
      </c>
      <c r="AE4840">
        <v>0</v>
      </c>
      <c r="AI4840" t="s">
        <v>108</v>
      </c>
      <c r="AJ4840" t="s">
        <v>1853</v>
      </c>
      <c r="AK4840" t="s">
        <v>52</v>
      </c>
      <c r="AL4840" t="str">
        <f>HYPERLINK("https://www.instagram.com/p/BzBxL5VltmB/media/?size=l")</f>
        <v>https://www.instagram.com/p/BzBxL5VltmB/media/?size=l</v>
      </c>
      <c r="AM4840" t="s">
        <v>52</v>
      </c>
      <c r="AN4840" t="s">
        <v>53</v>
      </c>
    </row>
    <row r="4841" spans="1:40">
      <c r="A4841" t="s">
        <v>13057</v>
      </c>
      <c r="B4841" t="s">
        <v>4147</v>
      </c>
      <c r="C4841" t="s">
        <v>14609</v>
      </c>
      <c r="D4841" t="s">
        <v>52</v>
      </c>
      <c r="E4841" t="s">
        <v>14610</v>
      </c>
      <c r="F4841" t="s">
        <v>131</v>
      </c>
      <c r="G4841" t="str">
        <f>HYPERLINK("https://twitter.com/722108265690218496/status/1142549357193060353")</f>
        <v>https://twitter.com/722108265690218496/status/1142549357193060353</v>
      </c>
      <c r="H4841" t="s">
        <v>91</v>
      </c>
      <c r="I4841" t="s">
        <v>14611</v>
      </c>
      <c r="J4841" t="str">
        <f>HYPERLINK("http://twitter.com/whimsicalglittr")</f>
        <v>http://twitter.com/whimsicalglittr</v>
      </c>
      <c r="K4841">
        <v>358</v>
      </c>
      <c r="N4841" t="s">
        <v>65</v>
      </c>
      <c r="R4841" t="s">
        <v>60</v>
      </c>
      <c r="S4841" t="s">
        <v>97</v>
      </c>
      <c r="T4841" t="s">
        <v>177</v>
      </c>
      <c r="U4841" t="s">
        <v>9852</v>
      </c>
      <c r="W4841">
        <v>0</v>
      </c>
      <c r="X4841">
        <v>0</v>
      </c>
      <c r="AE4841">
        <v>0</v>
      </c>
      <c r="AM4841" t="s">
        <v>52</v>
      </c>
      <c r="AN4841" t="s">
        <v>53</v>
      </c>
    </row>
    <row r="4842" spans="1:40">
      <c r="A4842" t="s">
        <v>13057</v>
      </c>
      <c r="B4842" t="s">
        <v>4153</v>
      </c>
      <c r="C4842" t="s">
        <v>14612</v>
      </c>
      <c r="D4842" t="s">
        <v>14613</v>
      </c>
      <c r="E4842" t="s">
        <v>14614</v>
      </c>
      <c r="F4842" t="s">
        <v>95</v>
      </c>
      <c r="G4842" t="str">
        <f>HYPERLINK("http://www.spottedratings.com/2019/06/spotted-ratings-friday-62119.html#comment-4512381049")</f>
        <v>http://www.spottedratings.com/2019/06/spotted-ratings-friday-62119.html#comment-4512381049</v>
      </c>
      <c r="H4842" t="s">
        <v>91</v>
      </c>
      <c r="I4842" t="s">
        <v>14615</v>
      </c>
      <c r="J4842" t="str">
        <f>HYPERLINK("https://disqus.com/by/MatthewPC/")</f>
        <v>https://disqus.com/by/MatthewPC/</v>
      </c>
      <c r="K4842">
        <v>17</v>
      </c>
      <c r="L4842" t="s">
        <v>48</v>
      </c>
      <c r="N4842" t="s">
        <v>14616</v>
      </c>
      <c r="O4842" t="s">
        <v>14617</v>
      </c>
      <c r="P4842" t="str">
        <f>HYPERLINK("https://disqus.com/home/forum/spottedratingscom/")</f>
        <v>https://disqus.com/home/forum/spottedratingscom/</v>
      </c>
      <c r="R4842" t="s">
        <v>50</v>
      </c>
      <c r="W4842">
        <v>0</v>
      </c>
      <c r="X4842">
        <v>0</v>
      </c>
      <c r="AM4842" t="s">
        <v>52</v>
      </c>
      <c r="AN4842" t="s">
        <v>53</v>
      </c>
    </row>
    <row r="4843" spans="1:40">
      <c r="A4843" t="s">
        <v>13057</v>
      </c>
      <c r="B4843" t="s">
        <v>4167</v>
      </c>
      <c r="C4843" t="s">
        <v>14618</v>
      </c>
      <c r="D4843" t="s">
        <v>52</v>
      </c>
      <c r="E4843" t="s">
        <v>14619</v>
      </c>
      <c r="F4843" t="s">
        <v>95</v>
      </c>
      <c r="G4843" t="str">
        <f>HYPERLINK("https://twitter.com/78753855/status/1142548867814027264")</f>
        <v>https://twitter.com/78753855/status/1142548867814027264</v>
      </c>
      <c r="H4843" t="s">
        <v>46</v>
      </c>
      <c r="I4843" t="s">
        <v>14620</v>
      </c>
      <c r="J4843" t="str">
        <f>HYPERLINK("http://twitter.com/El_Pagano")</f>
        <v>http://twitter.com/El_Pagano</v>
      </c>
      <c r="K4843">
        <v>558</v>
      </c>
      <c r="N4843" t="s">
        <v>65</v>
      </c>
      <c r="R4843" t="s">
        <v>60</v>
      </c>
      <c r="S4843" t="s">
        <v>444</v>
      </c>
      <c r="T4843" t="s">
        <v>3539</v>
      </c>
      <c r="U4843" t="s">
        <v>10163</v>
      </c>
      <c r="W4843">
        <v>0</v>
      </c>
      <c r="X4843">
        <v>0</v>
      </c>
      <c r="AE4843">
        <v>1</v>
      </c>
      <c r="AF4843">
        <v>0</v>
      </c>
      <c r="AM4843" t="s">
        <v>52</v>
      </c>
      <c r="AN4843" t="s">
        <v>53</v>
      </c>
    </row>
    <row r="4844" spans="1:40">
      <c r="A4844" t="s">
        <v>13057</v>
      </c>
      <c r="B4844" t="s">
        <v>4171</v>
      </c>
      <c r="C4844" t="s">
        <v>14609</v>
      </c>
      <c r="D4844" t="s">
        <v>52</v>
      </c>
      <c r="E4844" t="s">
        <v>14621</v>
      </c>
      <c r="F4844" t="s">
        <v>45</v>
      </c>
      <c r="G4844" t="str">
        <f>HYPERLINK("https://www.instagram.com/p/BzBw1fOoV_b")</f>
        <v>https://www.instagram.com/p/BzBw1fOoV_b</v>
      </c>
      <c r="H4844" t="s">
        <v>46</v>
      </c>
      <c r="I4844" t="s">
        <v>14622</v>
      </c>
      <c r="J4844" t="str">
        <f>HYPERLINK("http://instagram.com/julka.rosikk")</f>
        <v>http://instagram.com/julka.rosikk</v>
      </c>
      <c r="K4844">
        <v>78</v>
      </c>
      <c r="N4844" t="s">
        <v>59</v>
      </c>
      <c r="O4844" t="s">
        <v>14622</v>
      </c>
      <c r="P4844" t="str">
        <f>HYPERLINK("http://instagram.com/julka.rosikk")</f>
        <v>http://instagram.com/julka.rosikk</v>
      </c>
      <c r="Q4844">
        <v>78</v>
      </c>
      <c r="R4844" t="s">
        <v>60</v>
      </c>
      <c r="S4844" t="s">
        <v>1521</v>
      </c>
      <c r="T4844" t="s">
        <v>14623</v>
      </c>
      <c r="U4844" t="s">
        <v>14624</v>
      </c>
      <c r="W4844">
        <v>34</v>
      </c>
      <c r="X4844">
        <v>34</v>
      </c>
      <c r="AE4844">
        <v>4</v>
      </c>
      <c r="AI4844" t="s">
        <v>52</v>
      </c>
      <c r="AJ4844" t="s">
        <v>52</v>
      </c>
      <c r="AK4844" t="s">
        <v>52</v>
      </c>
      <c r="AL4844" t="str">
        <f>HYPERLINK("https://www.instagram.com/p/BzBw1fOoV_b/media/?size=l")</f>
        <v>https://www.instagram.com/p/BzBw1fOoV_b/media/?size=l</v>
      </c>
      <c r="AM4844" t="s">
        <v>52</v>
      </c>
      <c r="AN4844" t="s">
        <v>53</v>
      </c>
    </row>
    <row r="4845" spans="1:40">
      <c r="A4845" t="s">
        <v>13057</v>
      </c>
      <c r="B4845" t="s">
        <v>4174</v>
      </c>
      <c r="C4845" t="s">
        <v>14625</v>
      </c>
      <c r="D4845" t="s">
        <v>52</v>
      </c>
      <c r="E4845" t="s">
        <v>14626</v>
      </c>
      <c r="F4845" t="s">
        <v>45</v>
      </c>
      <c r="G4845" t="str">
        <f>HYPERLINK("https://twitter.com/47161397/status/1142548464573779968")</f>
        <v>https://twitter.com/47161397/status/1142548464573779968</v>
      </c>
      <c r="H4845" t="s">
        <v>46</v>
      </c>
      <c r="I4845" t="s">
        <v>14627</v>
      </c>
      <c r="J4845" t="str">
        <f>HYPERLINK("http://twitter.com/Zamalisa")</f>
        <v>http://twitter.com/Zamalisa</v>
      </c>
      <c r="K4845">
        <v>4529</v>
      </c>
      <c r="N4845" t="s">
        <v>65</v>
      </c>
      <c r="R4845" t="s">
        <v>60</v>
      </c>
      <c r="S4845" t="s">
        <v>387</v>
      </c>
      <c r="T4845" t="s">
        <v>2251</v>
      </c>
      <c r="U4845" t="s">
        <v>4106</v>
      </c>
      <c r="W4845">
        <v>0</v>
      </c>
      <c r="X4845">
        <v>0</v>
      </c>
      <c r="AE4845">
        <v>1</v>
      </c>
      <c r="AF4845">
        <v>1</v>
      </c>
      <c r="AM4845" t="s">
        <v>52</v>
      </c>
      <c r="AN4845" t="s">
        <v>53</v>
      </c>
    </row>
    <row r="4846" spans="1:40">
      <c r="A4846" t="s">
        <v>13057</v>
      </c>
      <c r="B4846" t="s">
        <v>4174</v>
      </c>
      <c r="C4846" t="s">
        <v>14628</v>
      </c>
      <c r="D4846" t="s">
        <v>52</v>
      </c>
      <c r="E4846" t="s">
        <v>4514</v>
      </c>
      <c r="F4846" t="s">
        <v>71</v>
      </c>
      <c r="G4846" t="str">
        <f>HYPERLINK("https://twitter.com/1086416043608866816/status/1142548369015025664")</f>
        <v>https://twitter.com/1086416043608866816/status/1142548369015025664</v>
      </c>
      <c r="H4846" t="s">
        <v>46</v>
      </c>
      <c r="I4846" t="s">
        <v>14629</v>
      </c>
      <c r="J4846" t="str">
        <f>HYPERLINK("http://twitter.com/2kchatniglet")</f>
        <v>http://twitter.com/2kchatniglet</v>
      </c>
      <c r="K4846">
        <v>88</v>
      </c>
      <c r="N4846" t="s">
        <v>65</v>
      </c>
      <c r="R4846" t="s">
        <v>60</v>
      </c>
      <c r="W4846">
        <v>0</v>
      </c>
      <c r="X4846">
        <v>0</v>
      </c>
      <c r="AE4846">
        <v>0</v>
      </c>
      <c r="AF4846">
        <v>0</v>
      </c>
      <c r="AI4846" t="s">
        <v>108</v>
      </c>
      <c r="AJ4846" t="s">
        <v>52</v>
      </c>
      <c r="AK4846" t="s">
        <v>52</v>
      </c>
      <c r="AL4846" t="str">
        <f>HYPERLINK("https://pbs.twimg.com/tweet_video_thumb/D9hvNNzXUAATAS3.jpg")</f>
        <v>https://pbs.twimg.com/tweet_video_thumb/D9hvNNzXUAATAS3.jpg</v>
      </c>
      <c r="AM4846" t="s">
        <v>52</v>
      </c>
      <c r="AN4846" t="s">
        <v>53</v>
      </c>
    </row>
    <row r="4847" spans="1:40">
      <c r="A4847" t="s">
        <v>13057</v>
      </c>
      <c r="B4847" t="s">
        <v>4212</v>
      </c>
      <c r="C4847" t="s">
        <v>14630</v>
      </c>
      <c r="D4847" t="s">
        <v>52</v>
      </c>
      <c r="E4847" t="s">
        <v>14631</v>
      </c>
      <c r="F4847" t="s">
        <v>45</v>
      </c>
      <c r="G4847" t="str">
        <f>HYPERLINK("https://www.instagram.com/p/BzBwEyug1VN")</f>
        <v>https://www.instagram.com/p/BzBwEyug1VN</v>
      </c>
      <c r="H4847" t="s">
        <v>46</v>
      </c>
      <c r="I4847" t="s">
        <v>14632</v>
      </c>
      <c r="J4847" t="str">
        <f>HYPERLINK("http://instagram.com/that_spiderdude")</f>
        <v>http://instagram.com/that_spiderdude</v>
      </c>
      <c r="K4847">
        <v>12290</v>
      </c>
      <c r="N4847" t="s">
        <v>59</v>
      </c>
      <c r="O4847" t="s">
        <v>14632</v>
      </c>
      <c r="P4847" t="str">
        <f>HYPERLINK("http://instagram.com/that_spiderdude")</f>
        <v>http://instagram.com/that_spiderdude</v>
      </c>
      <c r="Q4847">
        <v>12290</v>
      </c>
      <c r="R4847" t="s">
        <v>60</v>
      </c>
      <c r="W4847">
        <v>2794</v>
      </c>
      <c r="X4847">
        <v>2794</v>
      </c>
      <c r="AE4847">
        <v>54</v>
      </c>
      <c r="AI4847" t="s">
        <v>108</v>
      </c>
      <c r="AJ4847" t="s">
        <v>703</v>
      </c>
      <c r="AK4847" t="s">
        <v>52</v>
      </c>
      <c r="AL4847" t="str">
        <f>HYPERLINK("https://www.instagram.com/p/BzBwEyug1VN/media/?size=l")</f>
        <v>https://www.instagram.com/p/BzBwEyug1VN/media/?size=l</v>
      </c>
      <c r="AM4847" t="s">
        <v>52</v>
      </c>
      <c r="AN4847" t="s">
        <v>53</v>
      </c>
    </row>
    <row r="4848" spans="1:40">
      <c r="A4848" t="s">
        <v>13057</v>
      </c>
      <c r="B4848" t="s">
        <v>4221</v>
      </c>
      <c r="C4848" t="s">
        <v>14633</v>
      </c>
      <c r="D4848" t="s">
        <v>52</v>
      </c>
      <c r="E4848" t="s">
        <v>14634</v>
      </c>
      <c r="F4848" t="s">
        <v>131</v>
      </c>
      <c r="G4848" t="str">
        <f>HYPERLINK("https://twitter.com/835350258603413504/status/1142546439362531329")</f>
        <v>https://twitter.com/835350258603413504/status/1142546439362531329</v>
      </c>
      <c r="H4848" t="s">
        <v>46</v>
      </c>
      <c r="I4848" t="s">
        <v>14635</v>
      </c>
      <c r="J4848" t="str">
        <f>HYPERLINK("http://twitter.com/Nand_y_")</f>
        <v>http://twitter.com/Nand_y_</v>
      </c>
      <c r="K4848">
        <v>3887</v>
      </c>
      <c r="N4848" t="s">
        <v>65</v>
      </c>
      <c r="R4848" t="s">
        <v>60</v>
      </c>
      <c r="S4848" t="s">
        <v>387</v>
      </c>
      <c r="T4848" t="s">
        <v>2839</v>
      </c>
      <c r="U4848" t="s">
        <v>14636</v>
      </c>
      <c r="W4848">
        <v>0</v>
      </c>
      <c r="X4848">
        <v>0</v>
      </c>
      <c r="AE4848">
        <v>0</v>
      </c>
      <c r="AI4848" t="s">
        <v>52</v>
      </c>
      <c r="AJ4848" t="s">
        <v>461</v>
      </c>
      <c r="AK4848" t="s">
        <v>52</v>
      </c>
      <c r="AL4848" t="str">
        <f>HYPERLINK("https://pbs.twimg.com/media/D9rswe5U0AAtOn-.jpg")</f>
        <v>https://pbs.twimg.com/media/D9rswe5U0AAtOn-.jpg</v>
      </c>
      <c r="AM4848" t="s">
        <v>52</v>
      </c>
      <c r="AN4848" t="s">
        <v>53</v>
      </c>
    </row>
    <row r="4849" spans="1:40">
      <c r="A4849" t="s">
        <v>13057</v>
      </c>
      <c r="B4849" t="s">
        <v>4229</v>
      </c>
      <c r="C4849" t="s">
        <v>14637</v>
      </c>
      <c r="D4849" t="s">
        <v>52</v>
      </c>
      <c r="E4849" t="s">
        <v>14638</v>
      </c>
      <c r="F4849" t="s">
        <v>71</v>
      </c>
      <c r="G4849" t="str">
        <f>HYPERLINK("https://twitter.com/548254261/status/1142546037808205833")</f>
        <v>https://twitter.com/548254261/status/1142546037808205833</v>
      </c>
      <c r="H4849" t="s">
        <v>46</v>
      </c>
      <c r="I4849" t="s">
        <v>4306</v>
      </c>
      <c r="J4849" t="str">
        <f>HYPERLINK("http://twitter.com/Sthem056")</f>
        <v>http://twitter.com/Sthem056</v>
      </c>
      <c r="K4849">
        <v>5351</v>
      </c>
      <c r="N4849" t="s">
        <v>65</v>
      </c>
      <c r="R4849" t="s">
        <v>60</v>
      </c>
      <c r="S4849" t="s">
        <v>1071</v>
      </c>
      <c r="W4849">
        <v>0</v>
      </c>
      <c r="X4849">
        <v>0</v>
      </c>
      <c r="AE4849">
        <v>0</v>
      </c>
      <c r="AF4849">
        <v>0</v>
      </c>
      <c r="AI4849" t="s">
        <v>108</v>
      </c>
      <c r="AJ4849" t="s">
        <v>52</v>
      </c>
      <c r="AK4849" t="s">
        <v>52</v>
      </c>
      <c r="AL4849" t="str">
        <f>HYPERLINK("https://pbs.twimg.com/media/D9sAXHUX4AA6vJs.jpg")</f>
        <v>https://pbs.twimg.com/media/D9sAXHUX4AA6vJs.jpg</v>
      </c>
      <c r="AM4849" t="s">
        <v>52</v>
      </c>
      <c r="AN4849" t="s">
        <v>53</v>
      </c>
    </row>
    <row r="4850" spans="1:40">
      <c r="A4850" t="s">
        <v>13057</v>
      </c>
      <c r="B4850" t="s">
        <v>4229</v>
      </c>
      <c r="C4850" t="s">
        <v>14639</v>
      </c>
      <c r="D4850" t="s">
        <v>52</v>
      </c>
      <c r="E4850" t="s">
        <v>4296</v>
      </c>
      <c r="F4850" t="s">
        <v>71</v>
      </c>
      <c r="G4850" t="str">
        <f>HYPERLINK("https://twitter.com/548254261/status/1142545924918562821")</f>
        <v>https://twitter.com/548254261/status/1142545924918562821</v>
      </c>
      <c r="H4850" t="s">
        <v>46</v>
      </c>
      <c r="I4850" t="s">
        <v>4306</v>
      </c>
      <c r="J4850" t="str">
        <f>HYPERLINK("http://twitter.com/Sthem056")</f>
        <v>http://twitter.com/Sthem056</v>
      </c>
      <c r="K4850">
        <v>5351</v>
      </c>
      <c r="N4850" t="s">
        <v>65</v>
      </c>
      <c r="R4850" t="s">
        <v>60</v>
      </c>
      <c r="S4850" t="s">
        <v>1071</v>
      </c>
      <c r="W4850">
        <v>0</v>
      </c>
      <c r="X4850">
        <v>0</v>
      </c>
      <c r="AE4850">
        <v>0</v>
      </c>
      <c r="AF4850">
        <v>0</v>
      </c>
      <c r="AI4850" t="s">
        <v>108</v>
      </c>
      <c r="AJ4850" t="s">
        <v>52</v>
      </c>
      <c r="AK4850" t="s">
        <v>52</v>
      </c>
      <c r="AL4850" t="str">
        <f>HYPERLINK("https://pbs.twimg.com/media/D9sAXHUX4AA6vJs.jpg")</f>
        <v>https://pbs.twimg.com/media/D9sAXHUX4AA6vJs.jpg</v>
      </c>
      <c r="AM4850" t="s">
        <v>52</v>
      </c>
      <c r="AN4850" t="s">
        <v>53</v>
      </c>
    </row>
    <row r="4851" spans="1:40">
      <c r="A4851" t="s">
        <v>13057</v>
      </c>
      <c r="B4851" t="s">
        <v>4229</v>
      </c>
      <c r="C4851" t="s">
        <v>14633</v>
      </c>
      <c r="D4851" t="s">
        <v>52</v>
      </c>
      <c r="E4851" t="s">
        <v>14640</v>
      </c>
      <c r="F4851" t="s">
        <v>71</v>
      </c>
      <c r="G4851" t="str">
        <f>HYPERLINK("https://twitter.com/1128672192831655938/status/1142545900851662850")</f>
        <v>https://twitter.com/1128672192831655938/status/1142545900851662850</v>
      </c>
      <c r="H4851" t="s">
        <v>46</v>
      </c>
      <c r="I4851" t="s">
        <v>14641</v>
      </c>
      <c r="J4851" t="str">
        <f>HYPERLINK("http://twitter.com/Lady_Schi")</f>
        <v>http://twitter.com/Lady_Schi</v>
      </c>
      <c r="K4851">
        <v>2</v>
      </c>
      <c r="N4851" t="s">
        <v>65</v>
      </c>
      <c r="R4851" t="s">
        <v>60</v>
      </c>
      <c r="W4851">
        <v>0</v>
      </c>
      <c r="X4851">
        <v>0</v>
      </c>
      <c r="AE4851">
        <v>0</v>
      </c>
      <c r="AF4851">
        <v>0</v>
      </c>
      <c r="AI4851" t="s">
        <v>52</v>
      </c>
      <c r="AJ4851" t="s">
        <v>52</v>
      </c>
      <c r="AK4851" t="s">
        <v>52</v>
      </c>
      <c r="AL4851" t="str">
        <f>HYPERLINK("https://pbs.twimg.com/media/D9nsSRSXkAAOgqn.jpg")</f>
        <v>https://pbs.twimg.com/media/D9nsSRSXkAAOgqn.jpg</v>
      </c>
      <c r="AM4851" t="s">
        <v>52</v>
      </c>
      <c r="AN4851" t="s">
        <v>53</v>
      </c>
    </row>
    <row r="4852" spans="1:40">
      <c r="A4852" t="s">
        <v>13057</v>
      </c>
      <c r="B4852" t="s">
        <v>4234</v>
      </c>
      <c r="C4852" t="s">
        <v>14642</v>
      </c>
      <c r="D4852" t="s">
        <v>52</v>
      </c>
      <c r="E4852" t="s">
        <v>14643</v>
      </c>
      <c r="F4852" t="s">
        <v>45</v>
      </c>
      <c r="G4852" t="str">
        <f>HYPERLINK("https://twitter.com/3229998474/status/1142545789635452928")</f>
        <v>https://twitter.com/3229998474/status/1142545789635452928</v>
      </c>
      <c r="H4852" t="s">
        <v>46</v>
      </c>
      <c r="I4852" t="s">
        <v>14644</v>
      </c>
      <c r="J4852" t="str">
        <f>HYPERLINK("http://twitter.com/glosseuI")</f>
        <v>http://twitter.com/glosseuI</v>
      </c>
      <c r="K4852">
        <v>1761</v>
      </c>
      <c r="N4852" t="s">
        <v>65</v>
      </c>
      <c r="R4852" t="s">
        <v>60</v>
      </c>
      <c r="W4852">
        <v>0</v>
      </c>
      <c r="X4852">
        <v>0</v>
      </c>
      <c r="AE4852">
        <v>0</v>
      </c>
      <c r="AF4852">
        <v>0</v>
      </c>
      <c r="AM4852" t="s">
        <v>52</v>
      </c>
      <c r="AN4852" t="s">
        <v>53</v>
      </c>
    </row>
    <row r="4853" spans="1:40">
      <c r="A4853" t="s">
        <v>13057</v>
      </c>
      <c r="B4853" t="s">
        <v>4234</v>
      </c>
      <c r="C4853" t="s">
        <v>14645</v>
      </c>
      <c r="D4853" t="s">
        <v>52</v>
      </c>
      <c r="E4853" t="s">
        <v>14646</v>
      </c>
      <c r="F4853" t="s">
        <v>95</v>
      </c>
      <c r="G4853" t="str">
        <f>HYPERLINK("https://twitter.com/995115298243141632/status/1142545768911462401")</f>
        <v>https://twitter.com/995115298243141632/status/1142545768911462401</v>
      </c>
      <c r="H4853" t="s">
        <v>46</v>
      </c>
      <c r="I4853" t="s">
        <v>14647</v>
      </c>
      <c r="J4853" t="str">
        <f>HYPERLINK("http://twitter.com/Abdulah43576409")</f>
        <v>http://twitter.com/Abdulah43576409</v>
      </c>
      <c r="K4853">
        <v>15</v>
      </c>
      <c r="N4853" t="s">
        <v>65</v>
      </c>
      <c r="R4853" t="s">
        <v>60</v>
      </c>
      <c r="W4853">
        <v>0</v>
      </c>
      <c r="X4853">
        <v>0</v>
      </c>
      <c r="AE4853">
        <v>0</v>
      </c>
      <c r="AF4853">
        <v>0</v>
      </c>
      <c r="AM4853" t="s">
        <v>52</v>
      </c>
      <c r="AN4853" t="s">
        <v>53</v>
      </c>
    </row>
    <row r="4854" spans="1:40">
      <c r="A4854" t="s">
        <v>13057</v>
      </c>
      <c r="B4854" t="s">
        <v>4245</v>
      </c>
      <c r="C4854" t="s">
        <v>14645</v>
      </c>
      <c r="D4854" t="s">
        <v>52</v>
      </c>
      <c r="E4854" t="s">
        <v>14648</v>
      </c>
      <c r="F4854" t="s">
        <v>95</v>
      </c>
      <c r="G4854" t="str">
        <f>HYPERLINK("https://twitter.com/22174647/status/1142545414215864322")</f>
        <v>https://twitter.com/22174647/status/1142545414215864322</v>
      </c>
      <c r="H4854" t="s">
        <v>46</v>
      </c>
      <c r="I4854" t="s">
        <v>4231</v>
      </c>
      <c r="J4854" t="str">
        <f>HYPERLINK("http://twitter.com/jooly13")</f>
        <v>http://twitter.com/jooly13</v>
      </c>
      <c r="K4854">
        <v>155</v>
      </c>
      <c r="L4854" t="s">
        <v>58</v>
      </c>
      <c r="N4854" t="s">
        <v>65</v>
      </c>
      <c r="R4854" t="s">
        <v>60</v>
      </c>
      <c r="S4854" t="s">
        <v>97</v>
      </c>
      <c r="T4854" t="s">
        <v>177</v>
      </c>
      <c r="U4854" t="s">
        <v>14649</v>
      </c>
      <c r="W4854">
        <v>3</v>
      </c>
      <c r="X4854">
        <v>3</v>
      </c>
      <c r="AE4854">
        <v>1</v>
      </c>
      <c r="AF4854">
        <v>0</v>
      </c>
      <c r="AM4854" t="s">
        <v>52</v>
      </c>
      <c r="AN4854" t="s">
        <v>53</v>
      </c>
    </row>
    <row r="4855" spans="1:40">
      <c r="A4855" t="s">
        <v>13057</v>
      </c>
      <c r="B4855" t="s">
        <v>4245</v>
      </c>
      <c r="C4855" t="s">
        <v>14650</v>
      </c>
      <c r="D4855" t="s">
        <v>52</v>
      </c>
      <c r="E4855" t="s">
        <v>14651</v>
      </c>
      <c r="F4855" t="s">
        <v>45</v>
      </c>
      <c r="G4855" t="str">
        <f>HYPERLINK("https://www.instagram.com/p/BzBvVe_BNqh")</f>
        <v>https://www.instagram.com/p/BzBvVe_BNqh</v>
      </c>
      <c r="H4855" t="s">
        <v>46</v>
      </c>
      <c r="I4855" t="s">
        <v>14652</v>
      </c>
      <c r="J4855" t="str">
        <f>HYPERLINK("http://instagram.com/mememes.mp4")</f>
        <v>http://instagram.com/mememes.mp4</v>
      </c>
      <c r="K4855">
        <v>740</v>
      </c>
      <c r="N4855" t="s">
        <v>59</v>
      </c>
      <c r="O4855" t="s">
        <v>14652</v>
      </c>
      <c r="P4855" t="str">
        <f>HYPERLINK("http://instagram.com/mememes.mp4")</f>
        <v>http://instagram.com/mememes.mp4</v>
      </c>
      <c r="Q4855">
        <v>740</v>
      </c>
      <c r="R4855" t="s">
        <v>60</v>
      </c>
      <c r="W4855">
        <v>66</v>
      </c>
      <c r="X4855">
        <v>66</v>
      </c>
      <c r="AE4855">
        <v>1</v>
      </c>
      <c r="AG4855">
        <v>212</v>
      </c>
      <c r="AI4855" t="s">
        <v>52</v>
      </c>
      <c r="AJ4855" t="s">
        <v>52</v>
      </c>
      <c r="AK4855" t="s">
        <v>52</v>
      </c>
      <c r="AL4855" t="str">
        <f>HYPERLINK("https://www.instagram.com/p/BzBvVe_BNqh/media/?size=l")</f>
        <v>https://www.instagram.com/p/BzBvVe_BNqh/media/?size=l</v>
      </c>
      <c r="AM4855" t="s">
        <v>52</v>
      </c>
      <c r="AN4855" t="s">
        <v>53</v>
      </c>
    </row>
    <row r="4856" spans="1:40">
      <c r="A4856" t="s">
        <v>13057</v>
      </c>
      <c r="B4856" t="s">
        <v>9872</v>
      </c>
      <c r="C4856" t="s">
        <v>14642</v>
      </c>
      <c r="D4856" t="s">
        <v>52</v>
      </c>
      <c r="E4856" t="s">
        <v>14653</v>
      </c>
      <c r="F4856" t="s">
        <v>45</v>
      </c>
      <c r="G4856" t="str">
        <f>HYPERLINK("https://twitter.com/1140113462313533441/status/1142544481377562626")</f>
        <v>https://twitter.com/1140113462313533441/status/1142544481377562626</v>
      </c>
      <c r="H4856" t="s">
        <v>46</v>
      </c>
      <c r="I4856" t="s">
        <v>52</v>
      </c>
      <c r="J4856" t="str">
        <f>HYPERLINK("http://twitter.com/thinphantom")</f>
        <v>http://twitter.com/thinphantom</v>
      </c>
      <c r="K4856">
        <v>7</v>
      </c>
      <c r="N4856" t="s">
        <v>65</v>
      </c>
      <c r="R4856" t="s">
        <v>60</v>
      </c>
      <c r="W4856">
        <v>1</v>
      </c>
      <c r="X4856">
        <v>1</v>
      </c>
      <c r="AE4856">
        <v>0</v>
      </c>
      <c r="AF4856">
        <v>0</v>
      </c>
      <c r="AI4856" t="s">
        <v>52</v>
      </c>
      <c r="AJ4856" t="s">
        <v>52</v>
      </c>
      <c r="AK4856" t="s">
        <v>52</v>
      </c>
      <c r="AL4856" t="str">
        <f>HYPERLINK("https://pbs.twimg.com/media/D9siJcLXUAE7LqX.jpg")</f>
        <v>https://pbs.twimg.com/media/D9siJcLXUAE7LqX.jpg</v>
      </c>
      <c r="AM4856" t="s">
        <v>52</v>
      </c>
      <c r="AN4856" t="s">
        <v>53</v>
      </c>
    </row>
    <row r="4857" spans="1:40">
      <c r="A4857" t="s">
        <v>13057</v>
      </c>
      <c r="B4857" t="s">
        <v>4261</v>
      </c>
      <c r="C4857" t="s">
        <v>14654</v>
      </c>
      <c r="D4857" t="s">
        <v>52</v>
      </c>
      <c r="E4857" t="s">
        <v>14655</v>
      </c>
      <c r="F4857" t="s">
        <v>95</v>
      </c>
      <c r="G4857" t="str">
        <f>HYPERLINK("https://twitter.com/26098282/status/1142544036001177607")</f>
        <v>https://twitter.com/26098282/status/1142544036001177607</v>
      </c>
      <c r="H4857" t="s">
        <v>46</v>
      </c>
      <c r="I4857" t="s">
        <v>14656</v>
      </c>
      <c r="J4857" t="str">
        <f>HYPERLINK("http://twitter.com/LouAliCharlie")</f>
        <v>http://twitter.com/LouAliCharlie</v>
      </c>
      <c r="K4857">
        <v>45</v>
      </c>
      <c r="N4857" t="s">
        <v>65</v>
      </c>
      <c r="R4857" t="s">
        <v>60</v>
      </c>
      <c r="S4857" t="s">
        <v>444</v>
      </c>
      <c r="T4857" t="s">
        <v>1062</v>
      </c>
      <c r="U4857" t="s">
        <v>14657</v>
      </c>
      <c r="W4857">
        <v>1</v>
      </c>
      <c r="X4857">
        <v>1</v>
      </c>
      <c r="AE4857">
        <v>0</v>
      </c>
      <c r="AF4857">
        <v>0</v>
      </c>
      <c r="AM4857" t="s">
        <v>52</v>
      </c>
      <c r="AN4857" t="s">
        <v>53</v>
      </c>
    </row>
    <row r="4858" spans="1:40">
      <c r="A4858" t="s">
        <v>13057</v>
      </c>
      <c r="B4858" t="s">
        <v>4267</v>
      </c>
      <c r="C4858" t="s">
        <v>14658</v>
      </c>
      <c r="D4858" t="s">
        <v>14659</v>
      </c>
      <c r="E4858" t="s">
        <v>14660</v>
      </c>
      <c r="F4858" t="s">
        <v>95</v>
      </c>
      <c r="G4858" t="str">
        <f>HYPERLINK("https://www.youtube.com/watch?v=xzfR-lvUvyE&amp;lc=Ugz0Ws_Xt4xSWT5NLlV4AaABAg")</f>
        <v>https://www.youtube.com/watch?v=xzfR-lvUvyE&amp;lc=Ugz0Ws_Xt4xSWT5NLlV4AaABAg</v>
      </c>
      <c r="H4858" t="s">
        <v>46</v>
      </c>
      <c r="I4858" t="s">
        <v>14661</v>
      </c>
      <c r="J4858" t="str">
        <f>HYPERLINK("https://www.youtube.com/channel/UCCDA5n12ux_mfvbUGQ9gEHw")</f>
        <v>https://www.youtube.com/channel/UCCDA5n12ux_mfvbUGQ9gEHw</v>
      </c>
      <c r="K4858">
        <v>0</v>
      </c>
      <c r="L4858" t="s">
        <v>48</v>
      </c>
      <c r="N4858" t="s">
        <v>116</v>
      </c>
      <c r="O4858" t="s">
        <v>14662</v>
      </c>
      <c r="P4858" t="str">
        <f>HYPERLINK("https://www.youtube.com/channel/UC7nJn_JpaaKoqiyRwXAFoZQ")</f>
        <v>https://www.youtube.com/channel/UC7nJn_JpaaKoqiyRwXAFoZQ</v>
      </c>
      <c r="Q4858">
        <v>425385</v>
      </c>
      <c r="R4858" t="s">
        <v>60</v>
      </c>
      <c r="S4858" t="s">
        <v>432</v>
      </c>
      <c r="W4858">
        <v>4</v>
      </c>
      <c r="X4858">
        <v>4</v>
      </c>
      <c r="AE4858">
        <v>2</v>
      </c>
      <c r="AM4858" t="s">
        <v>52</v>
      </c>
      <c r="AN4858" t="s">
        <v>53</v>
      </c>
    </row>
    <row r="4859" spans="1:40">
      <c r="A4859" t="s">
        <v>13057</v>
      </c>
      <c r="B4859" t="s">
        <v>4279</v>
      </c>
      <c r="C4859" t="s">
        <v>14658</v>
      </c>
      <c r="D4859" t="s">
        <v>14659</v>
      </c>
      <c r="E4859" t="s">
        <v>14663</v>
      </c>
      <c r="F4859" t="s">
        <v>95</v>
      </c>
      <c r="G4859" t="str">
        <f>HYPERLINK("https://www.youtube.com/watch?v=xzfR-lvUvyE&amp;lc=UgwdSYUFh1_Eupbr9m14AaABAg")</f>
        <v>https://www.youtube.com/watch?v=xzfR-lvUvyE&amp;lc=UgwdSYUFh1_Eupbr9m14AaABAg</v>
      </c>
      <c r="H4859" t="s">
        <v>46</v>
      </c>
      <c r="I4859" t="s">
        <v>14664</v>
      </c>
      <c r="J4859" t="str">
        <f>HYPERLINK("https://www.youtube.com/channel/UCPkbFP6WRrbZs7GzxUCWwDw")</f>
        <v>https://www.youtube.com/channel/UCPkbFP6WRrbZs7GzxUCWwDw</v>
      </c>
      <c r="K4859">
        <v>75</v>
      </c>
      <c r="N4859" t="s">
        <v>116</v>
      </c>
      <c r="O4859" t="s">
        <v>14662</v>
      </c>
      <c r="P4859" t="str">
        <f>HYPERLINK("https://www.youtube.com/channel/UC7nJn_JpaaKoqiyRwXAFoZQ")</f>
        <v>https://www.youtube.com/channel/UC7nJn_JpaaKoqiyRwXAFoZQ</v>
      </c>
      <c r="Q4859">
        <v>425385</v>
      </c>
      <c r="R4859" t="s">
        <v>60</v>
      </c>
      <c r="S4859" t="s">
        <v>432</v>
      </c>
      <c r="W4859">
        <v>0</v>
      </c>
      <c r="X4859">
        <v>0</v>
      </c>
      <c r="AE4859">
        <v>0</v>
      </c>
      <c r="AM4859" t="s">
        <v>52</v>
      </c>
      <c r="AN4859" t="s">
        <v>53</v>
      </c>
    </row>
    <row r="4860" spans="1:40">
      <c r="A4860" t="s">
        <v>13057</v>
      </c>
      <c r="B4860" t="s">
        <v>4282</v>
      </c>
      <c r="C4860" t="s">
        <v>14665</v>
      </c>
      <c r="D4860" t="s">
        <v>14666</v>
      </c>
      <c r="E4860" t="s">
        <v>14667</v>
      </c>
      <c r="F4860" t="s">
        <v>95</v>
      </c>
      <c r="G4860" t="str">
        <f>HYPERLINK("https://vk.com/wall-53309361_719684?reply=719779")</f>
        <v>https://vk.com/wall-53309361_719684?reply=719779</v>
      </c>
      <c r="H4860" t="s">
        <v>91</v>
      </c>
      <c r="I4860" t="s">
        <v>14668</v>
      </c>
      <c r="J4860" t="str">
        <f>HYPERLINK("http://vk.com/id5396817")</f>
        <v>http://vk.com/id5396817</v>
      </c>
      <c r="K4860">
        <v>49</v>
      </c>
      <c r="L4860" t="s">
        <v>58</v>
      </c>
      <c r="N4860" t="s">
        <v>1624</v>
      </c>
      <c r="O4860" t="s">
        <v>14669</v>
      </c>
      <c r="P4860" t="str">
        <f>HYPERLINK("http://vk.com/club53309361")</f>
        <v>http://vk.com/club53309361</v>
      </c>
      <c r="Q4860">
        <v>79458</v>
      </c>
      <c r="R4860" t="s">
        <v>60</v>
      </c>
      <c r="W4860">
        <v>0</v>
      </c>
      <c r="X4860">
        <v>0</v>
      </c>
      <c r="AI4860" t="s">
        <v>52</v>
      </c>
      <c r="AJ4860" t="s">
        <v>14670</v>
      </c>
      <c r="AK4860" t="s">
        <v>14671</v>
      </c>
      <c r="AL4860" t="str">
        <f>HYPERLINK("https://pp.userapi.com/c852120/v852120686/14089a/AH4VzYB4LY8.jpg")</f>
        <v>https://pp.userapi.com/c852120/v852120686/14089a/AH4VzYB4LY8.jpg</v>
      </c>
      <c r="AM4860" t="s">
        <v>52</v>
      </c>
      <c r="AN4860" t="s">
        <v>53</v>
      </c>
    </row>
    <row r="4861" spans="1:40">
      <c r="A4861" t="s">
        <v>13057</v>
      </c>
      <c r="B4861" t="s">
        <v>9901</v>
      </c>
      <c r="C4861" t="s">
        <v>14672</v>
      </c>
      <c r="D4861" t="s">
        <v>52</v>
      </c>
      <c r="E4861" t="s">
        <v>14673</v>
      </c>
      <c r="F4861" t="s">
        <v>95</v>
      </c>
      <c r="G4861" t="str">
        <f>HYPERLINK("https://twitter.com/234597977/status/1142543196527955968")</f>
        <v>https://twitter.com/234597977/status/1142543196527955968</v>
      </c>
      <c r="H4861" t="s">
        <v>46</v>
      </c>
      <c r="I4861" t="s">
        <v>14674</v>
      </c>
      <c r="J4861" t="str">
        <f>HYPERLINK("http://twitter.com/Kylab116")</f>
        <v>http://twitter.com/Kylab116</v>
      </c>
      <c r="K4861">
        <v>888</v>
      </c>
      <c r="L4861" t="s">
        <v>48</v>
      </c>
      <c r="N4861" t="s">
        <v>65</v>
      </c>
      <c r="R4861" t="s">
        <v>60</v>
      </c>
      <c r="W4861">
        <v>1</v>
      </c>
      <c r="X4861">
        <v>1</v>
      </c>
      <c r="AE4861">
        <v>1</v>
      </c>
      <c r="AF4861">
        <v>0</v>
      </c>
      <c r="AM4861" t="s">
        <v>52</v>
      </c>
      <c r="AN4861" t="s">
        <v>53</v>
      </c>
    </row>
    <row r="4862" spans="1:40">
      <c r="A4862" t="s">
        <v>13057</v>
      </c>
      <c r="B4862" t="s">
        <v>4301</v>
      </c>
      <c r="C4862" t="s">
        <v>14658</v>
      </c>
      <c r="D4862" t="s">
        <v>14659</v>
      </c>
      <c r="E4862" t="s">
        <v>14675</v>
      </c>
      <c r="F4862" t="s">
        <v>95</v>
      </c>
      <c r="G4862" t="str">
        <f>HYPERLINK("https://www.youtube.com/watch?v=xzfR-lvUvyE&amp;lc=UgxZa0yYdiyEIIHHgVx4AaABAg")</f>
        <v>https://www.youtube.com/watch?v=xzfR-lvUvyE&amp;lc=UgxZa0yYdiyEIIHHgVx4AaABAg</v>
      </c>
      <c r="H4862" t="s">
        <v>46</v>
      </c>
      <c r="I4862" t="s">
        <v>14676</v>
      </c>
      <c r="J4862" t="str">
        <f>HYPERLINK("https://www.youtube.com/channel/UCBPKdnDHvs4GVxE1g0N6D2Q")</f>
        <v>https://www.youtube.com/channel/UCBPKdnDHvs4GVxE1g0N6D2Q</v>
      </c>
      <c r="K4862">
        <v>0</v>
      </c>
      <c r="N4862" t="s">
        <v>116</v>
      </c>
      <c r="O4862" t="s">
        <v>14662</v>
      </c>
      <c r="P4862" t="str">
        <f>HYPERLINK("https://www.youtube.com/channel/UC7nJn_JpaaKoqiyRwXAFoZQ")</f>
        <v>https://www.youtube.com/channel/UC7nJn_JpaaKoqiyRwXAFoZQ</v>
      </c>
      <c r="Q4862">
        <v>425385</v>
      </c>
      <c r="R4862" t="s">
        <v>60</v>
      </c>
      <c r="S4862" t="s">
        <v>432</v>
      </c>
      <c r="W4862">
        <v>2</v>
      </c>
      <c r="X4862">
        <v>2</v>
      </c>
      <c r="AE4862">
        <v>0</v>
      </c>
      <c r="AM4862" t="s">
        <v>52</v>
      </c>
      <c r="AN4862" t="s">
        <v>53</v>
      </c>
    </row>
    <row r="4863" spans="1:40">
      <c r="A4863" t="s">
        <v>13057</v>
      </c>
      <c r="B4863" t="s">
        <v>4301</v>
      </c>
      <c r="C4863" t="s">
        <v>14672</v>
      </c>
      <c r="D4863" t="s">
        <v>52</v>
      </c>
      <c r="E4863" t="s">
        <v>14677</v>
      </c>
      <c r="F4863" t="s">
        <v>95</v>
      </c>
      <c r="G4863" t="str">
        <f>HYPERLINK("https://twitter.com/2859025713/status/1142542623401492480")</f>
        <v>https://twitter.com/2859025713/status/1142542623401492480</v>
      </c>
      <c r="H4863" t="s">
        <v>46</v>
      </c>
      <c r="I4863" t="s">
        <v>52</v>
      </c>
      <c r="J4863" t="str">
        <f>HYPERLINK("http://twitter.com/moonlighttoside")</f>
        <v>http://twitter.com/moonlighttoside</v>
      </c>
      <c r="K4863">
        <v>4234</v>
      </c>
      <c r="N4863" t="s">
        <v>65</v>
      </c>
      <c r="R4863" t="s">
        <v>60</v>
      </c>
      <c r="W4863">
        <v>1</v>
      </c>
      <c r="X4863">
        <v>1</v>
      </c>
      <c r="AE4863">
        <v>0</v>
      </c>
      <c r="AF4863">
        <v>0</v>
      </c>
      <c r="AM4863" t="s">
        <v>52</v>
      </c>
      <c r="AN4863" t="s">
        <v>53</v>
      </c>
    </row>
    <row r="4864" spans="1:40">
      <c r="A4864" t="s">
        <v>13057</v>
      </c>
      <c r="B4864" t="s">
        <v>4301</v>
      </c>
      <c r="C4864" t="s">
        <v>14678</v>
      </c>
      <c r="D4864" t="s">
        <v>52</v>
      </c>
      <c r="E4864" t="s">
        <v>14679</v>
      </c>
      <c r="F4864" t="s">
        <v>95</v>
      </c>
      <c r="G4864" t="str">
        <f>HYPERLINK("https://twitter.com/1139200909219631104/status/1142542574261063681")</f>
        <v>https://twitter.com/1139200909219631104/status/1142542574261063681</v>
      </c>
      <c r="H4864" t="s">
        <v>46</v>
      </c>
      <c r="I4864" t="s">
        <v>14680</v>
      </c>
      <c r="J4864" t="str">
        <f>HYPERLINK("http://twitter.com/NewBeamu")</f>
        <v>http://twitter.com/NewBeamu</v>
      </c>
      <c r="K4864">
        <v>75</v>
      </c>
      <c r="L4864" t="s">
        <v>58</v>
      </c>
      <c r="N4864" t="s">
        <v>65</v>
      </c>
      <c r="R4864" t="s">
        <v>60</v>
      </c>
      <c r="W4864">
        <v>1</v>
      </c>
      <c r="X4864">
        <v>1</v>
      </c>
      <c r="AE4864">
        <v>0</v>
      </c>
      <c r="AF4864">
        <v>0</v>
      </c>
      <c r="AM4864" t="s">
        <v>52</v>
      </c>
      <c r="AN4864" t="s">
        <v>53</v>
      </c>
    </row>
    <row r="4865" spans="1:40">
      <c r="A4865" t="s">
        <v>13057</v>
      </c>
      <c r="B4865" t="s">
        <v>4301</v>
      </c>
      <c r="C4865" t="s">
        <v>14681</v>
      </c>
      <c r="D4865" t="s">
        <v>14682</v>
      </c>
      <c r="E4865" t="s">
        <v>1007</v>
      </c>
      <c r="F4865" t="s">
        <v>45</v>
      </c>
      <c r="G4865" t="str">
        <f>HYPERLINK("https://answers.yahoo.com/question/index?qid=20190622143039AAWTBvO#vSUp0URPx1rE5I13Jt91YCb1crNGQ8Hb09McPHGaPQc-jxryfhJNF0I=")</f>
        <v>https://answers.yahoo.com/question/index?qid=20190622143039AAWTBvO#vSUp0URPx1rE5I13Jt91YCb1crNGQ8Hb09McPHGaPQc-jxryfhJNF0I=</v>
      </c>
      <c r="H4865" t="s">
        <v>46</v>
      </c>
      <c r="I4865" t="s">
        <v>1008</v>
      </c>
      <c r="J4865" t="str">
        <f>HYPERLINK("https://answers.yahoo.com/question/index?qid=20190622143039AAWTBvO#vSUp0URPx1rE5I13Jt91YCb1crNGQ8Hb09McPHGaPQc-jxryfhJNF0I=")</f>
        <v>https://answers.yahoo.com/question/index?qid=20190622143039AAWTBvO#vSUp0URPx1rE5I13Jt91YCb1crNGQ8Hb09McPHGaPQc-jxryfhJNF0I=</v>
      </c>
      <c r="N4865" t="s">
        <v>1009</v>
      </c>
      <c r="O4865" t="s">
        <v>14683</v>
      </c>
      <c r="P4865" t="str">
        <f>HYPERLINK("https://answers.yahoo.com/dir/index?link=over&amp;sid=396545012&amp;more=1&amp;s=date")</f>
        <v>https://answers.yahoo.com/dir/index?link=over&amp;sid=396545012&amp;more=1&amp;s=date</v>
      </c>
      <c r="R4865" t="s">
        <v>516</v>
      </c>
      <c r="S4865" t="s">
        <v>51</v>
      </c>
      <c r="AM4865" t="s">
        <v>52</v>
      </c>
      <c r="AN4865" t="s">
        <v>53</v>
      </c>
    </row>
    <row r="4866" spans="1:40">
      <c r="A4866" t="s">
        <v>13057</v>
      </c>
      <c r="B4866" t="s">
        <v>9934</v>
      </c>
      <c r="C4866" t="s">
        <v>14684</v>
      </c>
      <c r="D4866" t="s">
        <v>52</v>
      </c>
      <c r="E4866" t="s">
        <v>14685</v>
      </c>
      <c r="F4866" t="s">
        <v>95</v>
      </c>
      <c r="G4866" t="str">
        <f>HYPERLINK("https://twitter.com/758481296494620672/status/1142542515532390400")</f>
        <v>https://twitter.com/758481296494620672/status/1142542515532390400</v>
      </c>
      <c r="H4866" t="s">
        <v>46</v>
      </c>
      <c r="I4866" t="s">
        <v>14686</v>
      </c>
      <c r="J4866" t="str">
        <f>HYPERLINK("http://twitter.com/doorbellmaster")</f>
        <v>http://twitter.com/doorbellmaster</v>
      </c>
      <c r="K4866">
        <v>235</v>
      </c>
      <c r="L4866" t="s">
        <v>48</v>
      </c>
      <c r="N4866" t="s">
        <v>65</v>
      </c>
      <c r="R4866" t="s">
        <v>60</v>
      </c>
      <c r="S4866" t="s">
        <v>437</v>
      </c>
      <c r="T4866" t="s">
        <v>10979</v>
      </c>
      <c r="U4866" t="s">
        <v>14687</v>
      </c>
      <c r="W4866">
        <v>3</v>
      </c>
      <c r="X4866">
        <v>3</v>
      </c>
      <c r="AE4866">
        <v>0</v>
      </c>
      <c r="AF4866">
        <v>0</v>
      </c>
      <c r="AM4866" t="s">
        <v>52</v>
      </c>
      <c r="AN4866" t="s">
        <v>53</v>
      </c>
    </row>
    <row r="4867" spans="1:40">
      <c r="A4867" t="s">
        <v>13057</v>
      </c>
      <c r="B4867" t="s">
        <v>9934</v>
      </c>
      <c r="C4867" t="s">
        <v>14658</v>
      </c>
      <c r="D4867" t="s">
        <v>14659</v>
      </c>
      <c r="E4867" t="s">
        <v>14688</v>
      </c>
      <c r="F4867" t="s">
        <v>95</v>
      </c>
      <c r="G4867" t="str">
        <f>HYPERLINK("https://www.youtube.com/watch?v=xzfR-lvUvyE&amp;lc=Ugz6K2gBLv3xbo7wamd4AaABAg")</f>
        <v>https://www.youtube.com/watch?v=xzfR-lvUvyE&amp;lc=Ugz6K2gBLv3xbo7wamd4AaABAg</v>
      </c>
      <c r="H4867" t="s">
        <v>46</v>
      </c>
      <c r="I4867" t="s">
        <v>14689</v>
      </c>
      <c r="J4867" t="str">
        <f>HYPERLINK("https://www.youtube.com/channel/UCFO3gQVbh7R_R7mgG2h3LSg")</f>
        <v>https://www.youtube.com/channel/UCFO3gQVbh7R_R7mgG2h3LSg</v>
      </c>
      <c r="K4867">
        <v>0</v>
      </c>
      <c r="L4867" t="s">
        <v>48</v>
      </c>
      <c r="N4867" t="s">
        <v>116</v>
      </c>
      <c r="O4867" t="s">
        <v>14662</v>
      </c>
      <c r="P4867" t="str">
        <f>HYPERLINK("https://www.youtube.com/channel/UC7nJn_JpaaKoqiyRwXAFoZQ")</f>
        <v>https://www.youtube.com/channel/UC7nJn_JpaaKoqiyRwXAFoZQ</v>
      </c>
      <c r="Q4867">
        <v>425385</v>
      </c>
      <c r="R4867" t="s">
        <v>60</v>
      </c>
      <c r="S4867" t="s">
        <v>432</v>
      </c>
      <c r="W4867">
        <v>5</v>
      </c>
      <c r="X4867">
        <v>5</v>
      </c>
      <c r="AE4867">
        <v>0</v>
      </c>
      <c r="AM4867" t="s">
        <v>52</v>
      </c>
      <c r="AN4867" t="s">
        <v>53</v>
      </c>
    </row>
    <row r="4868" spans="1:40">
      <c r="A4868" t="s">
        <v>13057</v>
      </c>
      <c r="B4868" t="s">
        <v>9934</v>
      </c>
      <c r="C4868" t="s">
        <v>13431</v>
      </c>
      <c r="D4868" t="s">
        <v>13432</v>
      </c>
      <c r="E4868" t="s">
        <v>14690</v>
      </c>
      <c r="F4868" t="s">
        <v>45</v>
      </c>
      <c r="G4868" t="str">
        <f>HYPERLINK("https://www.reddit.com/r/cosplaygirls/comments/c3okdj/dva_by_maria_fernanda/?sort=new#thing_t1_ersoylo")</f>
        <v>https://www.reddit.com/r/cosplaygirls/comments/c3okdj/dva_by_maria_fernanda/?sort=new#thing_t1_ersoylo</v>
      </c>
      <c r="H4868" t="s">
        <v>46</v>
      </c>
      <c r="I4868" t="s">
        <v>14691</v>
      </c>
      <c r="J4868" t="str">
        <f>HYPERLINK("https://www.reddit.com/r/cosplaygirls/comments/c3okdj/dva_by_maria_fernanda/?sort=new#thing_t1_ersoylo")</f>
        <v>https://www.reddit.com/r/cosplaygirls/comments/c3okdj/dva_by_maria_fernanda/?sort=new#thing_t1_ersoylo</v>
      </c>
      <c r="N4868" t="s">
        <v>545</v>
      </c>
      <c r="O4868" t="s">
        <v>13435</v>
      </c>
      <c r="P4868" t="str">
        <f>HYPERLINK("https://www.reddit.com/r/cosplaygirls/")</f>
        <v>https://www.reddit.com/r/cosplaygirls/</v>
      </c>
      <c r="R4868" t="s">
        <v>516</v>
      </c>
      <c r="S4868" t="s">
        <v>51</v>
      </c>
      <c r="AM4868" t="s">
        <v>52</v>
      </c>
      <c r="AN4868" t="s">
        <v>53</v>
      </c>
    </row>
    <row r="4869" spans="1:40">
      <c r="A4869" t="s">
        <v>13057</v>
      </c>
      <c r="B4869" t="s">
        <v>4319</v>
      </c>
      <c r="C4869" t="s">
        <v>14658</v>
      </c>
      <c r="D4869" t="s">
        <v>14659</v>
      </c>
      <c r="E4869" t="s">
        <v>14692</v>
      </c>
      <c r="F4869" t="s">
        <v>95</v>
      </c>
      <c r="G4869" t="str">
        <f>HYPERLINK("https://www.youtube.com/watch?v=xzfR-lvUvyE&amp;lc=UgyR7N1fsON4S2Vr-Ld4AaABAg")</f>
        <v>https://www.youtube.com/watch?v=xzfR-lvUvyE&amp;lc=UgyR7N1fsON4S2Vr-Ld4AaABAg</v>
      </c>
      <c r="H4869" t="s">
        <v>46</v>
      </c>
      <c r="I4869" t="s">
        <v>14693</v>
      </c>
      <c r="J4869" t="str">
        <f>HYPERLINK("https://www.youtube.com/channel/UCN57LOdjyCW9UOdN_cG5-nA")</f>
        <v>https://www.youtube.com/channel/UCN57LOdjyCW9UOdN_cG5-nA</v>
      </c>
      <c r="K4869">
        <v>18</v>
      </c>
      <c r="N4869" t="s">
        <v>116</v>
      </c>
      <c r="O4869" t="s">
        <v>14662</v>
      </c>
      <c r="P4869" t="str">
        <f>HYPERLINK("https://www.youtube.com/channel/UC7nJn_JpaaKoqiyRwXAFoZQ")</f>
        <v>https://www.youtube.com/channel/UC7nJn_JpaaKoqiyRwXAFoZQ</v>
      </c>
      <c r="Q4869">
        <v>425385</v>
      </c>
      <c r="R4869" t="s">
        <v>60</v>
      </c>
      <c r="S4869" t="s">
        <v>432</v>
      </c>
      <c r="W4869">
        <v>3</v>
      </c>
      <c r="X4869">
        <v>3</v>
      </c>
      <c r="AE4869">
        <v>0</v>
      </c>
      <c r="AM4869" t="s">
        <v>52</v>
      </c>
      <c r="AN4869" t="s">
        <v>53</v>
      </c>
    </row>
    <row r="4870" spans="1:40">
      <c r="A4870" t="s">
        <v>13057</v>
      </c>
      <c r="B4870" t="s">
        <v>4323</v>
      </c>
      <c r="C4870" t="s">
        <v>14694</v>
      </c>
      <c r="D4870" t="s">
        <v>52</v>
      </c>
      <c r="E4870" t="s">
        <v>3749</v>
      </c>
      <c r="F4870" t="s">
        <v>71</v>
      </c>
      <c r="G4870" t="str">
        <f>HYPERLINK("https://twitter.com/317764161/status/1142541706837053440")</f>
        <v>https://twitter.com/317764161/status/1142541706837053440</v>
      </c>
      <c r="H4870" t="s">
        <v>46</v>
      </c>
      <c r="I4870" t="s">
        <v>14695</v>
      </c>
      <c r="J4870" t="str">
        <f>HYPERLINK("http://twitter.com/Tumelo_JHB")</f>
        <v>http://twitter.com/Tumelo_JHB</v>
      </c>
      <c r="K4870">
        <v>2741</v>
      </c>
      <c r="L4870" t="s">
        <v>48</v>
      </c>
      <c r="N4870" t="s">
        <v>65</v>
      </c>
      <c r="R4870" t="s">
        <v>60</v>
      </c>
      <c r="W4870">
        <v>0</v>
      </c>
      <c r="X4870">
        <v>0</v>
      </c>
      <c r="AE4870">
        <v>0</v>
      </c>
      <c r="AF4870">
        <v>0</v>
      </c>
      <c r="AI4870" t="s">
        <v>108</v>
      </c>
      <c r="AJ4870" t="s">
        <v>52</v>
      </c>
      <c r="AK4870" t="s">
        <v>52</v>
      </c>
      <c r="AL4870" t="str">
        <f>HYPERLINK("https://pbs.twimg.com/media/D9sAXHUX4AA6vJs.jpg")</f>
        <v>https://pbs.twimg.com/media/D9sAXHUX4AA6vJs.jpg</v>
      </c>
      <c r="AM4870" t="s">
        <v>52</v>
      </c>
      <c r="AN4870" t="s">
        <v>53</v>
      </c>
    </row>
    <row r="4871" spans="1:40">
      <c r="A4871" t="s">
        <v>13057</v>
      </c>
      <c r="B4871" t="s">
        <v>4323</v>
      </c>
      <c r="C4871" t="s">
        <v>14696</v>
      </c>
      <c r="D4871" t="s">
        <v>52</v>
      </c>
      <c r="E4871" t="s">
        <v>14697</v>
      </c>
      <c r="F4871" t="s">
        <v>131</v>
      </c>
      <c r="G4871" t="str">
        <f>HYPERLINK("https://twitter.com/1682181943/status/1142541683218886656")</f>
        <v>https://twitter.com/1682181943/status/1142541683218886656</v>
      </c>
      <c r="H4871" t="s">
        <v>46</v>
      </c>
      <c r="I4871" t="s">
        <v>14698</v>
      </c>
      <c r="J4871" t="str">
        <f>HYPERLINK("http://twitter.com/ThePhoenixG")</f>
        <v>http://twitter.com/ThePhoenixG</v>
      </c>
      <c r="K4871">
        <v>972</v>
      </c>
      <c r="N4871" t="s">
        <v>65</v>
      </c>
      <c r="R4871" t="s">
        <v>60</v>
      </c>
      <c r="S4871" t="s">
        <v>51</v>
      </c>
      <c r="T4871" t="s">
        <v>84</v>
      </c>
      <c r="U4871" t="s">
        <v>2333</v>
      </c>
      <c r="W4871">
        <v>0</v>
      </c>
      <c r="X4871">
        <v>0</v>
      </c>
      <c r="AE4871">
        <v>0</v>
      </c>
      <c r="AM4871" t="s">
        <v>52</v>
      </c>
      <c r="AN4871" t="s">
        <v>53</v>
      </c>
    </row>
    <row r="4872" spans="1:40">
      <c r="A4872" t="s">
        <v>13057</v>
      </c>
      <c r="B4872" t="s">
        <v>4323</v>
      </c>
      <c r="C4872" t="s">
        <v>14658</v>
      </c>
      <c r="D4872" t="s">
        <v>14659</v>
      </c>
      <c r="E4872" t="s">
        <v>14699</v>
      </c>
      <c r="F4872" t="s">
        <v>95</v>
      </c>
      <c r="G4872" t="str">
        <f>HYPERLINK("https://www.youtube.com/watch?v=xzfR-lvUvyE&amp;lc=UgwCXRogJhJiDETUtrV4AaABAg")</f>
        <v>https://www.youtube.com/watch?v=xzfR-lvUvyE&amp;lc=UgwCXRogJhJiDETUtrV4AaABAg</v>
      </c>
      <c r="H4872" t="s">
        <v>46</v>
      </c>
      <c r="I4872" t="s">
        <v>14700</v>
      </c>
      <c r="J4872" t="str">
        <f>HYPERLINK("https://www.youtube.com/channel/UCk39ekIZUpbd2ragwuaK8uA")</f>
        <v>https://www.youtube.com/channel/UCk39ekIZUpbd2ragwuaK8uA</v>
      </c>
      <c r="K4872">
        <v>2</v>
      </c>
      <c r="N4872" t="s">
        <v>116</v>
      </c>
      <c r="O4872" t="s">
        <v>14662</v>
      </c>
      <c r="P4872" t="str">
        <f>HYPERLINK("https://www.youtube.com/channel/UC7nJn_JpaaKoqiyRwXAFoZQ")</f>
        <v>https://www.youtube.com/channel/UC7nJn_JpaaKoqiyRwXAFoZQ</v>
      </c>
      <c r="Q4872">
        <v>425385</v>
      </c>
      <c r="R4872" t="s">
        <v>60</v>
      </c>
      <c r="S4872" t="s">
        <v>432</v>
      </c>
      <c r="W4872">
        <v>0</v>
      </c>
      <c r="X4872">
        <v>0</v>
      </c>
      <c r="AE4872">
        <v>0</v>
      </c>
      <c r="AM4872" t="s">
        <v>52</v>
      </c>
      <c r="AN4872" t="s">
        <v>53</v>
      </c>
    </row>
    <row r="4873" spans="1:40">
      <c r="A4873" t="s">
        <v>13057</v>
      </c>
      <c r="B4873" t="s">
        <v>4332</v>
      </c>
      <c r="C4873" t="s">
        <v>14701</v>
      </c>
      <c r="D4873" t="s">
        <v>52</v>
      </c>
      <c r="E4873" t="s">
        <v>14702</v>
      </c>
      <c r="F4873" t="s">
        <v>45</v>
      </c>
      <c r="G4873" t="str">
        <f>HYPERLINK("https://www.facebook.com/1337670976318279/posts/3160117700740255")</f>
        <v>https://www.facebook.com/1337670976318279/posts/3160117700740255</v>
      </c>
      <c r="H4873" t="s">
        <v>46</v>
      </c>
      <c r="I4873" t="s">
        <v>14703</v>
      </c>
      <c r="J4873" t="str">
        <f>HYPERLINK("https://www.facebook.com/1337670976318279")</f>
        <v>https://www.facebook.com/1337670976318279</v>
      </c>
      <c r="K4873">
        <v>6639</v>
      </c>
      <c r="L4873" t="s">
        <v>651</v>
      </c>
      <c r="N4873" t="s">
        <v>1792</v>
      </c>
      <c r="O4873" t="s">
        <v>14703</v>
      </c>
      <c r="P4873" t="str">
        <f>HYPERLINK("https://www.facebook.com/1337670976318279")</f>
        <v>https://www.facebook.com/1337670976318279</v>
      </c>
      <c r="Q4873">
        <v>6639</v>
      </c>
      <c r="R4873" t="s">
        <v>60</v>
      </c>
      <c r="S4873" t="s">
        <v>51</v>
      </c>
      <c r="W4873">
        <v>4</v>
      </c>
      <c r="X4873">
        <v>3</v>
      </c>
      <c r="Y4873">
        <v>1</v>
      </c>
      <c r="Z4873">
        <v>0</v>
      </c>
      <c r="AA4873">
        <v>0</v>
      </c>
      <c r="AB4873">
        <v>0</v>
      </c>
      <c r="AC4873">
        <v>0</v>
      </c>
      <c r="AE4873">
        <v>0</v>
      </c>
      <c r="AF4873">
        <v>0</v>
      </c>
      <c r="AI4873" t="s">
        <v>52</v>
      </c>
      <c r="AJ4873" t="s">
        <v>1853</v>
      </c>
      <c r="AK4873" t="s">
        <v>52</v>
      </c>
      <c r="AL4873" t="str">
        <f>HYPERLINK("https://scontent.xx.fbcdn.net/v/t1.0-9/s720x720/64754480_3160115614073797_5375936592181460992_n.jpg?_nc_cat=105&amp;_nc_oc=AQnUQEvTCHkOJIQJga37AowMipG6iDKgdKrdPRz-LZroW8lUyVvUsqEtMgWHIwU_sAg&amp;_nc_ht=scontent.xx&amp;oh=e5022ac7fbdeadc35464df549cf8b477&amp;oe=5DBABD68")</f>
        <v>https://scontent.xx.fbcdn.net/v/t1.0-9/s720x720/64754480_3160115614073797_5375936592181460992_n.jpg?_nc_cat=105&amp;_nc_oc=AQnUQEvTCHkOJIQJga37AowMipG6iDKgdKrdPRz-LZroW8lUyVvUsqEtMgWHIwU_sAg&amp;_nc_ht=scontent.xx&amp;oh=e5022ac7fbdeadc35464df549cf8b477&amp;oe=5DBABD68</v>
      </c>
      <c r="AM4873" t="s">
        <v>52</v>
      </c>
      <c r="AN4873" t="s">
        <v>53</v>
      </c>
    </row>
    <row r="4874" spans="1:40">
      <c r="A4874" t="s">
        <v>13057</v>
      </c>
      <c r="B4874" t="s">
        <v>4332</v>
      </c>
      <c r="C4874" t="s">
        <v>14704</v>
      </c>
      <c r="D4874" t="s">
        <v>52</v>
      </c>
      <c r="E4874" t="s">
        <v>11685</v>
      </c>
      <c r="F4874" t="s">
        <v>131</v>
      </c>
      <c r="G4874" t="str">
        <f>HYPERLINK("https://twitter.com/1122234045889417218/status/1142540823948664832")</f>
        <v>https://twitter.com/1122234045889417218/status/1142540823948664832</v>
      </c>
      <c r="H4874" t="s">
        <v>46</v>
      </c>
      <c r="I4874" t="s">
        <v>14705</v>
      </c>
      <c r="J4874" t="str">
        <f>HYPERLINK("http://twitter.com/Jikook_Eternal")</f>
        <v>http://twitter.com/Jikook_Eternal</v>
      </c>
      <c r="K4874">
        <v>97</v>
      </c>
      <c r="N4874" t="s">
        <v>65</v>
      </c>
      <c r="R4874" t="s">
        <v>60</v>
      </c>
      <c r="S4874" t="s">
        <v>142</v>
      </c>
      <c r="T4874" t="s">
        <v>2393</v>
      </c>
      <c r="U4874" t="s">
        <v>2393</v>
      </c>
      <c r="W4874">
        <v>0</v>
      </c>
      <c r="X4874">
        <v>0</v>
      </c>
      <c r="AE4874">
        <v>0</v>
      </c>
      <c r="AM4874" t="s">
        <v>52</v>
      </c>
      <c r="AN4874" t="s">
        <v>53</v>
      </c>
    </row>
    <row r="4875" spans="1:40">
      <c r="A4875" t="s">
        <v>13057</v>
      </c>
      <c r="B4875" t="s">
        <v>4336</v>
      </c>
      <c r="C4875" t="s">
        <v>14706</v>
      </c>
      <c r="D4875" t="s">
        <v>52</v>
      </c>
      <c r="E4875" t="s">
        <v>14707</v>
      </c>
      <c r="F4875" t="s">
        <v>71</v>
      </c>
      <c r="G4875" t="str">
        <f>HYPERLINK("https://twitter.com/551735101/status/1142540587113095168")</f>
        <v>https://twitter.com/551735101/status/1142540587113095168</v>
      </c>
      <c r="H4875" t="s">
        <v>46</v>
      </c>
      <c r="I4875" t="s">
        <v>14708</v>
      </c>
      <c r="J4875" t="str">
        <f>HYPERLINK("http://twitter.com/PrinceMolatlheg")</f>
        <v>http://twitter.com/PrinceMolatlheg</v>
      </c>
      <c r="K4875">
        <v>1533</v>
      </c>
      <c r="N4875" t="s">
        <v>65</v>
      </c>
      <c r="R4875" t="s">
        <v>60</v>
      </c>
      <c r="S4875" t="s">
        <v>5817</v>
      </c>
      <c r="T4875" t="s">
        <v>14709</v>
      </c>
      <c r="U4875" t="s">
        <v>14710</v>
      </c>
      <c r="W4875">
        <v>0</v>
      </c>
      <c r="X4875">
        <v>0</v>
      </c>
      <c r="AE4875">
        <v>0</v>
      </c>
      <c r="AF4875">
        <v>0</v>
      </c>
      <c r="AI4875" t="s">
        <v>108</v>
      </c>
      <c r="AJ4875" t="s">
        <v>52</v>
      </c>
      <c r="AK4875" t="s">
        <v>52</v>
      </c>
      <c r="AL4875" t="str">
        <f>HYPERLINK("https://pbs.twimg.com/media/D9sAXHUX4AA6vJs.jpg")</f>
        <v>https://pbs.twimg.com/media/D9sAXHUX4AA6vJs.jpg</v>
      </c>
      <c r="AM4875" t="s">
        <v>52</v>
      </c>
      <c r="AN4875" t="s">
        <v>53</v>
      </c>
    </row>
    <row r="4876" spans="1:40">
      <c r="A4876" t="s">
        <v>13057</v>
      </c>
      <c r="B4876" t="s">
        <v>4336</v>
      </c>
      <c r="C4876" t="s">
        <v>14711</v>
      </c>
      <c r="D4876" t="s">
        <v>52</v>
      </c>
      <c r="E4876" t="s">
        <v>14712</v>
      </c>
      <c r="F4876" t="s">
        <v>45</v>
      </c>
      <c r="G4876" t="str">
        <f>HYPERLINK("https://www.facebook.com/1448665988744422/posts/2366246123653066")</f>
        <v>https://www.facebook.com/1448665988744422/posts/2366246123653066</v>
      </c>
      <c r="H4876" t="s">
        <v>215</v>
      </c>
      <c r="I4876" t="s">
        <v>14713</v>
      </c>
      <c r="J4876" t="str">
        <f>HYPERLINK("https://www.facebook.com/1448665988744422")</f>
        <v>https://www.facebook.com/1448665988744422</v>
      </c>
      <c r="K4876">
        <v>3067</v>
      </c>
      <c r="L4876" t="s">
        <v>651</v>
      </c>
      <c r="N4876" t="s">
        <v>1792</v>
      </c>
      <c r="O4876" t="s">
        <v>14713</v>
      </c>
      <c r="P4876" t="str">
        <f>HYPERLINK("https://www.facebook.com/1448665988744422")</f>
        <v>https://www.facebook.com/1448665988744422</v>
      </c>
      <c r="Q4876">
        <v>3067</v>
      </c>
      <c r="R4876" t="s">
        <v>60</v>
      </c>
      <c r="S4876" t="s">
        <v>432</v>
      </c>
      <c r="W4876">
        <v>98</v>
      </c>
      <c r="X4876">
        <v>64</v>
      </c>
      <c r="Y4876">
        <v>20</v>
      </c>
      <c r="Z4876">
        <v>0</v>
      </c>
      <c r="AA4876">
        <v>13</v>
      </c>
      <c r="AB4876">
        <v>1</v>
      </c>
      <c r="AC4876">
        <v>0</v>
      </c>
      <c r="AE4876">
        <v>28</v>
      </c>
      <c r="AF4876">
        <v>10</v>
      </c>
      <c r="AI4876" t="s">
        <v>52</v>
      </c>
      <c r="AJ4876" t="s">
        <v>1853</v>
      </c>
      <c r="AK4876" t="s">
        <v>52</v>
      </c>
      <c r="AL4876" t="str">
        <f>HYPERLINK("https://scontent.xx.fbcdn.net/v/t1.0-9/s720x720/64712520_2366246096986402_4236904285960404992_o.jpg?_nc_cat=101&amp;_nc_oc=AQkLvOiNidRQSY4FJupCWfc2N21Ml_QYFUVrBkAhKw0ynC8_-fL10WVEu3KFA8T2F_I&amp;_nc_ht=scontent.xx&amp;oh=5e2ca2f9e9cfab80854c3194c39adcb1&amp;oe=5D888581")</f>
        <v>https://scontent.xx.fbcdn.net/v/t1.0-9/s720x720/64712520_2366246096986402_4236904285960404992_o.jpg?_nc_cat=101&amp;_nc_oc=AQkLvOiNidRQSY4FJupCWfc2N21Ml_QYFUVrBkAhKw0ynC8_-fL10WVEu3KFA8T2F_I&amp;_nc_ht=scontent.xx&amp;oh=5e2ca2f9e9cfab80854c3194c39adcb1&amp;oe=5D888581</v>
      </c>
      <c r="AM4876" t="s">
        <v>52</v>
      </c>
      <c r="AN4876" t="s">
        <v>53</v>
      </c>
    </row>
    <row r="4877" spans="1:40">
      <c r="A4877" t="s">
        <v>13057</v>
      </c>
      <c r="B4877" t="s">
        <v>4340</v>
      </c>
      <c r="C4877" t="s">
        <v>14714</v>
      </c>
      <c r="D4877" t="s">
        <v>52</v>
      </c>
      <c r="E4877" t="s">
        <v>14715</v>
      </c>
      <c r="F4877" t="s">
        <v>95</v>
      </c>
      <c r="G4877" t="str">
        <f>HYPERLINK("https://twitter.com/349282957/status/1142540365939056640")</f>
        <v>https://twitter.com/349282957/status/1142540365939056640</v>
      </c>
      <c r="H4877" t="s">
        <v>215</v>
      </c>
      <c r="I4877" t="s">
        <v>14716</v>
      </c>
      <c r="J4877" t="str">
        <f>HYPERLINK("http://twitter.com/JoeDeldeo")</f>
        <v>http://twitter.com/JoeDeldeo</v>
      </c>
      <c r="K4877">
        <v>745</v>
      </c>
      <c r="N4877" t="s">
        <v>65</v>
      </c>
      <c r="R4877" t="s">
        <v>60</v>
      </c>
      <c r="W4877">
        <v>1</v>
      </c>
      <c r="X4877">
        <v>1</v>
      </c>
      <c r="AE4877">
        <v>1</v>
      </c>
      <c r="AF4877">
        <v>1</v>
      </c>
      <c r="AM4877" t="s">
        <v>52</v>
      </c>
      <c r="AN4877" t="s">
        <v>53</v>
      </c>
    </row>
    <row r="4878" spans="1:40">
      <c r="A4878" t="s">
        <v>13057</v>
      </c>
      <c r="B4878" t="s">
        <v>4361</v>
      </c>
      <c r="C4878" t="s">
        <v>14650</v>
      </c>
      <c r="D4878" t="s">
        <v>52</v>
      </c>
      <c r="E4878" t="s">
        <v>14717</v>
      </c>
      <c r="F4878" t="s">
        <v>45</v>
      </c>
      <c r="G4878" t="str">
        <f>HYPERLINK("https://www.instagram.com/p/BzBscipCdMJ")</f>
        <v>https://www.instagram.com/p/BzBscipCdMJ</v>
      </c>
      <c r="H4878" t="s">
        <v>46</v>
      </c>
      <c r="I4878" t="s">
        <v>14718</v>
      </c>
      <c r="J4878" t="str">
        <f>HYPERLINK("http://instagram.com/fenomensensin")</f>
        <v>http://instagram.com/fenomensensin</v>
      </c>
      <c r="K4878">
        <v>5</v>
      </c>
      <c r="N4878" t="s">
        <v>59</v>
      </c>
      <c r="O4878" t="s">
        <v>14718</v>
      </c>
      <c r="P4878" t="str">
        <f>HYPERLINK("http://instagram.com/fenomensensin")</f>
        <v>http://instagram.com/fenomensensin</v>
      </c>
      <c r="Q4878">
        <v>5</v>
      </c>
      <c r="R4878" t="s">
        <v>60</v>
      </c>
      <c r="W4878">
        <v>717</v>
      </c>
      <c r="X4878">
        <v>717</v>
      </c>
      <c r="AE4878">
        <v>0</v>
      </c>
      <c r="AI4878" t="s">
        <v>52</v>
      </c>
      <c r="AJ4878" t="s">
        <v>14719</v>
      </c>
      <c r="AK4878" t="s">
        <v>52</v>
      </c>
      <c r="AL4878" t="str">
        <f>HYPERLINK("https://www.instagram.com/p/BzBscipCdMJ/media/?size=l")</f>
        <v>https://www.instagram.com/p/BzBscipCdMJ/media/?size=l</v>
      </c>
      <c r="AM4878" t="s">
        <v>52</v>
      </c>
      <c r="AN4878" t="s">
        <v>53</v>
      </c>
    </row>
    <row r="4879" spans="1:40">
      <c r="A4879" t="s">
        <v>13057</v>
      </c>
      <c r="B4879" t="s">
        <v>4361</v>
      </c>
      <c r="C4879" t="s">
        <v>14720</v>
      </c>
      <c r="D4879" t="s">
        <v>52</v>
      </c>
      <c r="E4879" t="s">
        <v>4155</v>
      </c>
      <c r="F4879" t="s">
        <v>131</v>
      </c>
      <c r="G4879" t="str">
        <f>HYPERLINK("https://twitter.com/3293745793/status/1142538964106121216")</f>
        <v>https://twitter.com/3293745793/status/1142538964106121216</v>
      </c>
      <c r="H4879" t="s">
        <v>46</v>
      </c>
      <c r="I4879" t="s">
        <v>14721</v>
      </c>
      <c r="J4879" t="str">
        <f>HYPERLINK("http://twitter.com/mandyitwoh")</f>
        <v>http://twitter.com/mandyitwoh</v>
      </c>
      <c r="K4879">
        <v>120</v>
      </c>
      <c r="N4879" t="s">
        <v>65</v>
      </c>
      <c r="R4879" t="s">
        <v>60</v>
      </c>
      <c r="W4879">
        <v>0</v>
      </c>
      <c r="X4879">
        <v>0</v>
      </c>
      <c r="AE4879">
        <v>0</v>
      </c>
      <c r="AI4879" t="s">
        <v>108</v>
      </c>
      <c r="AJ4879" t="s">
        <v>1853</v>
      </c>
      <c r="AK4879" t="s">
        <v>52</v>
      </c>
      <c r="AL4879" t="str">
        <f>HYPERLINK("https://pbs.twimg.com/media/D9mukIWWkAIu0PD.jpg")</f>
        <v>https://pbs.twimg.com/media/D9mukIWWkAIu0PD.jpg</v>
      </c>
      <c r="AM4879" t="s">
        <v>52</v>
      </c>
      <c r="AN4879" t="s">
        <v>53</v>
      </c>
    </row>
    <row r="4880" spans="1:40">
      <c r="A4880" t="s">
        <v>13057</v>
      </c>
      <c r="B4880" t="s">
        <v>4361</v>
      </c>
      <c r="C4880" t="s">
        <v>14722</v>
      </c>
      <c r="D4880" t="s">
        <v>52</v>
      </c>
      <c r="E4880" t="s">
        <v>14723</v>
      </c>
      <c r="F4880" t="s">
        <v>95</v>
      </c>
      <c r="G4880" t="str">
        <f>HYPERLINK("https://twitter.com/804365678652387328/status/1142538836691640321")</f>
        <v>https://twitter.com/804365678652387328/status/1142538836691640321</v>
      </c>
      <c r="H4880" t="s">
        <v>91</v>
      </c>
      <c r="I4880" t="s">
        <v>14724</v>
      </c>
      <c r="J4880" t="str">
        <f>HYPERLINK("http://twitter.com/GrodusSpeedruns")</f>
        <v>http://twitter.com/GrodusSpeedruns</v>
      </c>
      <c r="K4880">
        <v>235</v>
      </c>
      <c r="N4880" t="s">
        <v>65</v>
      </c>
      <c r="R4880" t="s">
        <v>60</v>
      </c>
      <c r="S4880" t="s">
        <v>51</v>
      </c>
      <c r="T4880" t="s">
        <v>1657</v>
      </c>
      <c r="U4880" t="s">
        <v>14725</v>
      </c>
      <c r="W4880">
        <v>1</v>
      </c>
      <c r="X4880">
        <v>1</v>
      </c>
      <c r="AE4880">
        <v>1</v>
      </c>
      <c r="AF4880">
        <v>0</v>
      </c>
      <c r="AM4880" t="s">
        <v>52</v>
      </c>
      <c r="AN4880" t="s">
        <v>53</v>
      </c>
    </row>
    <row r="4881" spans="1:40">
      <c r="A4881" t="s">
        <v>13057</v>
      </c>
      <c r="B4881" t="s">
        <v>4361</v>
      </c>
      <c r="C4881" t="s">
        <v>14722</v>
      </c>
      <c r="D4881" t="s">
        <v>52</v>
      </c>
      <c r="E4881" t="s">
        <v>14726</v>
      </c>
      <c r="F4881" t="s">
        <v>45</v>
      </c>
      <c r="G4881" t="str">
        <f>HYPERLINK("https://twitter.com/352466152/status/1142538818580598787")</f>
        <v>https://twitter.com/352466152/status/1142538818580598787</v>
      </c>
      <c r="H4881" t="s">
        <v>215</v>
      </c>
      <c r="I4881" t="s">
        <v>14727</v>
      </c>
      <c r="J4881" t="str">
        <f>HYPERLINK("http://twitter.com/MrBFritz")</f>
        <v>http://twitter.com/MrBFritz</v>
      </c>
      <c r="K4881">
        <v>107</v>
      </c>
      <c r="L4881" t="s">
        <v>48</v>
      </c>
      <c r="N4881" t="s">
        <v>65</v>
      </c>
      <c r="R4881" t="s">
        <v>60</v>
      </c>
      <c r="W4881">
        <v>5</v>
      </c>
      <c r="X4881">
        <v>5</v>
      </c>
      <c r="AE4881">
        <v>0</v>
      </c>
      <c r="AF4881">
        <v>0</v>
      </c>
      <c r="AI4881" t="s">
        <v>108</v>
      </c>
      <c r="AJ4881" t="s">
        <v>571</v>
      </c>
      <c r="AK4881" t="s">
        <v>52</v>
      </c>
      <c r="AL4881" t="str">
        <f>HYPERLINK("https://pbs.twimg.com/media/D9sc_MvXkAEO-Gh.jpg")</f>
        <v>https://pbs.twimg.com/media/D9sc_MvXkAEO-Gh.jpg</v>
      </c>
      <c r="AM4881" t="s">
        <v>52</v>
      </c>
      <c r="AN4881" t="s">
        <v>53</v>
      </c>
    </row>
    <row r="4882" spans="1:40">
      <c r="A4882" t="s">
        <v>13057</v>
      </c>
      <c r="B4882" t="s">
        <v>4385</v>
      </c>
      <c r="C4882" t="s">
        <v>14720</v>
      </c>
      <c r="D4882" t="s">
        <v>52</v>
      </c>
      <c r="E4882" t="s">
        <v>14728</v>
      </c>
      <c r="F4882" t="s">
        <v>45</v>
      </c>
      <c r="G4882" t="str">
        <f>HYPERLINK("https://twitter.com/896082223484555265/status/1142538368896643074")</f>
        <v>https://twitter.com/896082223484555265/status/1142538368896643074</v>
      </c>
      <c r="H4882" t="s">
        <v>46</v>
      </c>
      <c r="I4882" t="s">
        <v>14729</v>
      </c>
      <c r="J4882" t="str">
        <f>HYPERLINK("http://twitter.com/SuperPrincessR1")</f>
        <v>http://twitter.com/SuperPrincessR1</v>
      </c>
      <c r="K4882">
        <v>2</v>
      </c>
      <c r="N4882" t="s">
        <v>65</v>
      </c>
      <c r="R4882" t="s">
        <v>60</v>
      </c>
      <c r="W4882">
        <v>0</v>
      </c>
      <c r="X4882">
        <v>0</v>
      </c>
      <c r="AE4882">
        <v>0</v>
      </c>
      <c r="AF4882">
        <v>0</v>
      </c>
      <c r="AM4882" t="s">
        <v>52</v>
      </c>
      <c r="AN4882" t="s">
        <v>53</v>
      </c>
    </row>
    <row r="4883" spans="1:40">
      <c r="A4883" t="s">
        <v>13057</v>
      </c>
      <c r="B4883" t="s">
        <v>4385</v>
      </c>
      <c r="C4883" t="s">
        <v>14730</v>
      </c>
      <c r="D4883" t="s">
        <v>52</v>
      </c>
      <c r="E4883" t="s">
        <v>14731</v>
      </c>
      <c r="F4883" t="s">
        <v>45</v>
      </c>
      <c r="G4883" t="str">
        <f>HYPERLINK("https://www.instagram.com/p/BzBsHQ8B_OU")</f>
        <v>https://www.instagram.com/p/BzBsHQ8B_OU</v>
      </c>
      <c r="H4883" t="s">
        <v>46</v>
      </c>
      <c r="I4883" t="s">
        <v>14732</v>
      </c>
      <c r="J4883" t="str">
        <f>HYPERLINK("http://instagram.com/breezy.briiiii")</f>
        <v>http://instagram.com/breezy.briiiii</v>
      </c>
      <c r="K4883">
        <v>383298</v>
      </c>
      <c r="N4883" t="s">
        <v>59</v>
      </c>
      <c r="O4883" t="s">
        <v>14732</v>
      </c>
      <c r="P4883" t="str">
        <f>HYPERLINK("http://instagram.com/breezy.briiiii")</f>
        <v>http://instagram.com/breezy.briiiii</v>
      </c>
      <c r="Q4883">
        <v>383298</v>
      </c>
      <c r="R4883" t="s">
        <v>60</v>
      </c>
      <c r="W4883">
        <v>13378</v>
      </c>
      <c r="X4883">
        <v>13378</v>
      </c>
      <c r="AE4883">
        <v>372</v>
      </c>
      <c r="AG4883">
        <v>36125</v>
      </c>
      <c r="AI4883" t="s">
        <v>52</v>
      </c>
      <c r="AJ4883" t="s">
        <v>52</v>
      </c>
      <c r="AK4883" t="s">
        <v>52</v>
      </c>
      <c r="AL4883" t="str">
        <f>HYPERLINK("https://www.instagram.com/p/BzBsHQ8B_OU/media/?size=l")</f>
        <v>https://www.instagram.com/p/BzBsHQ8B_OU/media/?size=l</v>
      </c>
      <c r="AM4883" t="s">
        <v>52</v>
      </c>
      <c r="AN4883" t="s">
        <v>53</v>
      </c>
    </row>
    <row r="4884" spans="1:40">
      <c r="A4884" t="s">
        <v>13057</v>
      </c>
      <c r="B4884" t="s">
        <v>4385</v>
      </c>
      <c r="C4884" t="s">
        <v>14733</v>
      </c>
      <c r="D4884" t="s">
        <v>14734</v>
      </c>
      <c r="E4884" t="s">
        <v>14735</v>
      </c>
      <c r="F4884" t="s">
        <v>45</v>
      </c>
      <c r="G4884" t="str">
        <f>HYPERLINK("http://www.philropost.com/doritos-gamer-pack.html")</f>
        <v>http://www.philropost.com/doritos-gamer-pack.html</v>
      </c>
      <c r="H4884" t="s">
        <v>46</v>
      </c>
      <c r="N4884" t="s">
        <v>7552</v>
      </c>
      <c r="R4884" t="s">
        <v>50</v>
      </c>
      <c r="S4884" t="s">
        <v>51</v>
      </c>
      <c r="AM4884" t="s">
        <v>52</v>
      </c>
      <c r="AN4884" t="s">
        <v>53</v>
      </c>
    </row>
    <row r="4885" spans="1:40">
      <c r="A4885" t="s">
        <v>13057</v>
      </c>
      <c r="B4885" t="s">
        <v>4385</v>
      </c>
      <c r="C4885" t="s">
        <v>14733</v>
      </c>
      <c r="D4885" t="s">
        <v>14736</v>
      </c>
      <c r="E4885" t="s">
        <v>14737</v>
      </c>
      <c r="F4885" t="s">
        <v>45</v>
      </c>
      <c r="G4885" t="str">
        <f>HYPERLINK("http://www.philropost.com/best-doritos.html")</f>
        <v>http://www.philropost.com/best-doritos.html</v>
      </c>
      <c r="H4885" t="s">
        <v>46</v>
      </c>
      <c r="N4885" t="s">
        <v>7552</v>
      </c>
      <c r="R4885" t="s">
        <v>50</v>
      </c>
      <c r="S4885" t="s">
        <v>51</v>
      </c>
      <c r="AM4885" t="s">
        <v>52</v>
      </c>
      <c r="AN4885" t="s">
        <v>53</v>
      </c>
    </row>
    <row r="4886" spans="1:40">
      <c r="A4886" t="s">
        <v>13057</v>
      </c>
      <c r="B4886" t="s">
        <v>4392</v>
      </c>
      <c r="C4886" t="s">
        <v>14738</v>
      </c>
      <c r="D4886" t="s">
        <v>52</v>
      </c>
      <c r="E4886" t="s">
        <v>14739</v>
      </c>
      <c r="F4886" t="s">
        <v>45</v>
      </c>
      <c r="G4886" t="str">
        <f>HYPERLINK("https://www.instagram.com/p/BzBsFC6gxZq")</f>
        <v>https://www.instagram.com/p/BzBsFC6gxZq</v>
      </c>
      <c r="H4886" t="s">
        <v>46</v>
      </c>
      <c r="I4886" t="s">
        <v>14740</v>
      </c>
      <c r="J4886" t="str">
        <f>HYPERLINK("http://instagram.com/carmellascuisine")</f>
        <v>http://instagram.com/carmellascuisine</v>
      </c>
      <c r="K4886">
        <v>317</v>
      </c>
      <c r="N4886" t="s">
        <v>59</v>
      </c>
      <c r="O4886" t="s">
        <v>14740</v>
      </c>
      <c r="P4886" t="str">
        <f>HYPERLINK("http://instagram.com/carmellascuisine")</f>
        <v>http://instagram.com/carmellascuisine</v>
      </c>
      <c r="Q4886">
        <v>317</v>
      </c>
      <c r="R4886" t="s">
        <v>60</v>
      </c>
      <c r="S4886" t="s">
        <v>51</v>
      </c>
      <c r="T4886" t="s">
        <v>1487</v>
      </c>
      <c r="U4886" t="s">
        <v>14741</v>
      </c>
      <c r="W4886">
        <v>21</v>
      </c>
      <c r="X4886">
        <v>21</v>
      </c>
      <c r="AE4886">
        <v>0</v>
      </c>
      <c r="AI4886" t="s">
        <v>108</v>
      </c>
      <c r="AJ4886" t="s">
        <v>14742</v>
      </c>
      <c r="AK4886" t="s">
        <v>52</v>
      </c>
      <c r="AL4886" t="str">
        <f>HYPERLINK("https://www.instagram.com/p/BzBsFC6gxZq/media/?size=l")</f>
        <v>https://www.instagram.com/p/BzBsFC6gxZq/media/?size=l</v>
      </c>
      <c r="AM4886" t="s">
        <v>52</v>
      </c>
      <c r="AN4886" t="s">
        <v>53</v>
      </c>
    </row>
    <row r="4887" spans="1:40">
      <c r="A4887" t="s">
        <v>13057</v>
      </c>
      <c r="B4887" t="s">
        <v>4392</v>
      </c>
      <c r="C4887" t="s">
        <v>14743</v>
      </c>
      <c r="D4887" t="s">
        <v>52</v>
      </c>
      <c r="E4887" t="s">
        <v>14744</v>
      </c>
      <c r="F4887" t="s">
        <v>45</v>
      </c>
      <c r="G4887" t="str">
        <f>HYPERLINK("https://twitter.com/96981979/status/1142538014159179778")</f>
        <v>https://twitter.com/96981979/status/1142538014159179778</v>
      </c>
      <c r="H4887" t="s">
        <v>215</v>
      </c>
      <c r="I4887" t="s">
        <v>14745</v>
      </c>
      <c r="J4887" t="str">
        <f>HYPERLINK("http://twitter.com/Ssccooott")</f>
        <v>http://twitter.com/Ssccooott</v>
      </c>
      <c r="K4887">
        <v>186</v>
      </c>
      <c r="L4887" t="s">
        <v>48</v>
      </c>
      <c r="N4887" t="s">
        <v>65</v>
      </c>
      <c r="R4887" t="s">
        <v>60</v>
      </c>
      <c r="S4887" t="s">
        <v>97</v>
      </c>
      <c r="T4887" t="s">
        <v>98</v>
      </c>
      <c r="U4887" t="s">
        <v>14746</v>
      </c>
      <c r="W4887">
        <v>0</v>
      </c>
      <c r="X4887">
        <v>0</v>
      </c>
      <c r="AE4887">
        <v>0</v>
      </c>
      <c r="AF4887">
        <v>0</v>
      </c>
      <c r="AM4887" t="s">
        <v>52</v>
      </c>
      <c r="AN4887" t="s">
        <v>53</v>
      </c>
    </row>
    <row r="4888" spans="1:40">
      <c r="A4888" t="s">
        <v>13057</v>
      </c>
      <c r="B4888" t="s">
        <v>4402</v>
      </c>
      <c r="C4888" t="s">
        <v>14267</v>
      </c>
      <c r="D4888" t="s">
        <v>52</v>
      </c>
      <c r="E4888" t="s">
        <v>14747</v>
      </c>
      <c r="F4888" t="s">
        <v>45</v>
      </c>
      <c r="G4888" t="str">
        <f>HYPERLINK("https://www.facebook.com/535680029960422/posts/1050842021777551")</f>
        <v>https://www.facebook.com/535680029960422/posts/1050842021777551</v>
      </c>
      <c r="H4888" t="s">
        <v>46</v>
      </c>
      <c r="I4888" t="s">
        <v>14748</v>
      </c>
      <c r="J4888" t="str">
        <f>HYPERLINK("https://www.facebook.com/535680029960422")</f>
        <v>https://www.facebook.com/535680029960422</v>
      </c>
      <c r="K4888">
        <v>19625</v>
      </c>
      <c r="L4888" t="s">
        <v>651</v>
      </c>
      <c r="N4888" t="s">
        <v>1792</v>
      </c>
      <c r="O4888" t="s">
        <v>14748</v>
      </c>
      <c r="P4888" t="str">
        <f>HYPERLINK("https://www.facebook.com/535680029960422")</f>
        <v>https://www.facebook.com/535680029960422</v>
      </c>
      <c r="Q4888">
        <v>19625</v>
      </c>
      <c r="R4888" t="s">
        <v>60</v>
      </c>
      <c r="S4888" t="s">
        <v>437</v>
      </c>
      <c r="W4888">
        <v>21</v>
      </c>
      <c r="X4888">
        <v>11</v>
      </c>
      <c r="Y4888">
        <v>7</v>
      </c>
      <c r="Z4888">
        <v>0</v>
      </c>
      <c r="AA4888">
        <v>3</v>
      </c>
      <c r="AB4888">
        <v>0</v>
      </c>
      <c r="AC4888">
        <v>0</v>
      </c>
      <c r="AE4888">
        <v>6</v>
      </c>
      <c r="AF4888">
        <v>2</v>
      </c>
      <c r="AI4888" t="s">
        <v>108</v>
      </c>
      <c r="AJ4888" t="s">
        <v>1894</v>
      </c>
      <c r="AK4888" t="s">
        <v>52</v>
      </c>
      <c r="AL4888" t="str">
        <f>HYPERLINK("https://scontent.xx.fbcdn.net/v/t1.0-9/s720x720/64731525_1050841998444220_7414984101347721216_o.jpg?_nc_cat=103&amp;_nc_oc=AQmXSGSZXXocXQ3WOr32N7IKlMRx9icWuRuhLFJO7snW9lG9qQj2J9UycsOnJm71zcY&amp;_nc_ht=scontent.xx&amp;oh=89496e502e5fa9a492d2fceef0c57b3a&amp;oe=5DBCD3B1")</f>
        <v>https://scontent.xx.fbcdn.net/v/t1.0-9/s720x720/64731525_1050841998444220_7414984101347721216_o.jpg?_nc_cat=103&amp;_nc_oc=AQmXSGSZXXocXQ3WOr32N7IKlMRx9icWuRuhLFJO7snW9lG9qQj2J9UycsOnJm71zcY&amp;_nc_ht=scontent.xx&amp;oh=89496e502e5fa9a492d2fceef0c57b3a&amp;oe=5DBCD3B1</v>
      </c>
      <c r="AM4888" t="s">
        <v>52</v>
      </c>
      <c r="AN4888" t="s">
        <v>53</v>
      </c>
    </row>
    <row r="4889" spans="1:40">
      <c r="A4889" t="s">
        <v>13057</v>
      </c>
      <c r="B4889" t="s">
        <v>4402</v>
      </c>
      <c r="C4889" t="s">
        <v>14749</v>
      </c>
      <c r="D4889" t="s">
        <v>14750</v>
      </c>
      <c r="E4889" t="s">
        <v>14750</v>
      </c>
      <c r="F4889" t="s">
        <v>45</v>
      </c>
      <c r="G4889" t="str">
        <f>HYPERLINK("https://www.youtube.com/watch?v=w1q0ShuSuvU")</f>
        <v>https://www.youtube.com/watch?v=w1q0ShuSuvU</v>
      </c>
      <c r="H4889" t="s">
        <v>46</v>
      </c>
      <c r="I4889" t="s">
        <v>14751</v>
      </c>
      <c r="J4889" t="str">
        <f>HYPERLINK("https://www.youtube.com/channel/UCE3rEAwjdR1lLfXP5ZypwAw")</f>
        <v>https://www.youtube.com/channel/UCE3rEAwjdR1lLfXP5ZypwAw</v>
      </c>
      <c r="K4889">
        <v>11</v>
      </c>
      <c r="N4889" t="s">
        <v>116</v>
      </c>
      <c r="O4889" t="s">
        <v>14751</v>
      </c>
      <c r="P4889" t="str">
        <f>HYPERLINK("https://www.youtube.com/channel/UCE3rEAwjdR1lLfXP5ZypwAw")</f>
        <v>https://www.youtube.com/channel/UCE3rEAwjdR1lLfXP5ZypwAw</v>
      </c>
      <c r="Q4889">
        <v>11</v>
      </c>
      <c r="R4889" t="s">
        <v>60</v>
      </c>
      <c r="W4889">
        <v>1</v>
      </c>
      <c r="X4889">
        <v>1</v>
      </c>
      <c r="AD4889">
        <v>0</v>
      </c>
      <c r="AE4889">
        <v>0</v>
      </c>
      <c r="AG4889">
        <v>5</v>
      </c>
      <c r="AI4889" t="s">
        <v>52</v>
      </c>
      <c r="AJ4889" t="s">
        <v>4898</v>
      </c>
      <c r="AK4889" t="s">
        <v>52</v>
      </c>
      <c r="AL4889" t="str">
        <f>HYPERLINK("https://i.ytimg.com/vi/w1q0ShuSuvU/sddefault.jpg")</f>
        <v>https://i.ytimg.com/vi/w1q0ShuSuvU/sddefault.jpg</v>
      </c>
      <c r="AM4889" t="s">
        <v>52</v>
      </c>
      <c r="AN4889" t="s">
        <v>53</v>
      </c>
    </row>
    <row r="4890" spans="1:40">
      <c r="A4890" t="s">
        <v>13057</v>
      </c>
      <c r="B4890" t="s">
        <v>4402</v>
      </c>
      <c r="C4890" t="s">
        <v>14213</v>
      </c>
      <c r="D4890" t="s">
        <v>14752</v>
      </c>
      <c r="E4890" t="s">
        <v>14753</v>
      </c>
      <c r="F4890" t="s">
        <v>45</v>
      </c>
      <c r="G4890" t="str">
        <f>HYPERLINK("https://www.youtube.com/watch?v=_s8aoH_WSBA")</f>
        <v>https://www.youtube.com/watch?v=_s8aoH_WSBA</v>
      </c>
      <c r="H4890" t="s">
        <v>46</v>
      </c>
      <c r="I4890" t="s">
        <v>14754</v>
      </c>
      <c r="J4890" t="str">
        <f>HYPERLINK("https://www.youtube.com/channel/UC1bfh8MQ4lCWSny0e7xV02g")</f>
        <v>https://www.youtube.com/channel/UC1bfh8MQ4lCWSny0e7xV02g</v>
      </c>
      <c r="K4890">
        <v>618236</v>
      </c>
      <c r="N4890" t="s">
        <v>116</v>
      </c>
      <c r="O4890" t="s">
        <v>14754</v>
      </c>
      <c r="P4890" t="str">
        <f>HYPERLINK("https://www.youtube.com/channel/UC1bfh8MQ4lCWSny0e7xV02g")</f>
        <v>https://www.youtube.com/channel/UC1bfh8MQ4lCWSny0e7xV02g</v>
      </c>
      <c r="Q4890">
        <v>618236</v>
      </c>
      <c r="R4890" t="s">
        <v>60</v>
      </c>
      <c r="W4890">
        <v>18083</v>
      </c>
      <c r="X4890">
        <v>18083</v>
      </c>
      <c r="AD4890">
        <v>97</v>
      </c>
      <c r="AE4890">
        <v>199</v>
      </c>
      <c r="AG4890">
        <v>128747</v>
      </c>
      <c r="AI4890" t="s">
        <v>108</v>
      </c>
      <c r="AJ4890" t="s">
        <v>52</v>
      </c>
      <c r="AK4890" t="s">
        <v>52</v>
      </c>
      <c r="AL4890" t="str">
        <f>HYPERLINK("https://i.ytimg.com/vi/_s8aoH_WSBA/sddefault.jpg")</f>
        <v>https://i.ytimg.com/vi/_s8aoH_WSBA/sddefault.jpg</v>
      </c>
      <c r="AM4890" t="s">
        <v>52</v>
      </c>
      <c r="AN4890" t="s">
        <v>53</v>
      </c>
    </row>
    <row r="4891" spans="1:40">
      <c r="A4891" t="s">
        <v>13057</v>
      </c>
      <c r="B4891" t="s">
        <v>4413</v>
      </c>
      <c r="C4891" t="s">
        <v>14755</v>
      </c>
      <c r="D4891" t="s">
        <v>52</v>
      </c>
      <c r="E4891" t="s">
        <v>14756</v>
      </c>
      <c r="F4891" t="s">
        <v>45</v>
      </c>
      <c r="G4891" t="str">
        <f>HYPERLINK("https://www.instagram.com/p/BzBrrgvor_H")</f>
        <v>https://www.instagram.com/p/BzBrrgvor_H</v>
      </c>
      <c r="H4891" t="s">
        <v>46</v>
      </c>
      <c r="I4891" t="s">
        <v>14757</v>
      </c>
      <c r="J4891" t="str">
        <f>HYPERLINK("http://instagram.com/gamerpolski01")</f>
        <v>http://instagram.com/gamerpolski01</v>
      </c>
      <c r="K4891">
        <v>38</v>
      </c>
      <c r="N4891" t="s">
        <v>59</v>
      </c>
      <c r="O4891" t="s">
        <v>14757</v>
      </c>
      <c r="P4891" t="str">
        <f>HYPERLINK("http://instagram.com/gamerpolski01")</f>
        <v>http://instagram.com/gamerpolski01</v>
      </c>
      <c r="Q4891">
        <v>38</v>
      </c>
      <c r="R4891" t="s">
        <v>60</v>
      </c>
      <c r="W4891">
        <v>2</v>
      </c>
      <c r="X4891">
        <v>2</v>
      </c>
      <c r="AE4891">
        <v>0</v>
      </c>
      <c r="AI4891" t="s">
        <v>108</v>
      </c>
      <c r="AJ4891" t="s">
        <v>11107</v>
      </c>
      <c r="AK4891" t="s">
        <v>52</v>
      </c>
      <c r="AL4891" t="str">
        <f>HYPERLINK("https://www.instagram.com/p/BzBrrgvor_H/media/?size=l")</f>
        <v>https://www.instagram.com/p/BzBrrgvor_H/media/?size=l</v>
      </c>
      <c r="AM4891" t="s">
        <v>52</v>
      </c>
      <c r="AN4891" t="s">
        <v>53</v>
      </c>
    </row>
    <row r="4892" spans="1:40">
      <c r="A4892" t="s">
        <v>13057</v>
      </c>
      <c r="B4892" t="s">
        <v>10027</v>
      </c>
      <c r="C4892" t="s">
        <v>14758</v>
      </c>
      <c r="D4892" t="s">
        <v>14759</v>
      </c>
      <c r="E4892" t="s">
        <v>14760</v>
      </c>
      <c r="F4892" t="s">
        <v>45</v>
      </c>
      <c r="G4892" t="str">
        <f>HYPERLINK("https://www.youtube.com/watch?v=YLYsSJZYj7M")</f>
        <v>https://www.youtube.com/watch?v=YLYsSJZYj7M</v>
      </c>
      <c r="H4892" t="s">
        <v>46</v>
      </c>
      <c r="I4892" t="s">
        <v>13283</v>
      </c>
      <c r="J4892" t="str">
        <f>HYPERLINK("https://www.youtube.com/channel/UCJhfJLBJ_p1A0yUF0CIUWpg")</f>
        <v>https://www.youtube.com/channel/UCJhfJLBJ_p1A0yUF0CIUWpg</v>
      </c>
      <c r="K4892">
        <v>21</v>
      </c>
      <c r="N4892" t="s">
        <v>116</v>
      </c>
      <c r="O4892" t="s">
        <v>13283</v>
      </c>
      <c r="P4892" t="str">
        <f>HYPERLINK("https://www.youtube.com/channel/UCJhfJLBJ_p1A0yUF0CIUWpg")</f>
        <v>https://www.youtube.com/channel/UCJhfJLBJ_p1A0yUF0CIUWpg</v>
      </c>
      <c r="Q4892">
        <v>21</v>
      </c>
      <c r="R4892" t="s">
        <v>60</v>
      </c>
      <c r="W4892">
        <v>0</v>
      </c>
      <c r="X4892">
        <v>0</v>
      </c>
      <c r="AD4892">
        <v>0</v>
      </c>
      <c r="AE4892">
        <v>0</v>
      </c>
      <c r="AG4892">
        <v>2</v>
      </c>
      <c r="AI4892" t="s">
        <v>52</v>
      </c>
      <c r="AJ4892" t="s">
        <v>52</v>
      </c>
      <c r="AK4892" t="s">
        <v>341</v>
      </c>
      <c r="AL4892" t="str">
        <f>HYPERLINK("https://i.ytimg.com/vi/YLYsSJZYj7M/sddefault.jpg")</f>
        <v>https://i.ytimg.com/vi/YLYsSJZYj7M/sddefault.jpg</v>
      </c>
      <c r="AM4892" t="s">
        <v>52</v>
      </c>
      <c r="AN4892" t="s">
        <v>53</v>
      </c>
    </row>
    <row r="4893" spans="1:40">
      <c r="A4893" t="s">
        <v>13057</v>
      </c>
      <c r="B4893" t="s">
        <v>4420</v>
      </c>
      <c r="C4893" t="s">
        <v>14761</v>
      </c>
      <c r="D4893" t="s">
        <v>52</v>
      </c>
      <c r="E4893" t="s">
        <v>14762</v>
      </c>
      <c r="F4893" t="s">
        <v>95</v>
      </c>
      <c r="G4893" t="str">
        <f>HYPERLINK("https://twitter.com/235784892/status/1142536930518810624")</f>
        <v>https://twitter.com/235784892/status/1142536930518810624</v>
      </c>
      <c r="H4893" t="s">
        <v>46</v>
      </c>
      <c r="I4893" t="s">
        <v>14763</v>
      </c>
      <c r="J4893" t="str">
        <f>HYPERLINK("http://twitter.com/JosefaCP_")</f>
        <v>http://twitter.com/JosefaCP_</v>
      </c>
      <c r="K4893">
        <v>525</v>
      </c>
      <c r="N4893" t="s">
        <v>65</v>
      </c>
      <c r="R4893" t="s">
        <v>60</v>
      </c>
      <c r="W4893">
        <v>0</v>
      </c>
      <c r="X4893">
        <v>0</v>
      </c>
      <c r="AE4893">
        <v>0</v>
      </c>
      <c r="AF4893">
        <v>0</v>
      </c>
      <c r="AM4893" t="s">
        <v>52</v>
      </c>
      <c r="AN4893" t="s">
        <v>53</v>
      </c>
    </row>
    <row r="4894" spans="1:40">
      <c r="A4894" t="s">
        <v>13057</v>
      </c>
      <c r="B4894" t="s">
        <v>4420</v>
      </c>
      <c r="C4894" t="s">
        <v>7052</v>
      </c>
      <c r="D4894" t="s">
        <v>14764</v>
      </c>
      <c r="E4894" t="s">
        <v>14765</v>
      </c>
      <c r="F4894" t="s">
        <v>45</v>
      </c>
      <c r="G4894" t="str">
        <f>HYPERLINK("https://www.reddit.com/r/unpopularopinion/comments/c3q7sk/people_who_live_in_us_and_praise_sovet_union/?sort=new#thing_t1_ersncep")</f>
        <v>https://www.reddit.com/r/unpopularopinion/comments/c3q7sk/people_who_live_in_us_and_praise_sovet_union/?sort=new#thing_t1_ersncep</v>
      </c>
      <c r="H4894" t="s">
        <v>91</v>
      </c>
      <c r="I4894" t="s">
        <v>14766</v>
      </c>
      <c r="J4894" t="str">
        <f>HYPERLINK("https://www.reddit.com/r/unpopularopinion/comments/c3q7sk/people_who_live_in_us_and_praise_sovet_union/?sort=new#thing_t1_ersncep")</f>
        <v>https://www.reddit.com/r/unpopularopinion/comments/c3q7sk/people_who_live_in_us_and_praise_sovet_union/?sort=new#thing_t1_ersncep</v>
      </c>
      <c r="N4894" t="s">
        <v>545</v>
      </c>
      <c r="O4894" t="s">
        <v>14767</v>
      </c>
      <c r="P4894" t="str">
        <f>HYPERLINK("https://www.reddit.com/r/unpopularopinion/")</f>
        <v>https://www.reddit.com/r/unpopularopinion/</v>
      </c>
      <c r="R4894" t="s">
        <v>516</v>
      </c>
      <c r="S4894" t="s">
        <v>51</v>
      </c>
      <c r="AM4894" t="s">
        <v>52</v>
      </c>
      <c r="AN4894" t="s">
        <v>53</v>
      </c>
    </row>
    <row r="4895" spans="1:40">
      <c r="A4895" t="s">
        <v>13057</v>
      </c>
      <c r="B4895" t="s">
        <v>4420</v>
      </c>
      <c r="C4895" t="s">
        <v>14743</v>
      </c>
      <c r="D4895" t="s">
        <v>52</v>
      </c>
      <c r="E4895" t="s">
        <v>2796</v>
      </c>
      <c r="F4895" t="s">
        <v>45</v>
      </c>
      <c r="G4895" t="str">
        <f>HYPERLINK("https://twitter.com/367237199/status/1142536739036323846")</f>
        <v>https://twitter.com/367237199/status/1142536739036323846</v>
      </c>
      <c r="H4895" t="s">
        <v>46</v>
      </c>
      <c r="I4895" t="s">
        <v>14768</v>
      </c>
      <c r="J4895" t="str">
        <f>HYPERLINK("http://twitter.com/EJ10111")</f>
        <v>http://twitter.com/EJ10111</v>
      </c>
      <c r="K4895">
        <v>92</v>
      </c>
      <c r="L4895" t="s">
        <v>48</v>
      </c>
      <c r="N4895" t="s">
        <v>65</v>
      </c>
      <c r="R4895" t="s">
        <v>60</v>
      </c>
      <c r="W4895">
        <v>0</v>
      </c>
      <c r="X4895">
        <v>0</v>
      </c>
      <c r="AE4895">
        <v>0</v>
      </c>
      <c r="AF4895">
        <v>0</v>
      </c>
      <c r="AM4895" t="s">
        <v>52</v>
      </c>
      <c r="AN4895" t="s">
        <v>53</v>
      </c>
    </row>
    <row r="4896" spans="1:40">
      <c r="A4896" t="s">
        <v>13057</v>
      </c>
      <c r="B4896" t="s">
        <v>4424</v>
      </c>
      <c r="C4896" t="s">
        <v>14758</v>
      </c>
      <c r="D4896" t="s">
        <v>52</v>
      </c>
      <c r="E4896" t="s">
        <v>14769</v>
      </c>
      <c r="F4896" t="s">
        <v>95</v>
      </c>
      <c r="G4896" t="str">
        <f>HYPERLINK("https://twitter.com/147247314/status/1142536674989289473")</f>
        <v>https://twitter.com/147247314/status/1142536674989289473</v>
      </c>
      <c r="H4896" t="s">
        <v>46</v>
      </c>
      <c r="I4896" t="s">
        <v>14770</v>
      </c>
      <c r="J4896" t="str">
        <f>HYPERLINK("http://twitter.com/THECINNA")</f>
        <v>http://twitter.com/THECINNA</v>
      </c>
      <c r="K4896">
        <v>48</v>
      </c>
      <c r="L4896" t="s">
        <v>58</v>
      </c>
      <c r="N4896" t="s">
        <v>65</v>
      </c>
      <c r="R4896" t="s">
        <v>60</v>
      </c>
      <c r="W4896">
        <v>0</v>
      </c>
      <c r="X4896">
        <v>0</v>
      </c>
      <c r="AE4896">
        <v>0</v>
      </c>
      <c r="AF4896">
        <v>0</v>
      </c>
      <c r="AM4896" t="s">
        <v>52</v>
      </c>
      <c r="AN4896" t="s">
        <v>53</v>
      </c>
    </row>
    <row r="4897" spans="1:40">
      <c r="A4897" t="s">
        <v>13057</v>
      </c>
      <c r="B4897" t="s">
        <v>4424</v>
      </c>
      <c r="C4897" t="s">
        <v>14771</v>
      </c>
      <c r="D4897" t="s">
        <v>14772</v>
      </c>
      <c r="E4897" t="s">
        <v>14773</v>
      </c>
      <c r="F4897" t="s">
        <v>45</v>
      </c>
      <c r="G4897" t="str">
        <f>HYPERLINK("https://www.wiscnews.com/lifestyles/health-med-fit/natural-ways-to-help-treat-high-blood-pressure/article_eb595918-93f5-5a4a-871e-9be7d5ff3e3d.html")</f>
        <v>https://www.wiscnews.com/lifestyles/health-med-fit/natural-ways-to-help-treat-high-blood-pressure/article_eb595918-93f5-5a4a-871e-9be7d5ff3e3d.html</v>
      </c>
      <c r="H4897" t="s">
        <v>91</v>
      </c>
      <c r="I4897" t="s">
        <v>14774</v>
      </c>
      <c r="J4897" t="str">
        <f>HYPERLINK("http://wiscnews.com")</f>
        <v>http://wiscnews.com</v>
      </c>
      <c r="N4897" t="s">
        <v>14774</v>
      </c>
      <c r="R4897" t="s">
        <v>357</v>
      </c>
      <c r="S4897" t="s">
        <v>51</v>
      </c>
      <c r="AM4897" t="s">
        <v>52</v>
      </c>
      <c r="AN4897" t="s">
        <v>53</v>
      </c>
    </row>
    <row r="4898" spans="1:40">
      <c r="A4898" t="s">
        <v>13057</v>
      </c>
      <c r="B4898" t="s">
        <v>4424</v>
      </c>
      <c r="C4898" t="s">
        <v>14775</v>
      </c>
      <c r="D4898" t="s">
        <v>52</v>
      </c>
      <c r="E4898" t="s">
        <v>14776</v>
      </c>
      <c r="F4898" t="s">
        <v>45</v>
      </c>
      <c r="G4898" t="str">
        <f>HYPERLINK("https://www.instagram.com/p/BzBrUR2IGKz")</f>
        <v>https://www.instagram.com/p/BzBrUR2IGKz</v>
      </c>
      <c r="H4898" t="s">
        <v>46</v>
      </c>
      <c r="I4898" t="s">
        <v>52</v>
      </c>
      <c r="J4898" t="str">
        <f>HYPERLINK("http://instagram.com/klaudiapatelczyk")</f>
        <v>http://instagram.com/klaudiapatelczyk</v>
      </c>
      <c r="K4898">
        <v>162</v>
      </c>
      <c r="N4898" t="s">
        <v>59</v>
      </c>
      <c r="O4898" t="s">
        <v>52</v>
      </c>
      <c r="P4898" t="str">
        <f>HYPERLINK("http://instagram.com/klaudiapatelczyk")</f>
        <v>http://instagram.com/klaudiapatelczyk</v>
      </c>
      <c r="Q4898">
        <v>162</v>
      </c>
      <c r="R4898" t="s">
        <v>60</v>
      </c>
      <c r="S4898" t="s">
        <v>1521</v>
      </c>
      <c r="T4898" t="s">
        <v>9812</v>
      </c>
      <c r="U4898" t="s">
        <v>14777</v>
      </c>
      <c r="W4898">
        <v>49</v>
      </c>
      <c r="X4898">
        <v>49</v>
      </c>
      <c r="AE4898">
        <v>0</v>
      </c>
      <c r="AI4898" t="s">
        <v>52</v>
      </c>
      <c r="AJ4898" t="s">
        <v>52</v>
      </c>
      <c r="AK4898" t="s">
        <v>3901</v>
      </c>
      <c r="AL4898" t="str">
        <f>HYPERLINK("https://www.instagram.com/p/BzBrUR2IGKz/media/?size=l")</f>
        <v>https://www.instagram.com/p/BzBrUR2IGKz/media/?size=l</v>
      </c>
      <c r="AM4898" t="s">
        <v>52</v>
      </c>
      <c r="AN4898" t="s">
        <v>53</v>
      </c>
    </row>
    <row r="4899" spans="1:40">
      <c r="A4899" t="s">
        <v>13057</v>
      </c>
      <c r="B4899" t="s">
        <v>4455</v>
      </c>
      <c r="C4899" t="s">
        <v>14778</v>
      </c>
      <c r="D4899" t="s">
        <v>52</v>
      </c>
      <c r="E4899" t="s">
        <v>14779</v>
      </c>
      <c r="F4899" t="s">
        <v>45</v>
      </c>
      <c r="G4899" t="str">
        <f>HYPERLINK("https://twitter.com/67963196/status/1142535740880031744")</f>
        <v>https://twitter.com/67963196/status/1142535740880031744</v>
      </c>
      <c r="H4899" t="s">
        <v>46</v>
      </c>
      <c r="I4899" t="s">
        <v>7364</v>
      </c>
      <c r="J4899" t="str">
        <f>HYPERLINK("http://twitter.com/Danny7091")</f>
        <v>http://twitter.com/Danny7091</v>
      </c>
      <c r="K4899">
        <v>50</v>
      </c>
      <c r="L4899" t="s">
        <v>48</v>
      </c>
      <c r="N4899" t="s">
        <v>65</v>
      </c>
      <c r="R4899" t="s">
        <v>60</v>
      </c>
      <c r="S4899" t="s">
        <v>51</v>
      </c>
      <c r="T4899" t="s">
        <v>73</v>
      </c>
      <c r="U4899" t="s">
        <v>14780</v>
      </c>
      <c r="W4899">
        <v>0</v>
      </c>
      <c r="X4899">
        <v>0</v>
      </c>
      <c r="AE4899">
        <v>0</v>
      </c>
      <c r="AF4899">
        <v>0</v>
      </c>
      <c r="AM4899" t="s">
        <v>52</v>
      </c>
      <c r="AN4899" t="s">
        <v>53</v>
      </c>
    </row>
    <row r="4900" spans="1:40">
      <c r="A4900" t="s">
        <v>13057</v>
      </c>
      <c r="B4900" t="s">
        <v>4461</v>
      </c>
      <c r="C4900" t="s">
        <v>14781</v>
      </c>
      <c r="D4900" t="s">
        <v>52</v>
      </c>
      <c r="E4900" t="s">
        <v>14782</v>
      </c>
      <c r="F4900" t="s">
        <v>71</v>
      </c>
      <c r="G4900" t="str">
        <f>HYPERLINK("https://twitter.com/2707524073/status/1142535632524365824")</f>
        <v>https://twitter.com/2707524073/status/1142535632524365824</v>
      </c>
      <c r="H4900" t="s">
        <v>46</v>
      </c>
      <c r="I4900" t="s">
        <v>14783</v>
      </c>
      <c r="J4900" t="str">
        <f>HYPERLINK("http://twitter.com/zhongschenle")</f>
        <v>http://twitter.com/zhongschenle</v>
      </c>
      <c r="K4900">
        <v>4409</v>
      </c>
      <c r="N4900" t="s">
        <v>65</v>
      </c>
      <c r="R4900" t="s">
        <v>60</v>
      </c>
      <c r="W4900">
        <v>2</v>
      </c>
      <c r="X4900">
        <v>2</v>
      </c>
      <c r="AE4900">
        <v>0</v>
      </c>
      <c r="AF4900">
        <v>0</v>
      </c>
      <c r="AM4900" t="s">
        <v>52</v>
      </c>
      <c r="AN4900" t="s">
        <v>53</v>
      </c>
    </row>
    <row r="4901" spans="1:40">
      <c r="A4901" t="s">
        <v>13057</v>
      </c>
      <c r="B4901" t="s">
        <v>4461</v>
      </c>
      <c r="C4901" t="s">
        <v>14784</v>
      </c>
      <c r="D4901" t="s">
        <v>52</v>
      </c>
      <c r="E4901" t="s">
        <v>14785</v>
      </c>
      <c r="F4901" t="s">
        <v>95</v>
      </c>
      <c r="G4901" t="str">
        <f>HYPERLINK("https://twitter.com/227033284/status/1142535517440860160")</f>
        <v>https://twitter.com/227033284/status/1142535517440860160</v>
      </c>
      <c r="H4901" t="s">
        <v>46</v>
      </c>
      <c r="I4901" t="s">
        <v>14786</v>
      </c>
      <c r="J4901" t="str">
        <f>HYPERLINK("http://twitter.com/RagdollKitty87")</f>
        <v>http://twitter.com/RagdollKitty87</v>
      </c>
      <c r="K4901">
        <v>1526</v>
      </c>
      <c r="L4901" t="s">
        <v>58</v>
      </c>
      <c r="N4901" t="s">
        <v>65</v>
      </c>
      <c r="R4901" t="s">
        <v>60</v>
      </c>
      <c r="S4901" t="s">
        <v>51</v>
      </c>
      <c r="T4901" t="s">
        <v>173</v>
      </c>
      <c r="W4901">
        <v>0</v>
      </c>
      <c r="X4901">
        <v>0</v>
      </c>
      <c r="AE4901">
        <v>0</v>
      </c>
      <c r="AF4901">
        <v>0</v>
      </c>
      <c r="AM4901" t="s">
        <v>52</v>
      </c>
      <c r="AN4901" t="s">
        <v>53</v>
      </c>
    </row>
    <row r="4902" spans="1:40">
      <c r="A4902" t="s">
        <v>13057</v>
      </c>
      <c r="B4902" t="s">
        <v>4467</v>
      </c>
      <c r="C4902" t="s">
        <v>3759</v>
      </c>
      <c r="D4902" t="s">
        <v>14787</v>
      </c>
      <c r="E4902" t="s">
        <v>14788</v>
      </c>
      <c r="F4902" t="s">
        <v>45</v>
      </c>
      <c r="G4902" t="str">
        <f>HYPERLINK("https://www.thedad.com/the-10-best-comments-of-the-week-6-23")</f>
        <v>https://www.thedad.com/the-10-best-comments-of-the-week-6-23</v>
      </c>
      <c r="H4902" t="s">
        <v>46</v>
      </c>
      <c r="I4902" t="s">
        <v>14789</v>
      </c>
      <c r="J4902" t="str">
        <f>HYPERLINK("https://www.thedad.com/the-10-best-comments-of-the-week-6-23/")</f>
        <v>https://www.thedad.com/the-10-best-comments-of-the-week-6-23/</v>
      </c>
      <c r="N4902" t="s">
        <v>4492</v>
      </c>
      <c r="R4902" t="s">
        <v>357</v>
      </c>
      <c r="S4902" t="s">
        <v>51</v>
      </c>
      <c r="AM4902" t="s">
        <v>52</v>
      </c>
      <c r="AN4902" t="s">
        <v>53</v>
      </c>
    </row>
    <row r="4903" spans="1:40">
      <c r="A4903" t="s">
        <v>13057</v>
      </c>
      <c r="B4903" t="s">
        <v>10069</v>
      </c>
      <c r="C4903" t="s">
        <v>14790</v>
      </c>
      <c r="D4903" t="s">
        <v>52</v>
      </c>
      <c r="E4903" t="s">
        <v>6744</v>
      </c>
      <c r="F4903" t="s">
        <v>131</v>
      </c>
      <c r="G4903" t="str">
        <f>HYPERLINK("https://twitter.com/94842557/status/1142534947363676160")</f>
        <v>https://twitter.com/94842557/status/1142534947363676160</v>
      </c>
      <c r="H4903" t="s">
        <v>46</v>
      </c>
      <c r="I4903" t="s">
        <v>14791</v>
      </c>
      <c r="J4903" t="str">
        <f>HYPERLINK("http://twitter.com/TerriSchwenzer")</f>
        <v>http://twitter.com/TerriSchwenzer</v>
      </c>
      <c r="K4903">
        <v>41</v>
      </c>
      <c r="N4903" t="s">
        <v>65</v>
      </c>
      <c r="R4903" t="s">
        <v>60</v>
      </c>
      <c r="W4903">
        <v>0</v>
      </c>
      <c r="X4903">
        <v>0</v>
      </c>
      <c r="AE4903">
        <v>0</v>
      </c>
      <c r="AI4903" t="s">
        <v>52</v>
      </c>
      <c r="AJ4903" t="s">
        <v>52</v>
      </c>
      <c r="AK4903" t="s">
        <v>2782</v>
      </c>
      <c r="AL4903" t="str">
        <f>HYPERLINK("https://pbs.twimg.com/media/D9ry2iBXkAA00_i.jpg")</f>
        <v>https://pbs.twimg.com/media/D9ry2iBXkAA00_i.jpg</v>
      </c>
      <c r="AM4903" t="s">
        <v>52</v>
      </c>
      <c r="AN4903" t="s">
        <v>53</v>
      </c>
    </row>
    <row r="4904" spans="1:40">
      <c r="A4904" t="s">
        <v>13057</v>
      </c>
      <c r="B4904" t="s">
        <v>10069</v>
      </c>
      <c r="C4904" t="s">
        <v>14792</v>
      </c>
      <c r="D4904" t="s">
        <v>14772</v>
      </c>
      <c r="E4904" t="s">
        <v>14793</v>
      </c>
      <c r="F4904" t="s">
        <v>45</v>
      </c>
      <c r="G4904" t="str">
        <f>HYPERLINK("https://www.gazettetimes.com/lifestyles/health-med-fit/natural-ways-to-help-treat-high-blood-pressure/article_62eb2dcf-9197-5fab-9fa1-30e1d1ccec0b.html")</f>
        <v>https://www.gazettetimes.com/lifestyles/health-med-fit/natural-ways-to-help-treat-high-blood-pressure/article_62eb2dcf-9197-5fab-9fa1-30e1d1ccec0b.html</v>
      </c>
      <c r="H4904" t="s">
        <v>91</v>
      </c>
      <c r="I4904" t="s">
        <v>14794</v>
      </c>
      <c r="J4904" t="str">
        <f>HYPERLINK("http://gazettetimes.com")</f>
        <v>http://gazettetimes.com</v>
      </c>
      <c r="N4904" t="s">
        <v>14794</v>
      </c>
      <c r="R4904" t="s">
        <v>357</v>
      </c>
      <c r="S4904" t="s">
        <v>51</v>
      </c>
      <c r="AM4904" t="s">
        <v>52</v>
      </c>
      <c r="AN4904" t="s">
        <v>53</v>
      </c>
    </row>
    <row r="4905" spans="1:40">
      <c r="A4905" t="s">
        <v>13057</v>
      </c>
      <c r="B4905" t="s">
        <v>10098</v>
      </c>
      <c r="C4905" t="s">
        <v>12462</v>
      </c>
      <c r="D4905" t="s">
        <v>52</v>
      </c>
      <c r="E4905" t="s">
        <v>14795</v>
      </c>
      <c r="F4905" t="s">
        <v>45</v>
      </c>
      <c r="G4905" t="str">
        <f>HYPERLINK("https://www.instagram.com/p/BzBqaXYHm4W")</f>
        <v>https://www.instagram.com/p/BzBqaXYHm4W</v>
      </c>
      <c r="H4905" t="s">
        <v>46</v>
      </c>
      <c r="I4905" t="s">
        <v>14796</v>
      </c>
      <c r="J4905" t="str">
        <f>HYPERLINK("http://instagram.com/thiagoaranieri")</f>
        <v>http://instagram.com/thiagoaranieri</v>
      </c>
      <c r="K4905">
        <v>3278</v>
      </c>
      <c r="L4905" t="s">
        <v>48</v>
      </c>
      <c r="N4905" t="s">
        <v>59</v>
      </c>
      <c r="O4905" t="s">
        <v>14796</v>
      </c>
      <c r="P4905" t="str">
        <f>HYPERLINK("http://instagram.com/thiagoaranieri")</f>
        <v>http://instagram.com/thiagoaranieri</v>
      </c>
      <c r="Q4905">
        <v>3278</v>
      </c>
      <c r="R4905" t="s">
        <v>60</v>
      </c>
      <c r="S4905" t="s">
        <v>432</v>
      </c>
      <c r="T4905" t="s">
        <v>433</v>
      </c>
      <c r="W4905">
        <v>38</v>
      </c>
      <c r="X4905">
        <v>38</v>
      </c>
      <c r="AE4905">
        <v>1</v>
      </c>
      <c r="AI4905" t="s">
        <v>108</v>
      </c>
      <c r="AJ4905" t="s">
        <v>2985</v>
      </c>
      <c r="AK4905" t="s">
        <v>14797</v>
      </c>
      <c r="AL4905" t="str">
        <f>HYPERLINK("https://www.instagram.com/p/BzBqaXYHm4W/media/?size=l")</f>
        <v>https://www.instagram.com/p/BzBqaXYHm4W/media/?size=l</v>
      </c>
      <c r="AM4905" t="s">
        <v>52</v>
      </c>
      <c r="AN4905" t="s">
        <v>53</v>
      </c>
    </row>
    <row r="4906" spans="1:40">
      <c r="A4906" t="s">
        <v>13057</v>
      </c>
      <c r="B4906" t="s">
        <v>10102</v>
      </c>
      <c r="C4906" t="s">
        <v>14798</v>
      </c>
      <c r="D4906" t="s">
        <v>52</v>
      </c>
      <c r="E4906" t="s">
        <v>526</v>
      </c>
      <c r="F4906" t="s">
        <v>131</v>
      </c>
      <c r="G4906" t="str">
        <f>HYPERLINK("https://twitter.com/1919784560/status/1142534135904448513")</f>
        <v>https://twitter.com/1919784560/status/1142534135904448513</v>
      </c>
      <c r="H4906" t="s">
        <v>46</v>
      </c>
      <c r="I4906" t="s">
        <v>14799</v>
      </c>
      <c r="J4906" t="str">
        <f>HYPERLINK("http://twitter.com/FrankyAlvarez6")</f>
        <v>http://twitter.com/FrankyAlvarez6</v>
      </c>
      <c r="K4906">
        <v>86</v>
      </c>
      <c r="N4906" t="s">
        <v>65</v>
      </c>
      <c r="R4906" t="s">
        <v>60</v>
      </c>
      <c r="W4906">
        <v>0</v>
      </c>
      <c r="X4906">
        <v>0</v>
      </c>
      <c r="AE4906">
        <v>0</v>
      </c>
      <c r="AI4906" t="s">
        <v>108</v>
      </c>
      <c r="AJ4906" t="s">
        <v>52</v>
      </c>
      <c r="AK4906" t="s">
        <v>52</v>
      </c>
      <c r="AL4906" t="str">
        <f>HYPERLINK("https://pbs.twimg.com/ext_tw_video_thumb/1141360066962100224/pu/img/5_tGc4hLFQwcD07b.jpg")</f>
        <v>https://pbs.twimg.com/ext_tw_video_thumb/1141360066962100224/pu/img/5_tGc4hLFQwcD07b.jpg</v>
      </c>
      <c r="AM4906" t="s">
        <v>52</v>
      </c>
      <c r="AN4906" t="s">
        <v>53</v>
      </c>
    </row>
    <row r="4907" spans="1:40">
      <c r="A4907" t="s">
        <v>13057</v>
      </c>
      <c r="B4907" t="s">
        <v>10102</v>
      </c>
      <c r="C4907" t="s">
        <v>14800</v>
      </c>
      <c r="D4907" t="s">
        <v>52</v>
      </c>
      <c r="E4907" t="s">
        <v>14801</v>
      </c>
      <c r="F4907" t="s">
        <v>45</v>
      </c>
      <c r="G4907" t="str">
        <f>HYPERLINK("https://twitter.com/1121648782117044224/status/1142534111531339787")</f>
        <v>https://twitter.com/1121648782117044224/status/1142534111531339787</v>
      </c>
      <c r="H4907" t="s">
        <v>46</v>
      </c>
      <c r="I4907" t="s">
        <v>14802</v>
      </c>
      <c r="J4907" t="str">
        <f>HYPERLINK("http://twitter.com/axgxxthx05")</f>
        <v>http://twitter.com/axgxxthx05</v>
      </c>
      <c r="K4907">
        <v>16</v>
      </c>
      <c r="N4907" t="s">
        <v>65</v>
      </c>
      <c r="R4907" t="s">
        <v>60</v>
      </c>
      <c r="W4907">
        <v>1</v>
      </c>
      <c r="X4907">
        <v>1</v>
      </c>
      <c r="AE4907">
        <v>0</v>
      </c>
      <c r="AF4907">
        <v>0</v>
      </c>
      <c r="AM4907" t="s">
        <v>52</v>
      </c>
      <c r="AN4907" t="s">
        <v>53</v>
      </c>
    </row>
    <row r="4908" spans="1:40">
      <c r="A4908" t="s">
        <v>13057</v>
      </c>
      <c r="B4908" t="s">
        <v>14803</v>
      </c>
      <c r="C4908" t="s">
        <v>14792</v>
      </c>
      <c r="D4908" t="s">
        <v>14772</v>
      </c>
      <c r="E4908" t="s">
        <v>14804</v>
      </c>
      <c r="F4908" t="s">
        <v>45</v>
      </c>
      <c r="G4908" t="str">
        <f>HYPERLINK("https://www.nwitimes.com/niche/get-healthy/natural-ways-to-help-treat-high-blood-pressure/article_135523ed-46e5-5bd4-ac55-1754c09636e1.html")</f>
        <v>https://www.nwitimes.com/niche/get-healthy/natural-ways-to-help-treat-high-blood-pressure/article_135523ed-46e5-5bd4-ac55-1754c09636e1.html</v>
      </c>
      <c r="H4908" t="s">
        <v>215</v>
      </c>
      <c r="I4908" t="s">
        <v>14805</v>
      </c>
      <c r="J4908" t="str">
        <f>HYPERLINK("http://nwitimes.com")</f>
        <v>http://nwitimes.com</v>
      </c>
      <c r="N4908" t="s">
        <v>14805</v>
      </c>
      <c r="R4908" t="s">
        <v>357</v>
      </c>
      <c r="S4908" t="s">
        <v>51</v>
      </c>
      <c r="AM4908" t="s">
        <v>52</v>
      </c>
      <c r="AN4908" t="s">
        <v>53</v>
      </c>
    </row>
    <row r="4909" spans="1:40">
      <c r="A4909" t="s">
        <v>13057</v>
      </c>
      <c r="B4909" t="s">
        <v>4472</v>
      </c>
      <c r="C4909" t="s">
        <v>14792</v>
      </c>
      <c r="D4909" t="s">
        <v>14772</v>
      </c>
      <c r="E4909" t="s">
        <v>14804</v>
      </c>
      <c r="F4909" t="s">
        <v>45</v>
      </c>
      <c r="G4909" t="str">
        <f>HYPERLINK("https://bismarcktribune.com/lifestyles/health-med-fit/natural-ways-to-help-treat-high-blood-pressure/article_fcc46519-f2a1-5ffb-b226-91fadffc1a28.html")</f>
        <v>https://bismarcktribune.com/lifestyles/health-med-fit/natural-ways-to-help-treat-high-blood-pressure/article_fcc46519-f2a1-5ffb-b226-91fadffc1a28.html</v>
      </c>
      <c r="H4909" t="s">
        <v>215</v>
      </c>
      <c r="I4909" t="s">
        <v>14806</v>
      </c>
      <c r="J4909" t="str">
        <f>HYPERLINK("http://bismarcktribune.com")</f>
        <v>http://bismarcktribune.com</v>
      </c>
      <c r="N4909" t="s">
        <v>14806</v>
      </c>
      <c r="R4909" t="s">
        <v>357</v>
      </c>
      <c r="S4909" t="s">
        <v>51</v>
      </c>
      <c r="AM4909" t="s">
        <v>52</v>
      </c>
      <c r="AN4909" t="s">
        <v>53</v>
      </c>
    </row>
    <row r="4910" spans="1:40">
      <c r="A4910" t="s">
        <v>13057</v>
      </c>
      <c r="B4910" t="s">
        <v>4472</v>
      </c>
      <c r="C4910" t="s">
        <v>14792</v>
      </c>
      <c r="D4910" t="s">
        <v>52</v>
      </c>
      <c r="E4910" t="s">
        <v>14807</v>
      </c>
      <c r="F4910" t="s">
        <v>45</v>
      </c>
      <c r="G4910" t="str">
        <f>HYPERLINK("https://www.instagram.com/p/BzBp26TH4av")</f>
        <v>https://www.instagram.com/p/BzBp26TH4av</v>
      </c>
      <c r="H4910" t="s">
        <v>46</v>
      </c>
      <c r="I4910" t="s">
        <v>14808</v>
      </c>
      <c r="J4910" t="str">
        <f>HYPERLINK("http://instagram.com/_familia_forever")</f>
        <v>http://instagram.com/_familia_forever</v>
      </c>
      <c r="K4910">
        <v>296</v>
      </c>
      <c r="N4910" t="s">
        <v>59</v>
      </c>
      <c r="O4910" t="s">
        <v>14808</v>
      </c>
      <c r="P4910" t="str">
        <f>HYPERLINK("http://instagram.com/_familia_forever")</f>
        <v>http://instagram.com/_familia_forever</v>
      </c>
      <c r="Q4910">
        <v>296</v>
      </c>
      <c r="R4910" t="s">
        <v>60</v>
      </c>
      <c r="S4910" t="s">
        <v>51</v>
      </c>
      <c r="T4910" t="s">
        <v>160</v>
      </c>
      <c r="U4910" t="s">
        <v>2658</v>
      </c>
      <c r="W4910">
        <v>6</v>
      </c>
      <c r="X4910">
        <v>6</v>
      </c>
      <c r="AE4910">
        <v>2</v>
      </c>
      <c r="AG4910">
        <v>55</v>
      </c>
      <c r="AI4910" t="s">
        <v>52</v>
      </c>
      <c r="AJ4910" t="s">
        <v>899</v>
      </c>
      <c r="AK4910" t="s">
        <v>14809</v>
      </c>
      <c r="AL4910" t="str">
        <f>HYPERLINK("https://www.instagram.com/p/BzBp26TH4av/media/?size=l")</f>
        <v>https://www.instagram.com/p/BzBp26TH4av/media/?size=l</v>
      </c>
      <c r="AM4910" t="s">
        <v>52</v>
      </c>
      <c r="AN4910" t="s">
        <v>53</v>
      </c>
    </row>
    <row r="4911" spans="1:40">
      <c r="A4911" t="s">
        <v>13057</v>
      </c>
      <c r="B4911" t="s">
        <v>4485</v>
      </c>
      <c r="C4911" t="s">
        <v>14778</v>
      </c>
      <c r="D4911" t="s">
        <v>14772</v>
      </c>
      <c r="E4911" t="s">
        <v>14810</v>
      </c>
      <c r="F4911" t="s">
        <v>45</v>
      </c>
      <c r="G4911" t="str">
        <f>HYPERLINK("https://lompocrecord.com/lifestyles/health-med-fit/natural-ways-to-help-treat-high-blood-pressure/article_504f1235-b85f-55e5-882a-60e3d4acac65.html")</f>
        <v>https://lompocrecord.com/lifestyles/health-med-fit/natural-ways-to-help-treat-high-blood-pressure/article_504f1235-b85f-55e5-882a-60e3d4acac65.html</v>
      </c>
      <c r="H4911" t="s">
        <v>91</v>
      </c>
      <c r="I4911" t="s">
        <v>14811</v>
      </c>
      <c r="J4911" t="str">
        <f>HYPERLINK("https://lompocrecord.com")</f>
        <v>https://lompocrecord.com</v>
      </c>
      <c r="L4911" t="s">
        <v>48</v>
      </c>
      <c r="N4911" t="s">
        <v>14812</v>
      </c>
      <c r="R4911" t="s">
        <v>357</v>
      </c>
      <c r="S4911" t="s">
        <v>51</v>
      </c>
      <c r="AI4911" t="s">
        <v>52</v>
      </c>
      <c r="AJ4911" t="s">
        <v>52</v>
      </c>
      <c r="AK4911" t="s">
        <v>52</v>
      </c>
      <c r="AL4911" t="str">
        <f>HYPERLINK("https://bloximages.chicago2.vip.townnews.com/central.leetemplates.com/content/tncms/live/global/resources/images/logos/ds/lompocrecord.com.png?_dc=1")</f>
        <v>https://bloximages.chicago2.vip.townnews.com/central.leetemplates.com/content/tncms/live/global/resources/images/logos/ds/lompocrecord.com.png?_dc=1</v>
      </c>
      <c r="AM4911" t="s">
        <v>52</v>
      </c>
      <c r="AN4911" t="s">
        <v>53</v>
      </c>
    </row>
    <row r="4912" spans="1:40">
      <c r="A4912" t="s">
        <v>13057</v>
      </c>
      <c r="B4912" t="s">
        <v>4485</v>
      </c>
      <c r="C4912" t="s">
        <v>14813</v>
      </c>
      <c r="D4912" t="s">
        <v>52</v>
      </c>
      <c r="E4912" t="s">
        <v>276</v>
      </c>
      <c r="F4912" t="s">
        <v>131</v>
      </c>
      <c r="G4912" t="str">
        <f>HYPERLINK("https://twitter.com/764102456/status/1142533308875718656")</f>
        <v>https://twitter.com/764102456/status/1142533308875718656</v>
      </c>
      <c r="H4912" t="s">
        <v>46</v>
      </c>
      <c r="I4912" t="s">
        <v>14814</v>
      </c>
      <c r="J4912" t="str">
        <f>HYPERLINK("http://twitter.com/Iris3287")</f>
        <v>http://twitter.com/Iris3287</v>
      </c>
      <c r="K4912">
        <v>1978</v>
      </c>
      <c r="N4912" t="s">
        <v>65</v>
      </c>
      <c r="R4912" t="s">
        <v>60</v>
      </c>
      <c r="S4912" t="s">
        <v>51</v>
      </c>
      <c r="T4912" t="s">
        <v>497</v>
      </c>
      <c r="W4912">
        <v>0</v>
      </c>
      <c r="X4912">
        <v>0</v>
      </c>
      <c r="AE4912">
        <v>0</v>
      </c>
      <c r="AI4912" t="s">
        <v>108</v>
      </c>
      <c r="AJ4912" t="s">
        <v>52</v>
      </c>
      <c r="AK4912" t="s">
        <v>52</v>
      </c>
      <c r="AL4912" t="str">
        <f>HYPERLINK("https://pbs.twimg.com/tweet_video_thumb/D9hvNNzXUAATAS3.jpg")</f>
        <v>https://pbs.twimg.com/tweet_video_thumb/D9hvNNzXUAATAS3.jpg</v>
      </c>
      <c r="AM4912" t="s">
        <v>52</v>
      </c>
      <c r="AN4912" t="s">
        <v>53</v>
      </c>
    </row>
    <row r="4913" spans="1:40">
      <c r="A4913" t="s">
        <v>13057</v>
      </c>
      <c r="B4913" t="s">
        <v>4485</v>
      </c>
      <c r="C4913" t="s">
        <v>14815</v>
      </c>
      <c r="D4913" t="s">
        <v>14816</v>
      </c>
      <c r="E4913" t="s">
        <v>14816</v>
      </c>
      <c r="F4913" t="s">
        <v>45</v>
      </c>
      <c r="G4913" t="str">
        <f>HYPERLINK("https://www.youtube.com/watch?v=ycBpzPckIMY")</f>
        <v>https://www.youtube.com/watch?v=ycBpzPckIMY</v>
      </c>
      <c r="H4913" t="s">
        <v>46</v>
      </c>
      <c r="I4913" t="s">
        <v>14817</v>
      </c>
      <c r="J4913" t="str">
        <f>HYPERLINK("https://www.youtube.com/channel/UCR5G4xlLOMLa9TcMSnpTszA")</f>
        <v>https://www.youtube.com/channel/UCR5G4xlLOMLa9TcMSnpTszA</v>
      </c>
      <c r="K4913">
        <v>25</v>
      </c>
      <c r="N4913" t="s">
        <v>116</v>
      </c>
      <c r="O4913" t="s">
        <v>14817</v>
      </c>
      <c r="P4913" t="str">
        <f>HYPERLINK("https://www.youtube.com/channel/UCR5G4xlLOMLa9TcMSnpTszA")</f>
        <v>https://www.youtube.com/channel/UCR5G4xlLOMLa9TcMSnpTszA</v>
      </c>
      <c r="Q4913">
        <v>25</v>
      </c>
      <c r="R4913" t="s">
        <v>60</v>
      </c>
      <c r="S4913" t="s">
        <v>592</v>
      </c>
      <c r="W4913">
        <v>9</v>
      </c>
      <c r="X4913">
        <v>9</v>
      </c>
      <c r="AD4913">
        <v>0</v>
      </c>
      <c r="AE4913">
        <v>8</v>
      </c>
      <c r="AG4913">
        <v>49</v>
      </c>
      <c r="AI4913" t="s">
        <v>52</v>
      </c>
      <c r="AJ4913" t="s">
        <v>52</v>
      </c>
      <c r="AK4913" t="s">
        <v>680</v>
      </c>
      <c r="AL4913" t="str">
        <f>HYPERLINK("https://i.ytimg.com/vi/ycBpzPckIMY/maxresdefault.jpg")</f>
        <v>https://i.ytimg.com/vi/ycBpzPckIMY/maxresdefault.jpg</v>
      </c>
      <c r="AM4913" t="s">
        <v>52</v>
      </c>
      <c r="AN4913" t="s">
        <v>53</v>
      </c>
    </row>
    <row r="4914" spans="1:40">
      <c r="A4914" t="s">
        <v>13057</v>
      </c>
      <c r="B4914" t="s">
        <v>4517</v>
      </c>
      <c r="C4914" t="s">
        <v>14818</v>
      </c>
      <c r="D4914" t="s">
        <v>52</v>
      </c>
      <c r="E4914" t="s">
        <v>14819</v>
      </c>
      <c r="F4914" t="s">
        <v>71</v>
      </c>
      <c r="G4914" t="str">
        <f>HYPERLINK("https://twitter.com/246101032/status/1142532926669754373")</f>
        <v>https://twitter.com/246101032/status/1142532926669754373</v>
      </c>
      <c r="H4914" t="s">
        <v>46</v>
      </c>
      <c r="I4914" t="s">
        <v>14820</v>
      </c>
      <c r="J4914" t="str">
        <f>HYPERLINK("http://twitter.com/Alemz10")</f>
        <v>http://twitter.com/Alemz10</v>
      </c>
      <c r="K4914">
        <v>6583</v>
      </c>
      <c r="N4914" t="s">
        <v>65</v>
      </c>
      <c r="R4914" t="s">
        <v>60</v>
      </c>
      <c r="S4914" t="s">
        <v>51</v>
      </c>
      <c r="T4914" t="s">
        <v>497</v>
      </c>
      <c r="U4914" t="s">
        <v>498</v>
      </c>
      <c r="W4914">
        <v>0</v>
      </c>
      <c r="X4914">
        <v>0</v>
      </c>
      <c r="AE4914">
        <v>0</v>
      </c>
      <c r="AF4914">
        <v>0</v>
      </c>
      <c r="AI4914" t="s">
        <v>3942</v>
      </c>
      <c r="AJ4914" t="s">
        <v>52</v>
      </c>
      <c r="AK4914" t="s">
        <v>14821</v>
      </c>
      <c r="AL4914" t="str">
        <f>HYPERLINK("https://pbs.twimg.com/media/D9p5FqNU8AEnVgb.jpg")</f>
        <v>https://pbs.twimg.com/media/D9p5FqNU8AEnVgb.jpg</v>
      </c>
      <c r="AM4914" t="s">
        <v>52</v>
      </c>
      <c r="AN4914" t="s">
        <v>53</v>
      </c>
    </row>
    <row r="4915" spans="1:40">
      <c r="A4915" t="s">
        <v>13057</v>
      </c>
      <c r="B4915" t="s">
        <v>4517</v>
      </c>
      <c r="C4915" t="s">
        <v>14818</v>
      </c>
      <c r="D4915" t="s">
        <v>14822</v>
      </c>
      <c r="E4915" t="s">
        <v>14823</v>
      </c>
      <c r="F4915" t="s">
        <v>45</v>
      </c>
      <c r="G4915" t="str">
        <f>HYPERLINK("https://www.youtube.com/watch?v=v5BIG_za_lA")</f>
        <v>https://www.youtube.com/watch?v=v5BIG_za_lA</v>
      </c>
      <c r="H4915" t="s">
        <v>46</v>
      </c>
      <c r="I4915" t="s">
        <v>14824</v>
      </c>
      <c r="J4915" t="str">
        <f>HYPERLINK("https://www.youtube.com/channel/UChMYUQByevZ9t_FRToYsE-Q")</f>
        <v>https://www.youtube.com/channel/UChMYUQByevZ9t_FRToYsE-Q</v>
      </c>
      <c r="K4915">
        <v>589</v>
      </c>
      <c r="N4915" t="s">
        <v>116</v>
      </c>
      <c r="O4915" t="s">
        <v>14824</v>
      </c>
      <c r="P4915" t="str">
        <f>HYPERLINK("https://www.youtube.com/channel/UChMYUQByevZ9t_FRToYsE-Q")</f>
        <v>https://www.youtube.com/channel/UChMYUQByevZ9t_FRToYsE-Q</v>
      </c>
      <c r="Q4915">
        <v>589</v>
      </c>
      <c r="R4915" t="s">
        <v>60</v>
      </c>
      <c r="W4915">
        <v>7</v>
      </c>
      <c r="X4915">
        <v>7</v>
      </c>
      <c r="AD4915">
        <v>1</v>
      </c>
      <c r="AE4915">
        <v>7</v>
      </c>
      <c r="AG4915">
        <v>107</v>
      </c>
      <c r="AL4915" t="str">
        <f>HYPERLINK("https://i.ytimg.com/vi/v5BIG_za_lA/hqdefault.jpg")</f>
        <v>https://i.ytimg.com/vi/v5BIG_za_lA/hqdefault.jpg</v>
      </c>
      <c r="AM4915" t="s">
        <v>52</v>
      </c>
      <c r="AN4915" t="s">
        <v>53</v>
      </c>
    </row>
    <row r="4916" spans="1:40">
      <c r="A4916" t="s">
        <v>13057</v>
      </c>
      <c r="B4916" t="s">
        <v>4517</v>
      </c>
      <c r="C4916" t="s">
        <v>14825</v>
      </c>
      <c r="D4916" t="s">
        <v>52</v>
      </c>
      <c r="E4916" t="s">
        <v>14826</v>
      </c>
      <c r="F4916" t="s">
        <v>95</v>
      </c>
      <c r="G4916" t="str">
        <f>HYPERLINK("https://twitter.com/555347717/status/1142532751658225666")</f>
        <v>https://twitter.com/555347717/status/1142532751658225666</v>
      </c>
      <c r="H4916" t="s">
        <v>46</v>
      </c>
      <c r="I4916" t="s">
        <v>14827</v>
      </c>
      <c r="J4916" t="str">
        <f>HYPERLINK("http://twitter.com/Hayden_Himself")</f>
        <v>http://twitter.com/Hayden_Himself</v>
      </c>
      <c r="K4916">
        <v>103</v>
      </c>
      <c r="N4916" t="s">
        <v>65</v>
      </c>
      <c r="R4916" t="s">
        <v>60</v>
      </c>
      <c r="S4916" t="s">
        <v>1071</v>
      </c>
      <c r="T4916" t="s">
        <v>5506</v>
      </c>
      <c r="U4916" t="s">
        <v>5507</v>
      </c>
      <c r="W4916">
        <v>0</v>
      </c>
      <c r="X4916">
        <v>0</v>
      </c>
      <c r="AE4916">
        <v>0</v>
      </c>
      <c r="AF4916">
        <v>0</v>
      </c>
      <c r="AI4916" t="s">
        <v>52</v>
      </c>
      <c r="AJ4916" t="s">
        <v>14265</v>
      </c>
      <c r="AK4916" t="s">
        <v>14828</v>
      </c>
      <c r="AL4916" t="str">
        <f>HYPERLINK("https://pbs.twimg.com/tweet_video_thumb/D9sXeVTWwAoljnM.jpg")</f>
        <v>https://pbs.twimg.com/tweet_video_thumb/D9sXeVTWwAoljnM.jpg</v>
      </c>
      <c r="AM4916" t="s">
        <v>52</v>
      </c>
      <c r="AN4916" t="s">
        <v>53</v>
      </c>
    </row>
    <row r="4917" spans="1:40">
      <c r="A4917" t="s">
        <v>13057</v>
      </c>
      <c r="B4917" t="s">
        <v>4532</v>
      </c>
      <c r="C4917" t="s">
        <v>14792</v>
      </c>
      <c r="D4917" t="s">
        <v>14772</v>
      </c>
      <c r="E4917" t="s">
        <v>14829</v>
      </c>
      <c r="F4917" t="s">
        <v>45</v>
      </c>
      <c r="G4917" t="str">
        <f>HYPERLINK("https://cumberlink.com/lifestyles/health-med-fit/natural-ways-to-help-treat-high-blood-pressure/article_af52a9b3-3ef0-582b-b0f8-f46d40213db4.html")</f>
        <v>https://cumberlink.com/lifestyles/health-med-fit/natural-ways-to-help-treat-high-blood-pressure/article_af52a9b3-3ef0-582b-b0f8-f46d40213db4.html</v>
      </c>
      <c r="H4917" t="s">
        <v>215</v>
      </c>
      <c r="I4917" t="s">
        <v>14830</v>
      </c>
      <c r="J4917" t="str">
        <f>HYPERLINK("http://cumberlink.com")</f>
        <v>http://cumberlink.com</v>
      </c>
      <c r="N4917" t="s">
        <v>14830</v>
      </c>
      <c r="R4917" t="s">
        <v>357</v>
      </c>
      <c r="S4917" t="s">
        <v>51</v>
      </c>
      <c r="AM4917" t="s">
        <v>52</v>
      </c>
      <c r="AN4917" t="s">
        <v>53</v>
      </c>
    </row>
    <row r="4918" spans="1:40">
      <c r="A4918" t="s">
        <v>13057</v>
      </c>
      <c r="B4918" t="s">
        <v>4532</v>
      </c>
      <c r="C4918" t="s">
        <v>14792</v>
      </c>
      <c r="D4918" t="s">
        <v>14772</v>
      </c>
      <c r="E4918" t="s">
        <v>14831</v>
      </c>
      <c r="F4918" t="s">
        <v>45</v>
      </c>
      <c r="G4918" t="str">
        <f>HYPERLINK("https://dailyjournalonline.com/lifestyles/health-med-fit/natural-ways-to-help-treat-high-blood-pressure/article_9f9572c0-c90b-5423-8da6-0e8823ca83d1.html")</f>
        <v>https://dailyjournalonline.com/lifestyles/health-med-fit/natural-ways-to-help-treat-high-blood-pressure/article_9f9572c0-c90b-5423-8da6-0e8823ca83d1.html</v>
      </c>
      <c r="H4918" t="s">
        <v>91</v>
      </c>
      <c r="I4918" t="s">
        <v>14832</v>
      </c>
      <c r="J4918" t="str">
        <f>HYPERLINK("http://dailyjournalonline.com")</f>
        <v>http://dailyjournalonline.com</v>
      </c>
      <c r="N4918" t="s">
        <v>14833</v>
      </c>
      <c r="R4918" t="s">
        <v>357</v>
      </c>
      <c r="S4918" t="s">
        <v>51</v>
      </c>
      <c r="AM4918" t="s">
        <v>52</v>
      </c>
      <c r="AN4918" t="s">
        <v>53</v>
      </c>
    </row>
    <row r="4919" spans="1:40">
      <c r="A4919" t="s">
        <v>13057</v>
      </c>
      <c r="B4919" t="s">
        <v>4532</v>
      </c>
      <c r="C4919" t="s">
        <v>14834</v>
      </c>
      <c r="D4919" t="s">
        <v>52</v>
      </c>
      <c r="E4919" t="s">
        <v>9351</v>
      </c>
      <c r="F4919" t="s">
        <v>131</v>
      </c>
      <c r="G4919" t="str">
        <f>HYPERLINK("https://twitter.com/2461738632/status/1142532576357298178")</f>
        <v>https://twitter.com/2461738632/status/1142532576357298178</v>
      </c>
      <c r="H4919" t="s">
        <v>46</v>
      </c>
      <c r="I4919" t="s">
        <v>14835</v>
      </c>
      <c r="J4919" t="str">
        <f>HYPERLINK("http://twitter.com/surajhoon")</f>
        <v>http://twitter.com/surajhoon</v>
      </c>
      <c r="K4919">
        <v>55</v>
      </c>
      <c r="L4919" t="s">
        <v>48</v>
      </c>
      <c r="N4919" t="s">
        <v>65</v>
      </c>
      <c r="R4919" t="s">
        <v>60</v>
      </c>
      <c r="S4919" t="s">
        <v>315</v>
      </c>
      <c r="T4919" t="s">
        <v>14836</v>
      </c>
      <c r="U4919" t="s">
        <v>14837</v>
      </c>
      <c r="W4919">
        <v>0</v>
      </c>
      <c r="X4919">
        <v>0</v>
      </c>
      <c r="AE4919">
        <v>0</v>
      </c>
      <c r="AI4919" t="s">
        <v>52</v>
      </c>
      <c r="AJ4919" t="s">
        <v>52</v>
      </c>
      <c r="AK4919" t="s">
        <v>52</v>
      </c>
      <c r="AL4919" t="str">
        <f>HYPERLINK("https://pbs.twimg.com/media/D9mFywEW4AY05Wr.jpg")</f>
        <v>https://pbs.twimg.com/media/D9mFywEW4AY05Wr.jpg</v>
      </c>
      <c r="AM4919" t="s">
        <v>52</v>
      </c>
      <c r="AN4919" t="s">
        <v>53</v>
      </c>
    </row>
    <row r="4920" spans="1:40">
      <c r="A4920" t="s">
        <v>13057</v>
      </c>
      <c r="B4920" t="s">
        <v>4532</v>
      </c>
      <c r="C4920" t="s">
        <v>14838</v>
      </c>
      <c r="D4920" t="s">
        <v>52</v>
      </c>
      <c r="E4920" t="s">
        <v>14839</v>
      </c>
      <c r="F4920" t="s">
        <v>45</v>
      </c>
      <c r="G4920" t="str">
        <f>HYPERLINK("https://twitter.com/1141865659141435392/status/1142532532388487173")</f>
        <v>https://twitter.com/1141865659141435392/status/1142532532388487173</v>
      </c>
      <c r="H4920" t="s">
        <v>46</v>
      </c>
      <c r="I4920" t="s">
        <v>14840</v>
      </c>
      <c r="J4920" t="str">
        <f>HYPERLINK("http://twitter.com/_lilgoofey_")</f>
        <v>http://twitter.com/_lilgoofey_</v>
      </c>
      <c r="K4920">
        <v>12</v>
      </c>
      <c r="N4920" t="s">
        <v>65</v>
      </c>
      <c r="R4920" t="s">
        <v>60</v>
      </c>
      <c r="W4920">
        <v>0</v>
      </c>
      <c r="X4920">
        <v>0</v>
      </c>
      <c r="AE4920">
        <v>0</v>
      </c>
      <c r="AF4920">
        <v>0</v>
      </c>
      <c r="AI4920" t="s">
        <v>52</v>
      </c>
      <c r="AJ4920" t="s">
        <v>52</v>
      </c>
      <c r="AK4920" t="s">
        <v>52</v>
      </c>
      <c r="AL4920" t="str">
        <f>HYPERLINK("https://pbs.twimg.com/media/D9sXR8uXsAI5du2.jpg")</f>
        <v>https://pbs.twimg.com/media/D9sXR8uXsAI5du2.jpg</v>
      </c>
      <c r="AM4920" t="s">
        <v>52</v>
      </c>
      <c r="AN4920" t="s">
        <v>53</v>
      </c>
    </row>
    <row r="4921" spans="1:40">
      <c r="A4921" t="s">
        <v>13057</v>
      </c>
      <c r="B4921" t="s">
        <v>10153</v>
      </c>
      <c r="C4921" t="s">
        <v>14818</v>
      </c>
      <c r="D4921" t="s">
        <v>52</v>
      </c>
      <c r="E4921" t="s">
        <v>276</v>
      </c>
      <c r="F4921" t="s">
        <v>131</v>
      </c>
      <c r="G4921" t="str">
        <f>HYPERLINK("https://twitter.com/727674633999290368/status/1142532451513851904")</f>
        <v>https://twitter.com/727674633999290368/status/1142532451513851904</v>
      </c>
      <c r="H4921" t="s">
        <v>46</v>
      </c>
      <c r="I4921" t="s">
        <v>14841</v>
      </c>
      <c r="J4921" t="str">
        <f>HYPERLINK("http://twitter.com/TheJakoMan")</f>
        <v>http://twitter.com/TheJakoMan</v>
      </c>
      <c r="K4921">
        <v>799</v>
      </c>
      <c r="N4921" t="s">
        <v>65</v>
      </c>
      <c r="R4921" t="s">
        <v>60</v>
      </c>
      <c r="S4921" t="s">
        <v>51</v>
      </c>
      <c r="T4921" t="s">
        <v>3136</v>
      </c>
      <c r="W4921">
        <v>0</v>
      </c>
      <c r="X4921">
        <v>0</v>
      </c>
      <c r="AE4921">
        <v>0</v>
      </c>
      <c r="AI4921" t="s">
        <v>108</v>
      </c>
      <c r="AJ4921" t="s">
        <v>52</v>
      </c>
      <c r="AK4921" t="s">
        <v>52</v>
      </c>
      <c r="AL4921" t="str">
        <f>HYPERLINK("https://pbs.twimg.com/tweet_video_thumb/D9hvNNzXUAATAS3.jpg")</f>
        <v>https://pbs.twimg.com/tweet_video_thumb/D9hvNNzXUAATAS3.jpg</v>
      </c>
      <c r="AM4921" t="s">
        <v>52</v>
      </c>
      <c r="AN4921" t="s">
        <v>53</v>
      </c>
    </row>
    <row r="4922" spans="1:40">
      <c r="A4922" t="s">
        <v>13057</v>
      </c>
      <c r="B4922" t="s">
        <v>10153</v>
      </c>
      <c r="C4922" t="s">
        <v>14818</v>
      </c>
      <c r="D4922" t="s">
        <v>52</v>
      </c>
      <c r="E4922" t="s">
        <v>14842</v>
      </c>
      <c r="F4922" t="s">
        <v>95</v>
      </c>
      <c r="G4922" t="str">
        <f>HYPERLINK("https://twitter.com/44607601/status/1142532438159220739")</f>
        <v>https://twitter.com/44607601/status/1142532438159220739</v>
      </c>
      <c r="H4922" t="s">
        <v>46</v>
      </c>
      <c r="I4922" t="s">
        <v>52</v>
      </c>
      <c r="J4922" t="str">
        <f>HYPERLINK("http://twitter.com/Totally_Sane")</f>
        <v>http://twitter.com/Totally_Sane</v>
      </c>
      <c r="K4922">
        <v>121</v>
      </c>
      <c r="N4922" t="s">
        <v>65</v>
      </c>
      <c r="R4922" t="s">
        <v>60</v>
      </c>
      <c r="S4922" t="s">
        <v>51</v>
      </c>
      <c r="T4922" t="s">
        <v>199</v>
      </c>
      <c r="U4922" t="s">
        <v>8693</v>
      </c>
      <c r="W4922">
        <v>0</v>
      </c>
      <c r="X4922">
        <v>0</v>
      </c>
      <c r="AE4922">
        <v>0</v>
      </c>
      <c r="AF4922">
        <v>0</v>
      </c>
      <c r="AM4922" t="s">
        <v>52</v>
      </c>
      <c r="AN4922" t="s">
        <v>53</v>
      </c>
    </row>
    <row r="4923" spans="1:40">
      <c r="A4923" t="s">
        <v>13057</v>
      </c>
      <c r="B4923" t="s">
        <v>10153</v>
      </c>
      <c r="C4923" t="s">
        <v>14818</v>
      </c>
      <c r="D4923" t="s">
        <v>52</v>
      </c>
      <c r="E4923" t="s">
        <v>14843</v>
      </c>
      <c r="F4923" t="s">
        <v>95</v>
      </c>
      <c r="G4923" t="str">
        <f>HYPERLINK("https://twitter.com/725835379916574724/status/1142532419892994049")</f>
        <v>https://twitter.com/725835379916574724/status/1142532419892994049</v>
      </c>
      <c r="H4923" t="s">
        <v>215</v>
      </c>
      <c r="I4923" t="s">
        <v>14844</v>
      </c>
      <c r="J4923" t="str">
        <f>HYPERLINK("http://twitter.com/CarbonRemix_")</f>
        <v>http://twitter.com/CarbonRemix_</v>
      </c>
      <c r="K4923">
        <v>61</v>
      </c>
      <c r="N4923" t="s">
        <v>65</v>
      </c>
      <c r="R4923" t="s">
        <v>60</v>
      </c>
      <c r="W4923">
        <v>0</v>
      </c>
      <c r="X4923">
        <v>0</v>
      </c>
      <c r="AE4923">
        <v>0</v>
      </c>
      <c r="AF4923">
        <v>0</v>
      </c>
      <c r="AM4923" t="s">
        <v>52</v>
      </c>
      <c r="AN4923" t="s">
        <v>53</v>
      </c>
    </row>
    <row r="4924" spans="1:40">
      <c r="A4924" t="s">
        <v>13057</v>
      </c>
      <c r="B4924" t="s">
        <v>10153</v>
      </c>
      <c r="C4924" t="s">
        <v>14845</v>
      </c>
      <c r="D4924" t="s">
        <v>52</v>
      </c>
      <c r="E4924" t="s">
        <v>14846</v>
      </c>
      <c r="F4924" t="s">
        <v>45</v>
      </c>
      <c r="G4924" t="str">
        <f>HYPERLINK("https://twitter.com/711773668020461568/status/1142532390130192385")</f>
        <v>https://twitter.com/711773668020461568/status/1142532390130192385</v>
      </c>
      <c r="H4924" t="s">
        <v>46</v>
      </c>
      <c r="I4924" t="s">
        <v>14847</v>
      </c>
      <c r="J4924" t="str">
        <f>HYPERLINK("http://twitter.com/BloomingJewel")</f>
        <v>http://twitter.com/BloomingJewel</v>
      </c>
      <c r="K4924">
        <v>297</v>
      </c>
      <c r="N4924" t="s">
        <v>65</v>
      </c>
      <c r="R4924" t="s">
        <v>60</v>
      </c>
      <c r="S4924" t="s">
        <v>51</v>
      </c>
      <c r="T4924" t="s">
        <v>173</v>
      </c>
      <c r="U4924" t="s">
        <v>11876</v>
      </c>
      <c r="W4924">
        <v>0</v>
      </c>
      <c r="X4924">
        <v>0</v>
      </c>
      <c r="AE4924">
        <v>0</v>
      </c>
      <c r="AF4924">
        <v>0</v>
      </c>
      <c r="AM4924" t="s">
        <v>52</v>
      </c>
      <c r="AN4924" t="s">
        <v>53</v>
      </c>
    </row>
    <row r="4925" spans="1:40">
      <c r="A4925" t="s">
        <v>13057</v>
      </c>
      <c r="B4925" t="s">
        <v>10153</v>
      </c>
      <c r="C4925" t="s">
        <v>14781</v>
      </c>
      <c r="D4925" t="s">
        <v>14848</v>
      </c>
      <c r="E4925" t="s">
        <v>14849</v>
      </c>
      <c r="F4925" t="s">
        <v>95</v>
      </c>
      <c r="G4925" t="str">
        <f>HYPERLINK("https://www.orecreio.com.br/2019/06/confira-o-novo-album-de-madonna-madame-x.html#comment-4512323107")</f>
        <v>https://www.orecreio.com.br/2019/06/confira-o-novo-album-de-madonna-madame-x.html#comment-4512323107</v>
      </c>
      <c r="H4925" t="s">
        <v>46</v>
      </c>
      <c r="I4925" t="s">
        <v>14850</v>
      </c>
      <c r="J4925" t="str">
        <f>HYPERLINK("https://disqus.com/by/Estrella_x/")</f>
        <v>https://disqus.com/by/Estrella_x/</v>
      </c>
      <c r="K4925">
        <v>17</v>
      </c>
      <c r="L4925" t="s">
        <v>48</v>
      </c>
      <c r="N4925" t="s">
        <v>14851</v>
      </c>
      <c r="O4925" t="s">
        <v>14852</v>
      </c>
      <c r="P4925" t="str">
        <f>HYPERLINK("https://disqus.com/home/forum/recreio/")</f>
        <v>https://disqus.com/home/forum/recreio/</v>
      </c>
      <c r="R4925" t="s">
        <v>50</v>
      </c>
      <c r="W4925">
        <v>0</v>
      </c>
      <c r="X4925">
        <v>0</v>
      </c>
      <c r="AM4925" t="s">
        <v>52</v>
      </c>
      <c r="AN4925" t="s">
        <v>53</v>
      </c>
    </row>
    <row r="4926" spans="1:40">
      <c r="A4926" t="s">
        <v>13057</v>
      </c>
      <c r="B4926" t="s">
        <v>10156</v>
      </c>
      <c r="C4926" t="s">
        <v>14845</v>
      </c>
      <c r="D4926" t="s">
        <v>14772</v>
      </c>
      <c r="E4926" t="s">
        <v>14853</v>
      </c>
      <c r="F4926" t="s">
        <v>45</v>
      </c>
      <c r="G4926" t="str">
        <f>HYPERLINK("https://rapidcityjournal.com/lifestyles/health-med-fit/natural-ways-to-help-treat-high-blood-pressure/article_2b5d4026-c8f3-5c38-a248-debb4bbed899.html")</f>
        <v>https://rapidcityjournal.com/lifestyles/health-med-fit/natural-ways-to-help-treat-high-blood-pressure/article_2b5d4026-c8f3-5c38-a248-debb4bbed899.html</v>
      </c>
      <c r="H4926" t="s">
        <v>91</v>
      </c>
      <c r="I4926" t="s">
        <v>14854</v>
      </c>
      <c r="J4926" t="str">
        <f>HYPERLINK("http://rapidcityjournal.com")</f>
        <v>http://rapidcityjournal.com</v>
      </c>
      <c r="N4926" t="s">
        <v>14855</v>
      </c>
      <c r="R4926" t="s">
        <v>357</v>
      </c>
      <c r="S4926" t="s">
        <v>51</v>
      </c>
      <c r="AM4926" t="s">
        <v>52</v>
      </c>
      <c r="AN4926" t="s">
        <v>53</v>
      </c>
    </row>
    <row r="4927" spans="1:40">
      <c r="A4927" t="s">
        <v>13057</v>
      </c>
      <c r="B4927" t="s">
        <v>10156</v>
      </c>
      <c r="C4927" t="s">
        <v>14845</v>
      </c>
      <c r="D4927" t="s">
        <v>14772</v>
      </c>
      <c r="E4927" t="s">
        <v>14804</v>
      </c>
      <c r="F4927" t="s">
        <v>45</v>
      </c>
      <c r="G4927" t="str">
        <f>HYPERLINK("https://journaltimes.com/lifestyles/health-med-fit/natural-ways-to-help-treat-high-blood-pressure/article_96edbe9b-9c5e-5c00-a6ad-d23623fc8b37.html")</f>
        <v>https://journaltimes.com/lifestyles/health-med-fit/natural-ways-to-help-treat-high-blood-pressure/article_96edbe9b-9c5e-5c00-a6ad-d23623fc8b37.html</v>
      </c>
      <c r="H4927" t="s">
        <v>215</v>
      </c>
      <c r="I4927" t="s">
        <v>14856</v>
      </c>
      <c r="J4927" t="str">
        <f>HYPERLINK("http://journaltimes.com")</f>
        <v>http://journaltimes.com</v>
      </c>
      <c r="N4927" t="s">
        <v>14857</v>
      </c>
      <c r="R4927" t="s">
        <v>357</v>
      </c>
      <c r="S4927" t="s">
        <v>51</v>
      </c>
      <c r="AM4927" t="s">
        <v>52</v>
      </c>
      <c r="AN4927" t="s">
        <v>53</v>
      </c>
    </row>
    <row r="4928" spans="1:40">
      <c r="A4928" t="s">
        <v>13057</v>
      </c>
      <c r="B4928" t="s">
        <v>10156</v>
      </c>
      <c r="C4928" t="s">
        <v>14845</v>
      </c>
      <c r="D4928" t="s">
        <v>14772</v>
      </c>
      <c r="E4928" t="s">
        <v>14829</v>
      </c>
      <c r="F4928" t="s">
        <v>45</v>
      </c>
      <c r="G4928" t="str">
        <f>HYPERLINK("https://billingsgazette.com/lifestyles/health-med-fit/natural-ways-to-help-treat-high-blood-pressure/article_66898f54-3b76-572c-9248-760eb285df23.html")</f>
        <v>https://billingsgazette.com/lifestyles/health-med-fit/natural-ways-to-help-treat-high-blood-pressure/article_66898f54-3b76-572c-9248-760eb285df23.html</v>
      </c>
      <c r="H4928" t="s">
        <v>215</v>
      </c>
      <c r="I4928" t="s">
        <v>14858</v>
      </c>
      <c r="J4928" t="str">
        <f>HYPERLINK("http://billingsgazette.com")</f>
        <v>http://billingsgazette.com</v>
      </c>
      <c r="N4928" t="s">
        <v>14858</v>
      </c>
      <c r="R4928" t="s">
        <v>357</v>
      </c>
      <c r="AM4928" t="s">
        <v>52</v>
      </c>
      <c r="AN4928" t="s">
        <v>53</v>
      </c>
    </row>
    <row r="4929" spans="1:40">
      <c r="A4929" t="s">
        <v>13057</v>
      </c>
      <c r="B4929" t="s">
        <v>4539</v>
      </c>
      <c r="C4929" t="s">
        <v>14838</v>
      </c>
      <c r="D4929" t="s">
        <v>52</v>
      </c>
      <c r="E4929" t="s">
        <v>130</v>
      </c>
      <c r="F4929" t="s">
        <v>131</v>
      </c>
      <c r="G4929" t="str">
        <f>HYPERLINK("https://twitter.com/158817455/status/1142531950684639232")</f>
        <v>https://twitter.com/158817455/status/1142531950684639232</v>
      </c>
      <c r="H4929" t="s">
        <v>46</v>
      </c>
      <c r="I4929" t="s">
        <v>4480</v>
      </c>
      <c r="J4929" t="str">
        <f>HYPERLINK("http://twitter.com/Spangleberry")</f>
        <v>http://twitter.com/Spangleberry</v>
      </c>
      <c r="K4929">
        <v>243</v>
      </c>
      <c r="N4929" t="s">
        <v>65</v>
      </c>
      <c r="R4929" t="s">
        <v>60</v>
      </c>
      <c r="S4929" t="s">
        <v>639</v>
      </c>
      <c r="T4929" t="s">
        <v>2745</v>
      </c>
      <c r="U4929" t="s">
        <v>2746</v>
      </c>
      <c r="W4929">
        <v>0</v>
      </c>
      <c r="X4929">
        <v>0</v>
      </c>
      <c r="AE4929">
        <v>0</v>
      </c>
      <c r="AI4929" t="s">
        <v>108</v>
      </c>
      <c r="AJ4929" t="s">
        <v>52</v>
      </c>
      <c r="AK4929" t="s">
        <v>52</v>
      </c>
      <c r="AL4929" t="str">
        <f>HYPERLINK("https://pbs.twimg.com/media/D9XTkLWW4AAOYnJ.jpg")</f>
        <v>https://pbs.twimg.com/media/D9XTkLWW4AAOYnJ.jpg</v>
      </c>
      <c r="AM4929" t="s">
        <v>52</v>
      </c>
      <c r="AN4929" t="s">
        <v>53</v>
      </c>
    </row>
    <row r="4930" spans="1:40">
      <c r="A4930" t="s">
        <v>13057</v>
      </c>
      <c r="B4930" t="s">
        <v>4539</v>
      </c>
      <c r="C4930" t="s">
        <v>14845</v>
      </c>
      <c r="D4930" t="s">
        <v>14772</v>
      </c>
      <c r="E4930" t="s">
        <v>14804</v>
      </c>
      <c r="F4930" t="s">
        <v>45</v>
      </c>
      <c r="G4930" t="str">
        <f>HYPERLINK("https://poststar.com/lifestyles/health-med-fit/natural-ways-to-help-treat-high-blood-pressure/article_7386b779-60b2-5d39-9a63-17a72ba8fc49.html")</f>
        <v>https://poststar.com/lifestyles/health-med-fit/natural-ways-to-help-treat-high-blood-pressure/article_7386b779-60b2-5d39-9a63-17a72ba8fc49.html</v>
      </c>
      <c r="H4930" t="s">
        <v>215</v>
      </c>
      <c r="I4930" t="s">
        <v>14859</v>
      </c>
      <c r="J4930" t="str">
        <f>HYPERLINK("http://poststar.com")</f>
        <v>http://poststar.com</v>
      </c>
      <c r="N4930" t="s">
        <v>14860</v>
      </c>
      <c r="R4930" t="s">
        <v>357</v>
      </c>
      <c r="S4930" t="s">
        <v>51</v>
      </c>
      <c r="AM4930" t="s">
        <v>52</v>
      </c>
      <c r="AN4930" t="s">
        <v>53</v>
      </c>
    </row>
    <row r="4931" spans="1:40">
      <c r="A4931" t="s">
        <v>13057</v>
      </c>
      <c r="B4931" t="s">
        <v>4551</v>
      </c>
      <c r="C4931" t="s">
        <v>14861</v>
      </c>
      <c r="D4931" t="s">
        <v>52</v>
      </c>
      <c r="E4931" t="s">
        <v>14862</v>
      </c>
      <c r="F4931" t="s">
        <v>45</v>
      </c>
      <c r="G4931" t="str">
        <f>HYPERLINK("https://www.instagram.com/p/BzBo5DGhGX1")</f>
        <v>https://www.instagram.com/p/BzBo5DGhGX1</v>
      </c>
      <c r="H4931" t="s">
        <v>46</v>
      </c>
      <c r="I4931" t="s">
        <v>14863</v>
      </c>
      <c r="J4931" t="str">
        <f>HYPERLINK("http://instagram.com/dreamytvd")</f>
        <v>http://instagram.com/dreamytvd</v>
      </c>
      <c r="K4931">
        <v>4261</v>
      </c>
      <c r="N4931" t="s">
        <v>59</v>
      </c>
      <c r="O4931" t="s">
        <v>14863</v>
      </c>
      <c r="P4931" t="str">
        <f>HYPERLINK("http://instagram.com/dreamytvd")</f>
        <v>http://instagram.com/dreamytvd</v>
      </c>
      <c r="Q4931">
        <v>4261</v>
      </c>
      <c r="R4931" t="s">
        <v>60</v>
      </c>
      <c r="W4931">
        <v>408</v>
      </c>
      <c r="X4931">
        <v>408</v>
      </c>
      <c r="AE4931">
        <v>8</v>
      </c>
      <c r="AI4931" t="s">
        <v>52</v>
      </c>
      <c r="AJ4931" t="s">
        <v>3551</v>
      </c>
      <c r="AK4931" t="s">
        <v>52</v>
      </c>
      <c r="AL4931" t="str">
        <f>HYPERLINK("https://www.instagram.com/p/BzBo5DGhGX1/media/?size=l")</f>
        <v>https://www.instagram.com/p/BzBo5DGhGX1/media/?size=l</v>
      </c>
      <c r="AM4931" t="s">
        <v>52</v>
      </c>
      <c r="AN4931" t="s">
        <v>53</v>
      </c>
    </row>
    <row r="4932" spans="1:40">
      <c r="A4932" t="s">
        <v>13057</v>
      </c>
      <c r="B4932" t="s">
        <v>10170</v>
      </c>
      <c r="C4932" t="s">
        <v>14864</v>
      </c>
      <c r="D4932" t="s">
        <v>52</v>
      </c>
      <c r="E4932" t="s">
        <v>14865</v>
      </c>
      <c r="F4932" t="s">
        <v>45</v>
      </c>
      <c r="G4932" t="str">
        <f>HYPERLINK("https://www.instagram.com/p/BzBoxmuAp5k")</f>
        <v>https://www.instagram.com/p/BzBoxmuAp5k</v>
      </c>
      <c r="H4932" t="s">
        <v>46</v>
      </c>
      <c r="I4932" t="s">
        <v>14866</v>
      </c>
      <c r="J4932" t="str">
        <f>HYPERLINK("http://instagram.com/gojirafanneptunia")</f>
        <v>http://instagram.com/gojirafanneptunia</v>
      </c>
      <c r="K4932">
        <v>1114</v>
      </c>
      <c r="N4932" t="s">
        <v>59</v>
      </c>
      <c r="O4932" t="s">
        <v>14866</v>
      </c>
      <c r="P4932" t="str">
        <f>HYPERLINK("http://instagram.com/gojirafanneptunia")</f>
        <v>http://instagram.com/gojirafanneptunia</v>
      </c>
      <c r="Q4932">
        <v>1114</v>
      </c>
      <c r="R4932" t="s">
        <v>60</v>
      </c>
      <c r="W4932">
        <v>2967</v>
      </c>
      <c r="X4932">
        <v>2967</v>
      </c>
      <c r="AE4932">
        <v>24</v>
      </c>
      <c r="AI4932" t="s">
        <v>108</v>
      </c>
      <c r="AJ4932" t="s">
        <v>52</v>
      </c>
      <c r="AK4932" t="s">
        <v>52</v>
      </c>
      <c r="AL4932" t="str">
        <f>HYPERLINK("https://www.instagram.com/p/BzBoxmuAp5k/media/?size=l")</f>
        <v>https://www.instagram.com/p/BzBoxmuAp5k/media/?size=l</v>
      </c>
      <c r="AM4932" t="s">
        <v>52</v>
      </c>
      <c r="AN4932" t="s">
        <v>53</v>
      </c>
    </row>
    <row r="4933" spans="1:40">
      <c r="A4933" t="s">
        <v>13057</v>
      </c>
      <c r="B4933" t="s">
        <v>10170</v>
      </c>
      <c r="C4933" t="s">
        <v>14867</v>
      </c>
      <c r="D4933" t="s">
        <v>52</v>
      </c>
      <c r="E4933" t="s">
        <v>526</v>
      </c>
      <c r="F4933" t="s">
        <v>131</v>
      </c>
      <c r="G4933" t="str">
        <f>HYPERLINK("https://twitter.com/959127515183964161/status/1142530874396872704")</f>
        <v>https://twitter.com/959127515183964161/status/1142530874396872704</v>
      </c>
      <c r="H4933" t="s">
        <v>46</v>
      </c>
      <c r="I4933" t="s">
        <v>14868</v>
      </c>
      <c r="J4933" t="str">
        <f>HYPERLINK("http://twitter.com/GabyEvans1")</f>
        <v>http://twitter.com/GabyEvans1</v>
      </c>
      <c r="K4933">
        <v>13</v>
      </c>
      <c r="N4933" t="s">
        <v>65</v>
      </c>
      <c r="R4933" t="s">
        <v>60</v>
      </c>
      <c r="W4933">
        <v>0</v>
      </c>
      <c r="X4933">
        <v>0</v>
      </c>
      <c r="AE4933">
        <v>0</v>
      </c>
      <c r="AI4933" t="s">
        <v>108</v>
      </c>
      <c r="AJ4933" t="s">
        <v>52</v>
      </c>
      <c r="AK4933" t="s">
        <v>52</v>
      </c>
      <c r="AL4933" t="str">
        <f>HYPERLINK("https://pbs.twimg.com/ext_tw_video_thumb/1141360066962100224/pu/img/5_tGc4hLFQwcD07b.jpg")</f>
        <v>https://pbs.twimg.com/ext_tw_video_thumb/1141360066962100224/pu/img/5_tGc4hLFQwcD07b.jpg</v>
      </c>
      <c r="AM4933" t="s">
        <v>52</v>
      </c>
      <c r="AN4933" t="s">
        <v>53</v>
      </c>
    </row>
    <row r="4934" spans="1:40">
      <c r="A4934" t="s">
        <v>13057</v>
      </c>
      <c r="B4934" t="s">
        <v>10170</v>
      </c>
      <c r="C4934" t="s">
        <v>14867</v>
      </c>
      <c r="D4934" t="s">
        <v>52</v>
      </c>
      <c r="E4934" t="s">
        <v>14515</v>
      </c>
      <c r="F4934" t="s">
        <v>131</v>
      </c>
      <c r="G4934" t="str">
        <f>HYPERLINK("https://twitter.com/1284295741/status/1142530838925590528")</f>
        <v>https://twitter.com/1284295741/status/1142530838925590528</v>
      </c>
      <c r="H4934" t="s">
        <v>215</v>
      </c>
      <c r="I4934" t="s">
        <v>52</v>
      </c>
      <c r="J4934" t="str">
        <f>HYPERLINK("http://twitter.com/PlayaMadeSlim")</f>
        <v>http://twitter.com/PlayaMadeSlim</v>
      </c>
      <c r="K4934">
        <v>746</v>
      </c>
      <c r="N4934" t="s">
        <v>65</v>
      </c>
      <c r="R4934" t="s">
        <v>60</v>
      </c>
      <c r="S4934" t="s">
        <v>1592</v>
      </c>
      <c r="T4934" t="s">
        <v>11687</v>
      </c>
      <c r="U4934" t="s">
        <v>1</v>
      </c>
      <c r="W4934">
        <v>0</v>
      </c>
      <c r="X4934">
        <v>0</v>
      </c>
      <c r="AE4934">
        <v>0</v>
      </c>
      <c r="AM4934" t="s">
        <v>52</v>
      </c>
      <c r="AN4934" t="s">
        <v>53</v>
      </c>
    </row>
    <row r="4935" spans="1:40">
      <c r="A4935" t="s">
        <v>13057</v>
      </c>
      <c r="B4935" t="s">
        <v>4568</v>
      </c>
      <c r="C4935" t="s">
        <v>8851</v>
      </c>
      <c r="D4935" t="s">
        <v>14772</v>
      </c>
      <c r="E4935" t="s">
        <v>14869</v>
      </c>
      <c r="F4935" t="s">
        <v>45</v>
      </c>
      <c r="G4935" t="str">
        <f>HYPERLINK("http://safeliving101.com/lifestyles/health-med-fit/natural-ways-to-help-treat-high-blood-pressure/article_e8e3e9b2-92b9-11e9-9dda-0bbf20f4ee27.html")</f>
        <v>http://safeliving101.com/lifestyles/health-med-fit/natural-ways-to-help-treat-high-blood-pressure/article_e8e3e9b2-92b9-11e9-9dda-0bbf20f4ee27.html</v>
      </c>
      <c r="H4935" t="s">
        <v>91</v>
      </c>
      <c r="I4935" t="s">
        <v>14870</v>
      </c>
      <c r="J4935" t="str">
        <f>HYPERLINK("http://safeliving101.com/lifestyles/health-med-fit/natural-ways-to-help-treat-high-blood-pressure/article_e8e3e9b2-92b9-11e9-9dda-0bbf20f4ee27.html")</f>
        <v>http://safeliving101.com/lifestyles/health-med-fit/natural-ways-to-help-treat-high-blood-pressure/article_e8e3e9b2-92b9-11e9-9dda-0bbf20f4ee27.html</v>
      </c>
      <c r="N4935" t="s">
        <v>14871</v>
      </c>
      <c r="R4935" t="s">
        <v>357</v>
      </c>
      <c r="S4935" t="s">
        <v>51</v>
      </c>
      <c r="AM4935" t="s">
        <v>52</v>
      </c>
      <c r="AN4935" t="s">
        <v>53</v>
      </c>
    </row>
    <row r="4936" spans="1:40">
      <c r="A4936" t="s">
        <v>13057</v>
      </c>
      <c r="B4936" t="s">
        <v>4578</v>
      </c>
      <c r="C4936" t="s">
        <v>14872</v>
      </c>
      <c r="D4936" t="s">
        <v>52</v>
      </c>
      <c r="E4936" t="s">
        <v>14873</v>
      </c>
      <c r="F4936" t="s">
        <v>45</v>
      </c>
      <c r="G4936" t="str">
        <f>HYPERLINK("https://www.instagram.com/p/BzBoa3hgUR5")</f>
        <v>https://www.instagram.com/p/BzBoa3hgUR5</v>
      </c>
      <c r="H4936" t="s">
        <v>46</v>
      </c>
      <c r="I4936" t="s">
        <v>14874</v>
      </c>
      <c r="J4936" t="str">
        <f>HYPERLINK("http://instagram.com/rachaelbutcher")</f>
        <v>http://instagram.com/rachaelbutcher</v>
      </c>
      <c r="K4936">
        <v>290</v>
      </c>
      <c r="L4936" t="s">
        <v>58</v>
      </c>
      <c r="N4936" t="s">
        <v>59</v>
      </c>
      <c r="O4936" t="s">
        <v>14874</v>
      </c>
      <c r="P4936" t="str">
        <f>HYPERLINK("http://instagram.com/rachaelbutcher")</f>
        <v>http://instagram.com/rachaelbutcher</v>
      </c>
      <c r="Q4936">
        <v>290</v>
      </c>
      <c r="R4936" t="s">
        <v>60</v>
      </c>
      <c r="W4936">
        <v>44</v>
      </c>
      <c r="X4936">
        <v>44</v>
      </c>
      <c r="AE4936">
        <v>10</v>
      </c>
      <c r="AI4936" t="s">
        <v>52</v>
      </c>
      <c r="AJ4936" t="s">
        <v>2277</v>
      </c>
      <c r="AK4936" t="s">
        <v>52</v>
      </c>
      <c r="AL4936" t="str">
        <f>HYPERLINK("https://www.instagram.com/p/BzBoa3hgUR5/media/?size=l")</f>
        <v>https://www.instagram.com/p/BzBoa3hgUR5/media/?size=l</v>
      </c>
      <c r="AM4936" t="s">
        <v>52</v>
      </c>
      <c r="AN4936" t="s">
        <v>53</v>
      </c>
    </row>
    <row r="4937" spans="1:40">
      <c r="A4937" t="s">
        <v>13057</v>
      </c>
      <c r="B4937" t="s">
        <v>4578</v>
      </c>
      <c r="C4937" t="s">
        <v>14875</v>
      </c>
      <c r="D4937" t="s">
        <v>52</v>
      </c>
      <c r="E4937" t="s">
        <v>14876</v>
      </c>
      <c r="F4937" t="s">
        <v>95</v>
      </c>
      <c r="G4937" t="str">
        <f>HYPERLINK("https://twitter.com/15382411/status/1142530070747209730")</f>
        <v>https://twitter.com/15382411/status/1142530070747209730</v>
      </c>
      <c r="H4937" t="s">
        <v>46</v>
      </c>
      <c r="I4937" t="s">
        <v>14877</v>
      </c>
      <c r="J4937" t="str">
        <f>HYPERLINK("http://twitter.com/beejereeno")</f>
        <v>http://twitter.com/beejereeno</v>
      </c>
      <c r="K4937">
        <v>2230</v>
      </c>
      <c r="N4937" t="s">
        <v>65</v>
      </c>
      <c r="R4937" t="s">
        <v>60</v>
      </c>
      <c r="S4937" t="s">
        <v>51</v>
      </c>
      <c r="T4937" t="s">
        <v>199</v>
      </c>
      <c r="U4937" t="s">
        <v>14878</v>
      </c>
      <c r="W4937">
        <v>0</v>
      </c>
      <c r="X4937">
        <v>0</v>
      </c>
      <c r="AE4937">
        <v>0</v>
      </c>
      <c r="AF4937">
        <v>0</v>
      </c>
      <c r="AM4937" t="s">
        <v>52</v>
      </c>
      <c r="AN4937" t="s">
        <v>53</v>
      </c>
    </row>
    <row r="4938" spans="1:40">
      <c r="A4938" t="s">
        <v>13057</v>
      </c>
      <c r="B4938" t="s">
        <v>4583</v>
      </c>
      <c r="C4938" t="s">
        <v>14872</v>
      </c>
      <c r="D4938" t="s">
        <v>52</v>
      </c>
      <c r="E4938" t="s">
        <v>14879</v>
      </c>
      <c r="F4938" t="s">
        <v>45</v>
      </c>
      <c r="G4938" t="str">
        <f>HYPERLINK("https://www.instagram.com/p/BzBoQ2FFGdL")</f>
        <v>https://www.instagram.com/p/BzBoQ2FFGdL</v>
      </c>
      <c r="H4938" t="s">
        <v>46</v>
      </c>
      <c r="I4938" t="s">
        <v>14880</v>
      </c>
      <c r="J4938" t="str">
        <f>HYPERLINK("http://instagram.com/fueledbyfearless")</f>
        <v>http://instagram.com/fueledbyfearless</v>
      </c>
      <c r="K4938">
        <v>275</v>
      </c>
      <c r="N4938" t="s">
        <v>59</v>
      </c>
      <c r="O4938" t="s">
        <v>14880</v>
      </c>
      <c r="P4938" t="str">
        <f>HYPERLINK("http://instagram.com/fueledbyfearless")</f>
        <v>http://instagram.com/fueledbyfearless</v>
      </c>
      <c r="Q4938">
        <v>275</v>
      </c>
      <c r="R4938" t="s">
        <v>60</v>
      </c>
      <c r="W4938">
        <v>23</v>
      </c>
      <c r="X4938">
        <v>23</v>
      </c>
      <c r="AE4938">
        <v>2</v>
      </c>
      <c r="AI4938" t="s">
        <v>52</v>
      </c>
      <c r="AJ4938" t="s">
        <v>1196</v>
      </c>
      <c r="AK4938" t="s">
        <v>52</v>
      </c>
      <c r="AL4938" t="str">
        <f>HYPERLINK("https://www.instagram.com/p/BzBoQ2FFGdL/media/?size=l")</f>
        <v>https://www.instagram.com/p/BzBoQ2FFGdL/media/?size=l</v>
      </c>
      <c r="AM4938" t="s">
        <v>52</v>
      </c>
      <c r="AN4938" t="s">
        <v>53</v>
      </c>
    </row>
    <row r="4939" spans="1:40">
      <c r="A4939" t="s">
        <v>13057</v>
      </c>
      <c r="B4939" t="s">
        <v>4590</v>
      </c>
      <c r="C4939" t="s">
        <v>14875</v>
      </c>
      <c r="D4939" t="s">
        <v>52</v>
      </c>
      <c r="E4939" t="s">
        <v>14881</v>
      </c>
      <c r="F4939" t="s">
        <v>45</v>
      </c>
      <c r="G4939" t="str">
        <f>HYPERLINK("https://www.instagram.com/p/BzBn6bSFa7V")</f>
        <v>https://www.instagram.com/p/BzBn6bSFa7V</v>
      </c>
      <c r="H4939" t="s">
        <v>46</v>
      </c>
      <c r="I4939" t="s">
        <v>14882</v>
      </c>
      <c r="J4939" t="str">
        <f>HYPERLINK("http://instagram.com/kraasch1")</f>
        <v>http://instagram.com/kraasch1</v>
      </c>
      <c r="K4939">
        <v>140</v>
      </c>
      <c r="N4939" t="s">
        <v>59</v>
      </c>
      <c r="O4939" t="s">
        <v>14882</v>
      </c>
      <c r="P4939" t="str">
        <f>HYPERLINK("http://instagram.com/kraasch1")</f>
        <v>http://instagram.com/kraasch1</v>
      </c>
      <c r="Q4939">
        <v>140</v>
      </c>
      <c r="R4939" t="s">
        <v>60</v>
      </c>
      <c r="W4939">
        <v>29</v>
      </c>
      <c r="X4939">
        <v>29</v>
      </c>
      <c r="AE4939">
        <v>0</v>
      </c>
      <c r="AI4939" t="s">
        <v>52</v>
      </c>
      <c r="AJ4939" t="s">
        <v>14883</v>
      </c>
      <c r="AK4939" t="s">
        <v>52</v>
      </c>
      <c r="AL4939" t="str">
        <f>HYPERLINK("https://www.instagram.com/p/BzBn6bSFa7V/media/?size=l")</f>
        <v>https://www.instagram.com/p/BzBn6bSFa7V/media/?size=l</v>
      </c>
      <c r="AM4939" t="s">
        <v>52</v>
      </c>
      <c r="AN4939" t="s">
        <v>53</v>
      </c>
    </row>
    <row r="4940" spans="1:40">
      <c r="A4940" t="s">
        <v>13057</v>
      </c>
      <c r="B4940" t="s">
        <v>4590</v>
      </c>
      <c r="C4940" t="s">
        <v>14884</v>
      </c>
      <c r="D4940" t="s">
        <v>52</v>
      </c>
      <c r="E4940" t="s">
        <v>130</v>
      </c>
      <c r="F4940" t="s">
        <v>131</v>
      </c>
      <c r="G4940" t="str">
        <f>HYPERLINK("https://twitter.com/1106856115952852992/status/1142528972615487490")</f>
        <v>https://twitter.com/1106856115952852992/status/1142528972615487490</v>
      </c>
      <c r="H4940" t="s">
        <v>46</v>
      </c>
      <c r="I4940" t="s">
        <v>14885</v>
      </c>
      <c r="J4940" t="str">
        <f>HYPERLINK("http://twitter.com/Doris8410")</f>
        <v>http://twitter.com/Doris8410</v>
      </c>
      <c r="K4940">
        <v>7</v>
      </c>
      <c r="N4940" t="s">
        <v>65</v>
      </c>
      <c r="R4940" t="s">
        <v>60</v>
      </c>
      <c r="W4940">
        <v>0</v>
      </c>
      <c r="X4940">
        <v>0</v>
      </c>
      <c r="AE4940">
        <v>0</v>
      </c>
      <c r="AI4940" t="s">
        <v>108</v>
      </c>
      <c r="AJ4940" t="s">
        <v>52</v>
      </c>
      <c r="AK4940" t="s">
        <v>52</v>
      </c>
      <c r="AL4940" t="str">
        <f>HYPERLINK("https://pbs.twimg.com/media/D9XTkLWW4AAOYnJ.jpg")</f>
        <v>https://pbs.twimg.com/media/D9XTkLWW4AAOYnJ.jpg</v>
      </c>
      <c r="AM4940" t="s">
        <v>52</v>
      </c>
      <c r="AN4940" t="s">
        <v>53</v>
      </c>
    </row>
    <row r="4941" spans="1:40">
      <c r="A4941" t="s">
        <v>13057</v>
      </c>
      <c r="B4941" t="s">
        <v>4607</v>
      </c>
      <c r="C4941" t="s">
        <v>12519</v>
      </c>
      <c r="D4941" t="s">
        <v>52</v>
      </c>
      <c r="E4941" t="s">
        <v>14886</v>
      </c>
      <c r="F4941" t="s">
        <v>45</v>
      </c>
      <c r="G4941" t="str">
        <f>HYPERLINK("https://www.instagram.com/p/BzBn1Szlsou")</f>
        <v>https://www.instagram.com/p/BzBn1Szlsou</v>
      </c>
      <c r="H4941" t="s">
        <v>46</v>
      </c>
      <c r="I4941" t="s">
        <v>14887</v>
      </c>
      <c r="J4941" t="str">
        <f>HYPERLINK("http://instagram.com/talitasouza_oficial")</f>
        <v>http://instagram.com/talitasouza_oficial</v>
      </c>
      <c r="K4941">
        <v>173</v>
      </c>
      <c r="N4941" t="s">
        <v>59</v>
      </c>
      <c r="O4941" t="s">
        <v>14887</v>
      </c>
      <c r="P4941" t="str">
        <f>HYPERLINK("http://instagram.com/talitasouza_oficial")</f>
        <v>http://instagram.com/talitasouza_oficial</v>
      </c>
      <c r="Q4941">
        <v>173</v>
      </c>
      <c r="R4941" t="s">
        <v>60</v>
      </c>
      <c r="W4941">
        <v>5</v>
      </c>
      <c r="X4941">
        <v>5</v>
      </c>
      <c r="AE4941">
        <v>0</v>
      </c>
      <c r="AI4941" t="s">
        <v>108</v>
      </c>
      <c r="AJ4941" t="s">
        <v>52</v>
      </c>
      <c r="AK4941" t="s">
        <v>52</v>
      </c>
      <c r="AL4941" t="str">
        <f>HYPERLINK("https://www.instagram.com/p/BzBn1Szlsou/media/?size=l")</f>
        <v>https://www.instagram.com/p/BzBn1Szlsou/media/?size=l</v>
      </c>
      <c r="AM4941" t="s">
        <v>52</v>
      </c>
      <c r="AN4941" t="s">
        <v>53</v>
      </c>
    </row>
    <row r="4942" spans="1:40">
      <c r="A4942" t="s">
        <v>13057</v>
      </c>
      <c r="B4942" t="s">
        <v>4607</v>
      </c>
      <c r="C4942" t="s">
        <v>14888</v>
      </c>
      <c r="D4942" t="s">
        <v>52</v>
      </c>
      <c r="E4942" t="s">
        <v>14889</v>
      </c>
      <c r="F4942" t="s">
        <v>131</v>
      </c>
      <c r="G4942" t="str">
        <f>HYPERLINK("https://twitter.com/2224100322/status/1142528693723701249")</f>
        <v>https://twitter.com/2224100322/status/1142528693723701249</v>
      </c>
      <c r="H4942" t="s">
        <v>46</v>
      </c>
      <c r="I4942" t="s">
        <v>14890</v>
      </c>
      <c r="J4942" t="str">
        <f>HYPERLINK("http://twitter.com/teenykim")</f>
        <v>http://twitter.com/teenykim</v>
      </c>
      <c r="K4942">
        <v>240</v>
      </c>
      <c r="N4942" t="s">
        <v>65</v>
      </c>
      <c r="R4942" t="s">
        <v>60</v>
      </c>
      <c r="S4942" t="s">
        <v>444</v>
      </c>
      <c r="T4942" t="s">
        <v>3539</v>
      </c>
      <c r="U4942" t="s">
        <v>14891</v>
      </c>
      <c r="W4942">
        <v>0</v>
      </c>
      <c r="X4942">
        <v>0</v>
      </c>
      <c r="AE4942">
        <v>0</v>
      </c>
      <c r="AM4942" t="s">
        <v>52</v>
      </c>
      <c r="AN4942" t="s">
        <v>53</v>
      </c>
    </row>
    <row r="4943" spans="1:40">
      <c r="A4943" t="s">
        <v>13057</v>
      </c>
      <c r="B4943" t="s">
        <v>4622</v>
      </c>
      <c r="C4943" t="s">
        <v>14888</v>
      </c>
      <c r="D4943" t="s">
        <v>14892</v>
      </c>
      <c r="E4943" t="s">
        <v>14893</v>
      </c>
      <c r="F4943" t="s">
        <v>95</v>
      </c>
      <c r="G4943" t="str">
        <f>HYPERLINK("https://www.youtube.com/watch?v=cLMwMH9cSMA&amp;lc=UgwAAD7mPCADz0oXaGd4AaABAg")</f>
        <v>https://www.youtube.com/watch?v=cLMwMH9cSMA&amp;lc=UgwAAD7mPCADz0oXaGd4AaABAg</v>
      </c>
      <c r="H4943" t="s">
        <v>46</v>
      </c>
      <c r="I4943" t="s">
        <v>14894</v>
      </c>
      <c r="J4943" t="str">
        <f>HYPERLINK("https://www.youtube.com/channel/UCyL9E1W8oAw2nzfY0qYgc5A")</f>
        <v>https://www.youtube.com/channel/UCyL9E1W8oAw2nzfY0qYgc5A</v>
      </c>
      <c r="K4943">
        <v>14</v>
      </c>
      <c r="N4943" t="s">
        <v>116</v>
      </c>
      <c r="O4943" t="s">
        <v>14895</v>
      </c>
      <c r="P4943" t="str">
        <f>HYPERLINK("https://www.youtube.com/channel/UCcI4-ekfECVojQx7ELxpH0A")</f>
        <v>https://www.youtube.com/channel/UCcI4-ekfECVojQx7ELxpH0A</v>
      </c>
      <c r="Q4943">
        <v>23</v>
      </c>
      <c r="R4943" t="s">
        <v>60</v>
      </c>
      <c r="W4943">
        <v>0</v>
      </c>
      <c r="X4943">
        <v>0</v>
      </c>
      <c r="AE4943">
        <v>0</v>
      </c>
      <c r="AM4943" t="s">
        <v>52</v>
      </c>
      <c r="AN4943" t="s">
        <v>53</v>
      </c>
    </row>
    <row r="4944" spans="1:40">
      <c r="A4944" t="s">
        <v>13057</v>
      </c>
      <c r="B4944" t="s">
        <v>4622</v>
      </c>
      <c r="C4944" t="s">
        <v>14896</v>
      </c>
      <c r="D4944" t="s">
        <v>52</v>
      </c>
      <c r="E4944" t="s">
        <v>9881</v>
      </c>
      <c r="F4944" t="s">
        <v>45</v>
      </c>
      <c r="G4944" t="str">
        <f>HYPERLINK("https://twitter.com/3059623168/status/1142528623649275904")</f>
        <v>https://twitter.com/3059623168/status/1142528623649275904</v>
      </c>
      <c r="H4944" t="s">
        <v>46</v>
      </c>
      <c r="I4944" t="s">
        <v>2550</v>
      </c>
      <c r="J4944" t="str">
        <f>HYPERLINK("http://twitter.com/MLGJAC3")</f>
        <v>http://twitter.com/MLGJAC3</v>
      </c>
      <c r="K4944">
        <v>59</v>
      </c>
      <c r="N4944" t="s">
        <v>65</v>
      </c>
      <c r="R4944" t="s">
        <v>60</v>
      </c>
      <c r="W4944">
        <v>0</v>
      </c>
      <c r="X4944">
        <v>0</v>
      </c>
      <c r="AE4944">
        <v>0</v>
      </c>
      <c r="AF4944">
        <v>0</v>
      </c>
      <c r="AM4944" t="s">
        <v>52</v>
      </c>
      <c r="AN4944" t="s">
        <v>53</v>
      </c>
    </row>
    <row r="4945" spans="1:40">
      <c r="A4945" t="s">
        <v>13057</v>
      </c>
      <c r="B4945" t="s">
        <v>4622</v>
      </c>
      <c r="C4945" t="s">
        <v>14897</v>
      </c>
      <c r="D4945" t="s">
        <v>52</v>
      </c>
      <c r="E4945" t="s">
        <v>130</v>
      </c>
      <c r="F4945" t="s">
        <v>131</v>
      </c>
      <c r="G4945" t="str">
        <f>HYPERLINK("https://twitter.com/154636786/status/1142528496767574016")</f>
        <v>https://twitter.com/154636786/status/1142528496767574016</v>
      </c>
      <c r="H4945" t="s">
        <v>46</v>
      </c>
      <c r="I4945" t="s">
        <v>14898</v>
      </c>
      <c r="J4945" t="str">
        <f>HYPERLINK("http://twitter.com/jaxxi62")</f>
        <v>http://twitter.com/jaxxi62</v>
      </c>
      <c r="K4945">
        <v>68</v>
      </c>
      <c r="L4945" t="s">
        <v>58</v>
      </c>
      <c r="N4945" t="s">
        <v>65</v>
      </c>
      <c r="R4945" t="s">
        <v>60</v>
      </c>
      <c r="W4945">
        <v>0</v>
      </c>
      <c r="X4945">
        <v>0</v>
      </c>
      <c r="AE4945">
        <v>0</v>
      </c>
      <c r="AI4945" t="s">
        <v>108</v>
      </c>
      <c r="AJ4945" t="s">
        <v>52</v>
      </c>
      <c r="AK4945" t="s">
        <v>52</v>
      </c>
      <c r="AL4945" t="str">
        <f>HYPERLINK("https://pbs.twimg.com/media/D9XTkLWW4AAOYnJ.jpg")</f>
        <v>https://pbs.twimg.com/media/D9XTkLWW4AAOYnJ.jpg</v>
      </c>
      <c r="AM4945" t="s">
        <v>52</v>
      </c>
      <c r="AN4945" t="s">
        <v>53</v>
      </c>
    </row>
    <row r="4946" spans="1:40">
      <c r="A4946" t="s">
        <v>13057</v>
      </c>
      <c r="B4946" t="s">
        <v>4622</v>
      </c>
      <c r="C4946" t="s">
        <v>14897</v>
      </c>
      <c r="D4946" t="s">
        <v>52</v>
      </c>
      <c r="E4946" t="s">
        <v>14899</v>
      </c>
      <c r="F4946" t="s">
        <v>95</v>
      </c>
      <c r="G4946" t="str">
        <f>HYPERLINK("https://twitter.com/859468472321007616/status/1142528493227511811")</f>
        <v>https://twitter.com/859468472321007616/status/1142528493227511811</v>
      </c>
      <c r="H4946" t="s">
        <v>46</v>
      </c>
      <c r="I4946" t="s">
        <v>14900</v>
      </c>
      <c r="J4946" t="str">
        <f>HYPERLINK("http://twitter.com/BorosuNushi")</f>
        <v>http://twitter.com/BorosuNushi</v>
      </c>
      <c r="K4946">
        <v>65</v>
      </c>
      <c r="N4946" t="s">
        <v>65</v>
      </c>
      <c r="R4946" t="s">
        <v>60</v>
      </c>
      <c r="W4946">
        <v>0</v>
      </c>
      <c r="X4946">
        <v>0</v>
      </c>
      <c r="AE4946">
        <v>1</v>
      </c>
      <c r="AF4946">
        <v>0</v>
      </c>
      <c r="AI4946" t="s">
        <v>52</v>
      </c>
      <c r="AJ4946" t="s">
        <v>52</v>
      </c>
      <c r="AK4946" t="s">
        <v>110</v>
      </c>
      <c r="AL4946" t="str">
        <f>HYPERLINK("https://pbs.twimg.com/tweet_video_thumb/D9sTmjmW4AM8xei.jpg")</f>
        <v>https://pbs.twimg.com/tweet_video_thumb/D9sTmjmW4AM8xei.jpg</v>
      </c>
      <c r="AM4946" t="s">
        <v>52</v>
      </c>
      <c r="AN4946" t="s">
        <v>53</v>
      </c>
    </row>
    <row r="4947" spans="1:40">
      <c r="A4947" t="s">
        <v>13057</v>
      </c>
      <c r="B4947" t="s">
        <v>4622</v>
      </c>
      <c r="C4947" t="s">
        <v>14872</v>
      </c>
      <c r="D4947" t="s">
        <v>52</v>
      </c>
      <c r="E4947" t="s">
        <v>14901</v>
      </c>
      <c r="F4947" t="s">
        <v>45</v>
      </c>
      <c r="G4947" t="str">
        <f>HYPERLINK("https://www.instagram.com/p/BzBnp7SB_k1")</f>
        <v>https://www.instagram.com/p/BzBnp7SB_k1</v>
      </c>
      <c r="H4947" t="s">
        <v>46</v>
      </c>
      <c r="I4947" t="s">
        <v>14902</v>
      </c>
      <c r="J4947" t="str">
        <f>HYPERLINK("http://instagram.com/brooke.null.7")</f>
        <v>http://instagram.com/brooke.null.7</v>
      </c>
      <c r="K4947">
        <v>40</v>
      </c>
      <c r="L4947" t="s">
        <v>58</v>
      </c>
      <c r="N4947" t="s">
        <v>59</v>
      </c>
      <c r="O4947" t="s">
        <v>14902</v>
      </c>
      <c r="P4947" t="str">
        <f>HYPERLINK("http://instagram.com/brooke.null.7")</f>
        <v>http://instagram.com/brooke.null.7</v>
      </c>
      <c r="Q4947">
        <v>40</v>
      </c>
      <c r="R4947" t="s">
        <v>60</v>
      </c>
      <c r="W4947">
        <v>4</v>
      </c>
      <c r="X4947">
        <v>4</v>
      </c>
      <c r="AE4947">
        <v>1</v>
      </c>
      <c r="AI4947" t="s">
        <v>52</v>
      </c>
      <c r="AJ4947" t="s">
        <v>52</v>
      </c>
      <c r="AK4947" t="s">
        <v>2951</v>
      </c>
      <c r="AL4947" t="str">
        <f>HYPERLINK("https://www.instagram.com/p/BzBnp7SB_k1/media/?size=l")</f>
        <v>https://www.instagram.com/p/BzBnp7SB_k1/media/?size=l</v>
      </c>
      <c r="AM4947" t="s">
        <v>52</v>
      </c>
      <c r="AN4947" t="s">
        <v>53</v>
      </c>
    </row>
    <row r="4948" spans="1:40">
      <c r="A4948" t="s">
        <v>13057</v>
      </c>
      <c r="B4948" t="s">
        <v>4622</v>
      </c>
      <c r="C4948" t="s">
        <v>14903</v>
      </c>
      <c r="D4948" t="s">
        <v>52</v>
      </c>
      <c r="E4948" t="s">
        <v>14904</v>
      </c>
      <c r="F4948" t="s">
        <v>95</v>
      </c>
      <c r="G4948" t="str">
        <f>HYPERLINK("https://twitter.com/946811683082825729/status/1142528451766816775")</f>
        <v>https://twitter.com/946811683082825729/status/1142528451766816775</v>
      </c>
      <c r="H4948" t="s">
        <v>215</v>
      </c>
      <c r="I4948" t="s">
        <v>14905</v>
      </c>
      <c r="J4948" t="str">
        <f>HYPERLINK("http://twitter.com/Jgctrees80")</f>
        <v>http://twitter.com/Jgctrees80</v>
      </c>
      <c r="K4948">
        <v>0</v>
      </c>
      <c r="L4948" t="s">
        <v>48</v>
      </c>
      <c r="N4948" t="s">
        <v>65</v>
      </c>
      <c r="R4948" t="s">
        <v>60</v>
      </c>
      <c r="W4948">
        <v>0</v>
      </c>
      <c r="X4948">
        <v>0</v>
      </c>
      <c r="AE4948">
        <v>0</v>
      </c>
      <c r="AF4948">
        <v>0</v>
      </c>
      <c r="AM4948" t="s">
        <v>52</v>
      </c>
      <c r="AN4948" t="s">
        <v>53</v>
      </c>
    </row>
    <row r="4949" spans="1:40">
      <c r="A4949" t="s">
        <v>13057</v>
      </c>
      <c r="B4949" t="s">
        <v>14906</v>
      </c>
      <c r="C4949" t="s">
        <v>14897</v>
      </c>
      <c r="D4949" t="s">
        <v>52</v>
      </c>
      <c r="E4949" t="s">
        <v>9351</v>
      </c>
      <c r="F4949" t="s">
        <v>131</v>
      </c>
      <c r="G4949" t="str">
        <f>HYPERLINK("https://twitter.com/741368018236772353/status/1142528397056368640")</f>
        <v>https://twitter.com/741368018236772353/status/1142528397056368640</v>
      </c>
      <c r="H4949" t="s">
        <v>46</v>
      </c>
      <c r="I4949" t="s">
        <v>14907</v>
      </c>
      <c r="J4949" t="str">
        <f>HYPERLINK("http://twitter.com/shshjsjsndgduwn")</f>
        <v>http://twitter.com/shshjsjsndgduwn</v>
      </c>
      <c r="K4949">
        <v>75</v>
      </c>
      <c r="N4949" t="s">
        <v>65</v>
      </c>
      <c r="R4949" t="s">
        <v>60</v>
      </c>
      <c r="W4949">
        <v>0</v>
      </c>
      <c r="X4949">
        <v>0</v>
      </c>
      <c r="AE4949">
        <v>0</v>
      </c>
      <c r="AI4949" t="s">
        <v>52</v>
      </c>
      <c r="AJ4949" t="s">
        <v>52</v>
      </c>
      <c r="AK4949" t="s">
        <v>52</v>
      </c>
      <c r="AL4949" t="str">
        <f>HYPERLINK("https://pbs.twimg.com/media/D9mFywEW4AY05Wr.jpg")</f>
        <v>https://pbs.twimg.com/media/D9mFywEW4AY05Wr.jpg</v>
      </c>
      <c r="AM4949" t="s">
        <v>52</v>
      </c>
      <c r="AN4949" t="s">
        <v>53</v>
      </c>
    </row>
    <row r="4950" spans="1:40">
      <c r="A4950" t="s">
        <v>13057</v>
      </c>
      <c r="B4950" t="s">
        <v>10223</v>
      </c>
      <c r="C4950" t="s">
        <v>14908</v>
      </c>
      <c r="D4950" t="s">
        <v>14909</v>
      </c>
      <c r="E4950" t="s">
        <v>14909</v>
      </c>
      <c r="F4950" t="s">
        <v>45</v>
      </c>
      <c r="G4950" t="str">
        <f>HYPERLINK("https://www.youtube.com/watch?v=Daqs3F1zagY")</f>
        <v>https://www.youtube.com/watch?v=Daqs3F1zagY</v>
      </c>
      <c r="H4950" t="s">
        <v>46</v>
      </c>
      <c r="I4950" t="s">
        <v>14910</v>
      </c>
      <c r="J4950" t="str">
        <f>HYPERLINK("https://www.youtube.com/channel/UC52vo-0sOss0TBJT-Yd-JlQ")</f>
        <v>https://www.youtube.com/channel/UC52vo-0sOss0TBJT-Yd-JlQ</v>
      </c>
      <c r="K4950">
        <v>56</v>
      </c>
      <c r="L4950" t="s">
        <v>48</v>
      </c>
      <c r="N4950" t="s">
        <v>116</v>
      </c>
      <c r="O4950" t="s">
        <v>14910</v>
      </c>
      <c r="P4950" t="str">
        <f>HYPERLINK("https://www.youtube.com/channel/UC52vo-0sOss0TBJT-Yd-JlQ")</f>
        <v>https://www.youtube.com/channel/UC52vo-0sOss0TBJT-Yd-JlQ</v>
      </c>
      <c r="Q4950">
        <v>56</v>
      </c>
      <c r="R4950" t="s">
        <v>60</v>
      </c>
      <c r="S4950" t="s">
        <v>97</v>
      </c>
      <c r="W4950">
        <v>3</v>
      </c>
      <c r="X4950">
        <v>3</v>
      </c>
      <c r="AD4950">
        <v>0</v>
      </c>
      <c r="AE4950">
        <v>0</v>
      </c>
      <c r="AG4950">
        <v>40</v>
      </c>
      <c r="AI4950" t="s">
        <v>52</v>
      </c>
      <c r="AJ4950" t="s">
        <v>899</v>
      </c>
      <c r="AK4950" t="s">
        <v>341</v>
      </c>
      <c r="AL4950" t="str">
        <f>HYPERLINK("https://i.ytimg.com/vi/Daqs3F1zagY/hqdefault.jpg")</f>
        <v>https://i.ytimg.com/vi/Daqs3F1zagY/hqdefault.jpg</v>
      </c>
      <c r="AM4950" t="s">
        <v>52</v>
      </c>
      <c r="AN4950" t="s">
        <v>53</v>
      </c>
    </row>
    <row r="4951" spans="1:40">
      <c r="A4951" t="s">
        <v>13057</v>
      </c>
      <c r="B4951" t="s">
        <v>10223</v>
      </c>
      <c r="C4951" t="s">
        <v>14897</v>
      </c>
      <c r="D4951" t="s">
        <v>14911</v>
      </c>
      <c r="E4951" t="s">
        <v>14912</v>
      </c>
      <c r="F4951" t="s">
        <v>95</v>
      </c>
      <c r="G4951" t="str">
        <f>HYPERLINK("https://www.youtube.com/watch?v=rBy6eWcCwbM&amp;lc=UgwfSR8KaRxP3Zc1TGd4AaABAg")</f>
        <v>https://www.youtube.com/watch?v=rBy6eWcCwbM&amp;lc=UgwfSR8KaRxP3Zc1TGd4AaABAg</v>
      </c>
      <c r="H4951" t="s">
        <v>91</v>
      </c>
      <c r="I4951" t="s">
        <v>14913</v>
      </c>
      <c r="J4951" t="str">
        <f>HYPERLINK("https://www.youtube.com/channel/UC-yyzefURdWsp37yOy8YiNw")</f>
        <v>https://www.youtube.com/channel/UC-yyzefURdWsp37yOy8YiNw</v>
      </c>
      <c r="K4951">
        <v>1</v>
      </c>
      <c r="N4951" t="s">
        <v>116</v>
      </c>
      <c r="O4951" t="s">
        <v>14914</v>
      </c>
      <c r="P4951" t="str">
        <f>HYPERLINK("https://www.youtube.com/channel/UCS2D4DG9eXBjSBPKbnlQ3bA")</f>
        <v>https://www.youtube.com/channel/UCS2D4DG9eXBjSBPKbnlQ3bA</v>
      </c>
      <c r="Q4951">
        <v>20073</v>
      </c>
      <c r="R4951" t="s">
        <v>60</v>
      </c>
      <c r="S4951" t="s">
        <v>1452</v>
      </c>
      <c r="W4951">
        <v>23</v>
      </c>
      <c r="X4951">
        <v>23</v>
      </c>
      <c r="AE4951">
        <v>8</v>
      </c>
      <c r="AM4951" t="s">
        <v>52</v>
      </c>
      <c r="AN4951" t="s">
        <v>53</v>
      </c>
    </row>
    <row r="4952" spans="1:40">
      <c r="A4952" t="s">
        <v>13057</v>
      </c>
      <c r="B4952" t="s">
        <v>10223</v>
      </c>
      <c r="C4952" t="s">
        <v>14915</v>
      </c>
      <c r="D4952" t="s">
        <v>52</v>
      </c>
      <c r="E4952" t="s">
        <v>14916</v>
      </c>
      <c r="F4952" t="s">
        <v>45</v>
      </c>
      <c r="G4952" t="str">
        <f>HYPERLINK("https://www.instagram.com/p/BzBng4PnBNl")</f>
        <v>https://www.instagram.com/p/BzBng4PnBNl</v>
      </c>
      <c r="H4952" t="s">
        <v>46</v>
      </c>
      <c r="I4952" t="s">
        <v>14917</v>
      </c>
      <c r="J4952" t="str">
        <f>HYPERLINK("http://instagram.com/marinacarlesso")</f>
        <v>http://instagram.com/marinacarlesso</v>
      </c>
      <c r="K4952">
        <v>1032</v>
      </c>
      <c r="N4952" t="s">
        <v>59</v>
      </c>
      <c r="O4952" t="s">
        <v>14917</v>
      </c>
      <c r="P4952" t="str">
        <f>HYPERLINK("http://instagram.com/marinacarlesso")</f>
        <v>http://instagram.com/marinacarlesso</v>
      </c>
      <c r="Q4952">
        <v>1032</v>
      </c>
      <c r="R4952" t="s">
        <v>60</v>
      </c>
      <c r="W4952">
        <v>48</v>
      </c>
      <c r="X4952">
        <v>48</v>
      </c>
      <c r="AE4952">
        <v>1</v>
      </c>
      <c r="AI4952" t="s">
        <v>52</v>
      </c>
      <c r="AJ4952" t="s">
        <v>4898</v>
      </c>
      <c r="AK4952" t="s">
        <v>14918</v>
      </c>
      <c r="AL4952" t="str">
        <f>HYPERLINK("https://www.instagram.com/p/BzBng4PnBNl/media/?size=l")</f>
        <v>https://www.instagram.com/p/BzBng4PnBNl/media/?size=l</v>
      </c>
      <c r="AM4952" t="s">
        <v>52</v>
      </c>
      <c r="AN4952" t="s">
        <v>53</v>
      </c>
    </row>
    <row r="4953" spans="1:40">
      <c r="A4953" t="s">
        <v>13057</v>
      </c>
      <c r="B4953" t="s">
        <v>4626</v>
      </c>
      <c r="C4953" t="s">
        <v>14919</v>
      </c>
      <c r="D4953" t="s">
        <v>52</v>
      </c>
      <c r="E4953" t="s">
        <v>14920</v>
      </c>
      <c r="F4953" t="s">
        <v>45</v>
      </c>
      <c r="G4953" t="str">
        <f>HYPERLINK("https://twitter.com/1009497689229283328/status/1142527766413402112")</f>
        <v>https://twitter.com/1009497689229283328/status/1142527766413402112</v>
      </c>
      <c r="H4953" t="s">
        <v>46</v>
      </c>
      <c r="I4953" t="s">
        <v>14921</v>
      </c>
      <c r="J4953" t="str">
        <f>HYPERLINK("http://twitter.com/sushimeoww")</f>
        <v>http://twitter.com/sushimeoww</v>
      </c>
      <c r="K4953">
        <v>909</v>
      </c>
      <c r="N4953" t="s">
        <v>65</v>
      </c>
      <c r="R4953" t="s">
        <v>60</v>
      </c>
      <c r="S4953" t="s">
        <v>592</v>
      </c>
      <c r="T4953" t="s">
        <v>5800</v>
      </c>
      <c r="U4953" t="s">
        <v>5800</v>
      </c>
      <c r="W4953">
        <v>16</v>
      </c>
      <c r="X4953">
        <v>16</v>
      </c>
      <c r="AE4953">
        <v>0</v>
      </c>
      <c r="AF4953">
        <v>0</v>
      </c>
      <c r="AM4953" t="s">
        <v>52</v>
      </c>
      <c r="AN4953" t="s">
        <v>53</v>
      </c>
    </row>
    <row r="4954" spans="1:40">
      <c r="A4954" t="s">
        <v>13057</v>
      </c>
      <c r="B4954" t="s">
        <v>10241</v>
      </c>
      <c r="C4954" t="s">
        <v>14922</v>
      </c>
      <c r="D4954" t="s">
        <v>52</v>
      </c>
      <c r="E4954" t="s">
        <v>13860</v>
      </c>
      <c r="F4954" t="s">
        <v>131</v>
      </c>
      <c r="G4954" t="str">
        <f>HYPERLINK("https://twitter.com/1004734460972228609/status/1142526293315112960")</f>
        <v>https://twitter.com/1004734460972228609/status/1142526293315112960</v>
      </c>
      <c r="H4954" t="s">
        <v>91</v>
      </c>
      <c r="I4954" t="s">
        <v>14923</v>
      </c>
      <c r="J4954" t="str">
        <f>HYPERLINK("http://twitter.com/HYUNWOOHOES")</f>
        <v>http://twitter.com/HYUNWOOHOES</v>
      </c>
      <c r="K4954">
        <v>258</v>
      </c>
      <c r="N4954" t="s">
        <v>65</v>
      </c>
      <c r="R4954" t="s">
        <v>60</v>
      </c>
      <c r="S4954" t="s">
        <v>97</v>
      </c>
      <c r="T4954" t="s">
        <v>177</v>
      </c>
      <c r="U4954" t="s">
        <v>9278</v>
      </c>
      <c r="W4954">
        <v>0</v>
      </c>
      <c r="X4954">
        <v>0</v>
      </c>
      <c r="AE4954">
        <v>0</v>
      </c>
      <c r="AM4954" t="s">
        <v>52</v>
      </c>
      <c r="AN4954" t="s">
        <v>53</v>
      </c>
    </row>
    <row r="4955" spans="1:40">
      <c r="A4955" t="s">
        <v>13057</v>
      </c>
      <c r="B4955" t="s">
        <v>4656</v>
      </c>
      <c r="C4955" t="s">
        <v>14924</v>
      </c>
      <c r="D4955" t="s">
        <v>52</v>
      </c>
      <c r="E4955" t="s">
        <v>14925</v>
      </c>
      <c r="F4955" t="s">
        <v>131</v>
      </c>
      <c r="G4955" t="str">
        <f>HYPERLINK("https://twitter.com/792425731544547328/status/1142526008047931392")</f>
        <v>https://twitter.com/792425731544547328/status/1142526008047931392</v>
      </c>
      <c r="H4955" t="s">
        <v>46</v>
      </c>
      <c r="I4955" t="s">
        <v>14926</v>
      </c>
      <c r="J4955" t="str">
        <f>HYPERLINK("http://twitter.com/cajunsoulfire74")</f>
        <v>http://twitter.com/cajunsoulfire74</v>
      </c>
      <c r="K4955">
        <v>11847</v>
      </c>
      <c r="N4955" t="s">
        <v>65</v>
      </c>
      <c r="R4955" t="s">
        <v>60</v>
      </c>
      <c r="S4955" t="s">
        <v>51</v>
      </c>
      <c r="T4955" t="s">
        <v>497</v>
      </c>
      <c r="W4955">
        <v>0</v>
      </c>
      <c r="X4955">
        <v>0</v>
      </c>
      <c r="AE4955">
        <v>0</v>
      </c>
      <c r="AI4955" t="s">
        <v>52</v>
      </c>
      <c r="AJ4955" t="s">
        <v>52</v>
      </c>
      <c r="AK4955" t="s">
        <v>341</v>
      </c>
      <c r="AL4955" t="str">
        <f>HYPERLINK("https://pbs.twimg.com/media/D9sQLvwUYAE7hmm.png")</f>
        <v>https://pbs.twimg.com/media/D9sQLvwUYAE7hmm.png</v>
      </c>
      <c r="AM4955" t="s">
        <v>52</v>
      </c>
      <c r="AN4955" t="s">
        <v>53</v>
      </c>
    </row>
    <row r="4956" spans="1:40">
      <c r="A4956" t="s">
        <v>13057</v>
      </c>
      <c r="B4956" t="s">
        <v>14927</v>
      </c>
      <c r="C4956" t="s">
        <v>14915</v>
      </c>
      <c r="D4956" t="s">
        <v>14928</v>
      </c>
      <c r="E4956" t="s">
        <v>14929</v>
      </c>
      <c r="F4956" t="s">
        <v>95</v>
      </c>
      <c r="G4956" t="str">
        <f>HYPERLINK("https://www.youtube.com/watch?v=bbfbeofr0rs&amp;lc=UgzTYfr4NUfzAVNRrgd4AaABAg")</f>
        <v>https://www.youtube.com/watch?v=bbfbeofr0rs&amp;lc=UgzTYfr4NUfzAVNRrgd4AaABAg</v>
      </c>
      <c r="H4956" t="s">
        <v>46</v>
      </c>
      <c r="I4956" t="s">
        <v>14930</v>
      </c>
      <c r="J4956" t="str">
        <f>HYPERLINK("https://www.youtube.com/channel/UCgc6H0_eIRjTn-7uTAZhCxw")</f>
        <v>https://www.youtube.com/channel/UCgc6H0_eIRjTn-7uTAZhCxw</v>
      </c>
      <c r="K4956">
        <v>136</v>
      </c>
      <c r="N4956" t="s">
        <v>116</v>
      </c>
      <c r="O4956" t="s">
        <v>14931</v>
      </c>
      <c r="P4956" t="str">
        <f>HYPERLINK("https://www.youtube.com/channel/UCa8Hm6pHyCqmwjGnbKv8OPQ")</f>
        <v>https://www.youtube.com/channel/UCa8Hm6pHyCqmwjGnbKv8OPQ</v>
      </c>
      <c r="Q4956">
        <v>19</v>
      </c>
      <c r="R4956" t="s">
        <v>60</v>
      </c>
      <c r="W4956">
        <v>0</v>
      </c>
      <c r="X4956">
        <v>0</v>
      </c>
      <c r="AE4956">
        <v>0</v>
      </c>
      <c r="AM4956" t="s">
        <v>52</v>
      </c>
      <c r="AN4956" t="s">
        <v>53</v>
      </c>
    </row>
    <row r="4957" spans="1:40">
      <c r="A4957" t="s">
        <v>13057</v>
      </c>
      <c r="B4957" t="s">
        <v>4669</v>
      </c>
      <c r="C4957" t="s">
        <v>14932</v>
      </c>
      <c r="D4957" t="s">
        <v>52</v>
      </c>
      <c r="E4957" t="s">
        <v>14933</v>
      </c>
      <c r="F4957" t="s">
        <v>45</v>
      </c>
      <c r="G4957" t="str">
        <f>HYPERLINK("https://www.instagram.com/p/BzBmNVuAkkp")</f>
        <v>https://www.instagram.com/p/BzBmNVuAkkp</v>
      </c>
      <c r="H4957" t="s">
        <v>46</v>
      </c>
      <c r="I4957" t="s">
        <v>14934</v>
      </c>
      <c r="J4957" t="str">
        <f>HYPERLINK("http://instagram.com/havartijo")</f>
        <v>http://instagram.com/havartijo</v>
      </c>
      <c r="K4957">
        <v>14</v>
      </c>
      <c r="N4957" t="s">
        <v>59</v>
      </c>
      <c r="O4957" t="s">
        <v>14934</v>
      </c>
      <c r="P4957" t="str">
        <f>HYPERLINK("http://instagram.com/havartijo")</f>
        <v>http://instagram.com/havartijo</v>
      </c>
      <c r="Q4957">
        <v>14</v>
      </c>
      <c r="R4957" t="s">
        <v>60</v>
      </c>
      <c r="W4957">
        <v>7</v>
      </c>
      <c r="X4957">
        <v>7</v>
      </c>
      <c r="AE4957">
        <v>0</v>
      </c>
      <c r="AI4957" t="s">
        <v>52</v>
      </c>
      <c r="AJ4957" t="s">
        <v>985</v>
      </c>
      <c r="AK4957" t="s">
        <v>52</v>
      </c>
      <c r="AL4957" t="str">
        <f>HYPERLINK("https://www.instagram.com/p/BzBmNVuAkkp/media/?size=l")</f>
        <v>https://www.instagram.com/p/BzBmNVuAkkp/media/?size=l</v>
      </c>
      <c r="AM4957" t="s">
        <v>52</v>
      </c>
      <c r="AN4957" t="s">
        <v>53</v>
      </c>
    </row>
    <row r="4958" spans="1:40">
      <c r="A4958" t="s">
        <v>13057</v>
      </c>
      <c r="B4958" t="s">
        <v>4669</v>
      </c>
      <c r="C4958" t="s">
        <v>14915</v>
      </c>
      <c r="D4958" t="s">
        <v>14928</v>
      </c>
      <c r="E4958" t="s">
        <v>14928</v>
      </c>
      <c r="F4958" t="s">
        <v>45</v>
      </c>
      <c r="G4958" t="str">
        <f>HYPERLINK("https://www.youtube.com/watch?v=bbfbeofr0rs")</f>
        <v>https://www.youtube.com/watch?v=bbfbeofr0rs</v>
      </c>
      <c r="H4958" t="s">
        <v>46</v>
      </c>
      <c r="I4958" t="s">
        <v>14931</v>
      </c>
      <c r="J4958" t="str">
        <f>HYPERLINK("https://www.youtube.com/channel/UCa8Hm6pHyCqmwjGnbKv8OPQ")</f>
        <v>https://www.youtube.com/channel/UCa8Hm6pHyCqmwjGnbKv8OPQ</v>
      </c>
      <c r="K4958">
        <v>19</v>
      </c>
      <c r="N4958" t="s">
        <v>116</v>
      </c>
      <c r="O4958" t="s">
        <v>14931</v>
      </c>
      <c r="P4958" t="str">
        <f>HYPERLINK("https://www.youtube.com/channel/UCa8Hm6pHyCqmwjGnbKv8OPQ")</f>
        <v>https://www.youtube.com/channel/UCa8Hm6pHyCqmwjGnbKv8OPQ</v>
      </c>
      <c r="Q4958">
        <v>19</v>
      </c>
      <c r="R4958" t="s">
        <v>60</v>
      </c>
      <c r="W4958">
        <v>0</v>
      </c>
      <c r="X4958">
        <v>0</v>
      </c>
      <c r="AD4958">
        <v>0</v>
      </c>
      <c r="AE4958">
        <v>0</v>
      </c>
      <c r="AG4958">
        <v>13</v>
      </c>
      <c r="AI4958" t="s">
        <v>52</v>
      </c>
      <c r="AJ4958" t="s">
        <v>52</v>
      </c>
      <c r="AK4958" t="s">
        <v>52</v>
      </c>
      <c r="AL4958" t="str">
        <f>HYPERLINK("https://i.ytimg.com/vi/bbfbeofr0rs/maxresdefault.jpg")</f>
        <v>https://i.ytimg.com/vi/bbfbeofr0rs/maxresdefault.jpg</v>
      </c>
      <c r="AM4958" t="s">
        <v>52</v>
      </c>
      <c r="AN4958" t="s">
        <v>53</v>
      </c>
    </row>
    <row r="4959" spans="1:40">
      <c r="A4959" t="s">
        <v>13057</v>
      </c>
      <c r="B4959" t="s">
        <v>4674</v>
      </c>
      <c r="C4959" t="s">
        <v>14935</v>
      </c>
      <c r="D4959" t="s">
        <v>52</v>
      </c>
      <c r="E4959" t="s">
        <v>14936</v>
      </c>
      <c r="F4959" t="s">
        <v>95</v>
      </c>
      <c r="G4959" t="str">
        <f>HYPERLINK("https://twitter.com/972222212408213504/status/1142525106826203136")</f>
        <v>https://twitter.com/972222212408213504/status/1142525106826203136</v>
      </c>
      <c r="H4959" t="s">
        <v>215</v>
      </c>
      <c r="I4959" t="s">
        <v>14937</v>
      </c>
      <c r="J4959" t="str">
        <f>HYPERLINK("http://twitter.com/natasharoxanneb")</f>
        <v>http://twitter.com/natasharoxanneb</v>
      </c>
      <c r="K4959">
        <v>103</v>
      </c>
      <c r="L4959" t="s">
        <v>58</v>
      </c>
      <c r="N4959" t="s">
        <v>65</v>
      </c>
      <c r="R4959" t="s">
        <v>60</v>
      </c>
      <c r="S4959" t="s">
        <v>97</v>
      </c>
      <c r="T4959" t="s">
        <v>177</v>
      </c>
      <c r="U4959" t="s">
        <v>361</v>
      </c>
      <c r="W4959">
        <v>0</v>
      </c>
      <c r="X4959">
        <v>0</v>
      </c>
      <c r="AE4959">
        <v>0</v>
      </c>
      <c r="AF4959">
        <v>0</v>
      </c>
      <c r="AM4959" t="s">
        <v>52</v>
      </c>
      <c r="AN4959" t="s">
        <v>53</v>
      </c>
    </row>
    <row r="4960" spans="1:40">
      <c r="A4960" t="s">
        <v>13057</v>
      </c>
      <c r="B4960" t="s">
        <v>4674</v>
      </c>
      <c r="C4960" t="s">
        <v>14919</v>
      </c>
      <c r="D4960" t="s">
        <v>52</v>
      </c>
      <c r="E4960" t="s">
        <v>14938</v>
      </c>
      <c r="F4960" t="s">
        <v>95</v>
      </c>
      <c r="G4960" t="str">
        <f>HYPERLINK("https://twitter.com/60225863/status/1142525056217735168")</f>
        <v>https://twitter.com/60225863/status/1142525056217735168</v>
      </c>
      <c r="H4960" t="s">
        <v>46</v>
      </c>
      <c r="I4960" t="s">
        <v>14939</v>
      </c>
      <c r="J4960" t="str">
        <f>HYPERLINK("http://twitter.com/lalettt")</f>
        <v>http://twitter.com/lalettt</v>
      </c>
      <c r="K4960">
        <v>1056</v>
      </c>
      <c r="N4960" t="s">
        <v>65</v>
      </c>
      <c r="R4960" t="s">
        <v>60</v>
      </c>
      <c r="S4960" t="s">
        <v>2133</v>
      </c>
      <c r="T4960" t="s">
        <v>14940</v>
      </c>
      <c r="U4960" t="s">
        <v>14941</v>
      </c>
      <c r="W4960">
        <v>2</v>
      </c>
      <c r="X4960">
        <v>2</v>
      </c>
      <c r="AE4960">
        <v>1</v>
      </c>
      <c r="AF4960">
        <v>0</v>
      </c>
      <c r="AM4960" t="s">
        <v>52</v>
      </c>
      <c r="AN4960" t="s">
        <v>53</v>
      </c>
    </row>
    <row r="4961" spans="1:40">
      <c r="A4961" t="s">
        <v>13057</v>
      </c>
      <c r="B4961" t="s">
        <v>4674</v>
      </c>
      <c r="C4961" t="s">
        <v>14919</v>
      </c>
      <c r="D4961" t="s">
        <v>52</v>
      </c>
      <c r="E4961" t="s">
        <v>130</v>
      </c>
      <c r="F4961" t="s">
        <v>131</v>
      </c>
      <c r="G4961" t="str">
        <f>HYPERLINK("https://twitter.com/972222212408213504/status/1142525031156764672")</f>
        <v>https://twitter.com/972222212408213504/status/1142525031156764672</v>
      </c>
      <c r="H4961" t="s">
        <v>46</v>
      </c>
      <c r="I4961" t="s">
        <v>14937</v>
      </c>
      <c r="J4961" t="str">
        <f>HYPERLINK("http://twitter.com/natasharoxanneb")</f>
        <v>http://twitter.com/natasharoxanneb</v>
      </c>
      <c r="K4961">
        <v>103</v>
      </c>
      <c r="L4961" t="s">
        <v>58</v>
      </c>
      <c r="N4961" t="s">
        <v>65</v>
      </c>
      <c r="R4961" t="s">
        <v>60</v>
      </c>
      <c r="S4961" t="s">
        <v>97</v>
      </c>
      <c r="T4961" t="s">
        <v>177</v>
      </c>
      <c r="U4961" t="s">
        <v>361</v>
      </c>
      <c r="W4961">
        <v>0</v>
      </c>
      <c r="X4961">
        <v>0</v>
      </c>
      <c r="AE4961">
        <v>0</v>
      </c>
      <c r="AI4961" t="s">
        <v>108</v>
      </c>
      <c r="AJ4961" t="s">
        <v>52</v>
      </c>
      <c r="AK4961" t="s">
        <v>52</v>
      </c>
      <c r="AL4961" t="str">
        <f>HYPERLINK("https://pbs.twimg.com/media/D9XTkLWW4AAOYnJ.jpg")</f>
        <v>https://pbs.twimg.com/media/D9XTkLWW4AAOYnJ.jpg</v>
      </c>
      <c r="AM4961" t="s">
        <v>52</v>
      </c>
      <c r="AN4961" t="s">
        <v>53</v>
      </c>
    </row>
    <row r="4962" spans="1:40">
      <c r="A4962" t="s">
        <v>13057</v>
      </c>
      <c r="B4962" t="s">
        <v>4674</v>
      </c>
      <c r="C4962" t="s">
        <v>14942</v>
      </c>
      <c r="D4962" t="s">
        <v>52</v>
      </c>
      <c r="E4962" t="s">
        <v>14943</v>
      </c>
      <c r="F4962" t="s">
        <v>71</v>
      </c>
      <c r="G4962" t="str">
        <f>HYPERLINK("https://twitter.com/1138644173031170049/status/1142524985854091264")</f>
        <v>https://twitter.com/1138644173031170049/status/1142524985854091264</v>
      </c>
      <c r="H4962" t="s">
        <v>46</v>
      </c>
      <c r="I4962" t="s">
        <v>14944</v>
      </c>
      <c r="J4962" t="str">
        <f>HYPERLINK("http://twitter.com/chlorcadecwhe")</f>
        <v>http://twitter.com/chlorcadecwhe</v>
      </c>
      <c r="K4962">
        <v>1</v>
      </c>
      <c r="L4962" t="s">
        <v>58</v>
      </c>
      <c r="N4962" t="s">
        <v>65</v>
      </c>
      <c r="R4962" t="s">
        <v>60</v>
      </c>
      <c r="W4962">
        <v>0</v>
      </c>
      <c r="X4962">
        <v>0</v>
      </c>
      <c r="AE4962">
        <v>0</v>
      </c>
      <c r="AF4962">
        <v>0</v>
      </c>
      <c r="AM4962" t="s">
        <v>52</v>
      </c>
      <c r="AN4962" t="s">
        <v>53</v>
      </c>
    </row>
    <row r="4963" spans="1:40">
      <c r="A4963" t="s">
        <v>13057</v>
      </c>
      <c r="B4963" t="s">
        <v>4674</v>
      </c>
      <c r="C4963" t="s">
        <v>14932</v>
      </c>
      <c r="D4963" t="s">
        <v>52</v>
      </c>
      <c r="E4963" t="s">
        <v>14945</v>
      </c>
      <c r="F4963" t="s">
        <v>71</v>
      </c>
      <c r="G4963" t="str">
        <f>HYPERLINK("https://twitter.com/358491253/status/1142524946536701952")</f>
        <v>https://twitter.com/358491253/status/1142524946536701952</v>
      </c>
      <c r="H4963" t="s">
        <v>46</v>
      </c>
      <c r="I4963" t="s">
        <v>14946</v>
      </c>
      <c r="J4963" t="str">
        <f>HYPERLINK("http://twitter.com/KellyJeanValigy")</f>
        <v>http://twitter.com/KellyJeanValigy</v>
      </c>
      <c r="K4963">
        <v>1444</v>
      </c>
      <c r="N4963" t="s">
        <v>65</v>
      </c>
      <c r="R4963" t="s">
        <v>60</v>
      </c>
      <c r="S4963" t="s">
        <v>387</v>
      </c>
      <c r="T4963" t="s">
        <v>6728</v>
      </c>
      <c r="U4963" t="s">
        <v>14947</v>
      </c>
      <c r="W4963">
        <v>4</v>
      </c>
      <c r="X4963">
        <v>4</v>
      </c>
      <c r="AE4963">
        <v>1</v>
      </c>
      <c r="AF4963">
        <v>2</v>
      </c>
      <c r="AI4963" t="s">
        <v>1875</v>
      </c>
      <c r="AJ4963" t="s">
        <v>2828</v>
      </c>
      <c r="AK4963" t="s">
        <v>52</v>
      </c>
      <c r="AL4963" t="str">
        <f>HYPERLINK("https://pbs.twimg.com/media/D9g19WnXkAAJZTq.jpg")</f>
        <v>https://pbs.twimg.com/media/D9g19WnXkAAJZTq.jpg</v>
      </c>
      <c r="AM4963" t="s">
        <v>52</v>
      </c>
      <c r="AN4963" t="s">
        <v>53</v>
      </c>
    </row>
    <row r="4964" spans="1:40">
      <c r="A4964" t="s">
        <v>13057</v>
      </c>
      <c r="B4964" t="s">
        <v>4677</v>
      </c>
      <c r="C4964" t="s">
        <v>14948</v>
      </c>
      <c r="D4964" t="s">
        <v>52</v>
      </c>
      <c r="E4964" t="s">
        <v>14146</v>
      </c>
      <c r="F4964" t="s">
        <v>131</v>
      </c>
      <c r="G4964" t="str">
        <f>HYPERLINK("https://twitter.com/2433087924/status/1142524892727955456")</f>
        <v>https://twitter.com/2433087924/status/1142524892727955456</v>
      </c>
      <c r="H4964" t="s">
        <v>46</v>
      </c>
      <c r="I4964" t="s">
        <v>14949</v>
      </c>
      <c r="J4964" t="str">
        <f>HYPERLINK("http://twitter.com/NagiveUresti")</f>
        <v>http://twitter.com/NagiveUresti</v>
      </c>
      <c r="K4964">
        <v>684</v>
      </c>
      <c r="N4964" t="s">
        <v>65</v>
      </c>
      <c r="R4964" t="s">
        <v>60</v>
      </c>
      <c r="W4964">
        <v>0</v>
      </c>
      <c r="X4964">
        <v>0</v>
      </c>
      <c r="AE4964">
        <v>0</v>
      </c>
      <c r="AI4964" t="s">
        <v>108</v>
      </c>
      <c r="AJ4964" t="s">
        <v>52</v>
      </c>
      <c r="AK4964" t="s">
        <v>52</v>
      </c>
      <c r="AL4964" t="str">
        <f>HYPERLINK("https://pbs.twimg.com/media/D9sE5-LXUAA1AED.jpg")</f>
        <v>https://pbs.twimg.com/media/D9sE5-LXUAA1AED.jpg</v>
      </c>
      <c r="AM4964" t="s">
        <v>52</v>
      </c>
      <c r="AN4964" t="s">
        <v>53</v>
      </c>
    </row>
    <row r="4965" spans="1:40">
      <c r="A4965" t="s">
        <v>13057</v>
      </c>
      <c r="B4965" t="s">
        <v>4677</v>
      </c>
      <c r="C4965" t="s">
        <v>14950</v>
      </c>
      <c r="D4965" t="s">
        <v>52</v>
      </c>
      <c r="E4965" t="s">
        <v>14951</v>
      </c>
      <c r="F4965" t="s">
        <v>45</v>
      </c>
      <c r="G4965" t="str">
        <f>HYPERLINK("https://www.instagram.com/p/BzBl_rtnu1b")</f>
        <v>https://www.instagram.com/p/BzBl_rtnu1b</v>
      </c>
      <c r="H4965" t="s">
        <v>46</v>
      </c>
      <c r="I4965" t="s">
        <v>14952</v>
      </c>
      <c r="J4965" t="str">
        <f>HYPERLINK("http://instagram.com/corneviviers")</f>
        <v>http://instagram.com/corneviviers</v>
      </c>
      <c r="K4965">
        <v>480</v>
      </c>
      <c r="N4965" t="s">
        <v>59</v>
      </c>
      <c r="O4965" t="s">
        <v>14952</v>
      </c>
      <c r="P4965" t="str">
        <f>HYPERLINK("http://instagram.com/corneviviers")</f>
        <v>http://instagram.com/corneviviers</v>
      </c>
      <c r="Q4965">
        <v>480</v>
      </c>
      <c r="R4965" t="s">
        <v>60</v>
      </c>
      <c r="W4965">
        <v>34</v>
      </c>
      <c r="X4965">
        <v>34</v>
      </c>
      <c r="AE4965">
        <v>2</v>
      </c>
      <c r="AI4965" t="s">
        <v>108</v>
      </c>
      <c r="AJ4965" t="s">
        <v>121</v>
      </c>
      <c r="AK4965" t="s">
        <v>52</v>
      </c>
      <c r="AL4965" t="str">
        <f>HYPERLINK("https://www.instagram.com/p/BzBl_rtnu1b/media/?size=l")</f>
        <v>https://www.instagram.com/p/BzBl_rtnu1b/media/?size=l</v>
      </c>
      <c r="AM4965" t="s">
        <v>52</v>
      </c>
      <c r="AN4965" t="s">
        <v>53</v>
      </c>
    </row>
    <row r="4966" spans="1:40">
      <c r="A4966" t="s">
        <v>13057</v>
      </c>
      <c r="B4966" t="s">
        <v>4677</v>
      </c>
      <c r="C4966" t="s">
        <v>14953</v>
      </c>
      <c r="D4966" t="s">
        <v>52</v>
      </c>
      <c r="E4966" t="s">
        <v>14954</v>
      </c>
      <c r="F4966" t="s">
        <v>95</v>
      </c>
      <c r="G4966" t="str">
        <f>HYPERLINK("https://twitter.com/1126911179971092482/status/1142524715145281537")</f>
        <v>https://twitter.com/1126911179971092482/status/1142524715145281537</v>
      </c>
      <c r="H4966" t="s">
        <v>46</v>
      </c>
      <c r="I4966" t="s">
        <v>14955</v>
      </c>
      <c r="J4966" t="str">
        <f>HYPERLINK("http://twitter.com/bag_bombastic")</f>
        <v>http://twitter.com/bag_bombastic</v>
      </c>
      <c r="K4966">
        <v>280</v>
      </c>
      <c r="N4966" t="s">
        <v>65</v>
      </c>
      <c r="R4966" t="s">
        <v>60</v>
      </c>
      <c r="W4966">
        <v>1</v>
      </c>
      <c r="X4966">
        <v>1</v>
      </c>
      <c r="AE4966">
        <v>0</v>
      </c>
      <c r="AF4966">
        <v>0</v>
      </c>
      <c r="AI4966" t="s">
        <v>108</v>
      </c>
      <c r="AJ4966" t="s">
        <v>458</v>
      </c>
      <c r="AK4966" t="s">
        <v>52</v>
      </c>
      <c r="AL4966" t="str">
        <f>HYPERLINK("https://pbs.twimg.com/media/D9sQJpHXsAE5hth.jpg")</f>
        <v>https://pbs.twimg.com/media/D9sQJpHXsAE5hth.jpg</v>
      </c>
      <c r="AM4966" t="s">
        <v>52</v>
      </c>
      <c r="AN4966" t="s">
        <v>53</v>
      </c>
    </row>
    <row r="4967" spans="1:40">
      <c r="A4967" t="s">
        <v>13057</v>
      </c>
      <c r="B4967" t="s">
        <v>4677</v>
      </c>
      <c r="C4967" t="s">
        <v>3768</v>
      </c>
      <c r="D4967" t="s">
        <v>14956</v>
      </c>
      <c r="E4967" t="s">
        <v>14957</v>
      </c>
      <c r="F4967" t="s">
        <v>45</v>
      </c>
      <c r="G4967" t="str">
        <f>HYPERLINK("http://www.beastcoasttrailrunning.com/2019/06/2019-run-ragged-last-person-standing.html")</f>
        <v>http://www.beastcoasttrailrunning.com/2019/06/2019-run-ragged-last-person-standing.html</v>
      </c>
      <c r="H4967" t="s">
        <v>46</v>
      </c>
      <c r="I4967" t="s">
        <v>14958</v>
      </c>
      <c r="J4967" t="str">
        <f>HYPERLINK("http://www.beastcoasttrailrunning.com/2019/06/2019-run-ragged-last-person-standing.html")</f>
        <v>http://www.beastcoasttrailrunning.com/2019/06/2019-run-ragged-last-person-standing.html</v>
      </c>
      <c r="N4967" t="s">
        <v>14959</v>
      </c>
      <c r="R4967" t="s">
        <v>50</v>
      </c>
      <c r="AM4967" t="s">
        <v>52</v>
      </c>
      <c r="AN4967" t="s">
        <v>53</v>
      </c>
    </row>
    <row r="4968" spans="1:40">
      <c r="A4968" t="s">
        <v>13057</v>
      </c>
      <c r="B4968" t="s">
        <v>4677</v>
      </c>
      <c r="C4968" t="s">
        <v>14960</v>
      </c>
      <c r="D4968" t="s">
        <v>14956</v>
      </c>
      <c r="E4968" t="s">
        <v>14957</v>
      </c>
      <c r="F4968" t="s">
        <v>45</v>
      </c>
      <c r="G4968" t="str">
        <f>HYPERLINK("https://www.beastcoasttrailrunning.com/2019/06/2019-run-ragged-last-person-standing.html")</f>
        <v>https://www.beastcoasttrailrunning.com/2019/06/2019-run-ragged-last-person-standing.html</v>
      </c>
      <c r="H4968" t="s">
        <v>46</v>
      </c>
      <c r="I4968" t="s">
        <v>14958</v>
      </c>
      <c r="J4968" t="str">
        <f>HYPERLINK("https://www.beastcoasttrailrunning.com/2019/06/2019-run-ragged-last-person-standing.html")</f>
        <v>https://www.beastcoasttrailrunning.com/2019/06/2019-run-ragged-last-person-standing.html</v>
      </c>
      <c r="N4968" t="s">
        <v>14959</v>
      </c>
      <c r="R4968" t="s">
        <v>50</v>
      </c>
      <c r="AM4968" t="s">
        <v>52</v>
      </c>
      <c r="AN4968" t="s">
        <v>53</v>
      </c>
    </row>
    <row r="4969" spans="1:40">
      <c r="A4969" t="s">
        <v>13057</v>
      </c>
      <c r="B4969" t="s">
        <v>4682</v>
      </c>
      <c r="C4969" t="s">
        <v>14961</v>
      </c>
      <c r="D4969" t="s">
        <v>52</v>
      </c>
      <c r="E4969" t="s">
        <v>14962</v>
      </c>
      <c r="F4969" t="s">
        <v>45</v>
      </c>
      <c r="G4969" t="str">
        <f>HYPERLINK("https://www.instagram.com/p/BzBl561HErd")</f>
        <v>https://www.instagram.com/p/BzBl561HErd</v>
      </c>
      <c r="H4969" t="s">
        <v>46</v>
      </c>
      <c r="I4969" t="s">
        <v>14963</v>
      </c>
      <c r="J4969" t="str">
        <f>HYPERLINK("http://instagram.com/honey_sugar_and_moonlight")</f>
        <v>http://instagram.com/honey_sugar_and_moonlight</v>
      </c>
      <c r="K4969">
        <v>119</v>
      </c>
      <c r="N4969" t="s">
        <v>59</v>
      </c>
      <c r="O4969" t="s">
        <v>14963</v>
      </c>
      <c r="P4969" t="str">
        <f>HYPERLINK("http://instagram.com/honey_sugar_and_moonlight")</f>
        <v>http://instagram.com/honey_sugar_and_moonlight</v>
      </c>
      <c r="Q4969">
        <v>119</v>
      </c>
      <c r="R4969" t="s">
        <v>60</v>
      </c>
      <c r="S4969" t="s">
        <v>226</v>
      </c>
      <c r="U4969" t="s">
        <v>14964</v>
      </c>
      <c r="W4969">
        <v>29</v>
      </c>
      <c r="X4969">
        <v>29</v>
      </c>
      <c r="AE4969">
        <v>8</v>
      </c>
      <c r="AI4969" t="s">
        <v>108</v>
      </c>
      <c r="AJ4969" t="s">
        <v>52</v>
      </c>
      <c r="AK4969" t="s">
        <v>5781</v>
      </c>
      <c r="AL4969" t="str">
        <f>HYPERLINK("https://www.instagram.com/p/BzBl561HErd/media/?size=l")</f>
        <v>https://www.instagram.com/p/BzBl561HErd/media/?size=l</v>
      </c>
      <c r="AM4969" t="s">
        <v>52</v>
      </c>
      <c r="AN4969" t="s">
        <v>53</v>
      </c>
    </row>
    <row r="4970" spans="1:40">
      <c r="A4970" t="s">
        <v>13057</v>
      </c>
      <c r="B4970" t="s">
        <v>10264</v>
      </c>
      <c r="C4970" t="s">
        <v>14965</v>
      </c>
      <c r="D4970" t="s">
        <v>52</v>
      </c>
      <c r="E4970" t="s">
        <v>14966</v>
      </c>
      <c r="F4970" t="s">
        <v>45</v>
      </c>
      <c r="G4970" t="str">
        <f>HYPERLINK("https://www.instagram.com/p/BzBlrulhlwP")</f>
        <v>https://www.instagram.com/p/BzBlrulhlwP</v>
      </c>
      <c r="H4970" t="s">
        <v>46</v>
      </c>
      <c r="I4970" t="s">
        <v>52</v>
      </c>
      <c r="J4970" t="str">
        <f>HYPERLINK("http://instagram.com/oxsicklexo")</f>
        <v>http://instagram.com/oxsicklexo</v>
      </c>
      <c r="K4970">
        <v>24</v>
      </c>
      <c r="N4970" t="s">
        <v>59</v>
      </c>
      <c r="O4970" t="s">
        <v>52</v>
      </c>
      <c r="P4970" t="str">
        <f>HYPERLINK("http://instagram.com/oxsicklexo")</f>
        <v>http://instagram.com/oxsicklexo</v>
      </c>
      <c r="Q4970">
        <v>24</v>
      </c>
      <c r="R4970" t="s">
        <v>60</v>
      </c>
      <c r="W4970">
        <v>6</v>
      </c>
      <c r="X4970">
        <v>6</v>
      </c>
      <c r="AE4970">
        <v>1</v>
      </c>
      <c r="AG4970">
        <v>29</v>
      </c>
      <c r="AI4970" t="s">
        <v>52</v>
      </c>
      <c r="AJ4970" t="s">
        <v>14967</v>
      </c>
      <c r="AK4970" t="s">
        <v>52</v>
      </c>
      <c r="AL4970" t="str">
        <f>HYPERLINK("https://www.instagram.com/p/BzBlrulhlwP/media/?size=l")</f>
        <v>https://www.instagram.com/p/BzBlrulhlwP/media/?size=l</v>
      </c>
      <c r="AM4970" t="s">
        <v>52</v>
      </c>
      <c r="AN4970" t="s">
        <v>53</v>
      </c>
    </row>
    <row r="4971" spans="1:40">
      <c r="A4971" t="s">
        <v>13057</v>
      </c>
      <c r="B4971" t="s">
        <v>4686</v>
      </c>
      <c r="C4971" t="s">
        <v>14968</v>
      </c>
      <c r="D4971" t="s">
        <v>52</v>
      </c>
      <c r="E4971" t="s">
        <v>4514</v>
      </c>
      <c r="F4971" t="s">
        <v>71</v>
      </c>
      <c r="G4971" t="str">
        <f>HYPERLINK("https://twitter.com/1007029119823982592/status/1142523793652326401")</f>
        <v>https://twitter.com/1007029119823982592/status/1142523793652326401</v>
      </c>
      <c r="H4971" t="s">
        <v>46</v>
      </c>
      <c r="I4971" t="s">
        <v>14969</v>
      </c>
      <c r="J4971" t="str">
        <f>HYPERLINK("http://twitter.com/ThomasLyndem08")</f>
        <v>http://twitter.com/ThomasLyndem08</v>
      </c>
      <c r="K4971">
        <v>119</v>
      </c>
      <c r="N4971" t="s">
        <v>65</v>
      </c>
      <c r="R4971" t="s">
        <v>60</v>
      </c>
      <c r="W4971">
        <v>0</v>
      </c>
      <c r="X4971">
        <v>0</v>
      </c>
      <c r="AE4971">
        <v>0</v>
      </c>
      <c r="AF4971">
        <v>0</v>
      </c>
      <c r="AI4971" t="s">
        <v>108</v>
      </c>
      <c r="AJ4971" t="s">
        <v>52</v>
      </c>
      <c r="AK4971" t="s">
        <v>52</v>
      </c>
      <c r="AL4971" t="str">
        <f>HYPERLINK("https://pbs.twimg.com/tweet_video_thumb/D9hvNNzXUAATAS3.jpg")</f>
        <v>https://pbs.twimg.com/tweet_video_thumb/D9hvNNzXUAATAS3.jpg</v>
      </c>
      <c r="AM4971" t="s">
        <v>52</v>
      </c>
      <c r="AN4971" t="s">
        <v>53</v>
      </c>
    </row>
    <row r="4972" spans="1:40">
      <c r="A4972" t="s">
        <v>13057</v>
      </c>
      <c r="B4972" t="s">
        <v>10276</v>
      </c>
      <c r="C4972" t="s">
        <v>14970</v>
      </c>
      <c r="D4972" t="s">
        <v>52</v>
      </c>
      <c r="E4972" t="s">
        <v>14971</v>
      </c>
      <c r="F4972" t="s">
        <v>95</v>
      </c>
      <c r="G4972" t="str">
        <f>HYPERLINK("https://twitter.com/464992216/status/1142523504333639680")</f>
        <v>https://twitter.com/464992216/status/1142523504333639680</v>
      </c>
      <c r="H4972" t="s">
        <v>46</v>
      </c>
      <c r="I4972" t="s">
        <v>14972</v>
      </c>
      <c r="J4972" t="str">
        <f>HYPERLINK("http://twitter.com/danaemoraless")</f>
        <v>http://twitter.com/danaemoraless</v>
      </c>
      <c r="K4972">
        <v>717</v>
      </c>
      <c r="N4972" t="s">
        <v>65</v>
      </c>
      <c r="R4972" t="s">
        <v>60</v>
      </c>
      <c r="S4972" t="s">
        <v>437</v>
      </c>
      <c r="T4972" t="s">
        <v>6309</v>
      </c>
      <c r="U4972" t="s">
        <v>6310</v>
      </c>
      <c r="W4972">
        <v>0</v>
      </c>
      <c r="X4972">
        <v>0</v>
      </c>
      <c r="AE4972">
        <v>0</v>
      </c>
      <c r="AF4972">
        <v>0</v>
      </c>
      <c r="AI4972" t="s">
        <v>52</v>
      </c>
      <c r="AJ4972" t="s">
        <v>52</v>
      </c>
      <c r="AK4972" t="s">
        <v>2951</v>
      </c>
      <c r="AL4972" t="str">
        <f>HYPERLINK("https://pbs.twimg.com/media/D9sPEWAXoAU5TMB.jpg")</f>
        <v>https://pbs.twimg.com/media/D9sPEWAXoAU5TMB.jpg</v>
      </c>
      <c r="AM4972" t="s">
        <v>52</v>
      </c>
      <c r="AN4972" t="s">
        <v>53</v>
      </c>
    </row>
    <row r="4973" spans="1:40">
      <c r="A4973" t="s">
        <v>13057</v>
      </c>
      <c r="B4973" t="s">
        <v>10276</v>
      </c>
      <c r="C4973" t="s">
        <v>14973</v>
      </c>
      <c r="D4973" t="s">
        <v>52</v>
      </c>
      <c r="E4973" t="s">
        <v>14974</v>
      </c>
      <c r="F4973" t="s">
        <v>45</v>
      </c>
      <c r="G4973" t="str">
        <f>HYPERLINK("https://www.instagram.com/p/BzBlYF0hSDt")</f>
        <v>https://www.instagram.com/p/BzBlYF0hSDt</v>
      </c>
      <c r="H4973" t="s">
        <v>46</v>
      </c>
      <c r="I4973" t="s">
        <v>14975</v>
      </c>
      <c r="J4973" t="str">
        <f>HYPERLINK("http://instagram.com/warriorup_fit")</f>
        <v>http://instagram.com/warriorup_fit</v>
      </c>
      <c r="K4973">
        <v>314</v>
      </c>
      <c r="L4973" t="s">
        <v>58</v>
      </c>
      <c r="N4973" t="s">
        <v>59</v>
      </c>
      <c r="O4973" t="s">
        <v>14975</v>
      </c>
      <c r="P4973" t="str">
        <f>HYPERLINK("http://instagram.com/warriorup_fit")</f>
        <v>http://instagram.com/warriorup_fit</v>
      </c>
      <c r="Q4973">
        <v>314</v>
      </c>
      <c r="R4973" t="s">
        <v>60</v>
      </c>
      <c r="S4973" t="s">
        <v>51</v>
      </c>
      <c r="T4973" t="s">
        <v>173</v>
      </c>
      <c r="U4973" t="s">
        <v>14976</v>
      </c>
      <c r="W4973">
        <v>25</v>
      </c>
      <c r="X4973">
        <v>25</v>
      </c>
      <c r="AE4973">
        <v>0</v>
      </c>
      <c r="AI4973" t="s">
        <v>52</v>
      </c>
      <c r="AJ4973" t="s">
        <v>14977</v>
      </c>
      <c r="AK4973" t="s">
        <v>52</v>
      </c>
      <c r="AL4973" t="str">
        <f>HYPERLINK("https://www.instagram.com/p/BzBlYF0hSDt/media/?size=l")</f>
        <v>https://www.instagram.com/p/BzBlYF0hSDt/media/?size=l</v>
      </c>
      <c r="AM4973" t="s">
        <v>52</v>
      </c>
      <c r="AN4973" t="s">
        <v>53</v>
      </c>
    </row>
    <row r="4974" spans="1:40">
      <c r="A4974" t="s">
        <v>13057</v>
      </c>
      <c r="B4974" t="s">
        <v>4691</v>
      </c>
      <c r="C4974" t="s">
        <v>14978</v>
      </c>
      <c r="D4974" t="s">
        <v>52</v>
      </c>
      <c r="E4974" t="s">
        <v>14979</v>
      </c>
      <c r="F4974" t="s">
        <v>45</v>
      </c>
      <c r="G4974" t="str">
        <f>HYPERLINK("https://twitter.com/1021877642679775232/status/1142523387769753602")</f>
        <v>https://twitter.com/1021877642679775232/status/1142523387769753602</v>
      </c>
      <c r="H4974" t="s">
        <v>46</v>
      </c>
      <c r="I4974" t="s">
        <v>14980</v>
      </c>
      <c r="J4974" t="str">
        <f>HYPERLINK("http://twitter.com/RitchieXanchez")</f>
        <v>http://twitter.com/RitchieXanchez</v>
      </c>
      <c r="K4974">
        <v>165</v>
      </c>
      <c r="N4974" t="s">
        <v>65</v>
      </c>
      <c r="R4974" t="s">
        <v>60</v>
      </c>
      <c r="S4974" t="s">
        <v>872</v>
      </c>
      <c r="T4974" t="s">
        <v>14981</v>
      </c>
      <c r="U4974" t="s">
        <v>14982</v>
      </c>
      <c r="W4974">
        <v>0</v>
      </c>
      <c r="X4974">
        <v>0</v>
      </c>
      <c r="AE4974">
        <v>0</v>
      </c>
      <c r="AF4974">
        <v>0</v>
      </c>
      <c r="AM4974" t="s">
        <v>52</v>
      </c>
      <c r="AN4974" t="s">
        <v>53</v>
      </c>
    </row>
    <row r="4975" spans="1:40">
      <c r="A4975" t="s">
        <v>13057</v>
      </c>
      <c r="B4975" t="s">
        <v>4691</v>
      </c>
      <c r="C4975" t="s">
        <v>14267</v>
      </c>
      <c r="D4975" t="s">
        <v>52</v>
      </c>
      <c r="E4975" t="s">
        <v>14983</v>
      </c>
      <c r="F4975" t="s">
        <v>45</v>
      </c>
      <c r="G4975" t="str">
        <f>HYPERLINK("https://www.facebook.com/191312931605269/posts/503524483717444")</f>
        <v>https://www.facebook.com/191312931605269/posts/503524483717444</v>
      </c>
      <c r="H4975" t="s">
        <v>215</v>
      </c>
      <c r="I4975" t="s">
        <v>14984</v>
      </c>
      <c r="J4975" t="str">
        <f>HYPERLINK("https://www.facebook.com/191312931605269")</f>
        <v>https://www.facebook.com/191312931605269</v>
      </c>
      <c r="K4975">
        <v>2415</v>
      </c>
      <c r="L4975" t="s">
        <v>651</v>
      </c>
      <c r="N4975" t="s">
        <v>1792</v>
      </c>
      <c r="O4975" t="s">
        <v>14984</v>
      </c>
      <c r="P4975" t="str">
        <f>HYPERLINK("https://www.facebook.com/191312931605269")</f>
        <v>https://www.facebook.com/191312931605269</v>
      </c>
      <c r="Q4975">
        <v>2415</v>
      </c>
      <c r="R4975" t="s">
        <v>60</v>
      </c>
      <c r="S4975" t="s">
        <v>437</v>
      </c>
      <c r="W4975">
        <v>7</v>
      </c>
      <c r="X4975">
        <v>5</v>
      </c>
      <c r="Y4975">
        <v>2</v>
      </c>
      <c r="Z4975">
        <v>0</v>
      </c>
      <c r="AA4975">
        <v>0</v>
      </c>
      <c r="AB4975">
        <v>0</v>
      </c>
      <c r="AC4975">
        <v>0</v>
      </c>
      <c r="AE4975">
        <v>0</v>
      </c>
      <c r="AF4975">
        <v>2</v>
      </c>
      <c r="AI4975" t="s">
        <v>52</v>
      </c>
      <c r="AJ4975" t="s">
        <v>14985</v>
      </c>
      <c r="AK4975" t="s">
        <v>52</v>
      </c>
      <c r="AL4975" t="str">
        <f>HYPERLINK("https://scontent.xx.fbcdn.net/v/t1.0-9/s720x720/64838574_503523937050832_8666003930305527808_o.jpg?_nc_cat=106&amp;_nc_ht=scontent.xx&amp;oh=983ca3b6d017a7558ba8d1b6ecbe1238&amp;oe=5DC72952")</f>
        <v>https://scontent.xx.fbcdn.net/v/t1.0-9/s720x720/64838574_503523937050832_8666003930305527808_o.jpg?_nc_cat=106&amp;_nc_ht=scontent.xx&amp;oh=983ca3b6d017a7558ba8d1b6ecbe1238&amp;oe=5DC72952</v>
      </c>
      <c r="AM4975" t="s">
        <v>52</v>
      </c>
      <c r="AN4975" t="s">
        <v>53</v>
      </c>
    </row>
    <row r="4976" spans="1:40">
      <c r="A4976" t="s">
        <v>13057</v>
      </c>
      <c r="B4976" t="s">
        <v>4707</v>
      </c>
      <c r="C4976" t="s">
        <v>14986</v>
      </c>
      <c r="D4976" t="s">
        <v>52</v>
      </c>
      <c r="E4976" t="s">
        <v>14987</v>
      </c>
      <c r="F4976" t="s">
        <v>45</v>
      </c>
      <c r="G4976" t="str">
        <f>HYPERLINK("https://www.instagram.com/p/BzBlI_cHacO")</f>
        <v>https://www.instagram.com/p/BzBlI_cHacO</v>
      </c>
      <c r="H4976" t="s">
        <v>46</v>
      </c>
      <c r="I4976" t="s">
        <v>14988</v>
      </c>
      <c r="J4976" t="str">
        <f>HYPERLINK("http://instagram.com/pandaspiggy")</f>
        <v>http://instagram.com/pandaspiggy</v>
      </c>
      <c r="K4976">
        <v>26</v>
      </c>
      <c r="N4976" t="s">
        <v>59</v>
      </c>
      <c r="O4976" t="s">
        <v>14988</v>
      </c>
      <c r="P4976" t="str">
        <f>HYPERLINK("http://instagram.com/pandaspiggy")</f>
        <v>http://instagram.com/pandaspiggy</v>
      </c>
      <c r="Q4976">
        <v>26</v>
      </c>
      <c r="R4976" t="s">
        <v>60</v>
      </c>
      <c r="W4976">
        <v>0</v>
      </c>
      <c r="X4976">
        <v>0</v>
      </c>
      <c r="AE4976">
        <v>0</v>
      </c>
      <c r="AI4976" t="s">
        <v>52</v>
      </c>
      <c r="AJ4976" t="s">
        <v>461</v>
      </c>
      <c r="AK4976" t="s">
        <v>52</v>
      </c>
      <c r="AL4976" t="str">
        <f>HYPERLINK("https://www.instagram.com/p/BzBlI_cHacO/media/?size=l")</f>
        <v>https://www.instagram.com/p/BzBlI_cHacO/media/?size=l</v>
      </c>
      <c r="AM4976" t="s">
        <v>52</v>
      </c>
      <c r="AN4976" t="s">
        <v>53</v>
      </c>
    </row>
    <row r="4977" spans="1:40">
      <c r="A4977" t="s">
        <v>13057</v>
      </c>
      <c r="B4977" t="s">
        <v>4707</v>
      </c>
      <c r="C4977" t="s">
        <v>14989</v>
      </c>
      <c r="D4977" t="s">
        <v>52</v>
      </c>
      <c r="E4977" t="s">
        <v>9351</v>
      </c>
      <c r="F4977" t="s">
        <v>131</v>
      </c>
      <c r="G4977" t="str">
        <f>HYPERLINK("https://twitter.com/2809586744/status/1142522896562184192")</f>
        <v>https://twitter.com/2809586744/status/1142522896562184192</v>
      </c>
      <c r="H4977" t="s">
        <v>46</v>
      </c>
      <c r="I4977" t="s">
        <v>14990</v>
      </c>
      <c r="J4977" t="str">
        <f>HYPERLINK("http://twitter.com/Nutradvance")</f>
        <v>http://twitter.com/Nutradvance</v>
      </c>
      <c r="K4977">
        <v>10466</v>
      </c>
      <c r="L4977" t="s">
        <v>48</v>
      </c>
      <c r="N4977" t="s">
        <v>65</v>
      </c>
      <c r="R4977" t="s">
        <v>60</v>
      </c>
      <c r="W4977">
        <v>0</v>
      </c>
      <c r="X4977">
        <v>0</v>
      </c>
      <c r="AE4977">
        <v>0</v>
      </c>
      <c r="AI4977" t="s">
        <v>52</v>
      </c>
      <c r="AJ4977" t="s">
        <v>52</v>
      </c>
      <c r="AK4977" t="s">
        <v>52</v>
      </c>
      <c r="AL4977" t="str">
        <f>HYPERLINK("https://pbs.twimg.com/media/D9mFywEW4AY05Wr.jpg")</f>
        <v>https://pbs.twimg.com/media/D9mFywEW4AY05Wr.jpg</v>
      </c>
      <c r="AM4977" t="s">
        <v>52</v>
      </c>
      <c r="AN4977" t="s">
        <v>53</v>
      </c>
    </row>
    <row r="4978" spans="1:40">
      <c r="A4978" t="s">
        <v>13057</v>
      </c>
      <c r="B4978" t="s">
        <v>4718</v>
      </c>
      <c r="C4978" t="s">
        <v>14991</v>
      </c>
      <c r="D4978" t="s">
        <v>52</v>
      </c>
      <c r="E4978" t="s">
        <v>276</v>
      </c>
      <c r="F4978" t="s">
        <v>131</v>
      </c>
      <c r="G4978" t="str">
        <f>HYPERLINK("https://twitter.com/58648516/status/1142522885526970369")</f>
        <v>https://twitter.com/58648516/status/1142522885526970369</v>
      </c>
      <c r="H4978" t="s">
        <v>46</v>
      </c>
      <c r="I4978" t="s">
        <v>14992</v>
      </c>
      <c r="J4978" t="str">
        <f>HYPERLINK("http://twitter.com/misti911")</f>
        <v>http://twitter.com/misti911</v>
      </c>
      <c r="K4978">
        <v>1214</v>
      </c>
      <c r="L4978" t="s">
        <v>58</v>
      </c>
      <c r="N4978" t="s">
        <v>65</v>
      </c>
      <c r="R4978" t="s">
        <v>60</v>
      </c>
      <c r="W4978">
        <v>0</v>
      </c>
      <c r="X4978">
        <v>0</v>
      </c>
      <c r="AE4978">
        <v>0</v>
      </c>
      <c r="AI4978" t="s">
        <v>108</v>
      </c>
      <c r="AJ4978" t="s">
        <v>52</v>
      </c>
      <c r="AK4978" t="s">
        <v>52</v>
      </c>
      <c r="AL4978" t="str">
        <f>HYPERLINK("https://pbs.twimg.com/tweet_video_thumb/D9hvNNzXUAATAS3.jpg")</f>
        <v>https://pbs.twimg.com/tweet_video_thumb/D9hvNNzXUAATAS3.jpg</v>
      </c>
      <c r="AM4978" t="s">
        <v>52</v>
      </c>
      <c r="AN4978" t="s">
        <v>53</v>
      </c>
    </row>
    <row r="4979" spans="1:40">
      <c r="A4979" t="s">
        <v>13057</v>
      </c>
      <c r="B4979" t="s">
        <v>4718</v>
      </c>
      <c r="C4979" t="s">
        <v>14978</v>
      </c>
      <c r="D4979" t="s">
        <v>52</v>
      </c>
      <c r="E4979" t="s">
        <v>14993</v>
      </c>
      <c r="F4979" t="s">
        <v>95</v>
      </c>
      <c r="G4979" t="str">
        <f>HYPERLINK("https://twitter.com/4886105669/status/1142522831835676672")</f>
        <v>https://twitter.com/4886105669/status/1142522831835676672</v>
      </c>
      <c r="H4979" t="s">
        <v>46</v>
      </c>
      <c r="I4979" t="s">
        <v>14994</v>
      </c>
      <c r="J4979" t="str">
        <f>HYPERLINK("http://twitter.com/NotWillSmith957")</f>
        <v>http://twitter.com/NotWillSmith957</v>
      </c>
      <c r="K4979">
        <v>71</v>
      </c>
      <c r="L4979" t="s">
        <v>48</v>
      </c>
      <c r="N4979" t="s">
        <v>65</v>
      </c>
      <c r="R4979" t="s">
        <v>60</v>
      </c>
      <c r="S4979" t="s">
        <v>14995</v>
      </c>
      <c r="T4979" t="s">
        <v>14996</v>
      </c>
      <c r="U4979" t="s">
        <v>14997</v>
      </c>
      <c r="W4979">
        <v>0</v>
      </c>
      <c r="X4979">
        <v>0</v>
      </c>
      <c r="AE4979">
        <v>0</v>
      </c>
      <c r="AF4979">
        <v>0</v>
      </c>
      <c r="AM4979" t="s">
        <v>52</v>
      </c>
      <c r="AN4979" t="s">
        <v>53</v>
      </c>
    </row>
    <row r="4980" spans="1:40">
      <c r="A4980" t="s">
        <v>13057</v>
      </c>
      <c r="B4980" t="s">
        <v>4718</v>
      </c>
      <c r="C4980" t="s">
        <v>14998</v>
      </c>
      <c r="D4980" t="s">
        <v>52</v>
      </c>
      <c r="E4980" t="s">
        <v>14146</v>
      </c>
      <c r="F4980" t="s">
        <v>131</v>
      </c>
      <c r="G4980" t="str">
        <f>HYPERLINK("https://twitter.com/1355717310/status/1142522790379233282")</f>
        <v>https://twitter.com/1355717310/status/1142522790379233282</v>
      </c>
      <c r="H4980" t="s">
        <v>46</v>
      </c>
      <c r="I4980" t="s">
        <v>14999</v>
      </c>
      <c r="J4980" t="str">
        <f>HYPERLINK("http://twitter.com/EderRiMo")</f>
        <v>http://twitter.com/EderRiMo</v>
      </c>
      <c r="K4980">
        <v>87</v>
      </c>
      <c r="L4980" t="s">
        <v>48</v>
      </c>
      <c r="N4980" t="s">
        <v>65</v>
      </c>
      <c r="R4980" t="s">
        <v>60</v>
      </c>
      <c r="S4980" t="s">
        <v>437</v>
      </c>
      <c r="T4980" t="s">
        <v>528</v>
      </c>
      <c r="U4980" t="s">
        <v>529</v>
      </c>
      <c r="W4980">
        <v>0</v>
      </c>
      <c r="X4980">
        <v>0</v>
      </c>
      <c r="AE4980">
        <v>0</v>
      </c>
      <c r="AI4980" t="s">
        <v>108</v>
      </c>
      <c r="AJ4980" t="s">
        <v>52</v>
      </c>
      <c r="AK4980" t="s">
        <v>52</v>
      </c>
      <c r="AL4980" t="str">
        <f>HYPERLINK("https://pbs.twimg.com/media/D9sE5-LXUAA1AED.jpg")</f>
        <v>https://pbs.twimg.com/media/D9sE5-LXUAA1AED.jpg</v>
      </c>
      <c r="AM4980" t="s">
        <v>52</v>
      </c>
      <c r="AN4980" t="s">
        <v>53</v>
      </c>
    </row>
    <row r="4981" spans="1:40">
      <c r="A4981" t="s">
        <v>13057</v>
      </c>
      <c r="B4981" t="s">
        <v>4718</v>
      </c>
      <c r="C4981" t="s">
        <v>15000</v>
      </c>
      <c r="D4981" t="s">
        <v>52</v>
      </c>
      <c r="E4981" t="s">
        <v>15001</v>
      </c>
      <c r="F4981" t="s">
        <v>45</v>
      </c>
      <c r="G4981" t="str">
        <f>HYPERLINK("https://www.instagram.com/p/BzBlCjsFvON")</f>
        <v>https://www.instagram.com/p/BzBlCjsFvON</v>
      </c>
      <c r="H4981" t="s">
        <v>46</v>
      </c>
      <c r="I4981" t="s">
        <v>13172</v>
      </c>
      <c r="J4981" t="str">
        <f>HYPERLINK("http://instagram.com/qtadore")</f>
        <v>http://instagram.com/qtadore</v>
      </c>
      <c r="K4981">
        <v>81</v>
      </c>
      <c r="N4981" t="s">
        <v>59</v>
      </c>
      <c r="O4981" t="s">
        <v>13172</v>
      </c>
      <c r="P4981" t="str">
        <f>HYPERLINK("http://instagram.com/qtadore")</f>
        <v>http://instagram.com/qtadore</v>
      </c>
      <c r="Q4981">
        <v>81</v>
      </c>
      <c r="R4981" t="s">
        <v>60</v>
      </c>
      <c r="W4981">
        <v>31</v>
      </c>
      <c r="X4981">
        <v>31</v>
      </c>
      <c r="AE4981">
        <v>3</v>
      </c>
      <c r="AI4981" t="s">
        <v>108</v>
      </c>
      <c r="AJ4981" t="s">
        <v>52</v>
      </c>
      <c r="AK4981" t="s">
        <v>52</v>
      </c>
      <c r="AL4981" t="str">
        <f>HYPERLINK("https://www.instagram.com/p/BzBlCjsFvON/media/?size=l")</f>
        <v>https://www.instagram.com/p/BzBlCjsFvON/media/?size=l</v>
      </c>
      <c r="AM4981" t="s">
        <v>52</v>
      </c>
      <c r="AN4981" t="s">
        <v>53</v>
      </c>
    </row>
    <row r="4982" spans="1:40">
      <c r="A4982" t="s">
        <v>13057</v>
      </c>
      <c r="B4982" t="s">
        <v>10328</v>
      </c>
      <c r="C4982" t="s">
        <v>14908</v>
      </c>
      <c r="D4982" t="s">
        <v>52</v>
      </c>
      <c r="E4982" t="s">
        <v>15002</v>
      </c>
      <c r="F4982" t="s">
        <v>45</v>
      </c>
      <c r="G4982" t="str">
        <f>HYPERLINK("https://www.instagram.com/p/BzBk93spzIw")</f>
        <v>https://www.instagram.com/p/BzBk93spzIw</v>
      </c>
      <c r="H4982" t="s">
        <v>46</v>
      </c>
      <c r="I4982" t="s">
        <v>3375</v>
      </c>
      <c r="J4982" t="str">
        <f>HYPERLINK("http://instagram.com/los_doritos_de_los_bts_")</f>
        <v>http://instagram.com/los_doritos_de_los_bts_</v>
      </c>
      <c r="K4982">
        <v>0</v>
      </c>
      <c r="N4982" t="s">
        <v>59</v>
      </c>
      <c r="O4982" t="s">
        <v>3375</v>
      </c>
      <c r="P4982" t="str">
        <f>HYPERLINK("http://instagram.com/los_doritos_de_los_bts_")</f>
        <v>http://instagram.com/los_doritos_de_los_bts_</v>
      </c>
      <c r="Q4982">
        <v>0</v>
      </c>
      <c r="R4982" t="s">
        <v>60</v>
      </c>
      <c r="S4982" t="s">
        <v>51</v>
      </c>
      <c r="T4982" t="s">
        <v>173</v>
      </c>
      <c r="U4982" t="s">
        <v>13898</v>
      </c>
      <c r="W4982">
        <v>7</v>
      </c>
      <c r="X4982">
        <v>7</v>
      </c>
      <c r="AE4982">
        <v>0</v>
      </c>
      <c r="AI4982" t="s">
        <v>52</v>
      </c>
      <c r="AJ4982" t="s">
        <v>52</v>
      </c>
      <c r="AK4982" t="s">
        <v>52</v>
      </c>
      <c r="AL4982" t="str">
        <f>HYPERLINK("https://www.instagram.com/p/BzBk93spzIw/media/?size=l")</f>
        <v>https://www.instagram.com/p/BzBk93spzIw/media/?size=l</v>
      </c>
      <c r="AM4982" t="s">
        <v>52</v>
      </c>
      <c r="AN4982" t="s">
        <v>53</v>
      </c>
    </row>
    <row r="4983" spans="1:40">
      <c r="A4983" t="s">
        <v>13057</v>
      </c>
      <c r="B4983" t="s">
        <v>10328</v>
      </c>
      <c r="C4983" t="s">
        <v>14970</v>
      </c>
      <c r="D4983" t="s">
        <v>52</v>
      </c>
      <c r="E4983" t="s">
        <v>15003</v>
      </c>
      <c r="F4983" t="s">
        <v>45</v>
      </c>
      <c r="G4983" t="str">
        <f>HYPERLINK("https://www.instagram.com/p/BzBk5xvFFmB")</f>
        <v>https://www.instagram.com/p/BzBk5xvFFmB</v>
      </c>
      <c r="H4983" t="s">
        <v>46</v>
      </c>
      <c r="I4983" t="s">
        <v>15004</v>
      </c>
      <c r="J4983" t="str">
        <f>HYPERLINK("http://instagram.com/jen_robbo15")</f>
        <v>http://instagram.com/jen_robbo15</v>
      </c>
      <c r="K4983">
        <v>161</v>
      </c>
      <c r="N4983" t="s">
        <v>59</v>
      </c>
      <c r="O4983" t="s">
        <v>15004</v>
      </c>
      <c r="P4983" t="str">
        <f>HYPERLINK("http://instagram.com/jen_robbo15")</f>
        <v>http://instagram.com/jen_robbo15</v>
      </c>
      <c r="Q4983">
        <v>161</v>
      </c>
      <c r="R4983" t="s">
        <v>60</v>
      </c>
      <c r="W4983">
        <v>10</v>
      </c>
      <c r="X4983">
        <v>10</v>
      </c>
      <c r="AE4983">
        <v>0</v>
      </c>
      <c r="AI4983" t="s">
        <v>52</v>
      </c>
      <c r="AJ4983" t="s">
        <v>15005</v>
      </c>
      <c r="AK4983" t="s">
        <v>52</v>
      </c>
      <c r="AL4983" t="str">
        <f>HYPERLINK("https://www.instagram.com/p/BzBk5xvFFmB/media/?size=l")</f>
        <v>https://www.instagram.com/p/BzBk5xvFFmB/media/?size=l</v>
      </c>
      <c r="AM4983" t="s">
        <v>52</v>
      </c>
      <c r="AN4983" t="s">
        <v>53</v>
      </c>
    </row>
    <row r="4984" spans="1:40">
      <c r="A4984" t="s">
        <v>13057</v>
      </c>
      <c r="B4984" t="s">
        <v>10328</v>
      </c>
      <c r="C4984" t="s">
        <v>14704</v>
      </c>
      <c r="D4984" t="s">
        <v>52</v>
      </c>
      <c r="E4984" t="s">
        <v>15006</v>
      </c>
      <c r="F4984" t="s">
        <v>45</v>
      </c>
      <c r="G4984" t="str">
        <f>HYPERLINK("https://www.facebook.com/141483485908408/posts/2386379111418823")</f>
        <v>https://www.facebook.com/141483485908408/posts/2386379111418823</v>
      </c>
      <c r="H4984" t="s">
        <v>46</v>
      </c>
      <c r="I4984" t="s">
        <v>15007</v>
      </c>
      <c r="J4984" t="str">
        <f>HYPERLINK("https://www.facebook.com/141483485908408")</f>
        <v>https://www.facebook.com/141483485908408</v>
      </c>
      <c r="K4984">
        <v>688480</v>
      </c>
      <c r="L4984" t="s">
        <v>651</v>
      </c>
      <c r="N4984" t="s">
        <v>1792</v>
      </c>
      <c r="O4984" t="s">
        <v>15007</v>
      </c>
      <c r="P4984" t="str">
        <f>HYPERLINK("https://www.facebook.com/141483485908408")</f>
        <v>https://www.facebook.com/141483485908408</v>
      </c>
      <c r="Q4984">
        <v>688480</v>
      </c>
      <c r="R4984" t="s">
        <v>60</v>
      </c>
      <c r="W4984">
        <v>97</v>
      </c>
      <c r="X4984">
        <v>76</v>
      </c>
      <c r="Y4984">
        <v>11</v>
      </c>
      <c r="Z4984">
        <v>1</v>
      </c>
      <c r="AA4984">
        <v>9</v>
      </c>
      <c r="AB4984">
        <v>0</v>
      </c>
      <c r="AC4984">
        <v>0</v>
      </c>
      <c r="AE4984">
        <v>27</v>
      </c>
      <c r="AF4984">
        <v>9</v>
      </c>
      <c r="AI4984" t="s">
        <v>108</v>
      </c>
      <c r="AJ4984" t="s">
        <v>52</v>
      </c>
      <c r="AK4984" t="s">
        <v>52</v>
      </c>
      <c r="AL4984" t="str">
        <f>HYPERLINK("https://scontent.xx.fbcdn.net/v/t1.0-9/s720x720/65309854_2386378861418848_1490436806573817856_n.jpg?_nc_cat=104&amp;_nc_ht=scontent.xx&amp;oh=75a983fb2d1fc22f344dbf9a97c98d2c&amp;oe=5D7A703F")</f>
        <v>https://scontent.xx.fbcdn.net/v/t1.0-9/s720x720/65309854_2386378861418848_1490436806573817856_n.jpg?_nc_cat=104&amp;_nc_ht=scontent.xx&amp;oh=75a983fb2d1fc22f344dbf9a97c98d2c&amp;oe=5D7A703F</v>
      </c>
      <c r="AM4984" t="s">
        <v>52</v>
      </c>
      <c r="AN4984" t="s">
        <v>53</v>
      </c>
    </row>
    <row r="4985" spans="1:40">
      <c r="A4985" t="s">
        <v>13057</v>
      </c>
      <c r="B4985" t="s">
        <v>10328</v>
      </c>
      <c r="C4985" t="s">
        <v>15008</v>
      </c>
      <c r="D4985" t="s">
        <v>52</v>
      </c>
      <c r="E4985" t="s">
        <v>14146</v>
      </c>
      <c r="F4985" t="s">
        <v>45</v>
      </c>
      <c r="G4985" t="str">
        <f>HYPERLINK("https://twitter.com/234148135/status/1142522393291894785")</f>
        <v>https://twitter.com/234148135/status/1142522393291894785</v>
      </c>
      <c r="H4985" t="s">
        <v>46</v>
      </c>
      <c r="I4985" t="s">
        <v>15009</v>
      </c>
      <c r="J4985" t="str">
        <f>HYPERLINK("http://twitter.com/Descuentos")</f>
        <v>http://twitter.com/Descuentos</v>
      </c>
      <c r="K4985">
        <v>78063</v>
      </c>
      <c r="N4985" t="s">
        <v>65</v>
      </c>
      <c r="R4985" t="s">
        <v>60</v>
      </c>
      <c r="S4985" t="s">
        <v>437</v>
      </c>
      <c r="T4985" t="s">
        <v>528</v>
      </c>
      <c r="U4985" t="s">
        <v>529</v>
      </c>
      <c r="W4985">
        <v>6</v>
      </c>
      <c r="X4985">
        <v>6</v>
      </c>
      <c r="AE4985">
        <v>0</v>
      </c>
      <c r="AF4985">
        <v>3</v>
      </c>
      <c r="AI4985" t="s">
        <v>108</v>
      </c>
      <c r="AJ4985" t="s">
        <v>52</v>
      </c>
      <c r="AK4985" t="s">
        <v>52</v>
      </c>
      <c r="AL4985" t="str">
        <f>HYPERLINK("https://pbs.twimg.com/media/D9sE5-LXUAA1AED.jpg")</f>
        <v>https://pbs.twimg.com/media/D9sE5-LXUAA1AED.jpg</v>
      </c>
      <c r="AM4985" t="s">
        <v>52</v>
      </c>
      <c r="AN4985" t="s">
        <v>53</v>
      </c>
    </row>
    <row r="4986" spans="1:40">
      <c r="A4986" t="s">
        <v>13057</v>
      </c>
      <c r="B4986" t="s">
        <v>15010</v>
      </c>
      <c r="C4986" t="s">
        <v>14991</v>
      </c>
      <c r="D4986" t="s">
        <v>52</v>
      </c>
      <c r="E4986" t="s">
        <v>15011</v>
      </c>
      <c r="F4986" t="s">
        <v>45</v>
      </c>
      <c r="G4986" t="str">
        <f>HYPERLINK("https://www.instagram.com/p/BzBk10FBWP3")</f>
        <v>https://www.instagram.com/p/BzBk10FBWP3</v>
      </c>
      <c r="H4986" t="s">
        <v>215</v>
      </c>
      <c r="I4986" t="s">
        <v>15012</v>
      </c>
      <c r="J4986" t="str">
        <f>HYPERLINK("http://instagram.com/ktkayc")</f>
        <v>http://instagram.com/ktkayc</v>
      </c>
      <c r="K4986">
        <v>241</v>
      </c>
      <c r="L4986" t="s">
        <v>58</v>
      </c>
      <c r="N4986" t="s">
        <v>59</v>
      </c>
      <c r="O4986" t="s">
        <v>15012</v>
      </c>
      <c r="P4986" t="str">
        <f>HYPERLINK("http://instagram.com/ktkayc")</f>
        <v>http://instagram.com/ktkayc</v>
      </c>
      <c r="Q4986">
        <v>241</v>
      </c>
      <c r="R4986" t="s">
        <v>60</v>
      </c>
      <c r="W4986">
        <v>10</v>
      </c>
      <c r="X4986">
        <v>10</v>
      </c>
      <c r="AE4986">
        <v>0</v>
      </c>
      <c r="AI4986" t="s">
        <v>52</v>
      </c>
      <c r="AJ4986" t="s">
        <v>52</v>
      </c>
      <c r="AK4986" t="s">
        <v>52</v>
      </c>
      <c r="AL4986" t="str">
        <f>HYPERLINK("https://www.instagram.com/p/BzBk10FBWP3/media/?size=l")</f>
        <v>https://www.instagram.com/p/BzBk10FBWP3/media/?size=l</v>
      </c>
      <c r="AM4986" t="s">
        <v>52</v>
      </c>
      <c r="AN4986" t="s">
        <v>53</v>
      </c>
    </row>
    <row r="4987" spans="1:40">
      <c r="A4987" t="s">
        <v>13057</v>
      </c>
      <c r="B4987" t="s">
        <v>4721</v>
      </c>
      <c r="C4987" t="s">
        <v>14991</v>
      </c>
      <c r="D4987" t="s">
        <v>52</v>
      </c>
      <c r="E4987" t="s">
        <v>15013</v>
      </c>
      <c r="F4987" t="s">
        <v>45</v>
      </c>
      <c r="G4987" t="str">
        <f>HYPERLINK("https://www.instagram.com/p/BzBksVpATNl")</f>
        <v>https://www.instagram.com/p/BzBksVpATNl</v>
      </c>
      <c r="H4987" t="s">
        <v>46</v>
      </c>
      <c r="I4987" t="s">
        <v>15014</v>
      </c>
      <c r="J4987" t="str">
        <f>HYPERLINK("http://instagram.com/805_hnosgarcia")</f>
        <v>http://instagram.com/805_hnosgarcia</v>
      </c>
      <c r="K4987">
        <v>273</v>
      </c>
      <c r="N4987" t="s">
        <v>59</v>
      </c>
      <c r="O4987" t="s">
        <v>15014</v>
      </c>
      <c r="P4987" t="str">
        <f>HYPERLINK("http://instagram.com/805_hnosgarcia")</f>
        <v>http://instagram.com/805_hnosgarcia</v>
      </c>
      <c r="Q4987">
        <v>273</v>
      </c>
      <c r="R4987" t="s">
        <v>60</v>
      </c>
      <c r="W4987">
        <v>45</v>
      </c>
      <c r="X4987">
        <v>45</v>
      </c>
      <c r="AE4987">
        <v>2</v>
      </c>
      <c r="AI4987" t="s">
        <v>52</v>
      </c>
      <c r="AJ4987" t="s">
        <v>659</v>
      </c>
      <c r="AK4987" t="s">
        <v>52</v>
      </c>
      <c r="AL4987" t="str">
        <f>HYPERLINK("https://www.instagram.com/p/BzBksVpATNl/media/?size=l")</f>
        <v>https://www.instagram.com/p/BzBksVpATNl/media/?size=l</v>
      </c>
      <c r="AM4987" t="s">
        <v>52</v>
      </c>
      <c r="AN4987" t="s">
        <v>53</v>
      </c>
    </row>
    <row r="4988" spans="1:40">
      <c r="A4988" t="s">
        <v>13057</v>
      </c>
      <c r="B4988" t="s">
        <v>4729</v>
      </c>
      <c r="C4988" t="s">
        <v>14991</v>
      </c>
      <c r="D4988" t="s">
        <v>52</v>
      </c>
      <c r="E4988" t="s">
        <v>15015</v>
      </c>
      <c r="F4988" t="s">
        <v>45</v>
      </c>
      <c r="G4988" t="str">
        <f>HYPERLINK("https://www.instagram.com/p/BzBkmTrpS5W")</f>
        <v>https://www.instagram.com/p/BzBkmTrpS5W</v>
      </c>
      <c r="H4988" t="s">
        <v>46</v>
      </c>
      <c r="I4988" t="s">
        <v>3090</v>
      </c>
      <c r="J4988" t="str">
        <f>HYPERLINK("http://instagram.com/photos._tumblrs.bms")</f>
        <v>http://instagram.com/photos._tumblrs.bms</v>
      </c>
      <c r="K4988">
        <v>27</v>
      </c>
      <c r="N4988" t="s">
        <v>59</v>
      </c>
      <c r="O4988" t="s">
        <v>3090</v>
      </c>
      <c r="P4988" t="str">
        <f>HYPERLINK("http://instagram.com/photos._tumblrs.bms")</f>
        <v>http://instagram.com/photos._tumblrs.bms</v>
      </c>
      <c r="Q4988">
        <v>27</v>
      </c>
      <c r="R4988" t="s">
        <v>60</v>
      </c>
      <c r="W4988">
        <v>16</v>
      </c>
      <c r="X4988">
        <v>16</v>
      </c>
      <c r="AE4988">
        <v>0</v>
      </c>
      <c r="AI4988" t="s">
        <v>52</v>
      </c>
      <c r="AJ4988" t="s">
        <v>3551</v>
      </c>
      <c r="AK4988" t="s">
        <v>15016</v>
      </c>
      <c r="AL4988" t="str">
        <f>HYPERLINK("https://www.instagram.com/p/BzBkmTrpS5W/media/?size=l")</f>
        <v>https://www.instagram.com/p/BzBkmTrpS5W/media/?size=l</v>
      </c>
      <c r="AM4988" t="s">
        <v>52</v>
      </c>
      <c r="AN4988" t="s">
        <v>53</v>
      </c>
    </row>
    <row r="4989" spans="1:40">
      <c r="A4989" t="s">
        <v>13057</v>
      </c>
      <c r="B4989" t="s">
        <v>10346</v>
      </c>
      <c r="C4989" t="s">
        <v>15017</v>
      </c>
      <c r="D4989" t="s">
        <v>52</v>
      </c>
      <c r="E4989" t="s">
        <v>15018</v>
      </c>
      <c r="F4989" t="s">
        <v>45</v>
      </c>
      <c r="G4989" t="str">
        <f>HYPERLINK("https://twitter.com/947438672424656897/status/1142521627864969218")</f>
        <v>https://twitter.com/947438672424656897/status/1142521627864969218</v>
      </c>
      <c r="H4989" t="s">
        <v>215</v>
      </c>
      <c r="I4989" t="s">
        <v>15019</v>
      </c>
      <c r="J4989" t="str">
        <f>HYPERLINK("http://twitter.com/z___ara")</f>
        <v>http://twitter.com/z___ara</v>
      </c>
      <c r="K4989">
        <v>34</v>
      </c>
      <c r="N4989" t="s">
        <v>65</v>
      </c>
      <c r="R4989" t="s">
        <v>60</v>
      </c>
      <c r="S4989" t="s">
        <v>315</v>
      </c>
      <c r="T4989" t="s">
        <v>15020</v>
      </c>
      <c r="U4989" t="s">
        <v>15021</v>
      </c>
      <c r="W4989">
        <v>1</v>
      </c>
      <c r="X4989">
        <v>1</v>
      </c>
      <c r="AE4989">
        <v>1</v>
      </c>
      <c r="AF4989">
        <v>0</v>
      </c>
      <c r="AI4989" t="s">
        <v>52</v>
      </c>
      <c r="AJ4989" t="s">
        <v>52</v>
      </c>
      <c r="AK4989" t="s">
        <v>15022</v>
      </c>
      <c r="AL4989" t="str">
        <f>HYPERLINK("https://pbs.twimg.com/tweet_video_thumb/D9sNXIRX4AAU5CF.jpg")</f>
        <v>https://pbs.twimg.com/tweet_video_thumb/D9sNXIRX4AAU5CF.jpg</v>
      </c>
      <c r="AM4989" t="s">
        <v>52</v>
      </c>
      <c r="AN4989" t="s">
        <v>53</v>
      </c>
    </row>
    <row r="4990" spans="1:40">
      <c r="A4990" t="s">
        <v>13057</v>
      </c>
      <c r="B4990" t="s">
        <v>10346</v>
      </c>
      <c r="C4990" t="s">
        <v>15023</v>
      </c>
      <c r="D4990" t="s">
        <v>52</v>
      </c>
      <c r="E4990" t="s">
        <v>15024</v>
      </c>
      <c r="F4990" t="s">
        <v>45</v>
      </c>
      <c r="G4990" t="str">
        <f>HYPERLINK("https://twitter.com/1142520058184265728/status/1142521553583665153")</f>
        <v>https://twitter.com/1142520058184265728/status/1142521553583665153</v>
      </c>
      <c r="H4990" t="s">
        <v>46</v>
      </c>
      <c r="I4990" t="s">
        <v>15025</v>
      </c>
      <c r="J4990" t="str">
        <f>HYPERLINK("http://twitter.com/leahy94")</f>
        <v>http://twitter.com/leahy94</v>
      </c>
      <c r="K4990">
        <v>0</v>
      </c>
      <c r="N4990" t="s">
        <v>65</v>
      </c>
      <c r="R4990" t="s">
        <v>60</v>
      </c>
      <c r="W4990">
        <v>0</v>
      </c>
      <c r="X4990">
        <v>0</v>
      </c>
      <c r="AE4990">
        <v>0</v>
      </c>
      <c r="AF4990">
        <v>0</v>
      </c>
      <c r="AM4990" t="s">
        <v>52</v>
      </c>
      <c r="AN4990" t="s">
        <v>53</v>
      </c>
    </row>
    <row r="4991" spans="1:40">
      <c r="A4991" t="s">
        <v>13057</v>
      </c>
      <c r="B4991" t="s">
        <v>15026</v>
      </c>
      <c r="C4991" t="s">
        <v>14970</v>
      </c>
      <c r="D4991" t="s">
        <v>52</v>
      </c>
      <c r="E4991" t="s">
        <v>15027</v>
      </c>
      <c r="F4991" t="s">
        <v>95</v>
      </c>
      <c r="G4991" t="str">
        <f>HYPERLINK("https://twitter.com/584431617/status/1142521124389052418")</f>
        <v>https://twitter.com/584431617/status/1142521124389052418</v>
      </c>
      <c r="H4991" t="s">
        <v>46</v>
      </c>
      <c r="I4991" t="s">
        <v>15028</v>
      </c>
      <c r="J4991" t="str">
        <f>HYPERLINK("http://twitter.com/SportyTechMama")</f>
        <v>http://twitter.com/SportyTechMama</v>
      </c>
      <c r="K4991">
        <v>1197</v>
      </c>
      <c r="N4991" t="s">
        <v>65</v>
      </c>
      <c r="R4991" t="s">
        <v>60</v>
      </c>
      <c r="W4991">
        <v>0</v>
      </c>
      <c r="X4991">
        <v>0</v>
      </c>
      <c r="AE4991">
        <v>0</v>
      </c>
      <c r="AF4991">
        <v>0</v>
      </c>
      <c r="AM4991" t="s">
        <v>52</v>
      </c>
      <c r="AN4991" t="s">
        <v>53</v>
      </c>
    </row>
    <row r="4992" spans="1:40">
      <c r="A4992" t="s">
        <v>13057</v>
      </c>
      <c r="B4992" t="s">
        <v>4733</v>
      </c>
      <c r="C4992" t="s">
        <v>15023</v>
      </c>
      <c r="D4992" t="s">
        <v>52</v>
      </c>
      <c r="E4992" t="s">
        <v>4514</v>
      </c>
      <c r="F4992" t="s">
        <v>71</v>
      </c>
      <c r="G4992" t="str">
        <f>HYPERLINK("https://twitter.com/973403170440323072/status/1142520644774449152")</f>
        <v>https://twitter.com/973403170440323072/status/1142520644774449152</v>
      </c>
      <c r="H4992" t="s">
        <v>46</v>
      </c>
      <c r="I4992" t="s">
        <v>15029</v>
      </c>
      <c r="J4992" t="str">
        <f>HYPERLINK("http://twitter.com/RandomSpiderDu1")</f>
        <v>http://twitter.com/RandomSpiderDu1</v>
      </c>
      <c r="K4992">
        <v>173</v>
      </c>
      <c r="N4992" t="s">
        <v>65</v>
      </c>
      <c r="R4992" t="s">
        <v>60</v>
      </c>
      <c r="S4992" t="s">
        <v>521</v>
      </c>
      <c r="T4992" t="s">
        <v>14391</v>
      </c>
      <c r="U4992" t="s">
        <v>14392</v>
      </c>
      <c r="W4992">
        <v>0</v>
      </c>
      <c r="X4992">
        <v>0</v>
      </c>
      <c r="AE4992">
        <v>0</v>
      </c>
      <c r="AF4992">
        <v>0</v>
      </c>
      <c r="AI4992" t="s">
        <v>108</v>
      </c>
      <c r="AJ4992" t="s">
        <v>52</v>
      </c>
      <c r="AK4992" t="s">
        <v>52</v>
      </c>
      <c r="AL4992" t="str">
        <f>HYPERLINK("https://pbs.twimg.com/tweet_video_thumb/D9hvNNzXUAATAS3.jpg")</f>
        <v>https://pbs.twimg.com/tweet_video_thumb/D9hvNNzXUAATAS3.jpg</v>
      </c>
      <c r="AM4992" t="s">
        <v>52</v>
      </c>
      <c r="AN4992" t="s">
        <v>53</v>
      </c>
    </row>
    <row r="4993" spans="1:40">
      <c r="A4993" t="s">
        <v>13057</v>
      </c>
      <c r="B4993" t="s">
        <v>10362</v>
      </c>
      <c r="C4993" t="s">
        <v>15030</v>
      </c>
      <c r="D4993" t="s">
        <v>52</v>
      </c>
      <c r="E4993" t="s">
        <v>276</v>
      </c>
      <c r="F4993" t="s">
        <v>131</v>
      </c>
      <c r="G4993" t="str">
        <f>HYPERLINK("https://twitter.com/958558736749965312/status/1142520356634279936")</f>
        <v>https://twitter.com/958558736749965312/status/1142520356634279936</v>
      </c>
      <c r="H4993" t="s">
        <v>46</v>
      </c>
      <c r="I4993" t="s">
        <v>15031</v>
      </c>
      <c r="J4993" t="str">
        <f>HYPERLINK("http://twitter.com/Javier60142088")</f>
        <v>http://twitter.com/Javier60142088</v>
      </c>
      <c r="K4993">
        <v>0</v>
      </c>
      <c r="L4993" t="s">
        <v>48</v>
      </c>
      <c r="N4993" t="s">
        <v>65</v>
      </c>
      <c r="R4993" t="s">
        <v>60</v>
      </c>
      <c r="S4993" t="s">
        <v>437</v>
      </c>
      <c r="T4993" t="s">
        <v>528</v>
      </c>
      <c r="U4993" t="s">
        <v>529</v>
      </c>
      <c r="W4993">
        <v>0</v>
      </c>
      <c r="X4993">
        <v>0</v>
      </c>
      <c r="AE4993">
        <v>0</v>
      </c>
      <c r="AI4993" t="s">
        <v>108</v>
      </c>
      <c r="AJ4993" t="s">
        <v>52</v>
      </c>
      <c r="AK4993" t="s">
        <v>52</v>
      </c>
      <c r="AL4993" t="str">
        <f>HYPERLINK("https://pbs.twimg.com/tweet_video_thumb/D9hvNNzXUAATAS3.jpg")</f>
        <v>https://pbs.twimg.com/tweet_video_thumb/D9hvNNzXUAATAS3.jpg</v>
      </c>
      <c r="AM4993" t="s">
        <v>52</v>
      </c>
      <c r="AN4993" t="s">
        <v>53</v>
      </c>
    </row>
    <row r="4994" spans="1:40">
      <c r="A4994" t="s">
        <v>13057</v>
      </c>
      <c r="B4994" t="s">
        <v>4763</v>
      </c>
      <c r="C4994" t="s">
        <v>15008</v>
      </c>
      <c r="D4994" t="s">
        <v>52</v>
      </c>
      <c r="E4994" t="s">
        <v>15032</v>
      </c>
      <c r="F4994" t="s">
        <v>95</v>
      </c>
      <c r="G4994" t="str">
        <f>HYPERLINK("https://twitter.com/859109591086497795/status/1142519861878370304")</f>
        <v>https://twitter.com/859109591086497795/status/1142519861878370304</v>
      </c>
      <c r="H4994" t="s">
        <v>46</v>
      </c>
      <c r="I4994" t="s">
        <v>15033</v>
      </c>
      <c r="J4994" t="str">
        <f>HYPERLINK("http://twitter.com/GeraRamirez07")</f>
        <v>http://twitter.com/GeraRamirez07</v>
      </c>
      <c r="K4994">
        <v>97</v>
      </c>
      <c r="N4994" t="s">
        <v>65</v>
      </c>
      <c r="R4994" t="s">
        <v>60</v>
      </c>
      <c r="S4994" t="s">
        <v>51</v>
      </c>
      <c r="T4994" t="s">
        <v>84</v>
      </c>
      <c r="U4994" t="s">
        <v>85</v>
      </c>
      <c r="W4994">
        <v>1</v>
      </c>
      <c r="X4994">
        <v>1</v>
      </c>
      <c r="AE4994">
        <v>0</v>
      </c>
      <c r="AF4994">
        <v>0</v>
      </c>
      <c r="AI4994" t="s">
        <v>52</v>
      </c>
      <c r="AJ4994" t="s">
        <v>15034</v>
      </c>
      <c r="AK4994" t="s">
        <v>52</v>
      </c>
      <c r="AL4994" t="str">
        <f>HYPERLINK("https://pbs.twimg.com/tweet_video_thumb/D9sLwQjW4AAKXnQ.jpg")</f>
        <v>https://pbs.twimg.com/tweet_video_thumb/D9sLwQjW4AAKXnQ.jpg</v>
      </c>
      <c r="AM4994" t="s">
        <v>52</v>
      </c>
      <c r="AN4994" t="s">
        <v>53</v>
      </c>
    </row>
    <row r="4995" spans="1:40">
      <c r="A4995" t="s">
        <v>13057</v>
      </c>
      <c r="B4995" t="s">
        <v>4763</v>
      </c>
      <c r="C4995" t="s">
        <v>15035</v>
      </c>
      <c r="D4995" t="s">
        <v>52</v>
      </c>
      <c r="E4995" t="s">
        <v>4514</v>
      </c>
      <c r="F4995" t="s">
        <v>71</v>
      </c>
      <c r="G4995" t="str">
        <f>HYPERLINK("https://twitter.com/1700674272/status/1142519775911747584")</f>
        <v>https://twitter.com/1700674272/status/1142519775911747584</v>
      </c>
      <c r="H4995" t="s">
        <v>46</v>
      </c>
      <c r="I4995" t="s">
        <v>15036</v>
      </c>
      <c r="J4995" t="str">
        <f>HYPERLINK("http://twitter.com/SalMarra927")</f>
        <v>http://twitter.com/SalMarra927</v>
      </c>
      <c r="K4995">
        <v>380</v>
      </c>
      <c r="N4995" t="s">
        <v>65</v>
      </c>
      <c r="R4995" t="s">
        <v>60</v>
      </c>
      <c r="S4995" t="s">
        <v>51</v>
      </c>
      <c r="T4995" t="s">
        <v>380</v>
      </c>
      <c r="U4995" t="s">
        <v>380</v>
      </c>
      <c r="W4995">
        <v>0</v>
      </c>
      <c r="X4995">
        <v>0</v>
      </c>
      <c r="AE4995">
        <v>0</v>
      </c>
      <c r="AF4995">
        <v>0</v>
      </c>
      <c r="AI4995" t="s">
        <v>108</v>
      </c>
      <c r="AJ4995" t="s">
        <v>52</v>
      </c>
      <c r="AK4995" t="s">
        <v>52</v>
      </c>
      <c r="AL4995" t="str">
        <f>HYPERLINK("https://pbs.twimg.com/tweet_video_thumb/D9hvNNzXUAATAS3.jpg")</f>
        <v>https://pbs.twimg.com/tweet_video_thumb/D9hvNNzXUAATAS3.jpg</v>
      </c>
      <c r="AM4995" t="s">
        <v>52</v>
      </c>
      <c r="AN4995" t="s">
        <v>53</v>
      </c>
    </row>
    <row r="4996" spans="1:40">
      <c r="A4996" t="s">
        <v>13057</v>
      </c>
      <c r="B4996" t="s">
        <v>4763</v>
      </c>
      <c r="C4996" t="s">
        <v>15037</v>
      </c>
      <c r="D4996" t="s">
        <v>52</v>
      </c>
      <c r="E4996" t="s">
        <v>15038</v>
      </c>
      <c r="F4996" t="s">
        <v>45</v>
      </c>
      <c r="G4996" t="str">
        <f>HYPERLINK("https://www.instagram.com/p/BzBjK-Fnodt")</f>
        <v>https://www.instagram.com/p/BzBjK-Fnodt</v>
      </c>
      <c r="H4996" t="s">
        <v>46</v>
      </c>
      <c r="I4996" t="s">
        <v>15039</v>
      </c>
      <c r="J4996" t="str">
        <f>HYPERLINK("http://instagram.com/yolo420m")</f>
        <v>http://instagram.com/yolo420m</v>
      </c>
      <c r="K4996">
        <v>3886</v>
      </c>
      <c r="N4996" t="s">
        <v>59</v>
      </c>
      <c r="O4996" t="s">
        <v>15039</v>
      </c>
      <c r="P4996" t="str">
        <f>HYPERLINK("http://instagram.com/yolo420m")</f>
        <v>http://instagram.com/yolo420m</v>
      </c>
      <c r="Q4996">
        <v>3886</v>
      </c>
      <c r="R4996" t="s">
        <v>60</v>
      </c>
      <c r="S4996" t="s">
        <v>51</v>
      </c>
      <c r="T4996" t="s">
        <v>380</v>
      </c>
      <c r="U4996" t="s">
        <v>15040</v>
      </c>
      <c r="W4996">
        <v>1087</v>
      </c>
      <c r="X4996">
        <v>1087</v>
      </c>
      <c r="AE4996">
        <v>11</v>
      </c>
      <c r="AG4996">
        <v>4315</v>
      </c>
      <c r="AI4996" t="s">
        <v>52</v>
      </c>
      <c r="AJ4996" t="s">
        <v>4898</v>
      </c>
      <c r="AK4996" t="s">
        <v>15041</v>
      </c>
      <c r="AL4996" t="str">
        <f>HYPERLINK("https://www.instagram.com/p/BzBjK-Fnodt/media/?size=l")</f>
        <v>https://www.instagram.com/p/BzBjK-Fnodt/media/?size=l</v>
      </c>
      <c r="AM4996" t="s">
        <v>52</v>
      </c>
      <c r="AN4996" t="s">
        <v>53</v>
      </c>
    </row>
    <row r="4997" spans="1:40">
      <c r="A4997" t="s">
        <v>13057</v>
      </c>
      <c r="B4997" t="s">
        <v>4763</v>
      </c>
      <c r="C4997" t="s">
        <v>15042</v>
      </c>
      <c r="D4997" t="s">
        <v>52</v>
      </c>
      <c r="E4997" t="s">
        <v>4155</v>
      </c>
      <c r="F4997" t="s">
        <v>131</v>
      </c>
      <c r="G4997" t="str">
        <f>HYPERLINK("https://twitter.com/956499274958823424/status/1142519755913478144")</f>
        <v>https://twitter.com/956499274958823424/status/1142519755913478144</v>
      </c>
      <c r="H4997" t="s">
        <v>46</v>
      </c>
      <c r="I4997" t="s">
        <v>15043</v>
      </c>
      <c r="J4997" t="str">
        <f>HYPERLINK("http://twitter.com/beilisheyesz")</f>
        <v>http://twitter.com/beilisheyesz</v>
      </c>
      <c r="K4997">
        <v>2934</v>
      </c>
      <c r="N4997" t="s">
        <v>65</v>
      </c>
      <c r="R4997" t="s">
        <v>60</v>
      </c>
      <c r="S4997" t="s">
        <v>142</v>
      </c>
      <c r="T4997" t="s">
        <v>1200</v>
      </c>
      <c r="U4997" t="s">
        <v>15044</v>
      </c>
      <c r="W4997">
        <v>0</v>
      </c>
      <c r="X4997">
        <v>0</v>
      </c>
      <c r="AE4997">
        <v>0</v>
      </c>
      <c r="AI4997" t="s">
        <v>108</v>
      </c>
      <c r="AJ4997" t="s">
        <v>1853</v>
      </c>
      <c r="AK4997" t="s">
        <v>52</v>
      </c>
      <c r="AL4997" t="str">
        <f>HYPERLINK("https://pbs.twimg.com/media/D9mukIWWkAIu0PD.jpg")</f>
        <v>https://pbs.twimg.com/media/D9mukIWWkAIu0PD.jpg</v>
      </c>
      <c r="AM4997" t="s">
        <v>52</v>
      </c>
      <c r="AN4997" t="s">
        <v>53</v>
      </c>
    </row>
    <row r="4998" spans="1:40">
      <c r="A4998" t="s">
        <v>13057</v>
      </c>
      <c r="B4998" t="s">
        <v>4763</v>
      </c>
      <c r="C4998" t="s">
        <v>15045</v>
      </c>
      <c r="D4998" t="s">
        <v>52</v>
      </c>
      <c r="E4998" t="s">
        <v>276</v>
      </c>
      <c r="F4998" t="s">
        <v>131</v>
      </c>
      <c r="G4998" t="str">
        <f>HYPERLINK("https://twitter.com/1700674272/status/1142519738372939776")</f>
        <v>https://twitter.com/1700674272/status/1142519738372939776</v>
      </c>
      <c r="H4998" t="s">
        <v>46</v>
      </c>
      <c r="I4998" t="s">
        <v>15036</v>
      </c>
      <c r="J4998" t="str">
        <f>HYPERLINK("http://twitter.com/SalMarra927")</f>
        <v>http://twitter.com/SalMarra927</v>
      </c>
      <c r="K4998">
        <v>380</v>
      </c>
      <c r="N4998" t="s">
        <v>65</v>
      </c>
      <c r="R4998" t="s">
        <v>60</v>
      </c>
      <c r="S4998" t="s">
        <v>51</v>
      </c>
      <c r="T4998" t="s">
        <v>380</v>
      </c>
      <c r="U4998" t="s">
        <v>380</v>
      </c>
      <c r="W4998">
        <v>0</v>
      </c>
      <c r="X4998">
        <v>0</v>
      </c>
      <c r="AE4998">
        <v>0</v>
      </c>
      <c r="AI4998" t="s">
        <v>108</v>
      </c>
      <c r="AJ4998" t="s">
        <v>52</v>
      </c>
      <c r="AK4998" t="s">
        <v>52</v>
      </c>
      <c r="AL4998" t="str">
        <f>HYPERLINK("https://pbs.twimg.com/tweet_video_thumb/D9hvNNzXUAATAS3.jpg")</f>
        <v>https://pbs.twimg.com/tweet_video_thumb/D9hvNNzXUAATAS3.jpg</v>
      </c>
      <c r="AM4998" t="s">
        <v>52</v>
      </c>
      <c r="AN4998" t="s">
        <v>53</v>
      </c>
    </row>
    <row r="4999" spans="1:40">
      <c r="A4999" t="s">
        <v>13057</v>
      </c>
      <c r="B4999" t="s">
        <v>4763</v>
      </c>
      <c r="C4999" t="s">
        <v>15046</v>
      </c>
      <c r="D4999" t="s">
        <v>52</v>
      </c>
      <c r="E4999" t="s">
        <v>14515</v>
      </c>
      <c r="F4999" t="s">
        <v>45</v>
      </c>
      <c r="G4999" t="str">
        <f>HYPERLINK("https://twitter.com/1130101889545252865/status/1142519677186400256")</f>
        <v>https://twitter.com/1130101889545252865/status/1142519677186400256</v>
      </c>
      <c r="H4999" t="s">
        <v>215</v>
      </c>
      <c r="I4999" t="s">
        <v>15047</v>
      </c>
      <c r="J4999" t="str">
        <f>HYPERLINK("http://twitter.com/_lilboxie_")</f>
        <v>http://twitter.com/_lilboxie_</v>
      </c>
      <c r="K4999">
        <v>318</v>
      </c>
      <c r="N4999" t="s">
        <v>65</v>
      </c>
      <c r="R4999" t="s">
        <v>60</v>
      </c>
      <c r="S4999" t="s">
        <v>51</v>
      </c>
      <c r="T4999" t="s">
        <v>490</v>
      </c>
      <c r="U4999" t="s">
        <v>15048</v>
      </c>
      <c r="W4999">
        <v>7</v>
      </c>
      <c r="X4999">
        <v>7</v>
      </c>
      <c r="AE4999">
        <v>0</v>
      </c>
      <c r="AF4999">
        <v>16</v>
      </c>
      <c r="AM4999" t="s">
        <v>52</v>
      </c>
      <c r="AN4999" t="s">
        <v>53</v>
      </c>
    </row>
    <row r="5000" spans="1:40">
      <c r="A5000" t="s">
        <v>13057</v>
      </c>
      <c r="B5000" t="s">
        <v>4763</v>
      </c>
      <c r="C5000" t="s">
        <v>15046</v>
      </c>
      <c r="D5000" t="s">
        <v>52</v>
      </c>
      <c r="E5000" t="s">
        <v>15049</v>
      </c>
      <c r="F5000" t="s">
        <v>45</v>
      </c>
      <c r="G5000" t="str">
        <f>HYPERLINK("https://twitter.com/2654172674/status/1142519671758958593")</f>
        <v>https://twitter.com/2654172674/status/1142519671758958593</v>
      </c>
      <c r="H5000" t="s">
        <v>46</v>
      </c>
      <c r="I5000" t="s">
        <v>15050</v>
      </c>
      <c r="J5000" t="str">
        <f>HYPERLINK("http://twitter.com/reptarredacted")</f>
        <v>http://twitter.com/reptarredacted</v>
      </c>
      <c r="K5000">
        <v>402</v>
      </c>
      <c r="N5000" t="s">
        <v>65</v>
      </c>
      <c r="R5000" t="s">
        <v>60</v>
      </c>
      <c r="W5000">
        <v>8</v>
      </c>
      <c r="X5000">
        <v>8</v>
      </c>
      <c r="AE5000">
        <v>2</v>
      </c>
      <c r="AF5000">
        <v>0</v>
      </c>
      <c r="AM5000" t="s">
        <v>52</v>
      </c>
      <c r="AN5000" t="s">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Ken</cp:lastModifiedBy>
  <dcterms:created xsi:type="dcterms:W3CDTF">2019-07-21T18:04:37Z</dcterms:created>
  <dcterms:modified xsi:type="dcterms:W3CDTF">2021-04-07T19:06:22Z</dcterms:modified>
</cp:coreProperties>
</file>